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5200" windowHeight="11580" tabRatio="891" firstSheet="18" activeTab="35"/>
  </bookViews>
  <sheets>
    <sheet name="B" sheetId="114" r:id="rId1"/>
    <sheet name="B-1" sheetId="241" r:id="rId2"/>
    <sheet name="B-1.1" sheetId="242" r:id="rId3"/>
    <sheet name="B-1.1.1" sheetId="285" r:id="rId4"/>
    <sheet name="B-1.1.2" sheetId="288" r:id="rId5"/>
    <sheet name="B-1.1.3" sheetId="289" r:id="rId6"/>
    <sheet name="Sheet1" sheetId="314" r:id="rId7"/>
    <sheet name="B-1.2" sheetId="307" r:id="rId8"/>
    <sheet name="B-1.2.1" sheetId="306" r:id="rId9"/>
    <sheet name="B-1.2.2" sheetId="310" r:id="rId10"/>
    <sheet name="B-1.2.3" sheetId="309" r:id="rId11"/>
    <sheet name="B-2" sheetId="1" r:id="rId12"/>
    <sheet name="B-2.1" sheetId="12" r:id="rId13"/>
    <sheet name="B-2.1.1" sheetId="14" r:id="rId14"/>
    <sheet name="B-2.1.2" sheetId="22" r:id="rId15"/>
    <sheet name="B-2.1.3" sheetId="23" r:id="rId16"/>
    <sheet name="B-2.2" sheetId="38" r:id="rId17"/>
    <sheet name="B-2.2.1." sheetId="257" r:id="rId18"/>
    <sheet name="B-2.2.1.1" sheetId="258" r:id="rId19"/>
    <sheet name="B-2.2.1.1.1." sheetId="259" r:id="rId20"/>
    <sheet name="B-2.2.1.1.2." sheetId="260" r:id="rId21"/>
    <sheet name="B-2.2.2" sheetId="52" r:id="rId22"/>
    <sheet name="B-2.2.2.1" sheetId="57" r:id="rId23"/>
    <sheet name="B-2.2.2.1.1" sheetId="58" r:id="rId24"/>
    <sheet name="B-2.2.2.1.2" sheetId="60" r:id="rId25"/>
    <sheet name="B-2.2.3" sheetId="61" r:id="rId26"/>
    <sheet name="B-2.2.3.1" sheetId="63" r:id="rId27"/>
    <sheet name="B-2.2.3.2" sheetId="64" r:id="rId28"/>
    <sheet name="B-3" sheetId="265" r:id="rId29"/>
    <sheet name="B-3.1" sheetId="312" r:id="rId30"/>
    <sheet name="B-3.2" sheetId="273" r:id="rId31"/>
    <sheet name="B-3.3" sheetId="313" r:id="rId32"/>
    <sheet name="B-4" sheetId="246" r:id="rId33"/>
    <sheet name="B-4.1" sheetId="261" r:id="rId34"/>
    <sheet name="B-4.2" sheetId="262" r:id="rId35"/>
    <sheet name="B-4.3" sheetId="263" r:id="rId36"/>
  </sheets>
  <externalReferences>
    <externalReference r:id="rId37"/>
  </externalReferences>
  <definedNames>
    <definedName name="_xlnm._FilterDatabase" localSheetId="2" hidden="1">'B-1.1'!$A$6:$J$8</definedName>
    <definedName name="_xlnm._FilterDatabase" localSheetId="7" hidden="1">'B-1.2'!$A$6:$J$8</definedName>
    <definedName name="_xlnm._FilterDatabase" localSheetId="8" hidden="1">'B-1.2.1'!#REF!</definedName>
    <definedName name="_xlnm._FilterDatabase" localSheetId="9" hidden="1">'B-1.2.2'!#REF!</definedName>
    <definedName name="_xlnm._FilterDatabase" localSheetId="10" hidden="1">'B-1.2.3'!#REF!</definedName>
    <definedName name="_xlnm._FilterDatabase" localSheetId="19" hidden="1">'B-2.2.1.1.1.'!$A$7:$M$36</definedName>
    <definedName name="_xlnm._FilterDatabase" localSheetId="27" hidden="1">'B-2.2.3.2'!$A$7:$M$45</definedName>
    <definedName name="_xlnm._FilterDatabase" localSheetId="28" hidden="1">'B-3'!$A$6:$K$8</definedName>
    <definedName name="_xlnm._FilterDatabase" localSheetId="32" hidden="1">'B-4'!$A$6:$K$8</definedName>
    <definedName name="_xlnm._FilterDatabase" localSheetId="33" hidden="1">'B-4.1'!$A$8:$HP$147</definedName>
    <definedName name="_xlnm.Print_Area" localSheetId="0">B!$A$1:$J$22</definedName>
    <definedName name="_xlnm.Print_Area" localSheetId="1">'B-1'!$A$1:$J$20</definedName>
    <definedName name="_xlnm.Print_Area" localSheetId="2">'B-1.1'!$A$1:$I$17</definedName>
    <definedName name="_xlnm.Print_Area" localSheetId="3">'B-1.1.1'!$A$1:$M$24</definedName>
    <definedName name="_xlnm.Print_Area" localSheetId="4">'B-1.1.2'!$A$1:$M$66</definedName>
    <definedName name="_xlnm.Print_Area" localSheetId="5">'B-1.1.3'!$A$1:$M$56</definedName>
    <definedName name="_xlnm.Print_Area" localSheetId="7">'B-1.2'!$A$1:$I$17</definedName>
    <definedName name="_xlnm.Print_Area" localSheetId="8">'B-1.2.1'!$A$1:$M$37</definedName>
    <definedName name="_xlnm.Print_Area" localSheetId="9">'B-1.2.2'!$A$1:$M$54</definedName>
    <definedName name="_xlnm.Print_Area" localSheetId="10">'B-1.2.3'!$A$1:$M$53</definedName>
    <definedName name="_xlnm.Print_Area" localSheetId="11">'B-2'!$A$1:$J$17</definedName>
    <definedName name="_xlnm.Print_Area" localSheetId="12">'B-2.1'!$A$1:$J$17</definedName>
    <definedName name="_xlnm.Print_Area" localSheetId="13">'B-2.1.1'!$A$1:$M$86</definedName>
    <definedName name="_xlnm.Print_Area" localSheetId="14">'B-2.1.2'!$A$1:$M$50</definedName>
    <definedName name="_xlnm.Print_Area" localSheetId="15">'B-2.1.3'!$A$1:$M$40</definedName>
    <definedName name="_xlnm.Print_Area" localSheetId="16">'B-2.2'!$A$1:$J$16</definedName>
    <definedName name="_xlnm.Print_Area" localSheetId="17">'B-2.2.1.'!$A$1:$I$14</definedName>
    <definedName name="_xlnm.Print_Area" localSheetId="18">'B-2.2.1.1'!$A$1:$J$17</definedName>
    <definedName name="_xlnm.Print_Area" localSheetId="19">'B-2.2.1.1.1.'!$A$1:$M$39</definedName>
    <definedName name="_xlnm.Print_Area" localSheetId="20">'B-2.2.1.1.2.'!$A$1:$M$45</definedName>
    <definedName name="_xlnm.Print_Area" localSheetId="21">'B-2.2.2'!$A$1:$I$13</definedName>
    <definedName name="_xlnm.Print_Area" localSheetId="22">'B-2.2.2.1'!$A$1:$J$17</definedName>
    <definedName name="_xlnm.Print_Area" localSheetId="23">'B-2.2.2.1.1'!$A$1:$M$40</definedName>
    <definedName name="_xlnm.Print_Area" localSheetId="24">'B-2.2.2.1.2'!$A$1:$M$45</definedName>
    <definedName name="_xlnm.Print_Area" localSheetId="25">'B-2.2.3'!$A$1:$I$15</definedName>
    <definedName name="_xlnm.Print_Area" localSheetId="26">'B-2.2.3.1'!$A$1:$M$36</definedName>
    <definedName name="_xlnm.Print_Area" localSheetId="27">'B-2.2.3.2'!$A$1:$M$49</definedName>
    <definedName name="_xlnm.Print_Area" localSheetId="28">'B-3'!$A$1:$I$17</definedName>
    <definedName name="_xlnm.Print_Area" localSheetId="29">'B-3.1'!$A$1:$M$54</definedName>
    <definedName name="_xlnm.Print_Area" localSheetId="30">'B-3.2'!$A$1:$M$73</definedName>
    <definedName name="_xlnm.Print_Area" localSheetId="31">'B-3.3'!$A$1:$M$54</definedName>
    <definedName name="_xlnm.Print_Area" localSheetId="32">'B-4'!$A$1:$I$17</definedName>
    <definedName name="_xlnm.Print_Area" localSheetId="33">'B-4.1'!$A$1:$M$229</definedName>
    <definedName name="_xlnm.Print_Area" localSheetId="34">'B-4.2'!$A$1:$M$104</definedName>
    <definedName name="_xlnm.Print_Area" localSheetId="35">'B-4.3'!$A$1:$M$70</definedName>
    <definedName name="_xlnm.Print_Titles" localSheetId="3">'B-1.1.1'!$7:$9</definedName>
    <definedName name="_xlnm.Print_Titles" localSheetId="4">'B-1.1.2'!$7:$9</definedName>
    <definedName name="_xlnm.Print_Titles" localSheetId="5">'B-1.1.3'!$7:$9</definedName>
    <definedName name="_xlnm.Print_Titles" localSheetId="8">'B-1.2.1'!$7:$9</definedName>
    <definedName name="_xlnm.Print_Titles" localSheetId="9">'B-1.2.2'!$7:$9</definedName>
    <definedName name="_xlnm.Print_Titles" localSheetId="10">'B-1.2.3'!$7:$9</definedName>
    <definedName name="_xlnm.Print_Titles" localSheetId="13">'B-2.1.1'!$5:$7</definedName>
    <definedName name="_xlnm.Print_Titles" localSheetId="14">'B-2.1.2'!$5:$7</definedName>
    <definedName name="_xlnm.Print_Titles" localSheetId="15">'B-2.1.3'!$5:$7</definedName>
    <definedName name="_xlnm.Print_Titles" localSheetId="19">'B-2.2.1.1.1.'!$5:$7</definedName>
    <definedName name="_xlnm.Print_Titles" localSheetId="20">'B-2.2.1.1.2.'!$5:$7</definedName>
    <definedName name="_xlnm.Print_Titles" localSheetId="23">'B-2.2.2.1.1'!$5:$7</definedName>
    <definedName name="_xlnm.Print_Titles" localSheetId="24">'B-2.2.2.1.2'!$5:$7</definedName>
    <definedName name="_xlnm.Print_Titles" localSheetId="26">'B-2.2.3.1'!$5:$7</definedName>
    <definedName name="_xlnm.Print_Titles" localSheetId="27">'B-2.2.3.2'!$5:$7</definedName>
    <definedName name="_xlnm.Print_Titles" localSheetId="29">'B-3.1'!$7:$9</definedName>
    <definedName name="_xlnm.Print_Titles" localSheetId="30">'B-3.2'!$7:$9</definedName>
    <definedName name="_xlnm.Print_Titles" localSheetId="31">'B-3.3'!$7:$9</definedName>
    <definedName name="_xlnm.Print_Titles" localSheetId="33">'B-4.1'!$6:$8</definedName>
    <definedName name="_xlnm.Print_Titles" localSheetId="34">'B-4.2'!$6:$8</definedName>
    <definedName name="_xlnm.Print_Titles" localSheetId="35">'B-4.3'!$6:$8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63" l="1"/>
  <c r="F24" i="63"/>
  <c r="F22" i="63"/>
  <c r="F21" i="63"/>
  <c r="F19" i="63"/>
  <c r="F18" i="63"/>
  <c r="F16" i="63"/>
  <c r="F15" i="63"/>
  <c r="A3" i="313"/>
  <c r="G2" i="313"/>
  <c r="C54" i="313"/>
  <c r="C53" i="313"/>
  <c r="F43" i="313"/>
  <c r="F40" i="313"/>
  <c r="F39" i="313"/>
  <c r="F37" i="313"/>
  <c r="F36" i="313"/>
  <c r="F35" i="313"/>
  <c r="E33" i="313"/>
  <c r="E32" i="313"/>
  <c r="E31" i="313"/>
  <c r="E30" i="313"/>
  <c r="F28" i="313"/>
  <c r="F27" i="313"/>
  <c r="F26" i="313"/>
  <c r="F29" i="313" s="1"/>
  <c r="F24" i="313"/>
  <c r="F25" i="313" s="1"/>
  <c r="F22" i="313"/>
  <c r="F21" i="313"/>
  <c r="E21" i="313"/>
  <c r="F20" i="313"/>
  <c r="E20" i="313"/>
  <c r="F18" i="313"/>
  <c r="F16" i="313"/>
  <c r="F17" i="313" s="1"/>
  <c r="F15" i="313"/>
  <c r="F13" i="313"/>
  <c r="F14" i="313" s="1"/>
  <c r="F11" i="313"/>
  <c r="B5" i="313"/>
  <c r="A1" i="313"/>
  <c r="F37" i="64"/>
  <c r="F8" i="23"/>
  <c r="F21" i="23"/>
  <c r="F31" i="22"/>
  <c r="F24" i="22"/>
  <c r="F33" i="22"/>
  <c r="F26" i="23"/>
  <c r="F64" i="14"/>
  <c r="F62" i="14"/>
  <c r="F56" i="14"/>
  <c r="F50" i="14"/>
  <c r="F47" i="14"/>
  <c r="F44" i="14"/>
  <c r="F31" i="14"/>
  <c r="F29" i="14"/>
  <c r="F21" i="14"/>
  <c r="F19" i="14"/>
  <c r="F39" i="310"/>
  <c r="F14" i="310"/>
  <c r="F11" i="310"/>
  <c r="E26" i="306"/>
  <c r="E25" i="306"/>
  <c r="E23" i="306"/>
  <c r="E22" i="306"/>
  <c r="F21" i="306"/>
  <c r="F23" i="306" s="1"/>
  <c r="F33" i="313" l="1"/>
  <c r="F31" i="313"/>
  <c r="F30" i="313"/>
  <c r="F32" i="313"/>
  <c r="F8" i="22"/>
  <c r="F13" i="22"/>
  <c r="F24" i="306"/>
  <c r="F22" i="306"/>
  <c r="F25" i="306" l="1"/>
  <c r="F26" i="306"/>
  <c r="F16" i="306" l="1"/>
  <c r="F11" i="306"/>
  <c r="F14" i="309"/>
  <c r="F11" i="309"/>
  <c r="H54" i="310"/>
  <c r="C54" i="310"/>
  <c r="C53" i="310"/>
  <c r="D10" i="265"/>
  <c r="A3" i="312"/>
  <c r="G2" i="312"/>
  <c r="C53" i="312"/>
  <c r="F43" i="312"/>
  <c r="F40" i="312"/>
  <c r="F39" i="312"/>
  <c r="F37" i="312"/>
  <c r="F36" i="312"/>
  <c r="F35" i="312"/>
  <c r="E33" i="312"/>
  <c r="E32" i="312"/>
  <c r="E31" i="312"/>
  <c r="E30" i="312"/>
  <c r="F28" i="312"/>
  <c r="F27" i="312"/>
  <c r="F26" i="312"/>
  <c r="F29" i="312" s="1"/>
  <c r="F24" i="312"/>
  <c r="F25" i="312" s="1"/>
  <c r="F22" i="312"/>
  <c r="E21" i="312"/>
  <c r="F21" i="312" s="1"/>
  <c r="E20" i="312"/>
  <c r="F20" i="312" s="1"/>
  <c r="F18" i="312"/>
  <c r="F16" i="312"/>
  <c r="F17" i="312" s="1"/>
  <c r="F15" i="312"/>
  <c r="F14" i="312"/>
  <c r="F13" i="312"/>
  <c r="F11" i="312"/>
  <c r="B5" i="312"/>
  <c r="A1" i="312"/>
  <c r="F16" i="14"/>
  <c r="F17" i="14" s="1"/>
  <c r="F11" i="14"/>
  <c r="F15" i="14" s="1"/>
  <c r="E13" i="14"/>
  <c r="E12" i="14"/>
  <c r="F10" i="14"/>
  <c r="G2" i="64"/>
  <c r="A3" i="310"/>
  <c r="G2" i="310"/>
  <c r="B5" i="306"/>
  <c r="A3" i="306"/>
  <c r="G2" i="306"/>
  <c r="A1" i="306"/>
  <c r="D12" i="265" l="1"/>
  <c r="H12" i="265" s="1"/>
  <c r="F31" i="312"/>
  <c r="F33" i="312"/>
  <c r="F30" i="312"/>
  <c r="F32" i="312"/>
  <c r="F12" i="14"/>
  <c r="F13" i="14"/>
  <c r="F14" i="14"/>
  <c r="F15" i="64"/>
  <c r="F25" i="310"/>
  <c r="F38" i="310"/>
  <c r="F37" i="310"/>
  <c r="E17" i="310"/>
  <c r="E43" i="310"/>
  <c r="E41" i="310"/>
  <c r="E40" i="310"/>
  <c r="F35" i="310"/>
  <c r="F34" i="310"/>
  <c r="E27" i="310"/>
  <c r="E26" i="310"/>
  <c r="E24" i="310"/>
  <c r="F24" i="310" s="1"/>
  <c r="E23" i="310"/>
  <c r="F23" i="310" s="1"/>
  <c r="E22" i="310"/>
  <c r="F22" i="310" s="1"/>
  <c r="E21" i="310"/>
  <c r="F21" i="310" s="1"/>
  <c r="E19" i="310"/>
  <c r="E16" i="310"/>
  <c r="E15" i="310"/>
  <c r="F18" i="310"/>
  <c r="E13" i="310"/>
  <c r="E12" i="310"/>
  <c r="F43" i="310"/>
  <c r="B5" i="309"/>
  <c r="A3" i="309"/>
  <c r="G2" i="309"/>
  <c r="A1" i="309"/>
  <c r="E41" i="309"/>
  <c r="E39" i="309"/>
  <c r="F39" i="309" s="1"/>
  <c r="E38" i="309"/>
  <c r="F38" i="309" s="1"/>
  <c r="E36" i="309"/>
  <c r="F36" i="309" s="1"/>
  <c r="F34" i="309"/>
  <c r="F33" i="309"/>
  <c r="F32" i="309"/>
  <c r="F31" i="309"/>
  <c r="F30" i="309"/>
  <c r="E28" i="309"/>
  <c r="F28" i="309" s="1"/>
  <c r="E27" i="309"/>
  <c r="F27" i="309" s="1"/>
  <c r="F26" i="309"/>
  <c r="E23" i="309"/>
  <c r="F23" i="309" s="1"/>
  <c r="E22" i="309"/>
  <c r="F22" i="309" s="1"/>
  <c r="E20" i="309"/>
  <c r="F20" i="309" s="1"/>
  <c r="E18" i="309"/>
  <c r="F18" i="309" s="1"/>
  <c r="E16" i="309"/>
  <c r="E15" i="309"/>
  <c r="E13" i="309"/>
  <c r="E12" i="309"/>
  <c r="A3" i="307"/>
  <c r="F2" i="307"/>
  <c r="D17" i="307"/>
  <c r="C17" i="307"/>
  <c r="C16" i="307"/>
  <c r="A1" i="307"/>
  <c r="E20" i="306"/>
  <c r="E18" i="306"/>
  <c r="E17" i="306"/>
  <c r="E15" i="306"/>
  <c r="E13" i="306"/>
  <c r="E12" i="306"/>
  <c r="F14" i="306"/>
  <c r="F13" i="306" l="1"/>
  <c r="F17" i="306"/>
  <c r="F15" i="306"/>
  <c r="F18" i="306"/>
  <c r="F19" i="306"/>
  <c r="F20" i="306" s="1"/>
  <c r="F27" i="310"/>
  <c r="F26" i="310"/>
  <c r="F41" i="310"/>
  <c r="F12" i="310"/>
  <c r="F17" i="310"/>
  <c r="F19" i="310"/>
  <c r="F40" i="310"/>
  <c r="F15" i="310"/>
  <c r="F16" i="310"/>
  <c r="F13" i="310"/>
  <c r="F32" i="310"/>
  <c r="F16" i="309"/>
  <c r="F15" i="309"/>
  <c r="F12" i="309"/>
  <c r="F40" i="309"/>
  <c r="F41" i="309" s="1"/>
  <c r="F13" i="309"/>
  <c r="F12" i="306"/>
  <c r="D11" i="307" l="1"/>
  <c r="H11" i="307" s="1"/>
  <c r="D12" i="307"/>
  <c r="H12" i="307" s="1"/>
  <c r="D10" i="307" l="1"/>
  <c r="H10" i="307" s="1"/>
  <c r="H13" i="307" s="1"/>
  <c r="E10" i="241" s="1"/>
  <c r="I10" i="241" s="1"/>
  <c r="F11" i="285" l="1"/>
  <c r="D11" i="265"/>
  <c r="D17" i="265"/>
  <c r="E33" i="263"/>
  <c r="E28" i="263"/>
  <c r="F28" i="263"/>
  <c r="F91" i="261"/>
  <c r="F31" i="260"/>
  <c r="F29" i="260"/>
  <c r="F27" i="260"/>
  <c r="F25" i="260"/>
  <c r="F23" i="260"/>
  <c r="F12" i="260"/>
  <c r="F9" i="260"/>
  <c r="F22" i="259"/>
  <c r="F21" i="259"/>
  <c r="F20" i="259"/>
  <c r="F19" i="259"/>
  <c r="F10" i="259"/>
  <c r="F9" i="259"/>
  <c r="F32" i="22"/>
  <c r="F20" i="22"/>
  <c r="F19" i="22"/>
  <c r="F14" i="22"/>
  <c r="F11" i="22"/>
  <c r="F12" i="22" s="1"/>
  <c r="F11" i="23"/>
  <c r="F17" i="23"/>
  <c r="F15" i="260"/>
  <c r="E25" i="22"/>
  <c r="E29" i="23"/>
  <c r="E28" i="23"/>
  <c r="E27" i="23"/>
  <c r="E25" i="23"/>
  <c r="F25" i="23" s="1"/>
  <c r="E24" i="23"/>
  <c r="F24" i="23" s="1"/>
  <c r="E23" i="23"/>
  <c r="F23" i="23" s="1"/>
  <c r="E22" i="23"/>
  <c r="F22" i="23" s="1"/>
  <c r="F28" i="23"/>
  <c r="E49" i="14"/>
  <c r="E48" i="14"/>
  <c r="E63" i="14"/>
  <c r="F63" i="14"/>
  <c r="E61" i="14"/>
  <c r="E60" i="14"/>
  <c r="E58" i="14"/>
  <c r="E57" i="14"/>
  <c r="E55" i="14"/>
  <c r="E54" i="14"/>
  <c r="E52" i="14"/>
  <c r="E51" i="14"/>
  <c r="E46" i="14"/>
  <c r="E45" i="14"/>
  <c r="E65" i="14"/>
  <c r="F65" i="14" s="1"/>
  <c r="F27" i="23" l="1"/>
  <c r="F29" i="23"/>
  <c r="F48" i="14"/>
  <c r="F15" i="22"/>
  <c r="F16" i="22"/>
  <c r="F9" i="22"/>
  <c r="F10" i="22"/>
  <c r="F49" i="14"/>
  <c r="F59" i="14"/>
  <c r="F51" i="14"/>
  <c r="F60" i="14" l="1"/>
  <c r="F61" i="14"/>
  <c r="F57" i="14"/>
  <c r="F58" i="14"/>
  <c r="F53" i="14"/>
  <c r="F54" i="14" s="1"/>
  <c r="F52" i="14"/>
  <c r="F55" i="14" l="1"/>
  <c r="E20" i="14" l="1"/>
  <c r="E11" i="285"/>
  <c r="A3" i="288" l="1"/>
  <c r="A3" i="289"/>
  <c r="E2" i="289"/>
  <c r="E2" i="288"/>
  <c r="E45" i="289"/>
  <c r="E42" i="289"/>
  <c r="F42" i="289" s="1"/>
  <c r="E41" i="289"/>
  <c r="F34" i="289"/>
  <c r="F36" i="289" s="1"/>
  <c r="E33" i="289"/>
  <c r="E31" i="289"/>
  <c r="E30" i="289"/>
  <c r="F29" i="289"/>
  <c r="F24" i="289"/>
  <c r="F26" i="289" s="1"/>
  <c r="E23" i="289"/>
  <c r="F23" i="289" s="1"/>
  <c r="E22" i="289"/>
  <c r="F22" i="289" s="1"/>
  <c r="E21" i="289"/>
  <c r="F21" i="289" s="1"/>
  <c r="E19" i="289"/>
  <c r="E18" i="289"/>
  <c r="E17" i="289"/>
  <c r="F16" i="289"/>
  <c r="E15" i="289"/>
  <c r="F15" i="289" s="1"/>
  <c r="E14" i="289"/>
  <c r="F14" i="289" s="1"/>
  <c r="E12" i="289"/>
  <c r="F12" i="289" s="1"/>
  <c r="E11" i="289"/>
  <c r="F11" i="289" s="1"/>
  <c r="B5" i="289"/>
  <c r="B5" i="310" s="1"/>
  <c r="A1" i="289"/>
  <c r="E55" i="288"/>
  <c r="E54" i="288"/>
  <c r="F54" i="288" s="1"/>
  <c r="E52" i="288"/>
  <c r="F52" i="288" s="1"/>
  <c r="E51" i="288"/>
  <c r="F51" i="288" s="1"/>
  <c r="E47" i="288"/>
  <c r="E46" i="288"/>
  <c r="E45" i="288"/>
  <c r="E44" i="288"/>
  <c r="F32" i="288"/>
  <c r="F34" i="288" s="1"/>
  <c r="F27" i="288"/>
  <c r="F22" i="288"/>
  <c r="F30" i="288" s="1"/>
  <c r="F21" i="288"/>
  <c r="E20" i="288"/>
  <c r="F20" i="288" s="1"/>
  <c r="E19" i="288"/>
  <c r="F19" i="288" s="1"/>
  <c r="E18" i="288"/>
  <c r="F18" i="288" s="1"/>
  <c r="F17" i="288"/>
  <c r="F13" i="288"/>
  <c r="F12" i="288"/>
  <c r="F11" i="288"/>
  <c r="B5" i="288"/>
  <c r="A1" i="288"/>
  <c r="B5" i="285"/>
  <c r="A3" i="285"/>
  <c r="E2" i="285"/>
  <c r="A1" i="285"/>
  <c r="E13" i="285"/>
  <c r="F12" i="285"/>
  <c r="F17" i="289" l="1"/>
  <c r="F30" i="289"/>
  <c r="F41" i="288"/>
  <c r="F42" i="288" s="1"/>
  <c r="F31" i="289"/>
  <c r="F33" i="289"/>
  <c r="F33" i="288"/>
  <c r="F18" i="289"/>
  <c r="F41" i="289"/>
  <c r="F45" i="289"/>
  <c r="F31" i="288"/>
  <c r="F24" i="288"/>
  <c r="F35" i="289"/>
  <c r="F19" i="289"/>
  <c r="F25" i="289"/>
  <c r="F39" i="289"/>
  <c r="F28" i="289"/>
  <c r="F55" i="288"/>
  <c r="F40" i="288"/>
  <c r="F23" i="288"/>
  <c r="F25" i="288"/>
  <c r="F13" i="285"/>
  <c r="F43" i="288" l="1"/>
  <c r="F45" i="288" s="1"/>
  <c r="F46" i="288" l="1"/>
  <c r="F47" i="288"/>
  <c r="F48" i="288"/>
  <c r="F49" i="288" s="1"/>
  <c r="F44" i="288"/>
  <c r="M62" i="288" l="1"/>
  <c r="D11" i="242" s="1"/>
  <c r="D12" i="242" l="1"/>
  <c r="D10" i="242"/>
  <c r="A3" i="273" l="1"/>
  <c r="G2" i="273"/>
  <c r="D73" i="273"/>
  <c r="C73" i="273"/>
  <c r="C72" i="273"/>
  <c r="F62" i="273"/>
  <c r="F59" i="273"/>
  <c r="F58" i="273"/>
  <c r="F56" i="273"/>
  <c r="F55" i="273"/>
  <c r="F54" i="273"/>
  <c r="F52" i="273"/>
  <c r="F49" i="273"/>
  <c r="F48" i="273"/>
  <c r="F46" i="273"/>
  <c r="F45" i="273"/>
  <c r="F44" i="273"/>
  <c r="E42" i="273"/>
  <c r="E41" i="273"/>
  <c r="E40" i="273"/>
  <c r="E39" i="273"/>
  <c r="F37" i="273"/>
  <c r="F36" i="273"/>
  <c r="F35" i="273"/>
  <c r="F38" i="273" s="1"/>
  <c r="F33" i="273"/>
  <c r="F34" i="273" s="1"/>
  <c r="F31" i="273"/>
  <c r="F30" i="273"/>
  <c r="E30" i="273"/>
  <c r="E29" i="273"/>
  <c r="F29" i="273" s="1"/>
  <c r="F25" i="273"/>
  <c r="F26" i="273" s="1"/>
  <c r="F27" i="273"/>
  <c r="F18" i="273"/>
  <c r="F20" i="273"/>
  <c r="F13" i="273"/>
  <c r="F11" i="273"/>
  <c r="B5" i="273"/>
  <c r="A1" i="273"/>
  <c r="A3" i="265"/>
  <c r="D2" i="265"/>
  <c r="C17" i="265"/>
  <c r="C16" i="265"/>
  <c r="A1" i="265"/>
  <c r="D70" i="263"/>
  <c r="C70" i="263"/>
  <c r="C69" i="263"/>
  <c r="A3" i="263"/>
  <c r="D2" i="263"/>
  <c r="A1" i="263"/>
  <c r="D104" i="262"/>
  <c r="C104" i="262"/>
  <c r="C103" i="262"/>
  <c r="A3" i="262"/>
  <c r="D2" i="262"/>
  <c r="A1" i="262"/>
  <c r="D229" i="261"/>
  <c r="C229" i="261"/>
  <c r="C228" i="261"/>
  <c r="A3" i="261"/>
  <c r="D2" i="261"/>
  <c r="A1" i="261"/>
  <c r="E59" i="263"/>
  <c r="F59" i="263" s="1"/>
  <c r="E54" i="263"/>
  <c r="F54" i="263" s="1"/>
  <c r="E53" i="263"/>
  <c r="F53" i="263" s="1"/>
  <c r="F50" i="263"/>
  <c r="E46" i="263"/>
  <c r="F46" i="263" s="1"/>
  <c r="F45" i="263"/>
  <c r="F47" i="263" s="1"/>
  <c r="F44" i="263"/>
  <c r="F43" i="263"/>
  <c r="E42" i="263"/>
  <c r="F42" i="263" s="1"/>
  <c r="F40" i="263"/>
  <c r="F39" i="263"/>
  <c r="F38" i="263"/>
  <c r="F37" i="263"/>
  <c r="F35" i="263"/>
  <c r="E35" i="263"/>
  <c r="E34" i="263"/>
  <c r="F34" i="263" s="1"/>
  <c r="F33" i="263"/>
  <c r="F32" i="263"/>
  <c r="E32" i="263"/>
  <c r="F30" i="263"/>
  <c r="E30" i="263"/>
  <c r="E29" i="263"/>
  <c r="F29" i="263" s="1"/>
  <c r="E27" i="263"/>
  <c r="F27" i="263" s="1"/>
  <c r="F25" i="263"/>
  <c r="F24" i="263"/>
  <c r="F23" i="263"/>
  <c r="F22" i="263"/>
  <c r="F20" i="263"/>
  <c r="F19" i="263"/>
  <c r="F18" i="263"/>
  <c r="F17" i="263"/>
  <c r="F15" i="263"/>
  <c r="F14" i="263"/>
  <c r="F13" i="263"/>
  <c r="F12" i="263"/>
  <c r="F93" i="262"/>
  <c r="F92" i="262"/>
  <c r="F91" i="262"/>
  <c r="F90" i="262"/>
  <c r="F84" i="262"/>
  <c r="F81" i="262"/>
  <c r="F80" i="262"/>
  <c r="F88" i="262" s="1"/>
  <c r="F79" i="262"/>
  <c r="F78" i="262"/>
  <c r="F77" i="262"/>
  <c r="F76" i="262"/>
  <c r="F74" i="262"/>
  <c r="F73" i="262"/>
  <c r="F72" i="262"/>
  <c r="F71" i="262"/>
  <c r="F70" i="262"/>
  <c r="F69" i="262"/>
  <c r="E67" i="262"/>
  <c r="F66" i="262"/>
  <c r="E65" i="262"/>
  <c r="F65" i="262" s="1"/>
  <c r="F63" i="262"/>
  <c r="F62" i="262"/>
  <c r="F61" i="262"/>
  <c r="F60" i="262"/>
  <c r="F55" i="262"/>
  <c r="F53" i="262"/>
  <c r="F52" i="262"/>
  <c r="F51" i="262"/>
  <c r="F50" i="262"/>
  <c r="F48" i="262"/>
  <c r="F47" i="262"/>
  <c r="F46" i="262"/>
  <c r="F45" i="262"/>
  <c r="F43" i="262"/>
  <c r="F42" i="262"/>
  <c r="F41" i="262"/>
  <c r="F37" i="262"/>
  <c r="F36" i="262"/>
  <c r="F35" i="262"/>
  <c r="F34" i="262"/>
  <c r="F32" i="262"/>
  <c r="F31" i="262"/>
  <c r="F30" i="262"/>
  <c r="F29" i="262"/>
  <c r="F27" i="262"/>
  <c r="F26" i="262"/>
  <c r="F24" i="262"/>
  <c r="F23" i="262"/>
  <c r="F22" i="262"/>
  <c r="F21" i="262"/>
  <c r="F18" i="262"/>
  <c r="F17" i="262"/>
  <c r="F16" i="262"/>
  <c r="F15" i="262"/>
  <c r="F13" i="262"/>
  <c r="F12" i="262"/>
  <c r="F11" i="262"/>
  <c r="F10" i="262"/>
  <c r="F215" i="261"/>
  <c r="F214" i="261"/>
  <c r="E213" i="261"/>
  <c r="F213" i="261" s="1"/>
  <c r="F212" i="261"/>
  <c r="F210" i="261"/>
  <c r="F209" i="261"/>
  <c r="F208" i="261"/>
  <c r="F207" i="261"/>
  <c r="E205" i="261"/>
  <c r="F205" i="261" s="1"/>
  <c r="F204" i="261"/>
  <c r="E203" i="261"/>
  <c r="F203" i="261" s="1"/>
  <c r="E202" i="261"/>
  <c r="F202" i="261" s="1"/>
  <c r="E200" i="261"/>
  <c r="F200" i="261" s="1"/>
  <c r="E199" i="261"/>
  <c r="F199" i="261" s="1"/>
  <c r="E198" i="261"/>
  <c r="F198" i="261" s="1"/>
  <c r="E197" i="261"/>
  <c r="F197" i="261" s="1"/>
  <c r="E196" i="261"/>
  <c r="F196" i="261" s="1"/>
  <c r="F193" i="261"/>
  <c r="F192" i="261"/>
  <c r="F191" i="261"/>
  <c r="F190" i="261"/>
  <c r="F189" i="261"/>
  <c r="F187" i="261"/>
  <c r="F185" i="261"/>
  <c r="F184" i="261"/>
  <c r="F182" i="261"/>
  <c r="F181" i="261"/>
  <c r="F180" i="261"/>
  <c r="F179" i="261"/>
  <c r="E177" i="261"/>
  <c r="E173" i="261"/>
  <c r="E172" i="261"/>
  <c r="F171" i="261"/>
  <c r="F170" i="261"/>
  <c r="F169" i="261"/>
  <c r="F168" i="261"/>
  <c r="F167" i="261"/>
  <c r="F166" i="261"/>
  <c r="F164" i="261"/>
  <c r="F163" i="261"/>
  <c r="F162" i="261"/>
  <c r="F161" i="261"/>
  <c r="F159" i="261"/>
  <c r="F158" i="261"/>
  <c r="F157" i="261"/>
  <c r="F156" i="261"/>
  <c r="F155" i="261"/>
  <c r="F153" i="261"/>
  <c r="F152" i="261"/>
  <c r="F151" i="261"/>
  <c r="F150" i="261"/>
  <c r="F147" i="261"/>
  <c r="F146" i="261"/>
  <c r="F144" i="261"/>
  <c r="F143" i="261"/>
  <c r="F141" i="261"/>
  <c r="F140" i="261"/>
  <c r="F139" i="261"/>
  <c r="F138" i="261"/>
  <c r="F137" i="261"/>
  <c r="E135" i="261"/>
  <c r="F135" i="261" s="1"/>
  <c r="E134" i="261"/>
  <c r="F134" i="261" s="1"/>
  <c r="F133" i="261"/>
  <c r="F132" i="261"/>
  <c r="F131" i="261"/>
  <c r="E127" i="261"/>
  <c r="F127" i="261" s="1"/>
  <c r="F125" i="261"/>
  <c r="F124" i="261"/>
  <c r="F123" i="261"/>
  <c r="F122" i="261"/>
  <c r="E120" i="261"/>
  <c r="E119" i="261"/>
  <c r="E118" i="261"/>
  <c r="E117" i="261"/>
  <c r="E116" i="261"/>
  <c r="F115" i="261"/>
  <c r="F114" i="261"/>
  <c r="F113" i="261"/>
  <c r="E112" i="261"/>
  <c r="F112" i="261" s="1"/>
  <c r="E111" i="261"/>
  <c r="F111" i="261" s="1"/>
  <c r="F110" i="261"/>
  <c r="E110" i="261"/>
  <c r="E108" i="261"/>
  <c r="F108" i="261" s="1"/>
  <c r="E107" i="261"/>
  <c r="E106" i="261"/>
  <c r="E105" i="261"/>
  <c r="F105" i="261" s="1"/>
  <c r="E104" i="261"/>
  <c r="F103" i="261"/>
  <c r="F102" i="261"/>
  <c r="E102" i="261"/>
  <c r="E101" i="261"/>
  <c r="F101" i="261" s="1"/>
  <c r="E100" i="261"/>
  <c r="F100" i="261" s="1"/>
  <c r="E99" i="261"/>
  <c r="F99" i="261" s="1"/>
  <c r="E98" i="261"/>
  <c r="F98" i="261" s="1"/>
  <c r="E96" i="261"/>
  <c r="E95" i="261"/>
  <c r="F95" i="261" s="1"/>
  <c r="E94" i="261"/>
  <c r="F94" i="261" s="1"/>
  <c r="F93" i="261"/>
  <c r="F92" i="261"/>
  <c r="E90" i="261"/>
  <c r="F90" i="261" s="1"/>
  <c r="F89" i="261"/>
  <c r="E87" i="261"/>
  <c r="F87" i="261" s="1"/>
  <c r="E86" i="261"/>
  <c r="F86" i="261" s="1"/>
  <c r="F85" i="261"/>
  <c r="E83" i="261"/>
  <c r="E82" i="261"/>
  <c r="E81" i="261"/>
  <c r="E80" i="261"/>
  <c r="E79" i="261"/>
  <c r="F78" i="261"/>
  <c r="E77" i="261"/>
  <c r="F77" i="261" s="1"/>
  <c r="E76" i="261"/>
  <c r="F76" i="261" s="1"/>
  <c r="E75" i="261"/>
  <c r="F75" i="261" s="1"/>
  <c r="E74" i="261"/>
  <c r="F74" i="261" s="1"/>
  <c r="E73" i="261"/>
  <c r="F73" i="261" s="1"/>
  <c r="E71" i="261"/>
  <c r="F71" i="261" s="1"/>
  <c r="E70" i="261"/>
  <c r="F70" i="261" s="1"/>
  <c r="F69" i="261"/>
  <c r="E68" i="261"/>
  <c r="F68" i="261" s="1"/>
  <c r="E67" i="261"/>
  <c r="F67" i="261" s="1"/>
  <c r="F64" i="261"/>
  <c r="F63" i="261"/>
  <c r="F62" i="261"/>
  <c r="F61" i="261"/>
  <c r="F60" i="261"/>
  <c r="F58" i="261"/>
  <c r="F57" i="261"/>
  <c r="E55" i="261"/>
  <c r="F55" i="261" s="1"/>
  <c r="F54" i="261"/>
  <c r="E54" i="261"/>
  <c r="E52" i="261"/>
  <c r="F52" i="261" s="1"/>
  <c r="E51" i="261"/>
  <c r="F51" i="261" s="1"/>
  <c r="E49" i="261"/>
  <c r="F49" i="261" s="1"/>
  <c r="F48" i="261"/>
  <c r="E47" i="261"/>
  <c r="F47" i="261" s="1"/>
  <c r="E46" i="261"/>
  <c r="F46" i="261" s="1"/>
  <c r="E44" i="261"/>
  <c r="F44" i="261" s="1"/>
  <c r="E43" i="261"/>
  <c r="F43" i="261" s="1"/>
  <c r="E42" i="261"/>
  <c r="F42" i="261" s="1"/>
  <c r="E40" i="261"/>
  <c r="F40" i="261" s="1"/>
  <c r="F39" i="261"/>
  <c r="E38" i="261"/>
  <c r="F38" i="261" s="1"/>
  <c r="E37" i="261"/>
  <c r="F37" i="261" s="1"/>
  <c r="E35" i="261"/>
  <c r="F35" i="261" s="1"/>
  <c r="E34" i="261"/>
  <c r="F34" i="261" s="1"/>
  <c r="E33" i="261"/>
  <c r="F33" i="261" s="1"/>
  <c r="E31" i="261"/>
  <c r="F31" i="261" s="1"/>
  <c r="E30" i="261"/>
  <c r="F30" i="261" s="1"/>
  <c r="E29" i="261"/>
  <c r="F29" i="261" s="1"/>
  <c r="E28" i="261"/>
  <c r="F28" i="261" s="1"/>
  <c r="F26" i="261"/>
  <c r="F25" i="261"/>
  <c r="F24" i="261"/>
  <c r="F23" i="261"/>
  <c r="E19" i="261"/>
  <c r="E18" i="261"/>
  <c r="F16" i="261"/>
  <c r="F20" i="261" s="1"/>
  <c r="F21" i="261" s="1"/>
  <c r="E15" i="261"/>
  <c r="F15" i="261" s="1"/>
  <c r="E14" i="261"/>
  <c r="F14" i="261" s="1"/>
  <c r="E12" i="261"/>
  <c r="F12" i="261" s="1"/>
  <c r="E11" i="261"/>
  <c r="F11" i="261" s="1"/>
  <c r="F120" i="261" l="1"/>
  <c r="F173" i="261"/>
  <c r="F81" i="261"/>
  <c r="F117" i="261"/>
  <c r="F67" i="262"/>
  <c r="F85" i="262"/>
  <c r="F87" i="262"/>
  <c r="F118" i="261"/>
  <c r="F82" i="262"/>
  <c r="F18" i="261"/>
  <c r="F96" i="261"/>
  <c r="F116" i="261"/>
  <c r="F15" i="273"/>
  <c r="F16" i="273" s="1"/>
  <c r="F17" i="273"/>
  <c r="F19" i="273"/>
  <c r="F40" i="273"/>
  <c r="F41" i="273"/>
  <c r="F42" i="273"/>
  <c r="F39" i="273"/>
  <c r="F22" i="273"/>
  <c r="F24" i="273"/>
  <c r="F17" i="261"/>
  <c r="F19" i="261"/>
  <c r="F106" i="261"/>
  <c r="F107" i="261"/>
  <c r="F104" i="261"/>
  <c r="F82" i="261"/>
  <c r="F79" i="261"/>
  <c r="F83" i="261"/>
  <c r="F80" i="261"/>
  <c r="F177" i="261"/>
  <c r="F172" i="261"/>
  <c r="F83" i="262"/>
  <c r="F86" i="262"/>
  <c r="F119" i="261"/>
  <c r="F23" i="273" l="1"/>
  <c r="D12" i="246" l="1"/>
  <c r="D10" i="246" l="1"/>
  <c r="D11" i="246"/>
  <c r="H11" i="265" l="1"/>
  <c r="H10" i="265"/>
  <c r="H13" i="265" s="1"/>
  <c r="E10" i="114" l="1"/>
  <c r="I10" i="114" s="1"/>
  <c r="E24" i="58"/>
  <c r="A1" i="260"/>
  <c r="A1" i="259"/>
  <c r="G17" i="258"/>
  <c r="C17" i="258"/>
  <c r="C16" i="258"/>
  <c r="B1" i="258"/>
  <c r="F14" i="257"/>
  <c r="C14" i="257"/>
  <c r="C13" i="257"/>
  <c r="B3" i="257"/>
  <c r="E2" i="257"/>
  <c r="B1" i="257"/>
  <c r="F2" i="12"/>
  <c r="F34" i="260"/>
  <c r="F33" i="260"/>
  <c r="F32" i="260"/>
  <c r="F30" i="260"/>
  <c r="E27" i="260"/>
  <c r="E26" i="260"/>
  <c r="E25" i="260"/>
  <c r="E24" i="260"/>
  <c r="E23" i="260"/>
  <c r="F22" i="260"/>
  <c r="F26" i="260" s="1"/>
  <c r="E21" i="260"/>
  <c r="F21" i="260" s="1"/>
  <c r="E20" i="260"/>
  <c r="E15" i="260"/>
  <c r="E14" i="260"/>
  <c r="F14" i="260" s="1"/>
  <c r="F13" i="260"/>
  <c r="F20" i="260" s="1"/>
  <c r="E11" i="260"/>
  <c r="F11" i="260" s="1"/>
  <c r="F10" i="260"/>
  <c r="A3" i="260"/>
  <c r="G2" i="260"/>
  <c r="E27" i="259"/>
  <c r="E26" i="259"/>
  <c r="F26" i="259" s="1"/>
  <c r="F25" i="259"/>
  <c r="F27" i="259" s="1"/>
  <c r="E24" i="259"/>
  <c r="F24" i="259" s="1"/>
  <c r="E22" i="259"/>
  <c r="E21" i="259"/>
  <c r="E20" i="259"/>
  <c r="E19" i="259"/>
  <c r="E17" i="259"/>
  <c r="E15" i="259"/>
  <c r="E14" i="259"/>
  <c r="F13" i="259"/>
  <c r="F16" i="259" s="1"/>
  <c r="E12" i="259"/>
  <c r="F11" i="259"/>
  <c r="F12" i="259" s="1"/>
  <c r="E10" i="259"/>
  <c r="E9" i="259"/>
  <c r="F8" i="259"/>
  <c r="A3" i="259"/>
  <c r="G2" i="259"/>
  <c r="B3" i="258"/>
  <c r="F2" i="258"/>
  <c r="F24" i="260" l="1"/>
  <c r="F18" i="259"/>
  <c r="F17" i="259"/>
  <c r="F28" i="259"/>
  <c r="F29" i="259" s="1"/>
  <c r="F15" i="259"/>
  <c r="F14" i="259"/>
  <c r="E10" i="258" l="1"/>
  <c r="I10" i="258" s="1"/>
  <c r="E9" i="258" l="1"/>
  <c r="I9" i="258" s="1"/>
  <c r="I11" i="258" s="1"/>
  <c r="I13" i="258" s="1"/>
  <c r="D9" i="257" s="1"/>
  <c r="H9" i="257" s="1"/>
  <c r="H10" i="257" s="1"/>
  <c r="E9" i="38" s="1"/>
  <c r="E20" i="23" l="1"/>
  <c r="E19" i="23"/>
  <c r="E18" i="23"/>
  <c r="E16" i="23"/>
  <c r="E15" i="23"/>
  <c r="E14" i="23"/>
  <c r="E12" i="23"/>
  <c r="F12" i="23" s="1"/>
  <c r="E10" i="23"/>
  <c r="F10" i="23" s="1"/>
  <c r="E9" i="23"/>
  <c r="F9" i="23" s="1"/>
  <c r="E75" i="14"/>
  <c r="F75" i="14" s="1"/>
  <c r="E74" i="14"/>
  <c r="E73" i="14"/>
  <c r="E72" i="14"/>
  <c r="E71" i="14"/>
  <c r="E70" i="14"/>
  <c r="E69" i="14"/>
  <c r="E68" i="14"/>
  <c r="E67" i="14"/>
  <c r="E40" i="14"/>
  <c r="E39" i="14"/>
  <c r="E38" i="14"/>
  <c r="E37" i="14"/>
  <c r="E36" i="14"/>
  <c r="E35" i="14"/>
  <c r="E34" i="14"/>
  <c r="E33" i="14"/>
  <c r="E32" i="14"/>
  <c r="E28" i="14"/>
  <c r="E27" i="14"/>
  <c r="E26" i="14"/>
  <c r="E25" i="14"/>
  <c r="E23" i="14"/>
  <c r="E22" i="14"/>
  <c r="F22" i="14" s="1"/>
  <c r="E30" i="14"/>
  <c r="F45" i="14" l="1"/>
  <c r="F71" i="14"/>
  <c r="F36" i="14"/>
  <c r="F68" i="14"/>
  <c r="F74" i="14"/>
  <c r="F33" i="14"/>
  <c r="F39" i="14"/>
  <c r="F67" i="14"/>
  <c r="F70" i="14"/>
  <c r="F73" i="14"/>
  <c r="F69" i="14"/>
  <c r="F72" i="14"/>
  <c r="F46" i="14"/>
  <c r="F40" i="14"/>
  <c r="F32" i="14"/>
  <c r="F35" i="14"/>
  <c r="F38" i="14"/>
  <c r="F34" i="14"/>
  <c r="F37" i="14"/>
  <c r="F20" i="14"/>
  <c r="F30" i="14"/>
  <c r="F24" i="14"/>
  <c r="F23" i="14"/>
  <c r="F27" i="14" l="1"/>
  <c r="F41" i="14"/>
  <c r="F42" i="14" s="1"/>
  <c r="F26" i="14"/>
  <c r="F25" i="14"/>
  <c r="F28" i="14"/>
  <c r="C17" i="246" l="1"/>
  <c r="C16" i="246"/>
  <c r="A1" i="246"/>
  <c r="A3" i="246"/>
  <c r="D2" i="246"/>
  <c r="F21" i="64"/>
  <c r="D17" i="242"/>
  <c r="C17" i="242"/>
  <c r="C16" i="242"/>
  <c r="A1" i="242"/>
  <c r="E20" i="241"/>
  <c r="C20" i="241"/>
  <c r="C19" i="241"/>
  <c r="F2" i="241"/>
  <c r="A1" i="241"/>
  <c r="H12" i="246" l="1"/>
  <c r="H10" i="246" l="1"/>
  <c r="H11" i="246" l="1"/>
  <c r="H13" i="246" s="1"/>
  <c r="E11" i="114" s="1"/>
  <c r="I11" i="114" l="1"/>
  <c r="A3" i="242" l="1"/>
  <c r="A3" i="241"/>
  <c r="F2" i="242"/>
  <c r="H10" i="242" l="1"/>
  <c r="H12" i="242"/>
  <c r="H11" i="242" l="1"/>
  <c r="H13" i="242" s="1"/>
  <c r="E9" i="241" s="1"/>
  <c r="I9" i="241" l="1"/>
  <c r="I11" i="241" s="1"/>
  <c r="E8" i="114" s="1"/>
  <c r="I8" i="114" l="1"/>
  <c r="E9" i="22" l="1"/>
  <c r="E10" i="22"/>
  <c r="E12" i="22"/>
  <c r="E14" i="22"/>
  <c r="E15" i="22"/>
  <c r="E17" i="22"/>
  <c r="E27" i="22"/>
  <c r="E28" i="22"/>
  <c r="E29" i="22"/>
  <c r="E30" i="22"/>
  <c r="E34" i="22"/>
  <c r="E36" i="22"/>
  <c r="E37" i="22"/>
  <c r="F13" i="58" l="1"/>
  <c r="F16" i="58" s="1"/>
  <c r="F8" i="58"/>
  <c r="F11" i="58" s="1"/>
  <c r="F18" i="58" s="1"/>
  <c r="F28" i="58" s="1"/>
  <c r="F12" i="63" l="1"/>
  <c r="E27" i="60" l="1"/>
  <c r="F26" i="60"/>
  <c r="E25" i="60"/>
  <c r="F25" i="60" s="1"/>
  <c r="E24" i="60"/>
  <c r="F24" i="60" s="1"/>
  <c r="E23" i="60"/>
  <c r="F23" i="60" s="1"/>
  <c r="F12" i="60"/>
  <c r="E11" i="60"/>
  <c r="F11" i="60" s="1"/>
  <c r="F10" i="60"/>
  <c r="F9" i="60"/>
  <c r="E27" i="58"/>
  <c r="E26" i="58"/>
  <c r="F25" i="58"/>
  <c r="F29" i="58"/>
  <c r="F27" i="60" l="1"/>
  <c r="F26" i="58"/>
  <c r="F27" i="58"/>
  <c r="F2" i="1" l="1"/>
  <c r="D45" i="60" l="1"/>
  <c r="C45" i="60"/>
  <c r="C44" i="60"/>
  <c r="A3" i="60"/>
  <c r="C86" i="14"/>
  <c r="C85" i="14"/>
  <c r="D86" i="14"/>
  <c r="G22" i="114" l="1"/>
  <c r="C22" i="114"/>
  <c r="C21" i="114"/>
  <c r="C15" i="114"/>
  <c r="C13" i="114"/>
  <c r="B1" i="114"/>
  <c r="A1" i="310" s="1"/>
  <c r="E32" i="64" l="1"/>
  <c r="E29" i="64"/>
  <c r="E28" i="64"/>
  <c r="B3" i="61"/>
  <c r="A3" i="64"/>
  <c r="F27" i="64" l="1"/>
  <c r="F33" i="64"/>
  <c r="E22" i="64"/>
  <c r="E23" i="64"/>
  <c r="E26" i="64"/>
  <c r="E20" i="64"/>
  <c r="E17" i="64"/>
  <c r="E16" i="64"/>
  <c r="E14" i="64"/>
  <c r="E10" i="64"/>
  <c r="E9" i="64"/>
  <c r="A1" i="64"/>
  <c r="G2" i="63"/>
  <c r="A3" i="63"/>
  <c r="A1" i="63"/>
  <c r="E2" i="61"/>
  <c r="F15" i="61"/>
  <c r="C15" i="61"/>
  <c r="C14" i="61"/>
  <c r="B1" i="61"/>
  <c r="G2" i="60"/>
  <c r="F2" i="57"/>
  <c r="E2" i="52"/>
  <c r="E21" i="60"/>
  <c r="E20" i="60"/>
  <c r="E15" i="60"/>
  <c r="E14" i="60"/>
  <c r="A1" i="60"/>
  <c r="B3" i="52"/>
  <c r="E22" i="58"/>
  <c r="E21" i="58"/>
  <c r="E20" i="58"/>
  <c r="E19" i="58"/>
  <c r="E17" i="58"/>
  <c r="E15" i="58"/>
  <c r="E14" i="58"/>
  <c r="E12" i="58"/>
  <c r="E10" i="58"/>
  <c r="E9" i="58"/>
  <c r="A3" i="58"/>
  <c r="G2" i="58"/>
  <c r="A1" i="58"/>
  <c r="G17" i="57"/>
  <c r="C17" i="57"/>
  <c r="C16" i="57"/>
  <c r="B3" i="57"/>
  <c r="B1" i="57"/>
  <c r="F13" i="52"/>
  <c r="C13" i="52"/>
  <c r="C12" i="52"/>
  <c r="B1" i="52"/>
  <c r="F34" i="64" l="1"/>
  <c r="F38" i="64"/>
  <c r="F28" i="64"/>
  <c r="F32" i="64"/>
  <c r="F29" i="64"/>
  <c r="F35" i="64"/>
  <c r="F26" i="64"/>
  <c r="F8" i="64"/>
  <c r="F10" i="63"/>
  <c r="F22" i="64" l="1"/>
  <c r="F17" i="64"/>
  <c r="F20" i="64"/>
  <c r="F23" i="64"/>
  <c r="F16" i="64"/>
  <c r="F9" i="64"/>
  <c r="F14" i="64"/>
  <c r="F10" i="64"/>
  <c r="F13" i="63"/>
  <c r="F9" i="63"/>
  <c r="D9" i="61" l="1"/>
  <c r="H9" i="61" s="1"/>
  <c r="G16" i="38"/>
  <c r="C16" i="38"/>
  <c r="C15" i="38"/>
  <c r="B3" i="38"/>
  <c r="F2" i="38"/>
  <c r="B1" i="38"/>
  <c r="B3" i="12"/>
  <c r="G2" i="14"/>
  <c r="G2" i="23"/>
  <c r="G2" i="22"/>
  <c r="A3" i="23"/>
  <c r="F20" i="60" l="1"/>
  <c r="F34" i="60"/>
  <c r="F31" i="60"/>
  <c r="F32" i="60"/>
  <c r="F30" i="60"/>
  <c r="F29" i="60"/>
  <c r="F33" i="60"/>
  <c r="F21" i="60" l="1"/>
  <c r="F14" i="60"/>
  <c r="F15" i="60"/>
  <c r="F24" i="58"/>
  <c r="F14" i="58" l="1"/>
  <c r="F15" i="58"/>
  <c r="F17" i="58"/>
  <c r="F10" i="58"/>
  <c r="F12" i="58"/>
  <c r="F9" i="58"/>
  <c r="E10" i="57" l="1"/>
  <c r="I10" i="57" s="1"/>
  <c r="F20" i="58"/>
  <c r="F19" i="58"/>
  <c r="F22" i="58"/>
  <c r="F21" i="58"/>
  <c r="E9" i="57" l="1"/>
  <c r="I9" i="57" s="1"/>
  <c r="I11" i="57" s="1"/>
  <c r="I13" i="57" s="1"/>
  <c r="A1" i="23"/>
  <c r="D8" i="52" l="1"/>
  <c r="H8" i="52" s="1"/>
  <c r="I9" i="38" l="1"/>
  <c r="H9" i="52"/>
  <c r="E10" i="38" l="1"/>
  <c r="I10" i="38" s="1"/>
  <c r="A3" i="22" l="1"/>
  <c r="A1" i="22"/>
  <c r="A3" i="14" l="1"/>
  <c r="A1" i="14"/>
  <c r="G17" i="12"/>
  <c r="C17" i="12"/>
  <c r="C16" i="12"/>
  <c r="B1" i="12"/>
  <c r="B1" i="1"/>
  <c r="E9" i="12" l="1"/>
  <c r="I9" i="12" s="1"/>
  <c r="D10" i="61" l="1"/>
  <c r="H10" i="61" s="1"/>
  <c r="H11" i="61" s="1"/>
  <c r="E11" i="38" s="1"/>
  <c r="I11" i="38" s="1"/>
  <c r="I12" i="38" l="1"/>
  <c r="E10" i="1" s="1"/>
  <c r="I10" i="1" s="1"/>
  <c r="F19" i="23"/>
  <c r="F20" i="23"/>
  <c r="F13" i="23"/>
  <c r="F14" i="23" s="1"/>
  <c r="F16" i="23" l="1"/>
  <c r="F18" i="23"/>
  <c r="F15" i="23"/>
  <c r="F25" i="22" l="1"/>
  <c r="F26" i="22"/>
  <c r="F35" i="22"/>
  <c r="F34" i="22"/>
  <c r="F21" i="22"/>
  <c r="F23" i="22" l="1"/>
  <c r="F22" i="22"/>
  <c r="F37" i="22"/>
  <c r="F36" i="22"/>
  <c r="F27" i="22"/>
  <c r="F28" i="22"/>
  <c r="F29" i="22"/>
  <c r="F30" i="22"/>
  <c r="F17" i="22"/>
  <c r="F38" i="22" l="1"/>
  <c r="F39" i="22" s="1"/>
  <c r="E11" i="12" l="1"/>
  <c r="I11" i="12" s="1"/>
  <c r="E10" i="12" l="1"/>
  <c r="I10" i="12" s="1"/>
  <c r="I12" i="12" s="1"/>
  <c r="E9" i="1" s="1"/>
  <c r="I9" i="1" s="1"/>
  <c r="I11" i="1" s="1"/>
  <c r="E9" i="114" s="1"/>
  <c r="I9" i="114" s="1"/>
  <c r="I12" i="114" s="1"/>
  <c r="I13" i="114" l="1"/>
  <c r="I14" i="114" s="1"/>
  <c r="I15" i="114" l="1"/>
  <c r="I16" i="114" s="1"/>
  <c r="I18" i="114" s="1"/>
</calcChain>
</file>

<file path=xl/sharedStrings.xml><?xml version="1.0" encoding="utf-8"?>
<sst xmlns="http://schemas.openxmlformats.org/spreadsheetml/2006/main" count="3234" uniqueCount="852">
  <si>
    <t>ხარჯთაღრიცხვის დასახელება</t>
  </si>
  <si>
    <t>სამშენებლო სამუშაოები</t>
  </si>
  <si>
    <t>სამონტაჟო სამუშაოები</t>
  </si>
  <si>
    <t>მოწყობილობა</t>
  </si>
  <si>
    <t>სხვადასხვა ხარჯები</t>
  </si>
  <si>
    <t>სულ</t>
  </si>
  <si>
    <t>ხელფასი (ათ. ლარი)</t>
  </si>
  <si>
    <t>ხარჯთაღრიცხვა N</t>
  </si>
  <si>
    <t>სახარჯთაღრიცხვო ღირებუება (ათასი ლარი)</t>
  </si>
  <si>
    <t>ჯამი</t>
  </si>
  <si>
    <t>ზედნადები ხარჯები</t>
  </si>
  <si>
    <t>B-1</t>
  </si>
  <si>
    <t>B-1.1</t>
  </si>
  <si>
    <t>kac/sT</t>
  </si>
  <si>
    <t>man/sT</t>
  </si>
  <si>
    <t>m3</t>
  </si>
  <si>
    <t>lari</t>
  </si>
  <si>
    <t>1-31-3</t>
  </si>
  <si>
    <t>27-7-4</t>
  </si>
  <si>
    <t>N</t>
  </si>
  <si>
    <t>შიფრი</t>
  </si>
  <si>
    <t>სამუშაოს დასახელება</t>
  </si>
  <si>
    <t>განზომილება</t>
  </si>
  <si>
    <t>ნორმა</t>
  </si>
  <si>
    <t>რაოდენობა</t>
  </si>
  <si>
    <t>მასალები</t>
  </si>
  <si>
    <t>ხელფასი</t>
  </si>
  <si>
    <t>მანქანა მექანიზმები</t>
  </si>
  <si>
    <t>ერთ.ფასი</t>
  </si>
  <si>
    <t>(ლარი)</t>
  </si>
  <si>
    <t>შრ. დანახარჯი</t>
  </si>
  <si>
    <t>სხვა მანქანები</t>
  </si>
  <si>
    <t>მიწის სამუშაოები</t>
  </si>
  <si>
    <t>ღორღი</t>
  </si>
  <si>
    <t>1-80-3</t>
  </si>
  <si>
    <t>ბულდოზერი 80ცხ.ძ.</t>
  </si>
  <si>
    <t>შრომის დანახარჯი</t>
  </si>
  <si>
    <t>ავტოგრეიდერი 108 ცხძ.</t>
  </si>
  <si>
    <t>ბულდოზერი 108 ცხძ.</t>
  </si>
  <si>
    <t>სატკეპნი მანქანა 18ტ</t>
  </si>
  <si>
    <t>სატკეპნი მანქანა 5ტ</t>
  </si>
  <si>
    <t>სატკეპნი მანქანა 10ტ</t>
  </si>
  <si>
    <t>სარწყავი მანქანა 6000 ლ</t>
  </si>
  <si>
    <t>წყალი</t>
  </si>
  <si>
    <t>მ3</t>
  </si>
  <si>
    <t>სხვა მასალა</t>
  </si>
  <si>
    <t>ლარი</t>
  </si>
  <si>
    <t>ტ</t>
  </si>
  <si>
    <t>მ2</t>
  </si>
  <si>
    <t xml:space="preserve">მასალის ტრანსპორტირება </t>
  </si>
  <si>
    <t>ზედნადები ხარჯი</t>
  </si>
  <si>
    <t>გეგმიური დაგროება</t>
  </si>
  <si>
    <t>სულ ჯამი</t>
  </si>
  <si>
    <t>კრებსითი ხარჯთაღრიცხვა #</t>
  </si>
  <si>
    <t xml:space="preserve">ლოკალური ხარჯთაღრიცხვა # </t>
  </si>
  <si>
    <t>IV კატ. გრუნტის დამუშავება ექსკავატორით ჩამჩით 0.5მ3  ადგილზე დაყრით</t>
  </si>
  <si>
    <t xml:space="preserve">ექსკავატორი ჩამჩის მოც. 0,5-მ3, </t>
  </si>
  <si>
    <t>IV გრუნტის დამუშავება ხელით მექანიზმის შემდეგ</t>
  </si>
  <si>
    <t>გრუნტის დატვირთვა ექსკავატორით ავტოთვითმცლელზე</t>
  </si>
  <si>
    <t>ექსკავატორი 0.5მ3</t>
  </si>
  <si>
    <t>არსებული გრუნტით თხრილის შევსება ბულდოზერით  80ცხ.ძ/. (დატკეპნით)</t>
  </si>
  <si>
    <t>ბულდოზერი 80 ცხ.ძ</t>
  </si>
  <si>
    <t>გრუნტის დატკეპნა პნევმოსატკეპნით</t>
  </si>
  <si>
    <t>კაც/სთ</t>
  </si>
  <si>
    <t>მან/სთ</t>
  </si>
  <si>
    <t>მ/სთ</t>
  </si>
  <si>
    <t>მანქ/სთ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</si>
  <si>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</si>
  <si>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</si>
  <si>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</si>
  <si>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</si>
  <si>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</si>
  <si>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</si>
  <si>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</si>
  <si>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</si>
  <si>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</si>
  <si>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</si>
  <si>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14</t>
  </si>
  <si>
    <t>1-80-4</t>
  </si>
  <si>
    <t>III კატ გრუნტის დამუშავება ხელით მექანიზმის შემდეგ</t>
  </si>
  <si>
    <t>III კატ. გრუნტის დამუშავება ექსკავატორით ჩამჩით 0.4 მ3  ადგილზე დაყრით</t>
  </si>
  <si>
    <t>1-12-3</t>
  </si>
  <si>
    <t>1-11-16</t>
  </si>
  <si>
    <t>1-22-16</t>
  </si>
  <si>
    <t>7</t>
  </si>
  <si>
    <t>1-118-11</t>
  </si>
  <si>
    <t>Sromis danaxarji</t>
  </si>
  <si>
    <t>manqanebi</t>
  </si>
  <si>
    <t>resursebi</t>
  </si>
  <si>
    <t>sxva masala</t>
  </si>
  <si>
    <t>wyali</t>
  </si>
  <si>
    <t>m</t>
  </si>
  <si>
    <t>22-8-4</t>
  </si>
  <si>
    <t>22-20-4</t>
  </si>
  <si>
    <t xml:space="preserve">RorRis fenilis mowyoba Wis ZirSi </t>
  </si>
  <si>
    <t>RorRi</t>
  </si>
  <si>
    <t>SromiTi resursebi</t>
  </si>
  <si>
    <t>sxva manqanebi</t>
  </si>
  <si>
    <t>c</t>
  </si>
  <si>
    <t>rk/b Wis Ziris</t>
  </si>
  <si>
    <t>Wis gare zedapiris hidroizolacia biTumis mastikiT 2 fena</t>
  </si>
  <si>
    <t>Sr. danaxarji</t>
  </si>
  <si>
    <t>k/sT</t>
  </si>
  <si>
    <t>t</t>
  </si>
  <si>
    <t>sxva masalebi</t>
  </si>
  <si>
    <t>betoni m-100</t>
  </si>
  <si>
    <t>26-14-5</t>
  </si>
  <si>
    <t>Cobalbis mowyoba kedelSi d=200mm</t>
  </si>
  <si>
    <t>16-23-2</t>
  </si>
  <si>
    <t>l</t>
  </si>
  <si>
    <t>kg</t>
  </si>
  <si>
    <t>პნევმოსატკეპნი მოძრავ კომპრესორზე</t>
  </si>
  <si>
    <t>წყალსადენის გამანაწილებელი ქსელის მოწყობა</t>
  </si>
  <si>
    <t>B-1.1.1</t>
  </si>
  <si>
    <t>B-1.1.2</t>
  </si>
  <si>
    <t>B-1.1.3</t>
  </si>
  <si>
    <t>სარეგულაციო და სათვალთვალო ჭები</t>
  </si>
  <si>
    <t>სათვალთვალო და სარეგულაციო ჭა D=2.0 მ H=1.75 მ</t>
  </si>
  <si>
    <t>ჭების რაოდენობა</t>
  </si>
  <si>
    <t>სათვალთვალო და სარეგულაციო ჭა D=2.0 მ H=1.75 მ გრუნტის გზაზე</t>
  </si>
  <si>
    <t>23-12-2</t>
  </si>
  <si>
    <t>bitumi</t>
  </si>
  <si>
    <t>სათვალთვალო და საერგულაციო ჭა D=2.0 მ H=1.75 მ</t>
  </si>
  <si>
    <t>ურდულები</t>
  </si>
  <si>
    <t>Sromis danaxarjebi</t>
  </si>
  <si>
    <t xml:space="preserve">sxva manqana </t>
  </si>
  <si>
    <t xml:space="preserve">Tujis urduli d=100 mm montaJi </t>
  </si>
  <si>
    <t>22-24-3</t>
  </si>
  <si>
    <t>22-23-1</t>
  </si>
  <si>
    <t>22-23-2</t>
  </si>
  <si>
    <t xml:space="preserve"> </t>
  </si>
  <si>
    <t>ც</t>
  </si>
  <si>
    <t>პოლიეთილენის მილყელი ადაპტორის შეძენა და მონტაჟი დ=20-250 მმ</t>
  </si>
  <si>
    <t>miltuCi WanWikiT (flaneci) da paronitis შეძენა და მონტაჟი დ=20-250 მმ</t>
  </si>
  <si>
    <t>22-29-4</t>
  </si>
  <si>
    <t>წყალსადენის არმატურა</t>
  </si>
  <si>
    <t>სათვალთვალო და სარეგულაციო ჭის არმატურა და კვანძები</t>
  </si>
  <si>
    <t>პოლიეთილენის ელექტრო შედუღების ქუროს შეძენა და მონტაჟი დ=20-250 მმ</t>
  </si>
  <si>
    <t xml:space="preserve"> xarjTaRricxvis dasaxeleba</t>
  </si>
  <si>
    <t xml:space="preserve">      saxarjTaRricxvo GRirebuleba (aTasi lari)</t>
  </si>
  <si>
    <t>xelfasi     aT. lari</t>
  </si>
  <si>
    <t>samSeneblo samuSaoebi</t>
  </si>
  <si>
    <t xml:space="preserve">samont. samuSaoebi </t>
  </si>
  <si>
    <t>mowyobiloba</t>
  </si>
  <si>
    <t>sxvadasxva xarjebi</t>
  </si>
  <si>
    <t>sul</t>
  </si>
  <si>
    <t>sul jami</t>
  </si>
  <si>
    <t>#</t>
  </si>
  <si>
    <t xml:space="preserve"> Sifri</t>
  </si>
  <si>
    <t xml:space="preserve">samuSaos dasaxeleba </t>
  </si>
  <si>
    <t>ganz. erT.</t>
  </si>
  <si>
    <t>norma      er-ze</t>
  </si>
  <si>
    <t>raode-noba</t>
  </si>
  <si>
    <t>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</si>
  <si>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</si>
  <si>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</si>
  <si>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</si>
  <si>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</si>
  <si>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</si>
  <si>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</si>
  <si>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</si>
  <si>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სხვა მასალები</t>
  </si>
  <si>
    <t>masalis transporti</t>
  </si>
  <si>
    <t xml:space="preserve">gegmiuri dagroveba </t>
  </si>
  <si>
    <t xml:space="preserve">jami </t>
  </si>
  <si>
    <t>6-1-1</t>
  </si>
  <si>
    <t>6-26-4</t>
  </si>
  <si>
    <t>cali</t>
  </si>
  <si>
    <t>manq/sT</t>
  </si>
  <si>
    <t>m2</t>
  </si>
  <si>
    <t>B-2</t>
  </si>
  <si>
    <t>zeTovani saRebavi</t>
  </si>
  <si>
    <t>WanWiki</t>
  </si>
  <si>
    <t>grZ.m.</t>
  </si>
  <si>
    <t>17-1-9</t>
  </si>
  <si>
    <t>100m</t>
  </si>
  <si>
    <t>pr</t>
  </si>
  <si>
    <t>eleqtrodi</t>
  </si>
  <si>
    <t>22-22-5</t>
  </si>
  <si>
    <t>9-24-1</t>
  </si>
  <si>
    <t>muxluxa amwe 25t</t>
  </si>
  <si>
    <t>samontaJo konstruqciebi</t>
  </si>
  <si>
    <t xml:space="preserve">1-80-7 </t>
  </si>
  <si>
    <t xml:space="preserve">III kategoriis gruntis damuSaveba xeliT 40*40*60sm </t>
  </si>
  <si>
    <t xml:space="preserve">III kategoriis gruntis damuSaveba xeliT lenturi saZirkvlisTvis </t>
  </si>
  <si>
    <t>7-21-4.</t>
  </si>
  <si>
    <t>amwe 10t TviTmavali</t>
  </si>
  <si>
    <t>glinula d-6 mm</t>
  </si>
  <si>
    <t>samontaJo detalebi</t>
  </si>
  <si>
    <t>7-22-8</t>
  </si>
  <si>
    <t>anjama</t>
  </si>
  <si>
    <t xml:space="preserve">sxva manqanebi </t>
  </si>
  <si>
    <t xml:space="preserve">sxva masalebi  </t>
  </si>
  <si>
    <t xml:space="preserve">15-164-8          </t>
  </si>
  <si>
    <t>III კატ. გრუნტის დამუშავება ექსკავატორით ჩამჩით 0.5 მ3  ადგილზე დაყრით</t>
  </si>
  <si>
    <t>8-3-2,</t>
  </si>
  <si>
    <t>r/betoni saxuravi fila თუჯის ხუფით</t>
  </si>
  <si>
    <t xml:space="preserve">შრომითი დანახარჯები </t>
  </si>
  <si>
    <t>კგ</t>
  </si>
  <si>
    <t>მ</t>
  </si>
  <si>
    <t>6-15-11</t>
  </si>
  <si>
    <t xml:space="preserve">სხვა მასალები </t>
  </si>
  <si>
    <t>15-168-8</t>
  </si>
  <si>
    <t>8-591-2</t>
  </si>
  <si>
    <t>15-55-9</t>
  </si>
  <si>
    <t>პრ</t>
  </si>
  <si>
    <t>მასალების ტრანსპორტირება</t>
  </si>
  <si>
    <t>გეგმიური დაგროვება</t>
  </si>
  <si>
    <t>8-402-2</t>
  </si>
  <si>
    <t>ელ. მომარაგება</t>
  </si>
  <si>
    <t xml:space="preserve"> ელ.სამონტაჟო სამუშაოები</t>
  </si>
  <si>
    <t>8-526-5</t>
  </si>
  <si>
    <t>ავტომატი სამფაზიანი 16A</t>
  </si>
  <si>
    <t>ერთ ფაზიანი ავტომატების მონტაჟი 16 ა.</t>
  </si>
  <si>
    <t>ავტომატი ერთფაზიანი 16A</t>
  </si>
  <si>
    <t>8-591-7</t>
  </si>
  <si>
    <t>როზეტის მონტაჟი  (დამიწებით)</t>
  </si>
  <si>
    <t>როზეტი დამამიწებელი კონტაქტით</t>
  </si>
  <si>
    <t xml:space="preserve">სამპოლუსიანი  ჩამრთველის მონტაჟი  </t>
  </si>
  <si>
    <t>სამპოლუსიანი  ჩამრთველი</t>
  </si>
  <si>
    <t>8-601-3</t>
  </si>
  <si>
    <t>ლუმინისცენტური სანათი ЛПО 4X18</t>
  </si>
  <si>
    <t>ლუმინისცენტური სანათი ЛПО 4x18</t>
  </si>
  <si>
    <t>ელ. სადენების და კაბელების მონტაჟი</t>
  </si>
  <si>
    <t>დამიწების კონტურის მოწყობა</t>
  </si>
  <si>
    <t>8-472-2</t>
  </si>
  <si>
    <t>დამიწების მოწყობა</t>
  </si>
  <si>
    <t xml:space="preserve">ზოლოვანა ფოლადის </t>
  </si>
  <si>
    <t xml:space="preserve">დამიწების ელექტროდი </t>
  </si>
  <si>
    <t xml:space="preserve">მასალების ტრანსპორტირება </t>
  </si>
  <si>
    <t xml:space="preserve">ჯამი </t>
  </si>
  <si>
    <t>17-1-5.</t>
  </si>
  <si>
    <t>16-12-1.</t>
  </si>
  <si>
    <t xml:space="preserve">onkani </t>
  </si>
  <si>
    <t>WanWiki qanCiT da moqloniT</t>
  </si>
  <si>
    <t>16-6-1.</t>
  </si>
  <si>
    <t>proeqtiT</t>
  </si>
  <si>
    <t>22-29-1</t>
  </si>
  <si>
    <t xml:space="preserve">Sromis danaxarjebi </t>
  </si>
  <si>
    <t>კანალიზაციის ქსელი</t>
  </si>
  <si>
    <t>gr.m</t>
  </si>
  <si>
    <t xml:space="preserve">sxva manqana  </t>
  </si>
  <si>
    <t>komp</t>
  </si>
  <si>
    <t>liTonis gadasaxsneli quroTi da kontrqanCiT d25</t>
  </si>
  <si>
    <t>ამერიკანკა გადამყვანი PE/ST d40/32</t>
  </si>
  <si>
    <t>16-22</t>
  </si>
  <si>
    <t>milebis gamorecxva</t>
  </si>
  <si>
    <t>wylis xarji</t>
  </si>
  <si>
    <t>9-17-5</t>
  </si>
  <si>
    <t>kuTxovana #50</t>
  </si>
  <si>
    <t>foladis fasonuri nawilebi antikoriziuli dafarviT</t>
  </si>
  <si>
    <t xml:space="preserve">წყალმომარაგების მაგისტრალური მილსადენი და  გამანაწილებელი ქსელი </t>
  </si>
  <si>
    <t>1-11-.15</t>
  </si>
  <si>
    <t>ცემენტის რასტვორი მ-150</t>
  </si>
  <si>
    <t>betoni m-200</t>
  </si>
  <si>
    <t>silikoni bitumovani</t>
  </si>
  <si>
    <t>Toki</t>
  </si>
  <si>
    <t>საქლორატოროს შენობა</t>
  </si>
  <si>
    <t>quro plastmasis d25</t>
  </si>
  <si>
    <t>kuTxovana plastmasis d25</t>
  </si>
  <si>
    <t>samkapa plastmasis d25</t>
  </si>
  <si>
    <t>gadamyvani plastmasis d25</t>
  </si>
  <si>
    <t>specSeerTebebi d25mm</t>
  </si>
  <si>
    <t>liTonis gadamyvani d25mm</t>
  </si>
  <si>
    <t>xis yalibis fari</t>
  </si>
  <si>
    <t xml:space="preserve">Sromis danaxarji </t>
  </si>
  <si>
    <t>furclovana</t>
  </si>
  <si>
    <t>1-11-8.</t>
  </si>
  <si>
    <t xml:space="preserve">გრუნტის III kategoris დამუშავება ექსკავატორით 0.65 მ3. </t>
  </si>
  <si>
    <t>ექსკავატორი მუხლუხა სვლაზე 0.65 მ3</t>
  </si>
  <si>
    <t xml:space="preserve">გრუნტის უკუჩაყრა ექსკავატორით 0.65 მ3. </t>
  </si>
  <si>
    <t>1-22-8.</t>
  </si>
  <si>
    <t>გრუნტის დატვირთვა ექსკავატორით 0.65 მ3</t>
  </si>
  <si>
    <t xml:space="preserve">სხვა მანქანები </t>
  </si>
  <si>
    <t>15-ტრ-5</t>
  </si>
  <si>
    <t>8-3-2.</t>
  </si>
  <si>
    <t>ქვიშა-ხრეშის ბალიშის SeZena da მოწყობა</t>
  </si>
  <si>
    <t>ქვიშა-ხრეში</t>
  </si>
  <si>
    <t>6-1-1.</t>
  </si>
  <si>
    <t>მჭლე ბეტონის SeZena da მოწყობა</t>
  </si>
  <si>
    <t xml:space="preserve">შრომითი დანახარჯები  </t>
  </si>
  <si>
    <t xml:space="preserve">სხვა მასალები  </t>
  </si>
  <si>
    <t>6-1-16.</t>
  </si>
  <si>
    <t xml:space="preserve">რკ/ბეტონიs საძირკვლის ფილის მოწყობა </t>
  </si>
  <si>
    <t>შრომითი დანახარჯები</t>
  </si>
  <si>
    <t>პროექტი</t>
  </si>
  <si>
    <t xml:space="preserve">ყალიბის ფარი </t>
  </si>
  <si>
    <t>ficari Camoganili III xaris.  40-60mm</t>
  </si>
  <si>
    <t>რკ/ბეტონიs iatakis filis მოწყობა რკ/ბეტონით</t>
  </si>
  <si>
    <t>რკ/ბეტონის სარინელის მოწყობა saSualod 10 sm</t>
  </si>
  <si>
    <t>მონოლითური რკინა ბეტონის ზღუდარის მოწყობა</t>
  </si>
  <si>
    <t>ფიცარი ჩამოგანილი წიწვოვანი სისქით 40-60 მმ II ხარისხის</t>
  </si>
  <si>
    <t>არქიტექტურა</t>
  </si>
  <si>
    <t>15-5-6.</t>
  </si>
  <si>
    <t>ბუნებრივი გრანიტის ფილების SeZena da მოწყობა sisqiT 50 mm</t>
  </si>
  <si>
    <t xml:space="preserve">სხვა მანქანები  </t>
  </si>
  <si>
    <t>ბუნებრივი გრანიტის ფილა დაბრუჩატებული ზედაპირით 30 მმ</t>
  </si>
  <si>
    <t>ხსნარი წყობის, ცემენტის მ-100</t>
  </si>
  <si>
    <t>ჭერის შელესვა ქვიშა-ცემენტის ხსნარით</t>
  </si>
  <si>
    <t xml:space="preserve">ხსნარის ტუმბო  3 მ3/სთ </t>
  </si>
  <si>
    <t>ხსნარი მოსაპირკეთებელი, ცემენტის 1:3</t>
  </si>
  <si>
    <t xml:space="preserve">ჭერის მომზადება-შეღებვა ემულსიის საღებავით </t>
  </si>
  <si>
    <t xml:space="preserve">ემულსიის საღებავი  </t>
  </si>
  <si>
    <t xml:space="preserve">საფითხნი </t>
  </si>
  <si>
    <t xml:space="preserve"> მ2</t>
  </si>
  <si>
    <t>ფანჯრის ბლოკის (თეთრი) იხ. ნახ მპ-71</t>
  </si>
  <si>
    <t>ქაფი პოლიურეტანის, სამონტაჟო</t>
  </si>
  <si>
    <t>ლითონის კარი ix.nax mp-71</t>
  </si>
  <si>
    <t>კედლების შელესვა ქვიშა-ცემენტის ხსნარით</t>
  </si>
  <si>
    <t>15-168-7</t>
  </si>
  <si>
    <t xml:space="preserve">კედლების მომზადება-შეღებვა ემულსიის საღებავით </t>
  </si>
  <si>
    <t xml:space="preserve">ფასადის შელესვა ქვიშა-ცემენტის ხსნარით </t>
  </si>
  <si>
    <t xml:space="preserve">ფასადის მომზადება-შეღებვა ემულსიის საღებავით </t>
  </si>
  <si>
    <t>პარაპეტის შეფუთვა თუნუქის 0.7 mm ფურცლით SeZena da mowyoba</t>
  </si>
  <si>
    <t>თუნუქის ფურცელი 0,7 მმ</t>
  </si>
  <si>
    <t>12-8-3</t>
  </si>
  <si>
    <t>polieTilenis წყალსაწრეტი მილების d=70 mm და  ძაბრების SeZena da მოწყობა</t>
  </si>
  <si>
    <t>polieTilenis ძაბრი</t>
  </si>
  <si>
    <t>polieTilenis მილი d=70 mm</t>
  </si>
  <si>
    <t>ბლოკიT Sida da gare tixrebis SeZena da mowyoba (კედლის სისქე 20 სმ.) bloki 39X19X19 sm</t>
  </si>
  <si>
    <t>ხსნარი წყობის, ცემენტის მ-25</t>
  </si>
  <si>
    <t>ბლოკი ბეტონის, სტანდარტული 39X19X19 სმ</t>
  </si>
  <si>
    <t>brtyeli Tunuqis sisqiT 0.7 mm გადახურვის SeZena da მოწყობა</t>
  </si>
  <si>
    <t>თუნუქის ფურცელი sisqiT 0,7 მმ</t>
  </si>
  <si>
    <t>xe masala gadaxurvis</t>
  </si>
  <si>
    <t>შენობის შიდა წყალმომარაგება</t>
  </si>
  <si>
    <t>keramikuli ხელსაბანი ნიჟარას შეძენა და მოწყობა</t>
  </si>
  <si>
    <t>keramikuli ხელსაბანი ნიჟარას</t>
  </si>
  <si>
    <t>ცივი წყლის შემრევის (onkanis) SeZena da mowyoba  ხელსაბანისთვის</t>
  </si>
  <si>
    <t>samagrebi</t>
  </si>
  <si>
    <t>polieTilenis fasonuri nawilebis mowyoba</t>
  </si>
  <si>
    <t>gadamyvani 32X15 mm  polieTilenis</t>
  </si>
  <si>
    <t>samkapi 32X32X32 mm  polieTilenis</t>
  </si>
  <si>
    <t>gare xraxniani amerikankas montaJi d-32 mm</t>
  </si>
  <si>
    <t>gare xraxniani amerikanka d=32 mm</t>
  </si>
  <si>
    <t>დაერთების შტუცერის შეძენა და montaJi d-32 mm</t>
  </si>
  <si>
    <t>შტუცერი d=32 mm</t>
  </si>
  <si>
    <t>ventili (plastmasis)</t>
  </si>
  <si>
    <t>ventili (plastmasis) d=25 mm</t>
  </si>
  <si>
    <t>samagri detalebi</t>
  </si>
  <si>
    <t>polipropilenis kanalizaciis muxlebis SeZena da montaJi d=50 mm sxvadasaxva daxris kuTxiT</t>
  </si>
  <si>
    <t>polipropilenis samkapebi mowyoba 50/50 sxvadasxva daxris kuTxiT</t>
  </si>
  <si>
    <t>brinjaos trapiს შეძენა და მონტაჟი d=50 mm</t>
  </si>
  <si>
    <t>brinjaos trapi d=50 mm</t>
  </si>
  <si>
    <t>18-8-1</t>
  </si>
  <si>
    <t>polipropilenis onkani d25mm SeZena da montaJi</t>
  </si>
  <si>
    <t xml:space="preserve">polipropilenis mili d32mm </t>
  </si>
  <si>
    <t>polipropilenis quro d32</t>
  </si>
  <si>
    <t>polipropilenis kuTxovana d32mm</t>
  </si>
  <si>
    <t>polipropilenis wamgvari d32mm</t>
  </si>
  <si>
    <t>polipropilenis samkapa d32mm</t>
  </si>
  <si>
    <t>polipropilenis gadamyvani d32mm</t>
  </si>
  <si>
    <t>polipropilenis ventili pn6 d25mm</t>
  </si>
  <si>
    <t>polipropilenis ventili qlorgamZle d32mm SeZena da montaJi</t>
  </si>
  <si>
    <t xml:space="preserve">polipropilenis ventili qlorgamZle d=32mm </t>
  </si>
  <si>
    <t>avzebis SeZena da montaJi</t>
  </si>
  <si>
    <t>daduRabebis avzi ix. nax. mp-67</t>
  </si>
  <si>
    <t>gamxsneli avzi ix. nax. mp-67</t>
  </si>
  <si>
    <t>sadoziro avzi ix. nax. mp-67</t>
  </si>
  <si>
    <t>polipropilenis ukusarqveli qlorgamZle d32mm SeZena da montaJi</t>
  </si>
  <si>
    <t xml:space="preserve">polipropilenis ukusarqveli qlorgamZle d32mm </t>
  </si>
  <si>
    <t>sadoziro tumbos sayrdeni uJangavi kuTxovanebisagan antikoroziuli dafarviT #50 SeZena da montaJi</t>
  </si>
  <si>
    <t>foladis fasonuri nawilebi antikoroziuli dafarviT SeZena da montaJi</t>
  </si>
  <si>
    <t>saventilacio liTonis milis  mowyoba d159/5 3m SeZena da montaJi</t>
  </si>
  <si>
    <t>foladis  mili l=3 m</t>
  </si>
  <si>
    <t>el. SeduRebis quro d32 SeZena da mowyoba</t>
  </si>
  <si>
    <t xml:space="preserve">el. quro d32 </t>
  </si>
  <si>
    <t>მთავარი გამანაწილებელი ფარის მონტაჟი 6 ავტომატზე</t>
  </si>
  <si>
    <t>მთავარი გამანაწილებელი ფარი 6 ავტომატზე</t>
  </si>
  <si>
    <t>orpolusiani ავტომატების მონტაჟი 16 ა.</t>
  </si>
  <si>
    <t>ცალუღი (ხამუტი)</t>
  </si>
  <si>
    <t>B-2.1</t>
  </si>
  <si>
    <t>B-2.2</t>
  </si>
  <si>
    <t>kub.m</t>
  </si>
  <si>
    <t>polipropilenis ventili d=25mm SeZena da montaJi</t>
  </si>
  <si>
    <r>
      <t>m</t>
    </r>
    <r>
      <rPr>
        <b/>
        <vertAlign val="superscript"/>
        <sz val="9"/>
        <rFont val="AcadNusx"/>
      </rPr>
      <t>3</t>
    </r>
  </si>
  <si>
    <r>
      <t xml:space="preserve">magistraluri wylis gamanawilebeli anakrebi rk/b Wis mowyoba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=1.5 m, </t>
    </r>
    <r>
      <rPr>
        <b/>
        <sz val="9"/>
        <rFont val="Arial"/>
        <family val="2"/>
      </rPr>
      <t>h</t>
    </r>
    <r>
      <rPr>
        <b/>
        <sz val="9"/>
        <rFont val="AcadNusx"/>
      </rPr>
      <t xml:space="preserve">=1.75m, ZroTi da gadaxurvis filiT Tujis xufiT </t>
    </r>
  </si>
  <si>
    <r>
      <t>rk/b Wa d=1.5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=1,0 m rgoli</t>
    </r>
  </si>
  <si>
    <r>
      <t>m</t>
    </r>
    <r>
      <rPr>
        <b/>
        <vertAlign val="superscript"/>
        <sz val="9"/>
        <rFont val="AcadNusx"/>
      </rPr>
      <t>2</t>
    </r>
  </si>
  <si>
    <r>
      <t xml:space="preserve">პოლიეთილენის ჩობალის მილი </t>
    </r>
    <r>
      <rPr>
        <sz val="9"/>
        <rFont val="Calibri"/>
        <family val="2"/>
        <scheme val="minor"/>
      </rPr>
      <t>L</t>
    </r>
    <r>
      <rPr>
        <sz val="9"/>
        <rFont val="AcadNusx"/>
      </rPr>
      <t>=0,1 მ დ=250 მმ</t>
    </r>
  </si>
  <si>
    <r>
      <t xml:space="preserve">magistraluri wylis gamanawilebeli anakrebi rk/b Wis mowyoba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=2.0 m, </t>
    </r>
    <r>
      <rPr>
        <b/>
        <sz val="9"/>
        <rFont val="Arial"/>
        <family val="2"/>
      </rPr>
      <t>h</t>
    </r>
    <r>
      <rPr>
        <b/>
        <sz val="9"/>
        <rFont val="AcadNusx"/>
      </rPr>
      <t xml:space="preserve">=1.75m, ZroTi da gadaxurvis filiT Tujis xufiT </t>
    </r>
  </si>
  <si>
    <r>
      <t>rk/b Wa d=2.0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=1,0 m rgoli</t>
    </r>
  </si>
  <si>
    <r>
      <t>rk/b Wa d=2.0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-0.5 m rgoli</t>
    </r>
  </si>
  <si>
    <r>
      <t>Tujis urduli d=100 mm</t>
    </r>
    <r>
      <rPr>
        <sz val="9"/>
        <rFont val="არიალ"/>
        <charset val="204"/>
      </rPr>
      <t xml:space="preserve"> PN-16</t>
    </r>
  </si>
  <si>
    <r>
      <t>პოლიეთილენის 90</t>
    </r>
    <r>
      <rPr>
        <b/>
        <vertAlign val="superscript"/>
        <sz val="9"/>
        <rFont val="AcadNusx"/>
      </rPr>
      <t>0</t>
    </r>
    <r>
      <rPr>
        <b/>
        <sz val="9"/>
        <rFont val="AcadNusx"/>
      </rPr>
      <t xml:space="preserve"> muxlis შეძენა და მონტაჟი დ=20-250 მმ</t>
    </r>
  </si>
  <si>
    <r>
      <t xml:space="preserve">მილყელი ადაპტორი </t>
    </r>
    <r>
      <rPr>
        <sz val="9"/>
        <rFont val="Arial"/>
        <family val="2"/>
        <charset val="204"/>
      </rPr>
      <t>d</t>
    </r>
    <r>
      <rPr>
        <sz val="9"/>
        <rFont val="AcadNusx"/>
      </rPr>
      <t>=110 მმ</t>
    </r>
  </si>
  <si>
    <r>
      <t xml:space="preserve">ელექტრო შედუღების ქურო </t>
    </r>
    <r>
      <rPr>
        <sz val="9"/>
        <rFont val="Arial"/>
        <family val="2"/>
        <charset val="204"/>
      </rPr>
      <t>d</t>
    </r>
    <r>
      <rPr>
        <sz val="9"/>
        <rFont val="AcadNusx"/>
      </rPr>
      <t>=110 მმ</t>
    </r>
  </si>
  <si>
    <r>
      <t xml:space="preserve">miltuCi WanWikiT (flaneci) paroniti </t>
    </r>
    <r>
      <rPr>
        <sz val="9"/>
        <rFont val="Arial"/>
        <family val="2"/>
        <charset val="204"/>
      </rPr>
      <t>d</t>
    </r>
    <r>
      <rPr>
        <sz val="9"/>
        <rFont val="AcadNusx"/>
      </rPr>
      <t>=110 მმ</t>
    </r>
  </si>
  <si>
    <t>სამკაპის შეძენა და მონტაჟი დ=20-250 მმ</t>
  </si>
  <si>
    <r>
      <t>xarjTaRricxvis</t>
    </r>
    <r>
      <rPr>
        <sz val="9"/>
        <color theme="1"/>
        <rFont val="Academiuri Normaluri"/>
      </rPr>
      <t xml:space="preserve"> N</t>
    </r>
  </si>
  <si>
    <t>zednadebi xarjebi samSeneblo samuSaoebze</t>
  </si>
  <si>
    <r>
      <t>m</t>
    </r>
    <r>
      <rPr>
        <vertAlign val="superscript"/>
        <sz val="10"/>
        <rFont val="AcadNusx"/>
      </rPr>
      <t>3</t>
    </r>
  </si>
  <si>
    <t>B-3</t>
  </si>
  <si>
    <t>ობიექტური  ხარჯთაღრიცხვა #</t>
  </si>
  <si>
    <r>
      <t>xarjTaRricxvis</t>
    </r>
    <r>
      <rPr>
        <sz val="11"/>
        <rFont val="Academiuri Normaluri"/>
      </rPr>
      <t xml:space="preserve"> N</t>
    </r>
  </si>
  <si>
    <t>B-3.1</t>
  </si>
  <si>
    <t>საქლორატოროს შენობის სამშენებლო ნაწილი</t>
  </si>
  <si>
    <t>B-3.2</t>
  </si>
  <si>
    <t>საქლორატოროს ტექნოლოგია</t>
  </si>
  <si>
    <t>საქლორატოროს შენობის შიდა ელ. მომარაგება</t>
  </si>
  <si>
    <t>1-11-9</t>
  </si>
  <si>
    <t>6-1-1. mis</t>
  </si>
  <si>
    <t>ფანჯრის ბლოკის მოწყობა 1 cali იხ. ნახ მპ-71</t>
  </si>
  <si>
    <t>12-8-5</t>
  </si>
  <si>
    <t>ნაჭედი</t>
  </si>
  <si>
    <t>ლურსმანი</t>
  </si>
  <si>
    <t>ქანჩი</t>
  </si>
  <si>
    <t>8-525-1</t>
  </si>
  <si>
    <t>ზედნადები ხარჯები ელ. სამონტაჟო სამუშაოებზე</t>
  </si>
  <si>
    <t>normatiuli Sromatevadoba</t>
  </si>
  <si>
    <t>betoni მ-250</t>
  </si>
  <si>
    <t>qsaipeqs koncentrati</t>
  </si>
  <si>
    <t>yalibis fari</t>
  </si>
  <si>
    <t>ფიცარი Camoganili III კატ. 25-32 მმ</t>
  </si>
  <si>
    <t>ფიცარი Camoganili III კატ. 40 მმ და მეტი</t>
  </si>
  <si>
    <t xml:space="preserve">Camouganavi ficari III kat. 40-60 mm </t>
  </si>
  <si>
    <t xml:space="preserve">sxva masalebi   </t>
  </si>
  <si>
    <t>liTonis milebis gamorecxva dezinfeqciiT d=108/4.5 mm</t>
  </si>
  <si>
    <t>B-4.1</t>
  </si>
  <si>
    <t>B-4.2</t>
  </si>
  <si>
    <t>B-4.3</t>
  </si>
  <si>
    <t>B-2.1.1</t>
  </si>
  <si>
    <t>B-2.1.2</t>
  </si>
  <si>
    <t>B-2.1.3</t>
  </si>
  <si>
    <t>B-2.2.1</t>
  </si>
  <si>
    <t>B-2.2.2</t>
  </si>
  <si>
    <t>B-2.2.3</t>
  </si>
  <si>
    <t>B-2.2.1.1</t>
  </si>
  <si>
    <t>B-2.2.1.1.1</t>
  </si>
  <si>
    <t>B-2.2.1.1.2</t>
  </si>
  <si>
    <t>B-2.2.3.1</t>
  </si>
  <si>
    <t>B-4</t>
  </si>
  <si>
    <t>გვ.1-7</t>
  </si>
  <si>
    <t>წყალმომარაგების მაგისტრალური მილსადენები</t>
  </si>
  <si>
    <t>სატყეო გზის შეკეთებითი სამუშაოები</t>
  </si>
  <si>
    <t>m/sT</t>
  </si>
  <si>
    <t>1-112-1</t>
  </si>
  <si>
    <r>
      <t>მ</t>
    </r>
    <r>
      <rPr>
        <vertAlign val="superscript"/>
        <sz val="10"/>
        <rFont val="Sylfaen"/>
        <family val="1"/>
      </rPr>
      <t>2</t>
    </r>
  </si>
  <si>
    <t xml:space="preserve">ამომძირკველი მომგროვებელი ტრაქტორი   79 კვტ. 108 ცხ.ძ. </t>
  </si>
  <si>
    <t>არსებული გზის რეაბილიტაცია</t>
  </si>
  <si>
    <t>არსებული გზის ზედაპირიც ჩაღმავებების და გვერდულების IV კატ. გრუნტის დამუშავება ექსკავატორით ჩამჩით 0.5 მ3  ადგილზე დაყრით (ნაწილობრივ დატვირთვით)</t>
  </si>
  <si>
    <t>1-29-7-13</t>
  </si>
  <si>
    <t>ტყეში არსებული გზის ტერიტორიის გასუფთავება ეკალბარდისა და წვრილნაყარი ხეებისაგან</t>
  </si>
  <si>
    <t>gv.30-251</t>
  </si>
  <si>
    <t>ახლად გაყვანილი გზის ღორღის ფენილის მოწყობა 0,1 მ. სისქით</t>
  </si>
  <si>
    <t>22-5-5</t>
  </si>
  <si>
    <t>22-20-12</t>
  </si>
  <si>
    <t>15-166-7</t>
  </si>
  <si>
    <t>გვ.37-12</t>
  </si>
  <si>
    <t>laki</t>
  </si>
  <si>
    <t>foladis მილი d=108/4.5 mm mili</t>
  </si>
  <si>
    <t>liTonis d=108/4.5 mm milebis antikoroziuli izoliaciiT lakiT 2 fena</t>
  </si>
  <si>
    <t>გვ.20-116</t>
  </si>
  <si>
    <t>სათვალთვალო და სარეგულაციო ჭა D=1.0 მ H=1.75 მ</t>
  </si>
  <si>
    <t>სათვალთვალო და სარეგულაციო ჭა D=1.0 მ H=1.75 მ გრუნტის გზაზე</t>
  </si>
  <si>
    <t>სათვალთვალო და საერგულაციო ჭა D=1.0 მ H=1.75 მ</t>
  </si>
  <si>
    <t>bitumi ნავთობის</t>
  </si>
  <si>
    <t>B-2.2.3.1.1</t>
  </si>
  <si>
    <t>B-2.2.3.1.2</t>
  </si>
  <si>
    <t>გვ.134-310  გვ.128-99</t>
  </si>
  <si>
    <r>
      <t xml:space="preserve">პოლიეთილენის ჩობალის მილი </t>
    </r>
    <r>
      <rPr>
        <sz val="9"/>
        <rFont val="Calibri"/>
        <family val="2"/>
        <scheme val="minor"/>
      </rPr>
      <t>L</t>
    </r>
    <r>
      <rPr>
        <sz val="9"/>
        <rFont val="AcadNusx"/>
      </rPr>
      <t>=0,1 მ დ=150 მმ</t>
    </r>
  </si>
  <si>
    <t>Cobalbis mowyoba kedelSi d=150mm</t>
  </si>
  <si>
    <r>
      <t>ბეტონი</t>
    </r>
    <r>
      <rPr>
        <sz val="10"/>
        <rFont val="Arial"/>
        <family val="2"/>
        <charset val="204"/>
      </rPr>
      <t xml:space="preserve"> B</t>
    </r>
    <r>
      <rPr>
        <sz val="10"/>
        <rFont val="AcadNusx"/>
      </rPr>
      <t xml:space="preserve">-7.5 (მ-100) </t>
    </r>
  </si>
  <si>
    <r>
      <t xml:space="preserve">ბეტონი В-15 </t>
    </r>
    <r>
      <rPr>
        <sz val="10"/>
        <rFont val="Arial"/>
        <family val="2"/>
      </rPr>
      <t>მ-200</t>
    </r>
  </si>
  <si>
    <t>ხის მასალა დახერხილი ნედლი წიწვოვანი საყალიბე</t>
  </si>
  <si>
    <t>გვ.1-1</t>
  </si>
  <si>
    <r>
      <t>არმატურა</t>
    </r>
    <r>
      <rPr>
        <sz val="10"/>
        <rFont val="Arial"/>
        <family val="2"/>
        <charset val="204"/>
      </rPr>
      <t xml:space="preserve"> A-I</t>
    </r>
    <r>
      <rPr>
        <sz val="10"/>
        <rFont val="AcadNusx"/>
      </rPr>
      <t xml:space="preserve"> კლასის</t>
    </r>
    <r>
      <rPr>
        <sz val="10"/>
        <rFont val="Arial"/>
        <family val="2"/>
        <charset val="204"/>
      </rPr>
      <t xml:space="preserve"> Ø6 </t>
    </r>
    <r>
      <rPr>
        <sz val="10"/>
        <rFont val="AcadNusx"/>
      </rPr>
      <t>მმ</t>
    </r>
  </si>
  <si>
    <r>
      <t>არმატურა</t>
    </r>
    <r>
      <rPr>
        <sz val="10"/>
        <rFont val="Arial"/>
        <family val="2"/>
        <charset val="204"/>
      </rPr>
      <t xml:space="preserve"> А500C</t>
    </r>
  </si>
  <si>
    <r>
      <t>ელექტროდი შედუღების</t>
    </r>
    <r>
      <rPr>
        <sz val="10"/>
        <rFont val="Arial"/>
        <family val="2"/>
        <charset val="204"/>
      </rPr>
      <t xml:space="preserve"> Ø5.0x350</t>
    </r>
    <r>
      <rPr>
        <sz val="10"/>
        <rFont val="AcadNusx"/>
      </rPr>
      <t xml:space="preserve"> მმ</t>
    </r>
  </si>
  <si>
    <t>ავტომობილი ბორტიანი 5 ტ-მდე</t>
  </si>
  <si>
    <t>gv.119-45</t>
  </si>
  <si>
    <r>
      <t xml:space="preserve">სჭავლი ბეტონისათვის </t>
    </r>
    <r>
      <rPr>
        <sz val="10"/>
        <rFont val="Arial"/>
        <family val="2"/>
        <charset val="204"/>
      </rPr>
      <t>Ø7.5x132</t>
    </r>
    <r>
      <rPr>
        <sz val="10"/>
        <rFont val="AcadNusx"/>
      </rPr>
      <t xml:space="preserve"> მმ</t>
    </r>
    <r>
      <rPr>
        <sz val="10"/>
        <rFont val="Arial"/>
        <family val="2"/>
        <charset val="204"/>
      </rPr>
      <t xml:space="preserve"> Buldex</t>
    </r>
  </si>
  <si>
    <r>
      <t xml:space="preserve">ლითონის კარის ბლოკის მოწყობა 1 ც </t>
    </r>
    <r>
      <rPr>
        <b/>
        <sz val="10"/>
        <rFont val="Arial"/>
        <family val="2"/>
        <charset val="204"/>
      </rPr>
      <t xml:space="preserve">0,9x2.4 </t>
    </r>
    <r>
      <rPr>
        <b/>
        <sz val="10"/>
        <rFont val="AcadNusx"/>
      </rPr>
      <t>m ix.nax mp-71</t>
    </r>
  </si>
  <si>
    <t>გვ.5-15</t>
  </si>
  <si>
    <r>
      <t>polieTilenis მუხლი 135</t>
    </r>
    <r>
      <rPr>
        <vertAlign val="superscript"/>
        <sz val="10"/>
        <rFont val="AcadNusx"/>
      </rPr>
      <t>0</t>
    </r>
    <r>
      <rPr>
        <sz val="10"/>
        <rFont val="AcadNusx"/>
      </rPr>
      <t xml:space="preserve"> d=70 mm</t>
    </r>
  </si>
  <si>
    <t>gv.10-30</t>
  </si>
  <si>
    <t>gv.9-1</t>
  </si>
  <si>
    <t>8-15-1</t>
  </si>
  <si>
    <t>გვ.25-37</t>
  </si>
  <si>
    <t>gv.49-28</t>
  </si>
  <si>
    <r>
      <t xml:space="preserve">drekadi Slangi </t>
    </r>
    <r>
      <rPr>
        <b/>
        <sz val="10"/>
        <rFont val="Arial"/>
        <family val="2"/>
        <charset val="204"/>
      </rPr>
      <t xml:space="preserve">  Ø</t>
    </r>
    <r>
      <rPr>
        <b/>
        <sz val="10"/>
        <rFont val="AcadNusx"/>
      </rPr>
      <t>20 mm  metalis SeZena da mowyoba</t>
    </r>
  </si>
  <si>
    <r>
      <t>drekadi Slangi</t>
    </r>
    <r>
      <rPr>
        <sz val="10"/>
        <rFont val="Arial"/>
        <family val="2"/>
        <charset val="204"/>
      </rPr>
      <t xml:space="preserve">   Ø</t>
    </r>
    <r>
      <rPr>
        <sz val="10"/>
        <rFont val="AcadNusx"/>
      </rPr>
      <t xml:space="preserve">20 mm  metalis </t>
    </r>
    <r>
      <rPr>
        <sz val="10"/>
        <rFont val="Arial"/>
        <family val="2"/>
        <charset val="204"/>
      </rPr>
      <t>L</t>
    </r>
    <r>
      <rPr>
        <sz val="10"/>
        <rFont val="AcadNusx"/>
      </rPr>
      <t>=40sm</t>
    </r>
  </si>
  <si>
    <r>
      <t xml:space="preserve">wyalsadenis polieTilenis milebis mowyoba </t>
    </r>
    <r>
      <rPr>
        <b/>
        <sz val="10"/>
        <rFont val="Arial"/>
        <family val="2"/>
        <charset val="204"/>
      </rPr>
      <t>Ø</t>
    </r>
    <r>
      <rPr>
        <b/>
        <sz val="10"/>
        <rFont val="AcadNusx"/>
      </rPr>
      <t>=32 mm-mde SeZena da mowyoba</t>
    </r>
  </si>
  <si>
    <r>
      <t xml:space="preserve">mili polieTilenis </t>
    </r>
    <r>
      <rPr>
        <sz val="10"/>
        <rFont val="Arial"/>
        <family val="2"/>
        <charset val="204"/>
      </rPr>
      <t>Ø32</t>
    </r>
    <r>
      <rPr>
        <sz val="10"/>
        <rFont val="AcadNusx"/>
      </rPr>
      <t xml:space="preserve"> mm  </t>
    </r>
  </si>
  <si>
    <t>gv.10-28</t>
  </si>
  <si>
    <t>22-23-1 misadag.</t>
  </si>
  <si>
    <r>
      <t xml:space="preserve">muxli </t>
    </r>
    <r>
      <rPr>
        <sz val="10"/>
        <rFont val="Arial"/>
        <family val="2"/>
        <charset val="204"/>
      </rPr>
      <t>Ø32</t>
    </r>
    <r>
      <rPr>
        <sz val="10"/>
        <rFont val="AcadNusx"/>
      </rPr>
      <t xml:space="preserve"> mm  polieTilenis</t>
    </r>
  </si>
  <si>
    <t>16-6-1</t>
  </si>
  <si>
    <r>
      <t>kanalizaciis polipropilenis sqelkedliani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 xml:space="preserve">milebis d=50 mm SeZena-montaJi </t>
    </r>
    <r>
      <rPr>
        <b/>
        <sz val="10"/>
        <rFont val="Times New Roman"/>
        <family val="1"/>
        <charset val="204"/>
      </rPr>
      <t/>
    </r>
  </si>
  <si>
    <r>
      <t xml:space="preserve">polipropilenis mili </t>
    </r>
    <r>
      <rPr>
        <sz val="10"/>
        <rFont val="Arial"/>
        <family val="2"/>
        <charset val="204"/>
      </rPr>
      <t>d=</t>
    </r>
    <r>
      <rPr>
        <sz val="10"/>
        <rFont val="AcadNusx"/>
      </rPr>
      <t>50 mm</t>
    </r>
  </si>
  <si>
    <r>
      <t>polipropilenis muxli 90</t>
    </r>
    <r>
      <rPr>
        <vertAlign val="superscript"/>
        <sz val="10"/>
        <rFont val="AcadNusx"/>
      </rPr>
      <t xml:space="preserve">0 </t>
    </r>
    <r>
      <rPr>
        <sz val="10"/>
        <rFont val="AcadNusx"/>
      </rPr>
      <t>d=50 mm</t>
    </r>
  </si>
  <si>
    <r>
      <t>polipropilenis samkapi 90</t>
    </r>
    <r>
      <rPr>
        <vertAlign val="superscript"/>
        <sz val="10"/>
        <rFont val="AcadNusx"/>
      </rPr>
      <t>0</t>
    </r>
  </si>
  <si>
    <t>maT Soris jami samSeneblo samuSaoebze</t>
  </si>
  <si>
    <t>maT Soris jami santeqnikur samuSaoebze</t>
  </si>
  <si>
    <t>zednadebi xarjebi santeqnikur samuSaoebze</t>
  </si>
  <si>
    <r>
      <t xml:space="preserve">tumbo-dozatoris montaJi 10l/sT ;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=25m</t>
    </r>
  </si>
  <si>
    <r>
      <t xml:space="preserve">tumbo-dozatori 10l/sT; </t>
    </r>
    <r>
      <rPr>
        <sz val="10"/>
        <rFont val="Arial"/>
        <family val="2"/>
        <charset val="204"/>
      </rPr>
      <t>h</t>
    </r>
    <r>
      <rPr>
        <sz val="10"/>
        <rFont val="AcadNusx"/>
      </rPr>
      <t>=25m</t>
    </r>
  </si>
  <si>
    <t xml:space="preserve">16-24-3                                  </t>
  </si>
  <si>
    <r>
      <t>d25</t>
    </r>
    <r>
      <rPr>
        <b/>
        <sz val="10"/>
        <rFont val="AcadNusx"/>
      </rPr>
      <t>mm</t>
    </r>
    <r>
      <rPr>
        <b/>
        <sz val="10"/>
        <rFont val="Sylfaen"/>
        <family val="1"/>
        <charset val="204"/>
      </rPr>
      <t xml:space="preserve"> </t>
    </r>
    <r>
      <rPr>
        <b/>
        <sz val="10"/>
        <rFont val="Arial"/>
        <family val="2"/>
        <charset val="204"/>
      </rPr>
      <t xml:space="preserve">PN10 </t>
    </r>
    <r>
      <rPr>
        <b/>
        <sz val="10"/>
        <rFont val="AcadNusx"/>
      </rPr>
      <t>polipropilenis მილიs</t>
    </r>
    <r>
      <rPr>
        <b/>
        <sz val="10"/>
        <rFont val="Sylfaen"/>
        <family val="1"/>
        <charset val="204"/>
      </rPr>
      <t xml:space="preserve"> </t>
    </r>
    <r>
      <rPr>
        <b/>
        <sz val="10"/>
        <rFont val="AcadNusx"/>
      </rPr>
      <t>SeZena da montaJi hidravlikuri SemowmebiT saqloratoroSi</t>
    </r>
  </si>
  <si>
    <t xml:space="preserve">mili   d=25mm  </t>
  </si>
  <si>
    <r>
      <t xml:space="preserve">adaptori d25mm </t>
    </r>
    <r>
      <rPr>
        <sz val="10"/>
        <rFont val="Arial"/>
        <family val="2"/>
        <charset val="204"/>
      </rPr>
      <t>PE/St</t>
    </r>
  </si>
  <si>
    <r>
      <t xml:space="preserve">polipropilenis onkani </t>
    </r>
    <r>
      <rPr>
        <sz val="10"/>
        <rFont val="Arial"/>
        <family val="2"/>
        <charset val="204"/>
      </rPr>
      <t>PN</t>
    </r>
    <r>
      <rPr>
        <sz val="10"/>
        <rFont val="AcadNusx"/>
      </rPr>
      <t xml:space="preserve">16 d25mm </t>
    </r>
  </si>
  <si>
    <r>
      <t>d32</t>
    </r>
    <r>
      <rPr>
        <b/>
        <sz val="10"/>
        <rFont val="AcadNusx"/>
      </rPr>
      <t>mm</t>
    </r>
    <r>
      <rPr>
        <b/>
        <sz val="10"/>
        <rFont val="Sylfaen"/>
        <family val="1"/>
        <charset val="204"/>
      </rPr>
      <t xml:space="preserve"> </t>
    </r>
    <r>
      <rPr>
        <b/>
        <sz val="10"/>
        <rFont val="AcadNusx"/>
      </rPr>
      <t>polipropilenis მილიs</t>
    </r>
    <r>
      <rPr>
        <b/>
        <sz val="10"/>
        <rFont val="Sylfaen"/>
        <family val="1"/>
        <charset val="204"/>
      </rPr>
      <t xml:space="preserve"> </t>
    </r>
    <r>
      <rPr>
        <b/>
        <sz val="10"/>
        <rFont val="AcadNusx"/>
      </rPr>
      <t>SeZena da montaJi hidravlikuri SemowmebiT saqloratoroSi</t>
    </r>
  </si>
  <si>
    <t xml:space="preserve">16-12-1            </t>
  </si>
  <si>
    <t xml:space="preserve">16-12-1           </t>
  </si>
  <si>
    <t>გვ.3-40</t>
  </si>
  <si>
    <t>gv.11-1</t>
  </si>
  <si>
    <t>გვ.10-30</t>
  </si>
  <si>
    <t>კაბელარხის მოწყობა 40X25</t>
  </si>
  <si>
    <t>კაბელარხი 40X25</t>
  </si>
  <si>
    <r>
      <t>ძალოვანი ელ. სადენი 3X4-1X2,5 მმ</t>
    </r>
    <r>
      <rPr>
        <vertAlign val="superscript"/>
        <sz val="10"/>
        <rFont val="AcadNusx"/>
      </rPr>
      <t>2</t>
    </r>
  </si>
  <si>
    <r>
      <t xml:space="preserve">ელ. სადენი  </t>
    </r>
    <r>
      <rPr>
        <sz val="10"/>
        <rFont val="Arial"/>
        <family val="2"/>
        <charset val="204"/>
      </rPr>
      <t xml:space="preserve">3x2,5 </t>
    </r>
    <r>
      <rPr>
        <sz val="10"/>
        <rFont val="AcadNusx"/>
      </rPr>
      <t>მმ2</t>
    </r>
  </si>
  <si>
    <r>
      <t>დამიწების ელ. სადენი</t>
    </r>
    <r>
      <rPr>
        <sz val="10"/>
        <rFont val="Arial"/>
        <family val="2"/>
        <charset val="204"/>
      </rPr>
      <t xml:space="preserve"> 1x10 </t>
    </r>
    <r>
      <rPr>
        <sz val="10"/>
        <rFont val="AcadNusx"/>
      </rPr>
      <t>მმ</t>
    </r>
    <r>
      <rPr>
        <vertAlign val="superscript"/>
        <sz val="10"/>
        <rFont val="AcadNusx"/>
      </rPr>
      <t>2</t>
    </r>
  </si>
  <si>
    <t>წყალმომარაგების რეზერვუარების სანიტარული ღობების მოწყობა</t>
  </si>
  <si>
    <t xml:space="preserve">betonis saZirkvlis mowyoba SemoRobvis boZebisTvis m-200   40X40X60 sm </t>
  </si>
  <si>
    <t>xis Zeli</t>
  </si>
  <si>
    <t>betonis saZirkvlis da zeZirkvlis mowyoba SemoRobvis boZebisTvis m-200 mowtoba</t>
  </si>
  <si>
    <t>daWimuli uJangavi mavTulbadis 50X50X3 mm Robis SeZena da mowyoba</t>
  </si>
  <si>
    <t>გვ.14-48</t>
  </si>
  <si>
    <r>
      <t xml:space="preserve">liTonis kvadratuli mili 40X40X3 mm </t>
    </r>
    <r>
      <rPr>
        <sz val="10"/>
        <rFont val="Arial"/>
        <family val="2"/>
        <charset val="204"/>
      </rPr>
      <t>H</t>
    </r>
    <r>
      <rPr>
        <sz val="10"/>
        <rFont val="AcadNusx"/>
      </rPr>
      <t>=2,3 m</t>
    </r>
  </si>
  <si>
    <t>გვ.1-42</t>
  </si>
  <si>
    <t>uJangavi mavTul bade 50X50X3 mm</t>
  </si>
  <si>
    <t>გვ.5-1</t>
  </si>
  <si>
    <t>liTonis firfita 4smX4sm milis Tavebis dasafareblad</t>
  </si>
  <si>
    <t xml:space="preserve">liTonis Robis boZebis da kutikaris SeRebva zeTis saRebaviT </t>
  </si>
  <si>
    <t>kuTxovana 40X40X4 mm</t>
  </si>
  <si>
    <t>saketi (saTle)</t>
  </si>
  <si>
    <t>kutikaris SeZena damzadeba da montaJi</t>
  </si>
  <si>
    <t>WiSkarisa SeZena damzadeba da montaJi</t>
  </si>
  <si>
    <t>წყალმიმღები სათავე კვანძის მოწყობა</t>
  </si>
  <si>
    <t>1-84-3</t>
  </si>
  <si>
    <t>V კატეგორიის გრუნტის დამუშავება სანგრევი ჩაქუჩით</t>
  </si>
  <si>
    <t>სანგრევი ჩაქუჩი მომუშავე მოძრავ კომპრესორზე</t>
  </si>
  <si>
    <t>1-11-17</t>
  </si>
  <si>
    <t>V კატ. გრუნტის დამუშავება ექსკავატორის ჩამჩით 0.5მ3  ადგილზე დაყრით</t>
  </si>
  <si>
    <r>
      <t>m</t>
    </r>
    <r>
      <rPr>
        <vertAlign val="superscript"/>
        <sz val="10"/>
        <rFont val="Arachveulebrivi Thin"/>
        <family val="2"/>
      </rPr>
      <t>3</t>
    </r>
  </si>
  <si>
    <r>
      <t xml:space="preserve">armatura </t>
    </r>
    <r>
      <rPr>
        <sz val="10"/>
        <rFont val="Arial"/>
        <family val="2"/>
        <charset val="204"/>
      </rPr>
      <t>AI</t>
    </r>
  </si>
  <si>
    <r>
      <t xml:space="preserve">armatura </t>
    </r>
    <r>
      <rPr>
        <sz val="10"/>
        <rFont val="Arial"/>
        <family val="2"/>
        <charset val="204"/>
      </rPr>
      <t>AIII</t>
    </r>
  </si>
  <si>
    <r>
      <t>m</t>
    </r>
    <r>
      <rPr>
        <vertAlign val="superscript"/>
        <sz val="10"/>
        <rFont val="Arachveulebrivi Thin"/>
        <family val="2"/>
      </rPr>
      <t>2</t>
    </r>
  </si>
  <si>
    <r>
      <t>m</t>
    </r>
    <r>
      <rPr>
        <b/>
        <vertAlign val="superscript"/>
        <sz val="10"/>
        <rFont val="AcadNusx"/>
      </rPr>
      <t>2</t>
    </r>
  </si>
  <si>
    <t>ადგილობრივი გრუნტის დატკეპნა პნევმოსატკეპნით</t>
  </si>
  <si>
    <t>1-79-4</t>
  </si>
  <si>
    <t>damuSavebuli gruntis saSualod 20m-ze gataniT da dayriT</t>
  </si>
  <si>
    <t>Sromis danaxarjebi 1,1+0,36</t>
  </si>
  <si>
    <t xml:space="preserve">r/betonis m-250 wyalmimRebis mowoba </t>
  </si>
  <si>
    <t>9-32-12</t>
  </si>
  <si>
    <t>wyalmimRebSi Casasvleli liTonis luqebis SeZena da montaJi 2 cali</t>
  </si>
  <si>
    <t>avto amwe 16t</t>
  </si>
  <si>
    <t>kuTxovana 50X50X5mm</t>
  </si>
  <si>
    <t>liT. furceli 4mm 0.85X0.85m</t>
  </si>
  <si>
    <t>anjami</t>
  </si>
  <si>
    <t>armatura a-I d-8</t>
  </si>
  <si>
    <t>6-31-2</t>
  </si>
  <si>
    <t>RorRis fenilis SeZena da mowyoba filtrSi 16-32 mm 20-sm</t>
  </si>
  <si>
    <t>ადგილობრივი ქვა 15-20 სმ 40 სმ</t>
  </si>
  <si>
    <t>ადგილობრივი ქვა 10-15 სმ 30 სმ</t>
  </si>
  <si>
    <t>ადგილობრივი ქვა 7-10 sm; sisq. 25 sm</t>
  </si>
  <si>
    <t>ადგილობრივი ქვის ღორღი 4-7 sm; sisq. 20 sm</t>
  </si>
  <si>
    <t>ადგილობრივი ქვის ღორღი 2-4 sm; sisq. 15 sm</t>
  </si>
  <si>
    <t>en da g
$Е2-1-57</t>
  </si>
  <si>
    <t>ადგილობრივი qvis Segroveba xeliT 3 metramde gadayriT</t>
  </si>
  <si>
    <r>
      <t>m</t>
    </r>
    <r>
      <rPr>
        <b/>
        <vertAlign val="superscript"/>
        <sz val="11"/>
        <rFont val="AcadNusx"/>
      </rPr>
      <t>3</t>
    </r>
  </si>
  <si>
    <t>kac.sT</t>
  </si>
  <si>
    <t>1-17-1</t>
  </si>
  <si>
    <r>
      <t>ადგილობრივი Segrovili qvis datvirTva 0.65 m</t>
    </r>
    <r>
      <rPr>
        <b/>
        <vertAlign val="superscript"/>
        <sz val="11"/>
        <rFont val="AcadNusx"/>
      </rPr>
      <t>3</t>
    </r>
    <r>
      <rPr>
        <b/>
        <sz val="11"/>
        <rFont val="AcadNusx"/>
      </rPr>
      <t xml:space="preserve"> CamCis tevadobis eqskavatoriT avtoTviTmclelze </t>
    </r>
  </si>
  <si>
    <r>
      <t>eqskavatori 0.65 m</t>
    </r>
    <r>
      <rPr>
        <vertAlign val="superscript"/>
        <sz val="11"/>
        <rFont val="AcadNusx"/>
      </rPr>
      <t>3</t>
    </r>
  </si>
  <si>
    <t>manq.sT</t>
  </si>
  <si>
    <r>
      <t>m</t>
    </r>
    <r>
      <rPr>
        <vertAlign val="superscript"/>
        <sz val="11"/>
        <rFont val="AcadNusx"/>
      </rPr>
      <t>3</t>
    </r>
  </si>
  <si>
    <t>srf-12</t>
  </si>
  <si>
    <t>8-4.-8</t>
  </si>
  <si>
    <t xml:space="preserve">Tixis klitis SeZena da mowyoba </t>
  </si>
  <si>
    <t>Tixa adgilobrivi</t>
  </si>
  <si>
    <t>კაპტაჟის გარე zedapiris hidroizolacia biTumis mastikiT 2 fena</t>
  </si>
  <si>
    <t xml:space="preserve">Tujis urduli d=100 mm SeZena-montaJi </t>
  </si>
  <si>
    <r>
      <t>Tujis urduli d=100 mm</t>
    </r>
    <r>
      <rPr>
        <sz val="10"/>
        <rFont val="არიალ"/>
        <charset val="204"/>
      </rPr>
      <t xml:space="preserve"> PN-10</t>
    </r>
  </si>
  <si>
    <t>miltuCi WanWikiT (flaneci) da paronitis შეძენა და მონტაჟი დ=110 მმ</t>
  </si>
  <si>
    <r>
      <t>პოლიეთილენის 90</t>
    </r>
    <r>
      <rPr>
        <b/>
        <vertAlign val="superscript"/>
        <sz val="10"/>
        <rFont val="AcadNusx"/>
      </rPr>
      <t>0</t>
    </r>
    <r>
      <rPr>
        <b/>
        <sz val="10"/>
        <rFont val="AcadNusx"/>
      </rPr>
      <t xml:space="preserve"> muxlis შეძენა და მონტაჟი დ=20-250 მმ</t>
    </r>
  </si>
  <si>
    <t xml:space="preserve">ტრანსპორტირების გარეშე დარჩენილი მასალები </t>
  </si>
  <si>
    <t>datvirTuli ადგილობრივი qvis transportireba 10 km</t>
  </si>
  <si>
    <t>12</t>
  </si>
  <si>
    <t>9-5-1</t>
  </si>
  <si>
    <t>15-55-10</t>
  </si>
  <si>
    <t xml:space="preserve">16-12-1 </t>
  </si>
  <si>
    <t>16-12-1</t>
  </si>
  <si>
    <t>9-14-5</t>
  </si>
  <si>
    <t>16-24-4</t>
  </si>
  <si>
    <t>ასპინძის მუნიციპალიტეტის მერიის სოფელ ჭობისხევის წყალმომარაგების სათავე კვანძების და მაგისტრალური მილსადენის რეაბილიტაცია</t>
  </si>
  <si>
    <t>შპს „ჰიდრო“</t>
  </si>
  <si>
    <t xml:space="preserve">საპროექტო კაპტაჟის ქვაბულის V გრუნტის დამუშავება ხელით </t>
  </si>
  <si>
    <t>eniri      1-19, p1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</si>
  <si>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</si>
  <si>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 xml:space="preserve">მილსადენის ტრასის გაყოლებაზე არსებული გზის დაზიანებულ ადგილებში IV  კატეგორიის გრუნტის მოჭრა ბულდოზერით გადაადგ. 30 მ-მდე ყრილში გვერდზე გადაყრით სიმძ. 96 კვტ. </t>
  </si>
  <si>
    <t>საჭიროებისამებრ გზის რთულად გასასვლელ და წყლიან ადგილებში ღორღის ფენილის მოწყობა 0,1 მ. სისქით</t>
  </si>
  <si>
    <t>V კატ. გრუნტის დამუშავება ექსკავატორის ჩამჩით 1.0 მ3  გვერდზე გადაყრით და გზის ნაყარი ნაწილის მოწყობით</t>
  </si>
  <si>
    <t xml:space="preserve">ექსკავატორი ჩამჩის მოც. 1,0-მ3, </t>
  </si>
  <si>
    <t>VI კატ. გრუნტის დამუშავება ექსკავატორის ჩამჩით 1.0 მ3  გვერდზე გადაყრით და გზის ნაყარი ნაწილის მოწყობით</t>
  </si>
  <si>
    <t>V კატეგორიის გრუნტის დამუშავება ექსკავატორის კოდალით</t>
  </si>
  <si>
    <t>VI კატეგორიის გრუნტის დამუშავება ექსკავატორის კოდალით</t>
  </si>
  <si>
    <t>ექსკავატორი სანგრევი კოდალით</t>
  </si>
  <si>
    <t xml:space="preserve">V  კატეგორიის გრუნტის გზის გაყვანა ბულდოზერით გადაადგ. 30 მ-მდე ყრილში გვერდზე გადაყრით სიმძ. 96 კვტ. </t>
  </si>
  <si>
    <t xml:space="preserve">IV  კატეგორიის გრუნტის გზის გაყვანა ბულდოზერით გადაადგ. 20 მ-მდე ყრილში გვერდზე გადაყრით სიმძ. 96 კვტ. </t>
  </si>
  <si>
    <t>ახალი გასაყვანი გზის IV კატ. გრუნტის დამუშავება ექსკავატორით ჩამჩით 1,0 მ3  ადგილზე დაყრით გზის ნაყარი ნაწილის მოწყობით (ნაწილობრივ დატვირთვით)</t>
  </si>
  <si>
    <t>ახალი გასაყვანი გზის V კატ. გრუნტის დამუშავება ექსკავატორით ჩამჩით 1,0 მ3  ადგილზე დაყრით გზის ნაყარი ნაწილის მოწყობით (ნაწილობრივ დატვირთვით)</t>
  </si>
  <si>
    <t>1-11-16,</t>
  </si>
  <si>
    <t>1-11-4,</t>
  </si>
  <si>
    <t>1-11-5,</t>
  </si>
  <si>
    <t>22-8-3,</t>
  </si>
  <si>
    <t>22-20-3,</t>
  </si>
  <si>
    <t>13</t>
  </si>
  <si>
    <t>18</t>
  </si>
  <si>
    <t>19</t>
  </si>
  <si>
    <t>მილსადენის ტრასის გაყოლებაზე ტყის გაკაფვა</t>
  </si>
  <si>
    <t>IV გრუნტის გათხრა ხელით ტრანშეის მოსაწყობად</t>
  </si>
  <si>
    <t>ამოღებული გრუნტის გაცრა და მილის შეფუთვა დატკეპნით. მილის ქვეშ და ზემოთ დამცავი საფარის 10+20 სმ. შესაქმნელად</t>
  </si>
  <si>
    <t>1-81-4</t>
  </si>
  <si>
    <t>გვ.131-105</t>
  </si>
  <si>
    <r>
      <t xml:space="preserve">d=108/4.5 </t>
    </r>
    <r>
      <rPr>
        <b/>
        <sz val="10"/>
        <rFont val="AcadNusx"/>
      </rPr>
      <t>mm</t>
    </r>
    <r>
      <rPr>
        <b/>
        <sz val="10"/>
        <rFont val="Sylfaen"/>
        <family val="1"/>
        <charset val="204"/>
      </rPr>
      <t xml:space="preserve"> ფოლადის მილ</t>
    </r>
    <r>
      <rPr>
        <b/>
        <sz val="10"/>
        <rFont val="AcadNusx"/>
      </rPr>
      <t>is SeZena da montaJi hidravlikuri gamocdiT</t>
    </r>
  </si>
  <si>
    <t>გვ.137-305  გვ.131-99</t>
  </si>
  <si>
    <t>gv.31-258</t>
  </si>
  <si>
    <t>გვ.137-310  გვ.131-99</t>
  </si>
  <si>
    <t>ზედმეტი გრუნტის გატანა საშუალოდ 5-კმ-ზე</t>
  </si>
  <si>
    <t>138-5.</t>
  </si>
  <si>
    <t>გვ.132-117</t>
  </si>
  <si>
    <t>გვ.31-250</t>
  </si>
  <si>
    <t>გვ.28-123</t>
  </si>
  <si>
    <t>გვ.28-123/2</t>
  </si>
  <si>
    <t>გვ.28-131</t>
  </si>
  <si>
    <t>გვ.29-165</t>
  </si>
  <si>
    <t>გვ.33-347</t>
  </si>
  <si>
    <t>გვ.38-533</t>
  </si>
  <si>
    <t>გვ.34-377/378</t>
  </si>
  <si>
    <t>Ggv.41-121</t>
  </si>
  <si>
    <t>Ggv.44-71</t>
  </si>
  <si>
    <r>
      <t>rk/b Wa d=1.0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=1,0 m rgoli</t>
    </r>
  </si>
  <si>
    <r>
      <t>rk/b Wa d=1.0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-0.5 m rgoli</t>
    </r>
  </si>
  <si>
    <t>გვ.28-122</t>
  </si>
  <si>
    <t>გვ.28-122/2</t>
  </si>
  <si>
    <t>გვ.28-130</t>
  </si>
  <si>
    <t>გვ.29-166</t>
  </si>
  <si>
    <t>გვ.28-124</t>
  </si>
  <si>
    <t>გვ.28-132</t>
  </si>
  <si>
    <t>გვ.29-164</t>
  </si>
  <si>
    <t>გვ.132-139</t>
  </si>
  <si>
    <t>ბულდოზერი 130 ცხძ.</t>
  </si>
  <si>
    <t>გვ.132-119</t>
  </si>
  <si>
    <t>გვ.133-175</t>
  </si>
  <si>
    <t>გვ.132-118</t>
  </si>
  <si>
    <t>გვ.134-192</t>
  </si>
  <si>
    <t>გვ.134-190</t>
  </si>
  <si>
    <t>გვ.134-191</t>
  </si>
  <si>
    <t>გვ.134-201</t>
  </si>
  <si>
    <t>გვ.132-113</t>
  </si>
  <si>
    <t>გვ.33-350</t>
  </si>
  <si>
    <t>გვ.1-9</t>
  </si>
  <si>
    <t>გვ33-364</t>
  </si>
  <si>
    <t>გვ.48-58</t>
  </si>
  <si>
    <t>gv.47-17</t>
  </si>
  <si>
    <t>gv.47-20</t>
  </si>
  <si>
    <t>gv.47-26</t>
  </si>
  <si>
    <t>გვ130-44</t>
  </si>
  <si>
    <t>გვ. 50-146</t>
  </si>
  <si>
    <t>გვ.10-23</t>
  </si>
  <si>
    <t>გვ. 31-272</t>
  </si>
  <si>
    <t>გვ.132-112</t>
  </si>
  <si>
    <t>138-10.</t>
  </si>
  <si>
    <t>გვ.30-243</t>
  </si>
  <si>
    <t>ელ.ენერგიის მიერთება  სემეკის N20 დადგენილება 2 ლოკაცია</t>
  </si>
  <si>
    <t>gv.56-297</t>
  </si>
  <si>
    <t>gv.61-558</t>
  </si>
  <si>
    <t>გვ.59-412</t>
  </si>
  <si>
    <t>გვ.54-154</t>
  </si>
  <si>
    <t>გვ.138-5</t>
  </si>
  <si>
    <t xml:space="preserve">ზედმეტი გრუნტის ტრანსპორტირება 5- კმ-მდე </t>
  </si>
  <si>
    <t>ტრანსპორტირება საშუალოდ 5 კმ-ზე</t>
  </si>
  <si>
    <t>გვ.31-255</t>
  </si>
  <si>
    <t>გვ.33-349</t>
  </si>
  <si>
    <t>გვ.47-1</t>
  </si>
  <si>
    <t>გვ.47-19</t>
  </si>
  <si>
    <r>
      <t xml:space="preserve">ბეტონი </t>
    </r>
    <r>
      <rPr>
        <sz val="10"/>
        <rFont val="Arial"/>
        <family val="2"/>
        <charset val="204"/>
      </rPr>
      <t>В-25 F200 W6</t>
    </r>
    <r>
      <rPr>
        <sz val="10"/>
        <rFont val="AcadNusx"/>
      </rPr>
      <t xml:space="preserve"> m-350</t>
    </r>
  </si>
  <si>
    <t>გვ.33-352</t>
  </si>
  <si>
    <t>გვ.32-310</t>
  </si>
  <si>
    <t>გვ.34-377</t>
  </si>
  <si>
    <t>გვ.34-386</t>
  </si>
  <si>
    <t>გვ.39-22</t>
  </si>
  <si>
    <t>გვ.40-73</t>
  </si>
  <si>
    <t>გვ.43-19</t>
  </si>
  <si>
    <t>გვ.133-166</t>
  </si>
  <si>
    <t>გვ.136-286</t>
  </si>
  <si>
    <t>გვ.123-4</t>
  </si>
  <si>
    <t>გვ.9-101</t>
  </si>
  <si>
    <t>გვ.42-27</t>
  </si>
  <si>
    <t>გვ.42-25</t>
  </si>
  <si>
    <t>გვ.42-21</t>
  </si>
  <si>
    <t>gv.10-24</t>
  </si>
  <si>
    <t>გვ.34-374</t>
  </si>
  <si>
    <t>gv.51-11-12</t>
  </si>
  <si>
    <t>gv.16-18</t>
  </si>
  <si>
    <t>gv.63-655</t>
  </si>
  <si>
    <t>gv.58-399</t>
  </si>
  <si>
    <t>gv.60-466</t>
  </si>
  <si>
    <t>gv.57-312</t>
  </si>
  <si>
    <t>gv.52-73</t>
  </si>
  <si>
    <t>gv.16-20</t>
  </si>
  <si>
    <t>gv.59-408</t>
  </si>
  <si>
    <t>gv.63-636</t>
  </si>
  <si>
    <t>gv.52-44</t>
  </si>
  <si>
    <t>gv.16-17</t>
  </si>
  <si>
    <t>gv.61-516</t>
  </si>
  <si>
    <t>gv.59-405</t>
  </si>
  <si>
    <t>gv.63-624</t>
  </si>
  <si>
    <t>gv.57-329</t>
  </si>
  <si>
    <t>samkapa gadamyvani plastmasis d25mm</t>
  </si>
  <si>
    <t>gv.60-486</t>
  </si>
  <si>
    <t>gv.61-532</t>
  </si>
  <si>
    <t>gv.61-517</t>
  </si>
  <si>
    <t>gv.59-406</t>
  </si>
  <si>
    <t>gv.63-625</t>
  </si>
  <si>
    <t>gv.60-487</t>
  </si>
  <si>
    <t>gv.45-29</t>
  </si>
  <si>
    <t>gv.55-223</t>
  </si>
  <si>
    <t>გვ.39-14</t>
  </si>
  <si>
    <t>გვ.130-40</t>
  </si>
  <si>
    <t>gv.61-552</t>
  </si>
  <si>
    <t>გვ.113-328</t>
  </si>
  <si>
    <t>გვ.107-62</t>
  </si>
  <si>
    <t>გვ.107-52</t>
  </si>
  <si>
    <t>გვ.111-234</t>
  </si>
  <si>
    <t>გვ.112-266</t>
  </si>
  <si>
    <t>გვ.111-206</t>
  </si>
  <si>
    <t>გვ.114-370</t>
  </si>
  <si>
    <t>გვ.91-119</t>
  </si>
  <si>
    <t>გვ.91-118</t>
  </si>
  <si>
    <t>gv.6-62</t>
  </si>
  <si>
    <t>gv.116-8</t>
  </si>
  <si>
    <t>gv.98-149</t>
  </si>
  <si>
    <t>gv.87-88</t>
  </si>
  <si>
    <t>gv.47-28</t>
  </si>
  <si>
    <t>გვ.130-36</t>
  </si>
  <si>
    <t>გვ.7-47</t>
  </si>
  <si>
    <t>გვ.5-20</t>
  </si>
  <si>
    <t>გვ.39-35</t>
  </si>
  <si>
    <t>გვ.50-151</t>
  </si>
  <si>
    <t>გვ.50-146</t>
  </si>
  <si>
    <t>საპროექტო N1 კაპტაჟის შემოღობვა</t>
  </si>
  <si>
    <t>არსებული რეზერვუარის და საპროექტო საქლორატოროს შემოღობვა</t>
  </si>
  <si>
    <t>IV kat. gruntis damuSaveba eqskavatoris kovSiT 0.5m3  adgilze dayriT</t>
  </si>
  <si>
    <t>IV gruntis damuSaveba xeliT meqanizmis Semdeg</t>
  </si>
  <si>
    <t>სათავე კვანძი N1 კაპტაჟი</t>
  </si>
  <si>
    <t>B-1.2</t>
  </si>
  <si>
    <t>წყალმიმღები #1 სათავე კვანძის მიწის სამუშაოები</t>
  </si>
  <si>
    <t>წყალმიმღები #1 სათავე კვანძის სამშენებლო სამუშაოები</t>
  </si>
  <si>
    <t>წყალმიმღები #1 სათავე კვანძის კომუნიკაციები</t>
  </si>
  <si>
    <t>B-1.2.1</t>
  </si>
  <si>
    <t>B-1.2.2</t>
  </si>
  <si>
    <t>B-1.2.3</t>
  </si>
  <si>
    <t>I. milmdenis mowyobis samuSaoebi</t>
  </si>
  <si>
    <t>1-11-15</t>
  </si>
  <si>
    <t>III kat. gruntis damuSaveba eqskavatoris kovSiT 0.5 m3  adgilze dayriT</t>
  </si>
  <si>
    <t>gv.136-126</t>
  </si>
  <si>
    <r>
      <t xml:space="preserve">eqskavatori CamCis moc. </t>
    </r>
    <r>
      <rPr>
        <b/>
        <sz val="10"/>
        <rFont val="AcadNusx"/>
      </rPr>
      <t>0.5</t>
    </r>
    <r>
      <rPr>
        <sz val="10"/>
        <rFont val="AcadNusx"/>
      </rPr>
      <t xml:space="preserve">m3, </t>
    </r>
  </si>
  <si>
    <t xml:space="preserve">1-79-9        </t>
  </si>
  <si>
    <t>III gruntis damuSaveba xeliT meqanizmis Semdeg</t>
  </si>
  <si>
    <t xml:space="preserve">1-11-16            </t>
  </si>
  <si>
    <t xml:space="preserve">eqskavatori CamCis moc. 0.5 m3, </t>
  </si>
  <si>
    <t xml:space="preserve">1-79-10       </t>
  </si>
  <si>
    <t>23.-1-2</t>
  </si>
  <si>
    <t>wvrilmarcvlovani RorRis 10 sm sisqis fenilis mowyoba milis ZirSi</t>
  </si>
  <si>
    <t>RorRi 20-40 mm</t>
  </si>
  <si>
    <t>26-13-9</t>
  </si>
  <si>
    <t>moTuTuebuli liTonis mavTuli</t>
  </si>
  <si>
    <t>geobade 300</t>
  </si>
  <si>
    <t>22-8-.7</t>
  </si>
  <si>
    <t>m.</t>
  </si>
  <si>
    <t>RorRis fenilis mowyoba filtrSi 16-32 mm 20-sm</t>
  </si>
  <si>
    <t>RorRi 10-15 sm; sisq. 40 sm</t>
  </si>
  <si>
    <t>RorRi 5-10 sm; sisq. 40 sm</t>
  </si>
  <si>
    <t>RorRi 3-5 sm; sisq. 40 sm</t>
  </si>
  <si>
    <t>RorRi 1-5 sm; sisq. 40 sm</t>
  </si>
  <si>
    <t xml:space="preserve">8-4-8 </t>
  </si>
  <si>
    <t xml:space="preserve">Tixis ekranis mowyoba </t>
  </si>
  <si>
    <t xml:space="preserve">1-118-10 </t>
  </si>
  <si>
    <t>satkepni manqana</t>
  </si>
  <si>
    <t xml:space="preserve">1-31-3     </t>
  </si>
  <si>
    <t xml:space="preserve">arsebuli gruntiT tranSeis Sevseba და ადგილზე გაშლა (დრენაჟის თავზე) buldozeriT  80cx.Z/. </t>
  </si>
  <si>
    <t>ბულდოზერი 80ცხ.ძ</t>
  </si>
  <si>
    <t>III kategoriis gruntis qvabulis damuSaveba sadrenaJo Wis mosawyobad</t>
  </si>
  <si>
    <t>23-1-2</t>
  </si>
  <si>
    <t>wvrilmarcvlovani RorRis 10 sm sisqis fenilis mowyoba</t>
  </si>
  <si>
    <t>22-30-1.</t>
  </si>
  <si>
    <r>
      <t xml:space="preserve">rk/betonis sadrenaJo Wis mowyoba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=1500mm (1c) </t>
    </r>
    <r>
      <rPr>
        <b/>
        <sz val="10"/>
        <rFont val="Arial"/>
        <family val="2"/>
      </rPr>
      <t>h=5.5</t>
    </r>
    <r>
      <rPr>
        <b/>
        <sz val="10"/>
        <rFont val="AcadNusx"/>
      </rPr>
      <t xml:space="preserve"> m-mde hidroizolaciiT</t>
    </r>
  </si>
  <si>
    <t>30-51-3</t>
  </si>
  <si>
    <t>ქვიშა-ცემენტის ხსნარი მ-150</t>
  </si>
  <si>
    <t>11-1-11</t>
  </si>
  <si>
    <t>betonis Wis Raris mowyoba sadrenaJo WaSi</t>
  </si>
  <si>
    <t xml:space="preserve">1-31-3             </t>
  </si>
  <si>
    <t>arsebuli gruntiს უკუმიყრა სადრენაჟო ჭისთვის და ადგილზე გაშლა (დრენაჟის თავზე) buldozeriT  80cx.Z/. (datkepniT)</t>
  </si>
  <si>
    <t>Webis raodenoba cali</t>
  </si>
  <si>
    <t xml:space="preserve">zednadebi xarjebi </t>
  </si>
  <si>
    <t>სადრენაჟე სათავე კვანძი</t>
  </si>
  <si>
    <t>სადრენაჟე სათავე კვანძის მიწის სამუშაოები</t>
  </si>
  <si>
    <t>სადრენაჟე სათავე კვანძის სამშენებლო სამუშაოები</t>
  </si>
  <si>
    <t>სადრენაჟე სათავე კვანძის სათვალთვალო ჭები</t>
  </si>
  <si>
    <t>RorRis datkepvna gofrirebuli d=500 mm milis Tavze da gverdebze</t>
  </si>
  <si>
    <t>gv.31-261</t>
  </si>
  <si>
    <t>gv.8-68</t>
  </si>
  <si>
    <t>gv.45-21</t>
  </si>
  <si>
    <t>gv.31-263</t>
  </si>
  <si>
    <t>gv.31-262</t>
  </si>
  <si>
    <t>gv.31-260</t>
  </si>
  <si>
    <t>gv.31-243</t>
  </si>
  <si>
    <t>ჭიდან მაგისტრალურ მილსადენზე გადასვლის ადგილას ტრანშეის ჩამკეტი თიხის კლიტის მოწყობა</t>
  </si>
  <si>
    <t>gv.54-149</t>
  </si>
  <si>
    <t>ლითონის სამკაპი 110X110X110 მმ</t>
  </si>
  <si>
    <t>ლითონის სამკაპი 100X100X100 მმ</t>
  </si>
  <si>
    <t>გვ.58-370*2</t>
  </si>
  <si>
    <t>გვ.58-369*2</t>
  </si>
  <si>
    <t>გვ.58-370</t>
  </si>
  <si>
    <t>მილსადენის ტრასის გაყოლებაზე სამშენებლო ტექნიკის მუშაობისთვის ხების დანომრვა მოჭრა ადგილზე დალაგება დაჭრა ტრანსპორტირებისთვის და ტერიტორიის მოსუფთავება ტოტებისგან</t>
  </si>
  <si>
    <t>საბაზრო</t>
  </si>
  <si>
    <t>ტყეში დასაწყობებული მორების დატვირთვა ავტოთვიმთლელზე</t>
  </si>
  <si>
    <t>დაჭრილი ხის მორების ტრანსპორტირება მუნიციპალიტეტის მიერ მითითებულ ადგილამდე საშუალოდ 40 კმ</t>
  </si>
  <si>
    <t>მორის ტრანსპორტირება გატანა საშუალოდ 40-კმ-ზე</t>
  </si>
  <si>
    <t>138-40.</t>
  </si>
  <si>
    <r>
      <t xml:space="preserve">mili </t>
    </r>
    <r>
      <rPr>
        <sz val="9"/>
        <rFont val="Calibri"/>
        <family val="2"/>
      </rPr>
      <t xml:space="preserve">PN16 SDR11 PE100 d=90 </t>
    </r>
    <r>
      <rPr>
        <sz val="9"/>
        <rFont val="AcadMtavr"/>
      </rPr>
      <t>mm</t>
    </r>
  </si>
  <si>
    <r>
      <t xml:space="preserve">polieTilenis milis SeZena da montaJi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-90 mm-mde hidravlikuri SemowmebiT </t>
    </r>
    <r>
      <rPr>
        <b/>
        <sz val="9"/>
        <rFont val="Calibri"/>
        <family val="2"/>
      </rPr>
      <t>PN-16 SDR 11 PN100</t>
    </r>
  </si>
  <si>
    <t>milebis gamorecxva da dezinfeqcia d-90 mm</t>
  </si>
  <si>
    <t>პოლიეთილენის მილყელი ადაპტორის შეძენა და მონტაჟი დ=90 მმ</t>
  </si>
  <si>
    <r>
      <t xml:space="preserve">მილყელი ადაპტორი </t>
    </r>
    <r>
      <rPr>
        <sz val="10"/>
        <rFont val="Arial"/>
        <family val="2"/>
        <charset val="204"/>
      </rPr>
      <t>d</t>
    </r>
    <r>
      <rPr>
        <sz val="10"/>
        <rFont val="AcadNusx"/>
      </rPr>
      <t>=90 მმ</t>
    </r>
  </si>
  <si>
    <r>
      <t xml:space="preserve">miltuCi (flaneci) paroniti </t>
    </r>
    <r>
      <rPr>
        <sz val="10"/>
        <rFont val="Arial"/>
        <family val="2"/>
        <charset val="204"/>
      </rPr>
      <t>d</t>
    </r>
    <r>
      <rPr>
        <sz val="10"/>
        <rFont val="AcadNusx"/>
      </rPr>
      <t>=90 მმ</t>
    </r>
  </si>
  <si>
    <r>
      <t>მუხლი 90</t>
    </r>
    <r>
      <rPr>
        <vertAlign val="superscript"/>
        <sz val="10"/>
        <rFont val="AcadNusx"/>
      </rPr>
      <t>0</t>
    </r>
    <r>
      <rPr>
        <sz val="10"/>
        <rFont val="AcadNusx"/>
      </rPr>
      <t xml:space="preserve"> </t>
    </r>
    <r>
      <rPr>
        <sz val="10"/>
        <rFont val="Arial"/>
        <family val="2"/>
        <charset val="204"/>
      </rPr>
      <t>d</t>
    </r>
    <r>
      <rPr>
        <sz val="10"/>
        <rFont val="AcadNusx"/>
      </rPr>
      <t>=90 მმ</t>
    </r>
  </si>
  <si>
    <t>გვ.20-115</t>
  </si>
  <si>
    <t>Tavi III  d=1500 mm sadrenaJo Wis mowyoba h=2.0 m 1 calis</t>
  </si>
  <si>
    <t>გვ.136-126</t>
  </si>
  <si>
    <t xml:space="preserve">ექსკავატორი ჩამჩის მოც. 1.0-მ3, </t>
  </si>
  <si>
    <t xml:space="preserve">qarxnulad perforirebuli sadrenaJe  d=300 gofrirebuli milis Cawyoba tranSeaSi </t>
  </si>
  <si>
    <r>
      <t xml:space="preserve">gofrirebuli mili d-300 </t>
    </r>
    <r>
      <rPr>
        <sz val="10"/>
        <rFont val="Arial"/>
        <family val="2"/>
        <charset val="204"/>
      </rPr>
      <t>SN-8</t>
    </r>
    <r>
      <rPr>
        <sz val="10"/>
        <rFont val="AcadNusx"/>
      </rPr>
      <t xml:space="preserve"> პერფორირებული (1 g.m-ze 150 cali) ნახაზის მიხედვით</t>
    </r>
  </si>
  <si>
    <t>gv.22-69*1,5</t>
  </si>
  <si>
    <t>spiralurad geobadis Semoxveva d=300 mm gofrirebul milze (geobade 300) zomis</t>
  </si>
  <si>
    <t>გვ.12-44</t>
  </si>
  <si>
    <t>მილსადენის გაყოლებაზე საჭიროებისამებრ ახალი გზის გაყვანა</t>
  </si>
  <si>
    <r>
      <t xml:space="preserve">polieTilenis milis montaJi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-110 mm-mde hidravlikuri SemowmebiT </t>
    </r>
    <r>
      <rPr>
        <b/>
        <sz val="9"/>
        <rFont val="Calibri"/>
        <family val="2"/>
      </rPr>
      <t>PN-16 SDR 11 PE100</t>
    </r>
  </si>
  <si>
    <r>
      <t xml:space="preserve">mili </t>
    </r>
    <r>
      <rPr>
        <sz val="9"/>
        <rFont val="Calibri"/>
        <family val="2"/>
      </rPr>
      <t xml:space="preserve">PN16 SDR11 PE100 d=110 </t>
    </r>
    <r>
      <rPr>
        <sz val="9"/>
        <rFont val="AcadMtavr"/>
      </rPr>
      <t>mm</t>
    </r>
  </si>
  <si>
    <t>milebis gamorecxva da dezinfeqcia d-110 mm</t>
  </si>
  <si>
    <t>B-2.2.3.2</t>
  </si>
  <si>
    <r>
      <t>მუხლი 90</t>
    </r>
    <r>
      <rPr>
        <vertAlign val="superscript"/>
        <sz val="9"/>
        <rFont val="AcadNusx"/>
      </rPr>
      <t>0</t>
    </r>
    <r>
      <rPr>
        <sz val="9"/>
        <rFont val="AcadNusx"/>
      </rPr>
      <t xml:space="preserve"> </t>
    </r>
    <r>
      <rPr>
        <sz val="9"/>
        <rFont val="Arial"/>
        <family val="2"/>
        <charset val="204"/>
      </rPr>
      <t>d</t>
    </r>
    <r>
      <rPr>
        <sz val="9"/>
        <rFont val="AcadNusx"/>
      </rPr>
      <t>=100-110 მმ</t>
    </r>
  </si>
  <si>
    <t>B-3.3</t>
  </si>
  <si>
    <t>სადრენაჟო სათავე კვანძის შემოღობვა</t>
  </si>
  <si>
    <t xml:space="preserve">Tujis სადემონტაჟო ქურო d=100 mm montaJi </t>
  </si>
  <si>
    <r>
      <t>Tujis სადემონტაჟო ქურო d=100 mm</t>
    </r>
    <r>
      <rPr>
        <sz val="9"/>
        <rFont val="არიალ"/>
        <charset val="204"/>
      </rPr>
      <t xml:space="preserve"> PN-16</t>
    </r>
  </si>
  <si>
    <t xml:space="preserve">Tujis უკუსარქველი d=100 mm montaJi </t>
  </si>
  <si>
    <r>
      <t>Tujis უკუსარქველი d=100 mm</t>
    </r>
    <r>
      <rPr>
        <sz val="9"/>
        <rFont val="არიალ"/>
        <charset val="204"/>
      </rPr>
      <t xml:space="preserve"> PN-16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</si>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</sst>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₾_-;\-* #,##0.00\ _₾_-;_-* &quot;-&quot;??\ _₾_-;_-@_-"/>
    <numFmt numFmtId="164" formatCode="_-* #,##0.00_-;\-* #,##0.00_-;_-* &quot;-&quot;??_-;_-@_-"/>
    <numFmt numFmtId="165" formatCode="_(* #,##0.00_);_(* \(#,##0.00\);_(* &quot;-&quot;??_);_(@_)"/>
    <numFmt numFmtId="166" formatCode="_-* #,##0.00_р_._-;\-* #,##0.00_р_._-;_-* &quot;-&quot;??_р_._-;_-@_-"/>
    <numFmt numFmtId="167" formatCode="0.0%"/>
    <numFmt numFmtId="168" formatCode="0.000"/>
    <numFmt numFmtId="169" formatCode="0.0"/>
    <numFmt numFmtId="170" formatCode="0.0000"/>
    <numFmt numFmtId="171" formatCode="_(* #,##0.00_);_(* \(#,##0.00\);_(* &quot;-&quot;???_);_(@_)"/>
    <numFmt numFmtId="172" formatCode="_-* #,##0.00\ _L_a_r_i_-;\-* #,##0.00\ _L_a_r_i_-;_-* &quot;-&quot;??\ _L_a_r_i_-;_-@_-"/>
    <numFmt numFmtId="173" formatCode="_-* #,##0_р_._-;\-* #,##0_р_._-;_-* &quot;-&quot;??_р_._-;_-@_-"/>
    <numFmt numFmtId="174" formatCode="0.00000"/>
    <numFmt numFmtId="175" formatCode="#,##0.000"/>
    <numFmt numFmtId="176" formatCode="#,##0.0000"/>
    <numFmt numFmtId="177" formatCode="#,##0.00000"/>
    <numFmt numFmtId="178" formatCode="_-* #,##0.000_р_._-;\-* #,##0.000_р_._-;_-* &quot;-&quot;??_р_._-;_-@_-"/>
    <numFmt numFmtId="179" formatCode="_-* #,##0.000_р_._-;\-* #,##0.000_р_._-;_-* &quot;-&quot;???_р_._-;_-@_-"/>
    <numFmt numFmtId="180" formatCode="_(* #,##0.0_);_(* \(#,##0.0\);_(* &quot;-&quot;??_);_(@_)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Sylfaen"/>
      <family val="1"/>
      <charset val="204"/>
    </font>
    <font>
      <b/>
      <sz val="12"/>
      <name val="Sylfaen"/>
      <family val="1"/>
      <charset val="204"/>
    </font>
    <font>
      <sz val="10"/>
      <name val="Arial"/>
      <family val="2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9"/>
      <name val="AcadNusx"/>
    </font>
    <font>
      <b/>
      <sz val="9"/>
      <name val="AcadNusx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Calibri"/>
      <family val="2"/>
    </font>
    <font>
      <sz val="10"/>
      <name val="Arial Cyr"/>
      <charset val="1"/>
    </font>
    <font>
      <b/>
      <sz val="10"/>
      <name val="Times New Roman"/>
      <family val="1"/>
      <charset val="204"/>
    </font>
    <font>
      <b/>
      <sz val="9"/>
      <name val="Sylfaen"/>
      <family val="1"/>
      <charset val="1"/>
    </font>
    <font>
      <sz val="10"/>
      <name val="Arial"/>
      <family val="2"/>
    </font>
    <font>
      <sz val="9"/>
      <name val="AcadMtavr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u/>
      <sz val="9"/>
      <name val="Sylfaen"/>
      <family val="1"/>
      <charset val="204"/>
    </font>
    <font>
      <b/>
      <vertAlign val="superscript"/>
      <sz val="9"/>
      <name val="AcadNusx"/>
    </font>
    <font>
      <b/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Arial"/>
      <family val="2"/>
      <charset val="204"/>
    </font>
    <font>
      <sz val="9"/>
      <name val="Calibri"/>
      <family val="2"/>
      <scheme val="minor"/>
    </font>
    <font>
      <i/>
      <sz val="9"/>
      <name val="AcadNusx"/>
    </font>
    <font>
      <sz val="9"/>
      <name val="არიალ"/>
      <charset val="204"/>
    </font>
    <font>
      <vertAlign val="superscript"/>
      <sz val="9"/>
      <name val="AcadNusx"/>
    </font>
    <font>
      <b/>
      <sz val="9"/>
      <name val="Arial"/>
      <family val="2"/>
      <charset val="204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Academiuri Normaluri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name val="Sylfaen"/>
      <family val="1"/>
      <charset val="1"/>
    </font>
    <font>
      <sz val="10"/>
      <name val="Sylfaen"/>
      <family val="1"/>
      <charset val="1"/>
    </font>
    <font>
      <b/>
      <u/>
      <sz val="10"/>
      <name val="Sylfaen"/>
      <family val="1"/>
      <charset val="1"/>
    </font>
    <font>
      <b/>
      <sz val="10"/>
      <name val="Sylfaen"/>
      <family val="1"/>
      <charset val="1"/>
    </font>
    <font>
      <b/>
      <sz val="10"/>
      <name val="AcadNusx"/>
    </font>
    <font>
      <sz val="10"/>
      <name val="AcadNusx"/>
    </font>
    <font>
      <vertAlign val="superscript"/>
      <sz val="10"/>
      <name val="AcadNusx"/>
    </font>
    <font>
      <sz val="11"/>
      <name val="AcadNusx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AcadNusx"/>
    </font>
    <font>
      <sz val="11"/>
      <name val="Academiuri Normaluri"/>
    </font>
    <font>
      <sz val="8"/>
      <name val="AcadNusx"/>
    </font>
    <font>
      <b/>
      <sz val="12"/>
      <name val="Arial"/>
      <family val="2"/>
      <charset val="1"/>
    </font>
    <font>
      <b/>
      <sz val="11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</font>
    <font>
      <vertAlign val="superscript"/>
      <sz val="10"/>
      <name val="Sylfaen"/>
      <family val="1"/>
    </font>
    <font>
      <sz val="11"/>
      <name val="Arachveulebrivi Thin"/>
      <family val="2"/>
    </font>
    <font>
      <b/>
      <sz val="11"/>
      <name val="Sylfaen"/>
      <family val="1"/>
      <charset val="1"/>
    </font>
    <font>
      <sz val="11"/>
      <name val="Sylfaen"/>
      <family val="1"/>
      <charset val="1"/>
    </font>
    <font>
      <sz val="9"/>
      <name val="Sylfaen"/>
      <family val="1"/>
      <charset val="1"/>
    </font>
    <font>
      <b/>
      <sz val="8"/>
      <name val="AcadNusx"/>
    </font>
    <font>
      <b/>
      <sz val="8"/>
      <name val="Sylfaen"/>
      <family val="1"/>
      <charset val="204"/>
    </font>
    <font>
      <sz val="8"/>
      <name val="Calibri"/>
      <family val="2"/>
      <scheme val="minor"/>
    </font>
    <font>
      <b/>
      <u/>
      <sz val="10"/>
      <name val="AcadNusx"/>
    </font>
    <font>
      <b/>
      <strike/>
      <sz val="10"/>
      <name val="AcadNusx"/>
    </font>
    <font>
      <b/>
      <sz val="10"/>
      <name val="Arial"/>
      <family val="2"/>
      <charset val="204"/>
    </font>
    <font>
      <b/>
      <u/>
      <sz val="10"/>
      <name val="Sylfaen"/>
      <family val="1"/>
      <charset val="204"/>
    </font>
    <font>
      <b/>
      <sz val="10"/>
      <name val="Calibri"/>
      <family val="2"/>
      <scheme val="minor"/>
    </font>
    <font>
      <b/>
      <i/>
      <sz val="10"/>
      <name val="AcadNusx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Sylfaen"/>
      <family val="1"/>
      <charset val="204"/>
    </font>
    <font>
      <b/>
      <vertAlign val="superscript"/>
      <sz val="10"/>
      <name val="AcadNusx"/>
    </font>
    <font>
      <vertAlign val="superscript"/>
      <sz val="10"/>
      <name val="Arachveulebrivi Thin"/>
      <family val="2"/>
    </font>
    <font>
      <b/>
      <sz val="11"/>
      <name val="AcadNusx"/>
    </font>
    <font>
      <b/>
      <sz val="10"/>
      <name val="Arial"/>
      <family val="2"/>
    </font>
    <font>
      <sz val="11"/>
      <name val="AcadMtavr"/>
    </font>
    <font>
      <i/>
      <sz val="10"/>
      <name val="AcadNusx"/>
    </font>
    <font>
      <sz val="10"/>
      <name val="არიალ"/>
      <charset val="204"/>
    </font>
    <font>
      <b/>
      <vertAlign val="superscript"/>
      <sz val="11"/>
      <name val="AcadNusx"/>
    </font>
    <font>
      <vertAlign val="superscript"/>
      <sz val="11"/>
      <name val="AcadNusx"/>
    </font>
    <font>
      <vertAlign val="superscript"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rgb="FFFF0000"/>
      <name val="Sylfaen"/>
      <family val="1"/>
      <charset val="1"/>
    </font>
    <font>
      <sz val="9"/>
      <color rgb="FFFF0000"/>
      <name val="Sylfaen"/>
      <family val="1"/>
      <charset val="1"/>
    </font>
    <font>
      <b/>
      <u/>
      <sz val="9"/>
      <name val="Sylfaen"/>
      <family val="1"/>
      <charset val="1"/>
    </font>
    <font>
      <sz val="9"/>
      <name val="Sylfaen"/>
      <family val="1"/>
    </font>
    <font>
      <b/>
      <sz val="9"/>
      <name val="Sylfaen"/>
      <family val="1"/>
    </font>
    <font>
      <sz val="8"/>
      <name val="Sylfaen"/>
      <family val="1"/>
      <charset val="1"/>
    </font>
    <font>
      <b/>
      <sz val="8"/>
      <name val="Sylfaen"/>
      <family val="1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6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6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6" fillId="0" borderId="0"/>
    <xf numFmtId="165" fontId="9" fillId="0" borderId="0" applyFont="0" applyFill="0" applyBorder="0" applyAlignment="0" applyProtection="0"/>
    <xf numFmtId="0" fontId="9" fillId="0" borderId="0"/>
    <xf numFmtId="165" fontId="4" fillId="0" borderId="0" applyFont="0" applyFill="0" applyBorder="0" applyAlignment="0" applyProtection="0"/>
    <xf numFmtId="0" fontId="5" fillId="0" borderId="0"/>
    <xf numFmtId="0" fontId="14" fillId="0" borderId="0"/>
    <xf numFmtId="0" fontId="5" fillId="0" borderId="0"/>
    <xf numFmtId="0" fontId="15" fillId="0" borderId="0"/>
    <xf numFmtId="0" fontId="17" fillId="0" borderId="0"/>
    <xf numFmtId="0" fontId="15" fillId="0" borderId="0"/>
    <xf numFmtId="0" fontId="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</cellStyleXfs>
  <cellXfs count="1189">
    <xf numFmtId="0" fontId="0" fillId="0" borderId="0" xfId="0"/>
    <xf numFmtId="0" fontId="7" fillId="0" borderId="0" xfId="2" applyFont="1" applyFill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7" fillId="0" borderId="0" xfId="0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11" fillId="0" borderId="4" xfId="0" applyFont="1" applyFill="1" applyBorder="1" applyAlignment="1">
      <alignment horizontal="left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11" fillId="0" borderId="1" xfId="0" applyFont="1" applyFill="1" applyBorder="1" applyAlignment="1">
      <alignment vertical="center"/>
    </xf>
    <xf numFmtId="0" fontId="11" fillId="0" borderId="1" xfId="3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 wrapText="1"/>
    </xf>
    <xf numFmtId="2" fontId="11" fillId="0" borderId="0" xfId="0" applyNumberFormat="1" applyFont="1" applyFill="1" applyAlignment="1">
      <alignment horizontal="center" vertical="center" wrapText="1"/>
    </xf>
    <xf numFmtId="166" fontId="11" fillId="0" borderId="0" xfId="0" applyNumberFormat="1" applyFont="1" applyFill="1" applyAlignment="1">
      <alignment vertical="center" wrapText="1"/>
    </xf>
    <xf numFmtId="166" fontId="11" fillId="0" borderId="0" xfId="0" applyNumberFormat="1" applyFont="1" applyFill="1" applyAlignment="1">
      <alignment horizontal="left" vertical="center" wrapText="1"/>
    </xf>
    <xf numFmtId="2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 applyAlignment="1">
      <alignment horizontal="right" vertical="center"/>
    </xf>
    <xf numFmtId="43" fontId="10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0" fillId="0" borderId="0" xfId="3" applyFont="1" applyFill="1" applyAlignment="1">
      <alignment vertical="center" shrinkToFit="1"/>
    </xf>
    <xf numFmtId="0" fontId="10" fillId="0" borderId="2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/>
    <xf numFmtId="2" fontId="12" fillId="0" borderId="1" xfId="2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11" applyNumberFormat="1" applyFont="1" applyFill="1" applyBorder="1" applyAlignment="1">
      <alignment horizontal="left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0" fontId="13" fillId="0" borderId="1" xfId="11" applyNumberFormat="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wrapText="1"/>
    </xf>
    <xf numFmtId="0" fontId="13" fillId="0" borderId="1" xfId="11" applyFont="1" applyFill="1" applyBorder="1" applyAlignment="1">
      <alignment horizontal="center" vertical="center"/>
    </xf>
    <xf numFmtId="1" fontId="13" fillId="0" borderId="1" xfId="11" applyNumberFormat="1" applyFont="1" applyFill="1" applyBorder="1" applyAlignment="1">
      <alignment horizontal="center" vertical="center"/>
    </xf>
    <xf numFmtId="0" fontId="12" fillId="0" borderId="1" xfId="11" applyNumberFormat="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vertical="center" wrapText="1"/>
    </xf>
    <xf numFmtId="0" fontId="12" fillId="0" borderId="1" xfId="11" applyFont="1" applyFill="1" applyBorder="1" applyAlignment="1">
      <alignment horizontal="center" vertical="center"/>
    </xf>
    <xf numFmtId="0" fontId="12" fillId="0" borderId="1" xfId="11" applyNumberFormat="1" applyFont="1" applyFill="1" applyBorder="1" applyAlignment="1">
      <alignment horizontal="center" vertical="center"/>
    </xf>
    <xf numFmtId="0" fontId="12" fillId="0" borderId="1" xfId="57" applyFont="1" applyFill="1" applyBorder="1" applyAlignment="1">
      <alignment vertical="center" wrapText="1"/>
    </xf>
    <xf numFmtId="0" fontId="12" fillId="0" borderId="1" xfId="57" applyNumberFormat="1" applyFont="1" applyFill="1" applyBorder="1" applyAlignment="1">
      <alignment horizontal="center" vertical="center" wrapText="1"/>
    </xf>
    <xf numFmtId="171" fontId="12" fillId="0" borderId="1" xfId="1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32" fillId="0" borderId="1" xfId="0" applyNumberFormat="1" applyFont="1" applyFill="1" applyBorder="1" applyAlignment="1">
      <alignment horizontal="left" vertical="top" wrapText="1"/>
    </xf>
    <xf numFmtId="0" fontId="13" fillId="0" borderId="1" xfId="0" quotePrefix="1" applyFont="1" applyFill="1" applyBorder="1" applyAlignment="1">
      <alignment horizontal="center" vertical="top" wrapText="1"/>
    </xf>
    <xf numFmtId="16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23" fillId="0" borderId="0" xfId="0" applyNumberFormat="1" applyFont="1"/>
    <xf numFmtId="0" fontId="10" fillId="0" borderId="0" xfId="0" applyFont="1" applyFill="1" applyAlignment="1">
      <alignment horizontal="left"/>
    </xf>
    <xf numFmtId="0" fontId="36" fillId="0" borderId="0" xfId="42" applyFont="1" applyFill="1" applyAlignment="1">
      <alignment vertical="center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36" fillId="0" borderId="0" xfId="42" applyFont="1" applyFill="1" applyAlignment="1">
      <alignment horizontal="center" vertical="center"/>
    </xf>
    <xf numFmtId="0" fontId="36" fillId="0" borderId="1" xfId="42" applyFont="1" applyFill="1" applyBorder="1" applyAlignment="1">
      <alignment horizontal="center" vertical="center"/>
    </xf>
    <xf numFmtId="0" fontId="36" fillId="0" borderId="1" xfId="42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36" fillId="0" borderId="1" xfId="42" applyFont="1" applyFill="1" applyBorder="1" applyAlignment="1">
      <alignment vertical="center" wrapText="1"/>
    </xf>
    <xf numFmtId="165" fontId="36" fillId="0" borderId="1" xfId="54" applyFont="1" applyFill="1" applyBorder="1" applyAlignment="1">
      <alignment horizontal="center" vertical="center"/>
    </xf>
    <xf numFmtId="165" fontId="36" fillId="0" borderId="1" xfId="54" applyFont="1" applyFill="1" applyBorder="1" applyAlignment="1">
      <alignment horizontal="center" vertical="center" wrapText="1"/>
    </xf>
    <xf numFmtId="165" fontId="36" fillId="0" borderId="1" xfId="54" applyFont="1" applyFill="1" applyBorder="1" applyAlignment="1">
      <alignment horizontal="left" vertical="center" wrapText="1"/>
    </xf>
    <xf numFmtId="2" fontId="36" fillId="0" borderId="1" xfId="42" applyNumberFormat="1" applyFont="1" applyFill="1" applyBorder="1" applyAlignment="1">
      <alignment horizontal="center" vertical="center"/>
    </xf>
    <xf numFmtId="49" fontId="36" fillId="0" borderId="1" xfId="42" applyNumberFormat="1" applyFont="1" applyFill="1" applyBorder="1" applyAlignment="1">
      <alignment horizontal="center" vertical="center"/>
    </xf>
    <xf numFmtId="0" fontId="36" fillId="0" borderId="0" xfId="40" applyFont="1" applyFill="1" applyAlignment="1">
      <alignment vertical="center" wrapText="1"/>
    </xf>
    <xf numFmtId="2" fontId="36" fillId="0" borderId="0" xfId="42" applyNumberFormat="1" applyFont="1" applyFill="1" applyAlignment="1">
      <alignment horizontal="center" vertical="center" wrapText="1"/>
    </xf>
    <xf numFmtId="166" fontId="36" fillId="0" borderId="0" xfId="42" applyNumberFormat="1" applyFont="1" applyFill="1" applyAlignment="1">
      <alignment vertical="center" wrapText="1"/>
    </xf>
    <xf numFmtId="166" fontId="36" fillId="0" borderId="0" xfId="42" applyNumberFormat="1" applyFont="1" applyFill="1" applyAlignment="1">
      <alignment horizontal="left" vertical="center" wrapText="1"/>
    </xf>
    <xf numFmtId="2" fontId="36" fillId="0" borderId="0" xfId="42" applyNumberFormat="1" applyFont="1" applyFill="1" applyAlignment="1">
      <alignment horizontal="center" vertical="center"/>
    </xf>
    <xf numFmtId="165" fontId="36" fillId="0" borderId="0" xfId="42" applyNumberFormat="1" applyFont="1" applyFill="1" applyAlignment="1">
      <alignment vertical="center"/>
    </xf>
    <xf numFmtId="0" fontId="37" fillId="0" borderId="0" xfId="42" applyFont="1" applyFill="1"/>
    <xf numFmtId="0" fontId="36" fillId="0" borderId="0" xfId="42" applyFont="1" applyFill="1"/>
    <xf numFmtId="0" fontId="37" fillId="0" borderId="0" xfId="42" applyFont="1" applyFill="1" applyAlignment="1">
      <alignment horizontal="left"/>
    </xf>
    <xf numFmtId="0" fontId="37" fillId="0" borderId="0" xfId="42" applyFont="1" applyFill="1" applyAlignment="1"/>
    <xf numFmtId="172" fontId="36" fillId="0" borderId="0" xfId="42" applyNumberFormat="1" applyFont="1" applyFill="1"/>
    <xf numFmtId="0" fontId="36" fillId="0" borderId="0" xfId="42" applyFont="1" applyFill="1" applyAlignment="1">
      <alignment horizontal="left" vertical="center" wrapText="1"/>
    </xf>
    <xf numFmtId="173" fontId="36" fillId="0" borderId="0" xfId="54" applyNumberFormat="1" applyFont="1" applyFill="1" applyAlignment="1">
      <alignment horizontal="center" vertical="center" wrapText="1"/>
    </xf>
    <xf numFmtId="0" fontId="36" fillId="0" borderId="0" xfId="54" applyNumberFormat="1" applyFont="1" applyFill="1" applyAlignment="1">
      <alignment horizontal="center" vertical="center" wrapText="1"/>
    </xf>
    <xf numFmtId="173" fontId="36" fillId="0" borderId="0" xfId="54" applyNumberFormat="1" applyFont="1" applyFill="1" applyAlignment="1">
      <alignment vertical="center" wrapText="1"/>
    </xf>
    <xf numFmtId="173" fontId="36" fillId="0" borderId="0" xfId="54" applyNumberFormat="1" applyFont="1" applyFill="1" applyAlignment="1">
      <alignment horizontal="left" vertical="center" wrapText="1"/>
    </xf>
    <xf numFmtId="173" fontId="36" fillId="0" borderId="0" xfId="54" applyNumberFormat="1" applyFont="1" applyFill="1" applyAlignment="1">
      <alignment vertical="center"/>
    </xf>
    <xf numFmtId="166" fontId="36" fillId="0" borderId="0" xfId="54" applyNumberFormat="1" applyFont="1" applyFill="1" applyAlignment="1">
      <alignment horizontal="center" vertical="center" wrapText="1"/>
    </xf>
    <xf numFmtId="166" fontId="36" fillId="0" borderId="0" xfId="54" applyNumberFormat="1" applyFont="1" applyFill="1" applyAlignment="1">
      <alignment vertical="center" wrapText="1"/>
    </xf>
    <xf numFmtId="166" fontId="36" fillId="0" borderId="0" xfId="54" applyNumberFormat="1" applyFont="1" applyFill="1" applyAlignment="1">
      <alignment horizontal="left" vertical="center" wrapText="1"/>
    </xf>
    <xf numFmtId="166" fontId="36" fillId="0" borderId="0" xfId="54" applyNumberFormat="1" applyFont="1" applyFill="1" applyAlignment="1">
      <alignment vertical="center"/>
    </xf>
    <xf numFmtId="10" fontId="36" fillId="0" borderId="0" xfId="42" applyNumberFormat="1" applyFont="1" applyFill="1" applyAlignment="1">
      <alignment vertical="center"/>
    </xf>
    <xf numFmtId="9" fontId="36" fillId="0" borderId="0" xfId="42" applyNumberFormat="1" applyFont="1" applyFill="1" applyAlignment="1">
      <alignment vertical="center"/>
    </xf>
    <xf numFmtId="0" fontId="36" fillId="0" borderId="0" xfId="42" applyFont="1" applyFill="1" applyAlignment="1">
      <alignment horizontal="center" vertical="center" wrapText="1"/>
    </xf>
    <xf numFmtId="0" fontId="36" fillId="0" borderId="0" xfId="42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48" fillId="0" borderId="0" xfId="42" applyFont="1" applyAlignment="1">
      <alignment vertical="center"/>
    </xf>
    <xf numFmtId="0" fontId="49" fillId="0" borderId="0" xfId="0" applyFont="1"/>
    <xf numFmtId="0" fontId="50" fillId="0" borderId="0" xfId="0" applyFont="1" applyFill="1" applyAlignment="1">
      <alignment vertical="center"/>
    </xf>
    <xf numFmtId="0" fontId="48" fillId="0" borderId="0" xfId="42" applyFont="1" applyAlignment="1">
      <alignment horizontal="center" vertical="center"/>
    </xf>
    <xf numFmtId="0" fontId="48" fillId="0" borderId="1" xfId="42" applyFont="1" applyBorder="1" applyAlignment="1">
      <alignment horizontal="center" vertical="center"/>
    </xf>
    <xf numFmtId="0" fontId="48" fillId="0" borderId="1" xfId="42" applyFont="1" applyBorder="1" applyAlignment="1">
      <alignment horizontal="center" vertical="center" wrapText="1"/>
    </xf>
    <xf numFmtId="0" fontId="48" fillId="2" borderId="1" xfId="4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48" fillId="2" borderId="1" xfId="42" applyFont="1" applyFill="1" applyBorder="1" applyAlignment="1">
      <alignment vertical="center" wrapText="1"/>
    </xf>
    <xf numFmtId="165" fontId="48" fillId="0" borderId="1" xfId="54" applyFont="1" applyFill="1" applyBorder="1" applyAlignment="1">
      <alignment horizontal="center" vertical="center"/>
    </xf>
    <xf numFmtId="165" fontId="48" fillId="2" borderId="1" xfId="54" applyFont="1" applyFill="1" applyBorder="1" applyAlignment="1">
      <alignment horizontal="center" vertical="center" wrapText="1"/>
    </xf>
    <xf numFmtId="165" fontId="48" fillId="2" borderId="1" xfId="54" applyFont="1" applyFill="1" applyBorder="1" applyAlignment="1">
      <alignment horizontal="left" vertical="center" wrapText="1"/>
    </xf>
    <xf numFmtId="2" fontId="48" fillId="2" borderId="1" xfId="42" applyNumberFormat="1" applyFont="1" applyFill="1" applyBorder="1" applyAlignment="1">
      <alignment horizontal="center" vertical="center"/>
    </xf>
    <xf numFmtId="0" fontId="48" fillId="2" borderId="0" xfId="42" applyFont="1" applyFill="1" applyAlignment="1">
      <alignment vertical="center"/>
    </xf>
    <xf numFmtId="165" fontId="48" fillId="2" borderId="1" xfId="54" applyFont="1" applyFill="1" applyBorder="1" applyAlignment="1">
      <alignment horizontal="center" vertical="center"/>
    </xf>
    <xf numFmtId="49" fontId="48" fillId="2" borderId="1" xfId="42" applyNumberFormat="1" applyFont="1" applyFill="1" applyBorder="1" applyAlignment="1">
      <alignment horizontal="center" vertical="center"/>
    </xf>
    <xf numFmtId="0" fontId="48" fillId="0" borderId="0" xfId="40" applyFont="1" applyAlignment="1">
      <alignment vertical="center" wrapText="1"/>
    </xf>
    <xf numFmtId="2" fontId="48" fillId="0" borderId="0" xfId="42" applyNumberFormat="1" applyFont="1" applyAlignment="1">
      <alignment horizontal="center" vertical="center" wrapText="1"/>
    </xf>
    <xf numFmtId="166" fontId="48" fillId="0" borderId="0" xfId="42" applyNumberFormat="1" applyFont="1" applyAlignment="1">
      <alignment vertical="center" wrapText="1"/>
    </xf>
    <xf numFmtId="166" fontId="48" fillId="0" borderId="0" xfId="42" applyNumberFormat="1" applyFont="1" applyAlignment="1">
      <alignment horizontal="left" vertical="center" wrapText="1"/>
    </xf>
    <xf numFmtId="2" fontId="48" fillId="0" borderId="0" xfId="42" applyNumberFormat="1" applyFont="1" applyAlignment="1">
      <alignment horizontal="center" vertical="center"/>
    </xf>
    <xf numFmtId="165" fontId="48" fillId="0" borderId="0" xfId="42" applyNumberFormat="1" applyFont="1" applyAlignment="1">
      <alignment vertical="center"/>
    </xf>
    <xf numFmtId="0" fontId="45" fillId="0" borderId="0" xfId="42" applyFont="1"/>
    <xf numFmtId="0" fontId="46" fillId="0" borderId="0" xfId="42" applyFont="1"/>
    <xf numFmtId="0" fontId="46" fillId="0" borderId="0" xfId="7" applyFont="1" applyFill="1" applyAlignment="1">
      <alignment horizontal="left" vertical="center" wrapText="1"/>
    </xf>
    <xf numFmtId="2" fontId="45" fillId="0" borderId="0" xfId="42" applyNumberFormat="1" applyFont="1" applyAlignment="1">
      <alignment horizontal="center"/>
    </xf>
    <xf numFmtId="0" fontId="46" fillId="0" borderId="0" xfId="7" applyFont="1" applyFill="1" applyAlignment="1">
      <alignment horizontal="left"/>
    </xf>
    <xf numFmtId="0" fontId="45" fillId="0" borderId="0" xfId="42" applyFont="1" applyAlignment="1"/>
    <xf numFmtId="0" fontId="53" fillId="0" borderId="0" xfId="42" applyFont="1"/>
    <xf numFmtId="172" fontId="46" fillId="0" borderId="0" xfId="42" applyNumberFormat="1" applyFont="1"/>
    <xf numFmtId="0" fontId="48" fillId="0" borderId="0" xfId="42" applyFont="1" applyAlignment="1">
      <alignment horizontal="left" vertical="center" wrapText="1"/>
    </xf>
    <xf numFmtId="173" fontId="48" fillId="0" borderId="0" xfId="54" applyNumberFormat="1" applyFont="1" applyAlignment="1">
      <alignment horizontal="center" vertical="center" wrapText="1"/>
    </xf>
    <xf numFmtId="0" fontId="48" fillId="0" borderId="0" xfId="54" applyNumberFormat="1" applyFont="1" applyAlignment="1">
      <alignment horizontal="center" vertical="center" wrapText="1"/>
    </xf>
    <xf numFmtId="173" fontId="48" fillId="0" borderId="0" xfId="54" applyNumberFormat="1" applyFont="1" applyAlignment="1">
      <alignment vertical="center" wrapText="1"/>
    </xf>
    <xf numFmtId="173" fontId="48" fillId="0" borderId="0" xfId="54" applyNumberFormat="1" applyFont="1" applyAlignment="1">
      <alignment horizontal="left" vertical="center" wrapText="1"/>
    </xf>
    <xf numFmtId="173" fontId="48" fillId="0" borderId="0" xfId="54" applyNumberFormat="1" applyFont="1" applyAlignment="1">
      <alignment vertical="center"/>
    </xf>
    <xf numFmtId="166" fontId="48" fillId="0" borderId="0" xfId="54" applyNumberFormat="1" applyFont="1" applyAlignment="1">
      <alignment horizontal="center" vertical="center" wrapText="1"/>
    </xf>
    <xf numFmtId="166" fontId="48" fillId="0" borderId="0" xfId="54" applyNumberFormat="1" applyFont="1" applyAlignment="1">
      <alignment vertical="center" wrapText="1"/>
    </xf>
    <xf numFmtId="166" fontId="48" fillId="0" borderId="0" xfId="54" applyNumberFormat="1" applyFont="1" applyAlignment="1">
      <alignment horizontal="left" vertical="center" wrapText="1"/>
    </xf>
    <xf numFmtId="166" fontId="48" fillId="0" borderId="0" xfId="54" applyNumberFormat="1" applyFont="1" applyAlignment="1">
      <alignment vertical="center"/>
    </xf>
    <xf numFmtId="10" fontId="48" fillId="0" borderId="0" xfId="42" applyNumberFormat="1" applyFont="1" applyAlignment="1">
      <alignment vertical="center"/>
    </xf>
    <xf numFmtId="9" fontId="48" fillId="0" borderId="0" xfId="42" applyNumberFormat="1" applyFont="1" applyAlignment="1">
      <alignment vertical="center"/>
    </xf>
    <xf numFmtId="0" fontId="48" fillId="0" borderId="0" xfId="42" applyFont="1" applyAlignment="1">
      <alignment horizontal="center" vertical="center" wrapText="1"/>
    </xf>
    <xf numFmtId="0" fontId="48" fillId="0" borderId="0" xfId="42" applyFont="1" applyAlignment="1">
      <alignment vertical="center" wrapText="1"/>
    </xf>
    <xf numFmtId="0" fontId="8" fillId="0" borderId="0" xfId="40" applyFont="1" applyFill="1" applyAlignment="1">
      <alignment vertical="center" shrinkToFit="1"/>
    </xf>
    <xf numFmtId="10" fontId="23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48" fillId="0" borderId="1" xfId="42" applyFont="1" applyBorder="1" applyAlignment="1">
      <alignment horizontal="center" vertical="center"/>
    </xf>
    <xf numFmtId="0" fontId="48" fillId="0" borderId="1" xfId="42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3" fontId="11" fillId="0" borderId="0" xfId="1" applyFont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/>
    <xf numFmtId="0" fontId="70" fillId="0" borderId="0" xfId="40" applyFont="1" applyFill="1" applyAlignment="1">
      <alignment horizontal="center" vertical="center" wrapText="1" shrinkToFit="1"/>
    </xf>
    <xf numFmtId="0" fontId="75" fillId="0" borderId="0" xfId="40" applyFont="1" applyFill="1" applyAlignment="1">
      <alignment horizontal="center" vertical="center" shrinkToFit="1"/>
    </xf>
    <xf numFmtId="49" fontId="10" fillId="0" borderId="0" xfId="40" applyNumberFormat="1" applyFont="1" applyFill="1" applyAlignment="1">
      <alignment horizontal="center" vertical="center" shrinkToFit="1"/>
    </xf>
    <xf numFmtId="0" fontId="75" fillId="0" borderId="0" xfId="40" applyFont="1" applyFill="1" applyAlignment="1">
      <alignment horizontal="center" vertical="center" wrapText="1" shrinkToFit="1"/>
    </xf>
    <xf numFmtId="0" fontId="65" fillId="0" borderId="2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2" fontId="65" fillId="0" borderId="1" xfId="0" applyNumberFormat="1" applyFont="1" applyFill="1" applyBorder="1" applyAlignment="1">
      <alignment horizontal="center" vertical="center"/>
    </xf>
    <xf numFmtId="2" fontId="65" fillId="0" borderId="4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57" fillId="0" borderId="1" xfId="2" applyNumberFormat="1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vertical="center" wrapText="1"/>
    </xf>
    <xf numFmtId="0" fontId="46" fillId="0" borderId="1" xfId="2" applyFont="1" applyFill="1" applyBorder="1" applyAlignment="1">
      <alignment horizontal="center" vertical="center"/>
    </xf>
    <xf numFmtId="0" fontId="64" fillId="0" borderId="1" xfId="2" applyFont="1" applyFill="1" applyBorder="1" applyAlignment="1">
      <alignment horizontal="center" vertical="center"/>
    </xf>
    <xf numFmtId="2" fontId="45" fillId="0" borderId="1" xfId="2" applyNumberFormat="1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vertical="center" wrapText="1"/>
    </xf>
    <xf numFmtId="0" fontId="53" fillId="0" borderId="1" xfId="2" applyFont="1" applyFill="1" applyBorder="1" applyAlignment="1">
      <alignment horizontal="center" vertical="center"/>
    </xf>
    <xf numFmtId="2" fontId="46" fillId="0" borderId="1" xfId="2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64" fillId="0" borderId="1" xfId="0" quotePrefix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2" fontId="57" fillId="0" borderId="3" xfId="0" applyNumberFormat="1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left" vertical="center" wrapText="1"/>
    </xf>
    <xf numFmtId="9" fontId="56" fillId="0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center" vertical="center" wrapText="1"/>
    </xf>
    <xf numFmtId="1" fontId="57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left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2" fontId="56" fillId="0" borderId="1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/>
    <xf numFmtId="0" fontId="13" fillId="0" borderId="1" xfId="0" applyFont="1" applyFill="1" applyBorder="1" applyAlignment="1">
      <alignment horizontal="center" vertical="top" wrapText="1"/>
    </xf>
    <xf numFmtId="2" fontId="63" fillId="0" borderId="1" xfId="0" applyNumberFormat="1" applyFont="1" applyFill="1" applyBorder="1" applyAlignment="1">
      <alignment horizontal="center" vertical="center" wrapText="1"/>
    </xf>
    <xf numFmtId="0" fontId="10" fillId="0" borderId="0" xfId="40" applyFont="1" applyFill="1" applyAlignment="1">
      <alignment vertical="center" shrinkToFit="1"/>
    </xf>
    <xf numFmtId="2" fontId="20" fillId="0" borderId="1" xfId="0" applyNumberFormat="1" applyFont="1" applyFill="1" applyBorder="1" applyAlignment="1">
      <alignment horizontal="center" vertical="center" wrapText="1"/>
    </xf>
    <xf numFmtId="0" fontId="88" fillId="0" borderId="0" xfId="0" applyFont="1"/>
    <xf numFmtId="0" fontId="87" fillId="0" borderId="0" xfId="0" applyFont="1"/>
    <xf numFmtId="0" fontId="88" fillId="0" borderId="0" xfId="0" applyFont="1" applyAlignment="1">
      <alignment vertical="center"/>
    </xf>
    <xf numFmtId="166" fontId="23" fillId="0" borderId="0" xfId="0" applyNumberFormat="1" applyFont="1"/>
    <xf numFmtId="0" fontId="63" fillId="0" borderId="0" xfId="0" applyFont="1" applyFill="1"/>
    <xf numFmtId="0" fontId="20" fillId="0" borderId="0" xfId="3" applyFont="1" applyFill="1" applyAlignment="1">
      <alignment vertical="center" shrinkToFit="1"/>
    </xf>
    <xf numFmtId="0" fontId="20" fillId="0" borderId="2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63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20" fillId="0" borderId="1" xfId="0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9" fontId="63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 wrapText="1"/>
    </xf>
    <xf numFmtId="167" fontId="63" fillId="0" borderId="1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/>
    <xf numFmtId="0" fontId="63" fillId="0" borderId="0" xfId="0" applyNumberFormat="1" applyFont="1" applyFill="1"/>
    <xf numFmtId="0" fontId="90" fillId="0" borderId="1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/>
    </xf>
    <xf numFmtId="0" fontId="90" fillId="0" borderId="5" xfId="0" applyFont="1" applyBorder="1" applyAlignment="1">
      <alignment vertical="center" wrapText="1"/>
    </xf>
    <xf numFmtId="2" fontId="90" fillId="0" borderId="1" xfId="0" applyNumberFormat="1" applyFont="1" applyBorder="1" applyAlignment="1">
      <alignment horizontal="center" vertical="center" wrapText="1"/>
    </xf>
    <xf numFmtId="0" fontId="91" fillId="0" borderId="4" xfId="0" applyFont="1" applyBorder="1" applyAlignment="1">
      <alignment horizontal="left" vertical="center" wrapText="1"/>
    </xf>
    <xf numFmtId="0" fontId="91" fillId="0" borderId="1" xfId="0" applyFont="1" applyBorder="1" applyAlignment="1">
      <alignment horizontal="center" vertical="center" wrapText="1"/>
    </xf>
    <xf numFmtId="2" fontId="91" fillId="0" borderId="1" xfId="0" applyNumberFormat="1" applyFont="1" applyBorder="1" applyAlignment="1">
      <alignment horizontal="center" vertical="center" wrapText="1"/>
    </xf>
    <xf numFmtId="0" fontId="90" fillId="0" borderId="0" xfId="0" applyFont="1"/>
    <xf numFmtId="0" fontId="90" fillId="0" borderId="0" xfId="0" applyFont="1" applyAlignment="1">
      <alignment vertical="center"/>
    </xf>
    <xf numFmtId="0" fontId="90" fillId="0" borderId="0" xfId="40" applyFont="1" applyAlignment="1">
      <alignment vertical="center" wrapText="1"/>
    </xf>
    <xf numFmtId="2" fontId="90" fillId="0" borderId="0" xfId="0" applyNumberFormat="1" applyFont="1" applyAlignment="1">
      <alignment horizontal="center" vertical="center" wrapText="1"/>
    </xf>
    <xf numFmtId="166" fontId="90" fillId="0" borderId="0" xfId="0" applyNumberFormat="1" applyFont="1" applyAlignment="1">
      <alignment vertical="center" wrapText="1"/>
    </xf>
    <xf numFmtId="166" fontId="90" fillId="0" borderId="0" xfId="0" applyNumberFormat="1" applyFont="1" applyAlignment="1">
      <alignment horizontal="left" vertical="center" wrapText="1"/>
    </xf>
    <xf numFmtId="2" fontId="90" fillId="0" borderId="0" xfId="0" applyNumberFormat="1" applyFont="1" applyAlignment="1">
      <alignment horizontal="center" vertical="center"/>
    </xf>
    <xf numFmtId="165" fontId="90" fillId="0" borderId="0" xfId="0" applyNumberFormat="1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36" fillId="0" borderId="1" xfId="42" applyFont="1" applyFill="1" applyBorder="1" applyAlignment="1">
      <alignment horizontal="center" vertical="center" wrapText="1"/>
    </xf>
    <xf numFmtId="0" fontId="36" fillId="0" borderId="1" xfId="42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90" fillId="0" borderId="1" xfId="0" applyFont="1" applyFill="1" applyBorder="1" applyAlignment="1">
      <alignment horizontal="center" vertical="center" wrapText="1"/>
    </xf>
    <xf numFmtId="0" fontId="90" fillId="0" borderId="5" xfId="0" applyFont="1" applyFill="1" applyBorder="1" applyAlignment="1">
      <alignment vertical="center" wrapText="1"/>
    </xf>
    <xf numFmtId="0" fontId="90" fillId="0" borderId="6" xfId="0" applyFont="1" applyFill="1" applyBorder="1" applyAlignment="1">
      <alignment vertical="center" wrapText="1"/>
    </xf>
    <xf numFmtId="2" fontId="90" fillId="0" borderId="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2" fontId="91" fillId="0" borderId="1" xfId="0" applyNumberFormat="1" applyFont="1" applyFill="1" applyBorder="1" applyAlignment="1">
      <alignment horizontal="center" vertical="center" wrapText="1"/>
    </xf>
    <xf numFmtId="0" fontId="90" fillId="0" borderId="0" xfId="0" applyFont="1" applyFill="1" applyAlignment="1">
      <alignment vertical="center"/>
    </xf>
    <xf numFmtId="0" fontId="90" fillId="0" borderId="0" xfId="0" applyFont="1" applyFill="1" applyAlignment="1">
      <alignment horizontal="left" vertical="center" wrapText="1"/>
    </xf>
    <xf numFmtId="43" fontId="90" fillId="0" borderId="0" xfId="1" applyFont="1" applyFill="1" applyAlignment="1">
      <alignment horizontal="center" vertical="center" wrapText="1"/>
    </xf>
    <xf numFmtId="2" fontId="90" fillId="0" borderId="0" xfId="0" applyNumberFormat="1" applyFont="1" applyFill="1" applyAlignment="1">
      <alignment horizontal="center" vertical="center"/>
    </xf>
    <xf numFmtId="0" fontId="90" fillId="0" borderId="0" xfId="0" applyFont="1" applyFill="1"/>
    <xf numFmtId="0" fontId="91" fillId="0" borderId="0" xfId="0" applyFont="1" applyFill="1"/>
    <xf numFmtId="0" fontId="91" fillId="0" borderId="0" xfId="0" applyFont="1" applyFill="1" applyAlignment="1">
      <alignment horizontal="right"/>
    </xf>
    <xf numFmtId="0" fontId="9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0" fillId="0" borderId="0" xfId="40" applyFont="1" applyFill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46" fillId="0" borderId="0" xfId="7" applyFont="1" applyFill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0" fontId="46" fillId="0" borderId="1" xfId="42" applyFont="1" applyFill="1" applyBorder="1" applyAlignment="1">
      <alignment horizontal="center" vertical="center" wrapText="1"/>
    </xf>
    <xf numFmtId="0" fontId="46" fillId="0" borderId="1" xfId="42" applyFont="1" applyFill="1" applyBorder="1" applyAlignment="1">
      <alignment vertical="center" wrapText="1"/>
    </xf>
    <xf numFmtId="0" fontId="46" fillId="0" borderId="1" xfId="16" applyFont="1" applyFill="1" applyBorder="1" applyAlignment="1">
      <alignment horizontal="center" vertical="center"/>
    </xf>
    <xf numFmtId="2" fontId="46" fillId="0" borderId="1" xfId="0" applyNumberFormat="1" applyFont="1" applyFill="1" applyBorder="1" applyAlignment="1">
      <alignment horizontal="center" vertical="center"/>
    </xf>
    <xf numFmtId="2" fontId="46" fillId="0" borderId="1" xfId="42" applyNumberFormat="1" applyFont="1" applyFill="1" applyBorder="1" applyAlignment="1">
      <alignment horizontal="center" vertical="center" wrapText="1"/>
    </xf>
    <xf numFmtId="14" fontId="46" fillId="0" borderId="1" xfId="2" applyNumberFormat="1" applyFont="1" applyFill="1" applyBorder="1" applyAlignment="1">
      <alignment horizontal="center" vertical="center" wrapText="1"/>
    </xf>
    <xf numFmtId="168" fontId="46" fillId="0" borderId="1" xfId="42" applyNumberFormat="1" applyFont="1" applyFill="1" applyBorder="1" applyAlignment="1">
      <alignment horizontal="center" vertical="center" wrapText="1"/>
    </xf>
    <xf numFmtId="2" fontId="46" fillId="0" borderId="1" xfId="10" applyNumberFormat="1" applyFont="1" applyFill="1" applyBorder="1" applyAlignment="1">
      <alignment horizontal="center" vertical="center"/>
    </xf>
    <xf numFmtId="0" fontId="46" fillId="0" borderId="1" xfId="7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wrapText="1"/>
    </xf>
    <xf numFmtId="4" fontId="46" fillId="0" borderId="1" xfId="29" applyNumberFormat="1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 wrapText="1"/>
    </xf>
    <xf numFmtId="1" fontId="46" fillId="0" borderId="1" xfId="4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168" fontId="45" fillId="0" borderId="1" xfId="0" applyNumberFormat="1" applyFont="1" applyFill="1" applyBorder="1" applyAlignment="1">
      <alignment horizontal="center" vertical="center" wrapText="1"/>
    </xf>
    <xf numFmtId="14" fontId="45" fillId="0" borderId="1" xfId="2" applyNumberFormat="1" applyFont="1" applyFill="1" applyBorder="1" applyAlignment="1">
      <alignment horizontal="center" vertical="center" wrapText="1"/>
    </xf>
    <xf numFmtId="168" fontId="46" fillId="0" borderId="1" xfId="0" applyNumberFormat="1" applyFont="1" applyFill="1" applyBorder="1" applyAlignment="1">
      <alignment horizontal="center" vertical="center" wrapText="1"/>
    </xf>
    <xf numFmtId="169" fontId="46" fillId="0" borderId="1" xfId="10" applyNumberFormat="1" applyFont="1" applyFill="1" applyBorder="1" applyAlignment="1">
      <alignment horizontal="center" vertical="center"/>
    </xf>
    <xf numFmtId="0" fontId="46" fillId="0" borderId="1" xfId="10" applyFont="1" applyFill="1" applyBorder="1" applyAlignment="1">
      <alignment horizontal="center" vertical="center"/>
    </xf>
    <xf numFmtId="1" fontId="45" fillId="0" borderId="1" xfId="0" applyNumberFormat="1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wrapText="1"/>
    </xf>
    <xf numFmtId="2" fontId="46" fillId="0" borderId="4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2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49" fontId="12" fillId="0" borderId="1" xfId="7" applyNumberFormat="1" applyFont="1" applyFill="1" applyBorder="1" applyAlignment="1">
      <alignment horizontal="center" vertical="center"/>
    </xf>
    <xf numFmtId="0" fontId="12" fillId="0" borderId="1" xfId="7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45" fillId="0" borderId="1" xfId="40" applyFont="1" applyFill="1" applyBorder="1" applyAlignment="1">
      <alignment horizontal="center" vertical="center"/>
    </xf>
    <xf numFmtId="0" fontId="46" fillId="0" borderId="1" xfId="4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top" wrapText="1"/>
    </xf>
    <xf numFmtId="0" fontId="46" fillId="0" borderId="1" xfId="0" quotePrefix="1" applyFont="1" applyFill="1" applyBorder="1" applyAlignment="1">
      <alignment horizontal="center" vertical="center" wrapText="1"/>
    </xf>
    <xf numFmtId="0" fontId="62" fillId="0" borderId="0" xfId="0" applyFont="1" applyFill="1"/>
    <xf numFmtId="0" fontId="41" fillId="0" borderId="0" xfId="40" applyFont="1" applyFill="1" applyAlignment="1">
      <alignment vertical="center" shrinkToFit="1"/>
    </xf>
    <xf numFmtId="0" fontId="43" fillId="0" borderId="0" xfId="40" applyFont="1" applyFill="1" applyAlignment="1">
      <alignment horizontal="center" vertical="center" wrapText="1" shrinkToFit="1"/>
    </xf>
    <xf numFmtId="0" fontId="92" fillId="0" borderId="0" xfId="40" applyFont="1" applyFill="1" applyAlignment="1">
      <alignment horizontal="center" vertical="center" shrinkToFit="1"/>
    </xf>
    <xf numFmtId="49" fontId="20" fillId="0" borderId="0" xfId="40" applyNumberFormat="1" applyFont="1" applyFill="1" applyAlignment="1">
      <alignment horizontal="center" vertical="center" shrinkToFit="1"/>
    </xf>
    <xf numFmtId="0" fontId="92" fillId="0" borderId="0" xfId="40" applyFont="1" applyFill="1" applyAlignment="1">
      <alignment horizontal="center" vertical="center" wrapText="1" shrinkToFit="1"/>
    </xf>
    <xf numFmtId="0" fontId="93" fillId="0" borderId="2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/>
    </xf>
    <xf numFmtId="2" fontId="93" fillId="0" borderId="1" xfId="0" applyNumberFormat="1" applyFont="1" applyFill="1" applyBorder="1" applyAlignment="1">
      <alignment horizontal="center" vertical="center"/>
    </xf>
    <xf numFmtId="2" fontId="93" fillId="0" borderId="4" xfId="0" applyNumberFormat="1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 wrapText="1"/>
    </xf>
    <xf numFmtId="49" fontId="93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center" vertical="center" wrapText="1"/>
    </xf>
    <xf numFmtId="2" fontId="94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2" fontId="95" fillId="0" borderId="1" xfId="0" applyNumberFormat="1" applyFont="1" applyFill="1" applyBorder="1" applyAlignment="1">
      <alignment horizontal="center" vertical="center" wrapText="1"/>
    </xf>
    <xf numFmtId="168" fontId="94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2" fontId="44" fillId="0" borderId="3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left" vertical="center" wrapText="1"/>
    </xf>
    <xf numFmtId="9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167" fontId="42" fillId="0" borderId="1" xfId="0" applyNumberFormat="1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/>
    <xf numFmtId="0" fontId="13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/>
    </xf>
    <xf numFmtId="0" fontId="45" fillId="0" borderId="1" xfId="2" applyFont="1" applyFill="1" applyBorder="1" applyAlignment="1">
      <alignment horizontal="center" vertical="center"/>
    </xf>
    <xf numFmtId="165" fontId="46" fillId="0" borderId="1" xfId="6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2" fontId="46" fillId="0" borderId="1" xfId="2" applyNumberFormat="1" applyFont="1" applyFill="1" applyBorder="1" applyAlignment="1">
      <alignment horizontal="center" vertical="center"/>
    </xf>
    <xf numFmtId="0" fontId="56" fillId="0" borderId="1" xfId="2" applyFont="1" applyFill="1" applyBorder="1" applyAlignment="1">
      <alignment horizontal="center" vertical="center" wrapText="1"/>
    </xf>
    <xf numFmtId="0" fontId="46" fillId="0" borderId="1" xfId="22" applyFont="1" applyFill="1" applyBorder="1" applyAlignment="1">
      <alignment horizontal="center" vertical="center"/>
    </xf>
    <xf numFmtId="2" fontId="12" fillId="0" borderId="1" xfId="7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168" fontId="46" fillId="0" borderId="1" xfId="57" applyNumberFormat="1" applyFont="1" applyFill="1" applyBorder="1" applyAlignment="1">
      <alignment horizontal="center" vertical="center"/>
    </xf>
    <xf numFmtId="170" fontId="46" fillId="0" borderId="1" xfId="57" applyNumberFormat="1" applyFont="1" applyFill="1" applyBorder="1" applyAlignment="1">
      <alignment horizontal="center" vertical="center"/>
    </xf>
    <xf numFmtId="170" fontId="46" fillId="0" borderId="1" xfId="0" applyNumberFormat="1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center" vertical="center"/>
    </xf>
    <xf numFmtId="2" fontId="45" fillId="0" borderId="1" xfId="0" applyNumberFormat="1" applyFont="1" applyFill="1" applyBorder="1" applyAlignment="1">
      <alignment horizontal="center" vertical="top" wrapText="1"/>
    </xf>
    <xf numFmtId="49" fontId="64" fillId="0" borderId="1" xfId="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2" fontId="46" fillId="0" borderId="1" xfId="0" applyNumberFormat="1" applyFont="1" applyFill="1" applyBorder="1" applyAlignment="1">
      <alignment horizontal="center" vertical="top" wrapText="1"/>
    </xf>
    <xf numFmtId="2" fontId="46" fillId="0" borderId="1" xfId="0" applyNumberFormat="1" applyFont="1" applyFill="1" applyBorder="1" applyAlignment="1">
      <alignment horizontal="left" vertical="top" wrapText="1"/>
    </xf>
    <xf numFmtId="2" fontId="81" fillId="0" borderId="1" xfId="0" applyNumberFormat="1" applyFont="1" applyFill="1" applyBorder="1" applyAlignment="1">
      <alignment horizontal="left" vertical="top" wrapText="1"/>
    </xf>
    <xf numFmtId="0" fontId="64" fillId="0" borderId="1" xfId="0" quotePrefix="1" applyFont="1" applyFill="1" applyBorder="1" applyAlignment="1">
      <alignment horizontal="center" vertical="top" wrapText="1"/>
    </xf>
    <xf numFmtId="49" fontId="45" fillId="0" borderId="1" xfId="0" applyNumberFormat="1" applyFont="1" applyFill="1" applyBorder="1" applyAlignment="1">
      <alignment horizontal="center" vertical="center" wrapText="1"/>
    </xf>
    <xf numFmtId="169" fontId="45" fillId="0" borderId="1" xfId="0" applyNumberFormat="1" applyFont="1" applyFill="1" applyBorder="1" applyAlignment="1">
      <alignment horizontal="center" vertical="center" wrapText="1"/>
    </xf>
    <xf numFmtId="179" fontId="45" fillId="0" borderId="1" xfId="0" applyNumberFormat="1" applyFont="1" applyFill="1" applyBorder="1" applyAlignment="1">
      <alignment horizontal="center" vertical="center"/>
    </xf>
    <xf numFmtId="168" fontId="46" fillId="0" borderId="1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left" vertical="center"/>
    </xf>
    <xf numFmtId="0" fontId="80" fillId="0" borderId="1" xfId="0" applyFont="1" applyFill="1" applyBorder="1" applyAlignment="1">
      <alignment horizontal="center" vertical="center"/>
    </xf>
    <xf numFmtId="0" fontId="46" fillId="0" borderId="0" xfId="77" applyFont="1" applyFill="1"/>
    <xf numFmtId="0" fontId="42" fillId="0" borderId="0" xfId="40" applyFont="1" applyFill="1" applyAlignment="1">
      <alignment horizontal="left" vertical="center" wrapText="1" shrinkToFit="1"/>
    </xf>
    <xf numFmtId="0" fontId="46" fillId="0" borderId="1" xfId="42" applyFont="1" applyFill="1" applyBorder="1" applyAlignment="1">
      <alignment horizontal="center" vertical="center" wrapText="1"/>
    </xf>
    <xf numFmtId="0" fontId="45" fillId="0" borderId="1" xfId="42" applyFont="1" applyFill="1" applyBorder="1" applyAlignment="1">
      <alignment horizontal="center" vertical="center"/>
    </xf>
    <xf numFmtId="2" fontId="45" fillId="0" borderId="1" xfId="42" applyNumberFormat="1" applyFont="1" applyFill="1" applyBorder="1" applyAlignment="1">
      <alignment horizontal="center" vertical="center"/>
    </xf>
    <xf numFmtId="0" fontId="46" fillId="0" borderId="1" xfId="42" applyFont="1" applyFill="1" applyBorder="1" applyAlignment="1">
      <alignment horizontal="center" vertical="center"/>
    </xf>
    <xf numFmtId="1" fontId="46" fillId="0" borderId="1" xfId="42" applyNumberFormat="1" applyFont="1" applyFill="1" applyBorder="1" applyAlignment="1">
      <alignment horizontal="center" vertical="center"/>
    </xf>
    <xf numFmtId="0" fontId="46" fillId="0" borderId="1" xfId="14" applyFont="1" applyFill="1" applyBorder="1" applyAlignment="1">
      <alignment horizontal="center" vertical="center" wrapText="1"/>
    </xf>
    <xf numFmtId="0" fontId="67" fillId="0" borderId="1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/>
    </xf>
    <xf numFmtId="1" fontId="46" fillId="0" borderId="1" xfId="14" applyNumberFormat="1" applyFont="1" applyFill="1" applyBorder="1" applyAlignment="1">
      <alignment horizontal="center" vertical="center"/>
    </xf>
    <xf numFmtId="0" fontId="46" fillId="0" borderId="0" xfId="77" applyFont="1" applyFill="1" applyAlignment="1">
      <alignment vertical="center"/>
    </xf>
    <xf numFmtId="0" fontId="45" fillId="0" borderId="1" xfId="14" applyFont="1" applyFill="1" applyBorder="1" applyAlignment="1">
      <alignment horizontal="center" vertical="center" wrapText="1"/>
    </xf>
    <xf numFmtId="49" fontId="45" fillId="0" borderId="1" xfId="14" applyNumberFormat="1" applyFont="1" applyFill="1" applyBorder="1" applyAlignment="1">
      <alignment horizontal="center" vertical="center" wrapText="1"/>
    </xf>
    <xf numFmtId="0" fontId="45" fillId="0" borderId="1" xfId="14" applyFont="1" applyFill="1" applyBorder="1" applyAlignment="1">
      <alignment vertical="center" wrapText="1"/>
    </xf>
    <xf numFmtId="0" fontId="45" fillId="0" borderId="1" xfId="14" applyFont="1" applyFill="1" applyBorder="1" applyAlignment="1">
      <alignment horizontal="center" vertical="center"/>
    </xf>
    <xf numFmtId="2" fontId="45" fillId="0" borderId="1" xfId="14" applyNumberFormat="1" applyFont="1" applyFill="1" applyBorder="1" applyAlignment="1">
      <alignment horizontal="center" vertical="center" wrapText="1"/>
    </xf>
    <xf numFmtId="2" fontId="45" fillId="0" borderId="1" xfId="14" applyNumberFormat="1" applyFont="1" applyFill="1" applyBorder="1" applyAlignment="1">
      <alignment horizontal="center" vertical="center"/>
    </xf>
    <xf numFmtId="0" fontId="46" fillId="0" borderId="1" xfId="14" applyFont="1" applyFill="1" applyBorder="1" applyAlignment="1">
      <alignment vertical="center" wrapText="1"/>
    </xf>
    <xf numFmtId="2" fontId="46" fillId="0" borderId="1" xfId="14" applyNumberFormat="1" applyFont="1" applyFill="1" applyBorder="1" applyAlignment="1">
      <alignment horizontal="center" vertical="center"/>
    </xf>
    <xf numFmtId="0" fontId="45" fillId="0" borderId="1" xfId="42" applyFont="1" applyFill="1" applyBorder="1" applyAlignment="1">
      <alignment horizontal="center" vertical="center" wrapText="1"/>
    </xf>
    <xf numFmtId="0" fontId="45" fillId="0" borderId="1" xfId="42" applyFont="1" applyFill="1" applyBorder="1" applyAlignment="1">
      <alignment vertical="center" wrapText="1"/>
    </xf>
    <xf numFmtId="2" fontId="46" fillId="0" borderId="1" xfId="42" applyNumberFormat="1" applyFont="1" applyFill="1" applyBorder="1" applyAlignment="1">
      <alignment horizontal="center" vertical="center"/>
    </xf>
    <xf numFmtId="0" fontId="46" fillId="0" borderId="0" xfId="42" applyFont="1" applyFill="1"/>
    <xf numFmtId="0" fontId="10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 wrapText="1"/>
    </xf>
    <xf numFmtId="0" fontId="20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center" wrapText="1"/>
    </xf>
    <xf numFmtId="49" fontId="10" fillId="0" borderId="3" xfId="2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vertical="center" wrapText="1"/>
    </xf>
    <xf numFmtId="0" fontId="45" fillId="0" borderId="1" xfId="16" applyFont="1" applyFill="1" applyBorder="1" applyAlignment="1">
      <alignment horizontal="center" vertical="center" wrapText="1"/>
    </xf>
    <xf numFmtId="0" fontId="45" fillId="0" borderId="1" xfId="77" applyFont="1" applyFill="1" applyBorder="1" applyAlignment="1">
      <alignment horizontal="left"/>
    </xf>
    <xf numFmtId="0" fontId="45" fillId="0" borderId="1" xfId="77" applyFont="1" applyFill="1" applyBorder="1"/>
    <xf numFmtId="0" fontId="46" fillId="0" borderId="1" xfId="77" applyFont="1" applyFill="1" applyBorder="1"/>
    <xf numFmtId="0" fontId="45" fillId="0" borderId="1" xfId="16" applyFont="1" applyFill="1" applyBorder="1" applyAlignment="1">
      <alignment horizontal="center" vertical="center"/>
    </xf>
    <xf numFmtId="2" fontId="45" fillId="0" borderId="1" xfId="42" applyNumberFormat="1" applyFont="1" applyFill="1" applyBorder="1" applyAlignment="1">
      <alignment horizontal="center" vertical="center" wrapText="1"/>
    </xf>
    <xf numFmtId="2" fontId="45" fillId="0" borderId="1" xfId="16" applyNumberFormat="1" applyFont="1" applyFill="1" applyBorder="1" applyAlignment="1">
      <alignment horizontal="center" vertical="center"/>
    </xf>
    <xf numFmtId="0" fontId="45" fillId="0" borderId="1" xfId="42" applyFont="1" applyFill="1" applyBorder="1" applyAlignment="1">
      <alignment horizontal="left" vertical="center" wrapText="1"/>
    </xf>
    <xf numFmtId="9" fontId="45" fillId="0" borderId="1" xfId="42" applyNumberFormat="1" applyFont="1" applyFill="1" applyBorder="1" applyAlignment="1">
      <alignment horizontal="center" vertical="center"/>
    </xf>
    <xf numFmtId="0" fontId="74" fillId="0" borderId="1" xfId="42" applyFont="1" applyFill="1" applyBorder="1" applyAlignment="1">
      <alignment horizontal="center" vertical="center" wrapText="1"/>
    </xf>
    <xf numFmtId="2" fontId="74" fillId="0" borderId="1" xfId="42" applyNumberFormat="1" applyFont="1" applyFill="1" applyBorder="1" applyAlignment="1">
      <alignment horizontal="center" vertical="center" wrapText="1"/>
    </xf>
    <xf numFmtId="0" fontId="73" fillId="0" borderId="1" xfId="42" applyFont="1" applyFill="1" applyBorder="1" applyAlignment="1">
      <alignment horizontal="center" vertical="center" wrapText="1"/>
    </xf>
    <xf numFmtId="2" fontId="73" fillId="0" borderId="1" xfId="42" applyNumberFormat="1" applyFont="1" applyFill="1" applyBorder="1" applyAlignment="1">
      <alignment horizontal="center" vertical="center" wrapText="1"/>
    </xf>
    <xf numFmtId="1" fontId="73" fillId="0" borderId="1" xfId="42" applyNumberFormat="1" applyFont="1" applyFill="1" applyBorder="1" applyAlignment="1">
      <alignment horizontal="center" vertical="center" wrapText="1"/>
    </xf>
    <xf numFmtId="9" fontId="45" fillId="0" borderId="1" xfId="42" applyNumberFormat="1" applyFont="1" applyFill="1" applyBorder="1" applyAlignment="1">
      <alignment horizontal="center" vertical="center" wrapText="1"/>
    </xf>
    <xf numFmtId="1" fontId="74" fillId="0" borderId="1" xfId="42" applyNumberFormat="1" applyFont="1" applyFill="1" applyBorder="1" applyAlignment="1">
      <alignment horizontal="center" vertical="center" wrapText="1"/>
    </xf>
    <xf numFmtId="0" fontId="45" fillId="0" borderId="0" xfId="77" applyFont="1" applyFill="1" applyAlignment="1">
      <alignment horizontal="right"/>
    </xf>
    <xf numFmtId="0" fontId="45" fillId="0" borderId="0" xfId="77" applyFont="1" applyFill="1"/>
    <xf numFmtId="14" fontId="45" fillId="0" borderId="7" xfId="14" applyNumberFormat="1" applyFont="1" applyFill="1" applyBorder="1" applyAlignment="1">
      <alignment horizontal="center" vertical="center" wrapText="1"/>
    </xf>
    <xf numFmtId="1" fontId="45" fillId="0" borderId="1" xfId="42" applyNumberFormat="1" applyFont="1" applyFill="1" applyBorder="1" applyAlignment="1">
      <alignment horizontal="center" vertical="center"/>
    </xf>
    <xf numFmtId="0" fontId="46" fillId="0" borderId="1" xfId="42" applyFont="1" applyFill="1" applyBorder="1" applyAlignment="1">
      <alignment horizontal="left" vertical="center" wrapText="1"/>
    </xf>
    <xf numFmtId="169" fontId="45" fillId="0" borderId="1" xfId="42" applyNumberFormat="1" applyFont="1" applyFill="1" applyBorder="1" applyAlignment="1">
      <alignment horizontal="center" vertical="center" wrapText="1"/>
    </xf>
    <xf numFmtId="169" fontId="45" fillId="0" borderId="1" xfId="7" applyNumberFormat="1" applyFont="1" applyFill="1" applyBorder="1" applyAlignment="1">
      <alignment horizontal="center" vertical="center" wrapText="1"/>
    </xf>
    <xf numFmtId="170" fontId="46" fillId="0" borderId="1" xfId="42" applyNumberFormat="1" applyFont="1" applyFill="1" applyBorder="1" applyAlignment="1">
      <alignment horizontal="center" vertical="center"/>
    </xf>
    <xf numFmtId="169" fontId="46" fillId="0" borderId="1" xfId="7" applyNumberFormat="1" applyFont="1" applyFill="1" applyBorder="1" applyAlignment="1">
      <alignment horizontal="center" vertical="center"/>
    </xf>
    <xf numFmtId="0" fontId="46" fillId="0" borderId="1" xfId="7" applyFont="1" applyFill="1" applyBorder="1" applyAlignment="1">
      <alignment horizontal="center" vertical="center"/>
    </xf>
    <xf numFmtId="0" fontId="45" fillId="0" borderId="0" xfId="42" applyFont="1" applyFill="1"/>
    <xf numFmtId="0" fontId="46" fillId="0" borderId="0" xfId="42" applyFont="1" applyFill="1" applyAlignment="1">
      <alignment vertical="center"/>
    </xf>
    <xf numFmtId="0" fontId="45" fillId="0" borderId="2" xfId="42" applyFont="1" applyFill="1" applyBorder="1" applyAlignment="1">
      <alignment horizontal="center" vertical="center" wrapText="1"/>
    </xf>
    <xf numFmtId="0" fontId="46" fillId="0" borderId="2" xfId="42" applyFont="1" applyFill="1" applyBorder="1" applyAlignment="1">
      <alignment vertical="center" wrapText="1"/>
    </xf>
    <xf numFmtId="0" fontId="46" fillId="0" borderId="2" xfId="42" applyFont="1" applyFill="1" applyBorder="1" applyAlignment="1">
      <alignment horizontal="center" vertical="center" wrapText="1"/>
    </xf>
    <xf numFmtId="2" fontId="46" fillId="0" borderId="2" xfId="42" applyNumberFormat="1" applyFont="1" applyFill="1" applyBorder="1" applyAlignment="1">
      <alignment horizontal="center" vertical="center" wrapText="1"/>
    </xf>
    <xf numFmtId="2" fontId="46" fillId="0" borderId="4" xfId="42" applyNumberFormat="1" applyFont="1" applyFill="1" applyBorder="1" applyAlignment="1">
      <alignment horizontal="center" vertical="center" wrapText="1"/>
    </xf>
    <xf numFmtId="14" fontId="45" fillId="0" borderId="1" xfId="42" applyNumberFormat="1" applyFont="1" applyFill="1" applyBorder="1" applyAlignment="1">
      <alignment horizontal="center" vertical="center" wrapText="1"/>
    </xf>
    <xf numFmtId="168" fontId="45" fillId="0" borderId="1" xfId="42" applyNumberFormat="1" applyFont="1" applyFill="1" applyBorder="1" applyAlignment="1">
      <alignment horizontal="center" vertical="center" wrapText="1"/>
    </xf>
    <xf numFmtId="1" fontId="45" fillId="0" borderId="1" xfId="42" applyNumberFormat="1" applyFont="1" applyFill="1" applyBorder="1" applyAlignment="1">
      <alignment horizontal="center" vertical="center" wrapText="1"/>
    </xf>
    <xf numFmtId="168" fontId="46" fillId="0" borderId="1" xfId="42" applyNumberFormat="1" applyFont="1" applyFill="1" applyBorder="1" applyAlignment="1">
      <alignment horizontal="center" vertical="center"/>
    </xf>
    <xf numFmtId="49" fontId="46" fillId="0" borderId="1" xfId="42" applyNumberFormat="1" applyFont="1" applyFill="1" applyBorder="1" applyAlignment="1">
      <alignment horizontal="center" vertical="center" wrapText="1"/>
    </xf>
    <xf numFmtId="0" fontId="46" fillId="0" borderId="2" xfId="40" applyFont="1" applyFill="1" applyBorder="1" applyAlignment="1">
      <alignment horizontal="center" vertical="center"/>
    </xf>
    <xf numFmtId="2" fontId="45" fillId="0" borderId="4" xfId="42" applyNumberFormat="1" applyFont="1" applyFill="1" applyBorder="1" applyAlignment="1">
      <alignment horizontal="center" vertical="center"/>
    </xf>
    <xf numFmtId="0" fontId="45" fillId="0" borderId="2" xfId="40" applyFont="1" applyFill="1" applyBorder="1" applyAlignment="1">
      <alignment horizontal="center" vertical="center"/>
    </xf>
    <xf numFmtId="49" fontId="45" fillId="0" borderId="2" xfId="40" applyNumberFormat="1" applyFont="1" applyFill="1" applyBorder="1" applyAlignment="1">
      <alignment horizontal="center" vertical="center"/>
    </xf>
    <xf numFmtId="49" fontId="45" fillId="0" borderId="1" xfId="42" applyNumberFormat="1" applyFont="1" applyFill="1" applyBorder="1" applyAlignment="1">
      <alignment horizontal="center" vertical="center" wrapText="1"/>
    </xf>
    <xf numFmtId="14" fontId="45" fillId="0" borderId="2" xfId="40" applyNumberFormat="1" applyFont="1" applyFill="1" applyBorder="1" applyAlignment="1">
      <alignment horizontal="center" vertical="center"/>
    </xf>
    <xf numFmtId="173" fontId="45" fillId="0" borderId="1" xfId="15" applyNumberFormat="1" applyFont="1" applyFill="1" applyBorder="1" applyAlignment="1">
      <alignment horizontal="center" vertical="center"/>
    </xf>
    <xf numFmtId="179" fontId="45" fillId="0" borderId="1" xfId="42" applyNumberFormat="1" applyFont="1" applyFill="1" applyBorder="1" applyAlignment="1">
      <alignment horizontal="center" vertical="center"/>
    </xf>
    <xf numFmtId="174" fontId="46" fillId="0" borderId="1" xfId="14" applyNumberFormat="1" applyFont="1" applyFill="1" applyBorder="1" applyAlignment="1">
      <alignment horizontal="center" vertical="center"/>
    </xf>
    <xf numFmtId="165" fontId="46" fillId="0" borderId="1" xfId="15" applyFont="1" applyFill="1" applyBorder="1" applyAlignment="1">
      <alignment horizontal="center" vertical="center" wrapText="1"/>
    </xf>
    <xf numFmtId="0" fontId="45" fillId="0" borderId="4" xfId="16" applyFont="1" applyFill="1" applyBorder="1" applyAlignment="1">
      <alignment vertical="center" wrapText="1"/>
    </xf>
    <xf numFmtId="0" fontId="45" fillId="0" borderId="1" xfId="16" applyFont="1" applyFill="1" applyBorder="1" applyAlignment="1">
      <alignment horizontal="left" vertical="center" wrapText="1"/>
    </xf>
    <xf numFmtId="0" fontId="45" fillId="0" borderId="1" xfId="16" applyFont="1" applyFill="1" applyBorder="1" applyAlignment="1">
      <alignment vertical="center" wrapText="1"/>
    </xf>
    <xf numFmtId="2" fontId="45" fillId="0" borderId="1" xfId="16" applyNumberFormat="1" applyFont="1" applyFill="1" applyBorder="1" applyAlignment="1">
      <alignment vertical="center" wrapText="1"/>
    </xf>
    <xf numFmtId="0" fontId="46" fillId="0" borderId="1" xfId="42" quotePrefix="1" applyFont="1" applyFill="1" applyBorder="1" applyAlignment="1">
      <alignment horizontal="center" vertical="center" wrapText="1"/>
    </xf>
    <xf numFmtId="2" fontId="12" fillId="0" borderId="1" xfId="10" applyNumberFormat="1" applyFont="1" applyFill="1" applyBorder="1" applyAlignment="1">
      <alignment horizontal="center" vertical="center"/>
    </xf>
    <xf numFmtId="2" fontId="12" fillId="0" borderId="1" xfId="7" applyNumberFormat="1" applyFont="1" applyFill="1" applyBorder="1" applyAlignment="1">
      <alignment horizontal="center" vertical="center"/>
    </xf>
    <xf numFmtId="168" fontId="45" fillId="0" borderId="1" xfId="42" applyNumberFormat="1" applyFont="1" applyFill="1" applyBorder="1" applyAlignment="1">
      <alignment horizontal="center" vertical="center"/>
    </xf>
    <xf numFmtId="0" fontId="45" fillId="0" borderId="1" xfId="124" applyFont="1" applyFill="1" applyBorder="1" applyAlignment="1">
      <alignment horizontal="center" vertical="center" wrapText="1"/>
    </xf>
    <xf numFmtId="0" fontId="45" fillId="0" borderId="1" xfId="124" applyFont="1" applyFill="1" applyBorder="1" applyAlignment="1">
      <alignment horizontal="left" vertical="center" wrapText="1"/>
    </xf>
    <xf numFmtId="0" fontId="46" fillId="0" borderId="1" xfId="124" applyFont="1" applyFill="1" applyBorder="1" applyAlignment="1">
      <alignment horizontal="left" vertical="center" wrapText="1"/>
    </xf>
    <xf numFmtId="0" fontId="46" fillId="0" borderId="1" xfId="124" applyFont="1" applyFill="1" applyBorder="1" applyAlignment="1">
      <alignment horizontal="center" vertical="center" wrapText="1"/>
    </xf>
    <xf numFmtId="2" fontId="46" fillId="0" borderId="1" xfId="124" applyNumberFormat="1" applyFont="1" applyFill="1" applyBorder="1" applyAlignment="1">
      <alignment horizontal="center" vertical="center" wrapText="1"/>
    </xf>
    <xf numFmtId="2" fontId="46" fillId="0" borderId="1" xfId="124" applyNumberFormat="1" applyFont="1" applyFill="1" applyBorder="1" applyAlignment="1">
      <alignment horizontal="center" vertical="center"/>
    </xf>
    <xf numFmtId="170" fontId="46" fillId="0" borderId="1" xfId="124" applyNumberFormat="1" applyFont="1" applyFill="1" applyBorder="1" applyAlignment="1">
      <alignment horizontal="center" vertical="center" wrapText="1"/>
    </xf>
    <xf numFmtId="0" fontId="46" fillId="0" borderId="1" xfId="40" applyFont="1" applyFill="1" applyBorder="1" applyAlignment="1">
      <alignment horizontal="left" vertical="center"/>
    </xf>
    <xf numFmtId="168" fontId="46" fillId="0" borderId="1" xfId="124" applyNumberFormat="1" applyFont="1" applyFill="1" applyBorder="1" applyAlignment="1">
      <alignment horizontal="center" vertical="center" wrapText="1"/>
    </xf>
    <xf numFmtId="0" fontId="46" fillId="0" borderId="1" xfId="122" applyNumberFormat="1" applyFont="1" applyFill="1" applyBorder="1" applyAlignment="1">
      <alignment horizontal="center" vertical="center"/>
    </xf>
    <xf numFmtId="0" fontId="45" fillId="0" borderId="1" xfId="77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14" fontId="20" fillId="0" borderId="1" xfId="2" applyNumberFormat="1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/>
    </xf>
    <xf numFmtId="49" fontId="44" fillId="0" borderId="1" xfId="2" applyNumberFormat="1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vertical="center" wrapText="1"/>
    </xf>
    <xf numFmtId="0" fontId="42" fillId="0" borderId="1" xfId="2" applyFont="1" applyFill="1" applyBorder="1" applyAlignment="1">
      <alignment vertical="center" wrapText="1"/>
    </xf>
    <xf numFmtId="164" fontId="46" fillId="0" borderId="1" xfId="12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9" fontId="20" fillId="0" borderId="3" xfId="2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46" fillId="0" borderId="1" xfId="22" applyNumberFormat="1" applyFont="1" applyFill="1" applyBorder="1" applyAlignment="1">
      <alignment horizontal="center" vertical="center"/>
    </xf>
    <xf numFmtId="0" fontId="12" fillId="0" borderId="1" xfId="40" applyFont="1" applyFill="1" applyBorder="1" applyAlignment="1">
      <alignment horizontal="center" vertical="center"/>
    </xf>
    <xf numFmtId="0" fontId="12" fillId="0" borderId="1" xfId="57" applyFont="1" applyFill="1" applyBorder="1" applyAlignment="1">
      <alignment horizontal="left" vertical="center" wrapText="1"/>
    </xf>
    <xf numFmtId="168" fontId="12" fillId="0" borderId="1" xfId="57" applyNumberFormat="1" applyFont="1" applyFill="1" applyBorder="1" applyAlignment="1">
      <alignment horizontal="center" vertical="center"/>
    </xf>
    <xf numFmtId="170" fontId="12" fillId="0" borderId="1" xfId="57" applyNumberFormat="1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 wrapText="1"/>
    </xf>
    <xf numFmtId="0" fontId="12" fillId="0" borderId="1" xfId="40" applyFont="1" applyFill="1" applyBorder="1" applyAlignment="1">
      <alignment horizontal="left" vertical="center"/>
    </xf>
    <xf numFmtId="0" fontId="13" fillId="0" borderId="1" xfId="57" applyFont="1" applyFill="1" applyBorder="1" applyAlignment="1">
      <alignment horizontal="center" vertical="center" wrapText="1"/>
    </xf>
    <xf numFmtId="0" fontId="13" fillId="0" borderId="1" xfId="57" applyFont="1" applyFill="1" applyBorder="1" applyAlignment="1">
      <alignment wrapText="1"/>
    </xf>
    <xf numFmtId="0" fontId="13" fillId="0" borderId="1" xfId="57" applyFont="1" applyFill="1" applyBorder="1" applyAlignment="1">
      <alignment horizontal="center" vertical="center"/>
    </xf>
    <xf numFmtId="2" fontId="12" fillId="0" borderId="1" xfId="57" applyNumberFormat="1" applyFont="1" applyFill="1" applyBorder="1" applyAlignment="1">
      <alignment horizontal="center" vertical="center"/>
    </xf>
    <xf numFmtId="1" fontId="13" fillId="0" borderId="1" xfId="57" applyNumberFormat="1" applyFont="1" applyFill="1" applyBorder="1" applyAlignment="1">
      <alignment horizontal="center" vertical="center"/>
    </xf>
    <xf numFmtId="0" fontId="12" fillId="0" borderId="1" xfId="57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/>
    </xf>
    <xf numFmtId="171" fontId="12" fillId="0" borderId="1" xfId="57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49" fontId="36" fillId="0" borderId="1" xfId="7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2" fontId="13" fillId="0" borderId="1" xfId="1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54" fillId="0" borderId="0" xfId="40" applyFont="1" applyFill="1" applyAlignment="1">
      <alignment vertical="center" shrinkToFit="1"/>
    </xf>
    <xf numFmtId="0" fontId="51" fillId="0" borderId="0" xfId="40" applyFont="1" applyFill="1" applyAlignment="1">
      <alignment vertical="center" shrinkToFit="1"/>
    </xf>
    <xf numFmtId="0" fontId="5" fillId="0" borderId="0" xfId="42" applyFill="1"/>
    <xf numFmtId="0" fontId="46" fillId="0" borderId="0" xfId="42" applyFont="1" applyFill="1" applyAlignment="1">
      <alignment horizontal="center" vertical="center"/>
    </xf>
    <xf numFmtId="49" fontId="45" fillId="0" borderId="1" xfId="42" applyNumberFormat="1" applyFont="1" applyFill="1" applyBorder="1" applyAlignment="1">
      <alignment horizontal="center" vertical="center"/>
    </xf>
    <xf numFmtId="0" fontId="13" fillId="0" borderId="1" xfId="42" applyFont="1" applyFill="1" applyBorder="1" applyAlignment="1">
      <alignment horizontal="center" vertical="center" wrapText="1"/>
    </xf>
    <xf numFmtId="0" fontId="13" fillId="0" borderId="1" xfId="42" applyFont="1" applyFill="1" applyBorder="1" applyAlignment="1">
      <alignment horizontal="center" vertical="center"/>
    </xf>
    <xf numFmtId="0" fontId="12" fillId="0" borderId="1" xfId="42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42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/>
    </xf>
    <xf numFmtId="2" fontId="11" fillId="0" borderId="1" xfId="7" applyNumberFormat="1" applyFont="1" applyFill="1" applyBorder="1" applyAlignment="1">
      <alignment horizontal="center" vertical="center"/>
    </xf>
    <xf numFmtId="49" fontId="46" fillId="0" borderId="1" xfId="42" applyNumberFormat="1" applyFont="1" applyFill="1" applyBorder="1" applyAlignment="1">
      <alignment horizontal="center" vertical="center"/>
    </xf>
    <xf numFmtId="0" fontId="69" fillId="0" borderId="1" xfId="26" applyFont="1" applyFill="1" applyBorder="1" applyAlignment="1">
      <alignment horizontal="justify" vertical="center"/>
    </xf>
    <xf numFmtId="0" fontId="5" fillId="0" borderId="1" xfId="26" applyFont="1" applyFill="1" applyBorder="1" applyAlignment="1">
      <alignment horizontal="center" vertical="center"/>
    </xf>
    <xf numFmtId="0" fontId="69" fillId="0" borderId="1" xfId="26" applyFont="1" applyFill="1" applyBorder="1" applyAlignment="1">
      <alignment horizontal="left" vertical="center"/>
    </xf>
    <xf numFmtId="0" fontId="69" fillId="0" borderId="1" xfId="26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horizontal="left" vertical="center"/>
    </xf>
    <xf numFmtId="170" fontId="5" fillId="0" borderId="1" xfId="42" applyNumberFormat="1" applyFill="1" applyBorder="1" applyAlignment="1">
      <alignment horizontal="left" vertical="center" indent="1"/>
    </xf>
    <xf numFmtId="9" fontId="69" fillId="0" borderId="1" xfId="26" applyNumberFormat="1" applyFont="1" applyFill="1" applyBorder="1" applyAlignment="1">
      <alignment horizontal="center" vertical="center"/>
    </xf>
    <xf numFmtId="0" fontId="69" fillId="0" borderId="1" xfId="26" applyFont="1" applyFill="1" applyBorder="1" applyAlignment="1">
      <alignment horizontal="left" vertical="center" indent="1"/>
    </xf>
    <xf numFmtId="49" fontId="5" fillId="0" borderId="1" xfId="26" applyNumberFormat="1" applyFont="1" applyFill="1" applyBorder="1" applyAlignment="1">
      <alignment horizontal="left" vertical="center"/>
    </xf>
    <xf numFmtId="0" fontId="5" fillId="0" borderId="1" xfId="26" applyFont="1" applyFill="1" applyBorder="1" applyAlignment="1">
      <alignment horizontal="left" vertical="center" indent="1"/>
    </xf>
    <xf numFmtId="49" fontId="69" fillId="0" borderId="1" xfId="26" applyNumberFormat="1" applyFont="1" applyFill="1" applyBorder="1" applyAlignment="1">
      <alignment horizontal="left" vertical="center"/>
    </xf>
    <xf numFmtId="0" fontId="46" fillId="0" borderId="1" xfId="42" applyFont="1" applyFill="1" applyBorder="1" applyAlignment="1">
      <alignment horizontal="center"/>
    </xf>
    <xf numFmtId="0" fontId="46" fillId="0" borderId="1" xfId="42" applyFont="1" applyFill="1" applyBorder="1" applyAlignment="1">
      <alignment horizontal="left" vertical="top" wrapText="1"/>
    </xf>
    <xf numFmtId="0" fontId="46" fillId="0" borderId="1" xfId="2" applyFont="1" applyFill="1" applyBorder="1" applyAlignment="1">
      <alignment horizontal="center" vertical="center" wrapText="1"/>
    </xf>
    <xf numFmtId="0" fontId="5" fillId="0" borderId="0" xfId="42" applyFill="1" applyAlignment="1">
      <alignment vertical="center"/>
    </xf>
    <xf numFmtId="2" fontId="46" fillId="0" borderId="1" xfId="7" applyNumberFormat="1" applyFont="1" applyFill="1" applyBorder="1" applyAlignment="1">
      <alignment horizontal="center" vertical="center"/>
    </xf>
    <xf numFmtId="0" fontId="46" fillId="0" borderId="1" xfId="57" applyFont="1" applyFill="1" applyBorder="1" applyAlignment="1">
      <alignment horizontal="left" vertical="center" wrapText="1"/>
    </xf>
    <xf numFmtId="0" fontId="45" fillId="0" borderId="1" xfId="57" applyFont="1" applyFill="1" applyBorder="1" applyAlignment="1">
      <alignment horizontal="center" vertical="center" wrapText="1"/>
    </xf>
    <xf numFmtId="0" fontId="45" fillId="0" borderId="1" xfId="57" applyFont="1" applyFill="1" applyBorder="1" applyAlignment="1">
      <alignment horizontal="center" vertical="center"/>
    </xf>
    <xf numFmtId="2" fontId="45" fillId="0" borderId="1" xfId="57" applyNumberFormat="1" applyFont="1" applyFill="1" applyBorder="1" applyAlignment="1">
      <alignment horizontal="center" vertical="center"/>
    </xf>
    <xf numFmtId="0" fontId="46" fillId="0" borderId="1" xfId="57" applyFont="1" applyFill="1" applyBorder="1" applyAlignment="1">
      <alignment horizontal="center" vertical="center" wrapText="1"/>
    </xf>
    <xf numFmtId="0" fontId="46" fillId="0" borderId="1" xfId="57" applyFont="1" applyFill="1" applyBorder="1" applyAlignment="1">
      <alignment horizontal="center" vertical="center"/>
    </xf>
    <xf numFmtId="0" fontId="46" fillId="0" borderId="0" xfId="7" applyFont="1" applyFill="1"/>
    <xf numFmtId="49" fontId="43" fillId="0" borderId="0" xfId="40" applyNumberFormat="1" applyFont="1" applyFill="1" applyAlignment="1">
      <alignment horizontal="center" vertical="center" wrapText="1" shrinkToFit="1"/>
    </xf>
    <xf numFmtId="0" fontId="45" fillId="0" borderId="0" xfId="40" applyFont="1" applyFill="1" applyAlignment="1">
      <alignment horizontal="center" vertical="center" shrinkToFit="1"/>
    </xf>
    <xf numFmtId="0" fontId="46" fillId="0" borderId="1" xfId="7" applyFont="1" applyFill="1" applyBorder="1" applyAlignment="1">
      <alignment horizontal="center" vertical="center"/>
    </xf>
    <xf numFmtId="0" fontId="45" fillId="0" borderId="1" xfId="7" applyFont="1" applyFill="1" applyBorder="1" applyAlignment="1">
      <alignment horizontal="center" vertical="center" wrapText="1"/>
    </xf>
    <xf numFmtId="0" fontId="73" fillId="0" borderId="0" xfId="27" applyFont="1" applyFill="1" applyAlignment="1">
      <alignment horizontal="center"/>
    </xf>
    <xf numFmtId="0" fontId="45" fillId="0" borderId="1" xfId="7" applyFont="1" applyFill="1" applyBorder="1" applyAlignment="1">
      <alignment horizontal="center" vertical="center"/>
    </xf>
    <xf numFmtId="49" fontId="45" fillId="0" borderId="1" xfId="7" applyNumberFormat="1" applyFont="1" applyFill="1" applyBorder="1" applyAlignment="1">
      <alignment horizontal="center" vertical="center"/>
    </xf>
    <xf numFmtId="49" fontId="45" fillId="0" borderId="1" xfId="7" applyNumberFormat="1" applyFont="1" applyFill="1" applyBorder="1" applyAlignment="1">
      <alignment horizontal="center" vertical="center" wrapText="1"/>
    </xf>
    <xf numFmtId="0" fontId="45" fillId="0" borderId="2" xfId="42" applyFont="1" applyFill="1" applyBorder="1" applyAlignment="1">
      <alignment horizontal="left" vertical="center" wrapText="1"/>
    </xf>
    <xf numFmtId="2" fontId="45" fillId="0" borderId="2" xfId="42" applyNumberFormat="1" applyFont="1" applyFill="1" applyBorder="1" applyAlignment="1">
      <alignment horizontal="center" vertical="center" wrapText="1"/>
    </xf>
    <xf numFmtId="0" fontId="45" fillId="0" borderId="1" xfId="2" applyFont="1" applyFill="1" applyBorder="1" applyAlignment="1">
      <alignment horizontal="center" vertical="center" wrapText="1"/>
    </xf>
    <xf numFmtId="0" fontId="74" fillId="0" borderId="0" xfId="42" applyFont="1" applyFill="1" applyAlignment="1">
      <alignment vertical="center"/>
    </xf>
    <xf numFmtId="0" fontId="46" fillId="0" borderId="2" xfId="42" applyFont="1" applyFill="1" applyBorder="1" applyAlignment="1">
      <alignment horizontal="left" vertical="center" wrapText="1"/>
    </xf>
    <xf numFmtId="0" fontId="46" fillId="0" borderId="2" xfId="42" applyFont="1" applyFill="1" applyBorder="1" applyAlignment="1">
      <alignment horizontal="center" vertical="center"/>
    </xf>
    <xf numFmtId="168" fontId="46" fillId="0" borderId="2" xfId="42" applyNumberFormat="1" applyFont="1" applyFill="1" applyBorder="1" applyAlignment="1">
      <alignment horizontal="center" vertical="center" wrapText="1"/>
    </xf>
    <xf numFmtId="0" fontId="45" fillId="0" borderId="2" xfId="42" applyFont="1" applyFill="1" applyBorder="1" applyAlignment="1">
      <alignment vertical="center"/>
    </xf>
    <xf numFmtId="0" fontId="46" fillId="0" borderId="2" xfId="10" applyFont="1" applyFill="1" applyBorder="1" applyAlignment="1">
      <alignment horizontal="center" vertical="center"/>
    </xf>
    <xf numFmtId="2" fontId="46" fillId="0" borderId="2" xfId="10" applyNumberFormat="1" applyFont="1" applyFill="1" applyBorder="1" applyAlignment="1">
      <alignment horizontal="center" vertical="center"/>
    </xf>
    <xf numFmtId="169" fontId="46" fillId="0" borderId="2" xfId="7" applyNumberFormat="1" applyFont="1" applyFill="1" applyBorder="1" applyAlignment="1">
      <alignment horizontal="center" vertical="center"/>
    </xf>
    <xf numFmtId="0" fontId="46" fillId="0" borderId="2" xfId="7" applyFont="1" applyFill="1" applyBorder="1" applyAlignment="1">
      <alignment horizontal="center" vertical="center"/>
    </xf>
    <xf numFmtId="178" fontId="45" fillId="0" borderId="1" xfId="37" applyNumberFormat="1" applyFont="1" applyFill="1" applyBorder="1" applyAlignment="1">
      <alignment horizontal="center" vertical="center"/>
    </xf>
    <xf numFmtId="0" fontId="74" fillId="0" borderId="0" xfId="29" applyFont="1" applyFill="1" applyAlignment="1">
      <alignment horizontal="center" vertical="center" wrapText="1"/>
    </xf>
    <xf numFmtId="2" fontId="46" fillId="0" borderId="1" xfId="40" applyNumberFormat="1" applyFont="1" applyFill="1" applyBorder="1" applyAlignment="1">
      <alignment horizontal="center" vertical="center"/>
    </xf>
    <xf numFmtId="49" fontId="45" fillId="0" borderId="1" xfId="2" applyNumberFormat="1" applyFont="1" applyFill="1" applyBorder="1" applyAlignment="1">
      <alignment horizontal="center" vertical="center" wrapText="1"/>
    </xf>
    <xf numFmtId="0" fontId="46" fillId="0" borderId="1" xfId="40" applyFont="1" applyFill="1" applyBorder="1" applyAlignment="1">
      <alignment vertical="center" wrapText="1"/>
    </xf>
    <xf numFmtId="168" fontId="46" fillId="0" borderId="1" xfId="40" applyNumberFormat="1" applyFont="1" applyFill="1" applyBorder="1" applyAlignment="1">
      <alignment horizontal="center" vertical="center"/>
    </xf>
    <xf numFmtId="0" fontId="45" fillId="0" borderId="1" xfId="40" applyFont="1" applyFill="1" applyBorder="1" applyAlignment="1">
      <alignment horizontal="center" vertical="center" wrapText="1"/>
    </xf>
    <xf numFmtId="0" fontId="45" fillId="0" borderId="1" xfId="27" applyFont="1" applyFill="1" applyBorder="1" applyAlignment="1">
      <alignment horizontal="center" vertical="center" wrapText="1"/>
    </xf>
    <xf numFmtId="0" fontId="46" fillId="0" borderId="1" xfId="42" applyFont="1" applyFill="1" applyBorder="1" applyAlignment="1">
      <alignment horizontal="justify" vertical="center"/>
    </xf>
    <xf numFmtId="0" fontId="46" fillId="0" borderId="1" xfId="27" applyFont="1" applyFill="1" applyBorder="1" applyAlignment="1">
      <alignment horizontal="center" vertical="center" wrapText="1"/>
    </xf>
    <xf numFmtId="0" fontId="46" fillId="0" borderId="6" xfId="42" applyFont="1" applyFill="1" applyBorder="1" applyAlignment="1">
      <alignment horizontal="center" vertical="center" wrapText="1"/>
    </xf>
    <xf numFmtId="2" fontId="46" fillId="0" borderId="1" xfId="27" applyNumberFormat="1" applyFont="1" applyFill="1" applyBorder="1" applyAlignment="1">
      <alignment horizontal="center" vertical="center" wrapText="1"/>
    </xf>
    <xf numFmtId="0" fontId="46" fillId="0" borderId="1" xfId="29" applyFont="1" applyFill="1" applyBorder="1" applyAlignment="1">
      <alignment horizontal="center" vertical="center" wrapText="1"/>
    </xf>
    <xf numFmtId="170" fontId="46" fillId="0" borderId="1" xfId="42" applyNumberFormat="1" applyFont="1" applyFill="1" applyBorder="1" applyAlignment="1">
      <alignment horizontal="center" vertical="center" wrapText="1"/>
    </xf>
    <xf numFmtId="49" fontId="45" fillId="0" borderId="6" xfId="29" applyNumberFormat="1" applyFont="1" applyFill="1" applyBorder="1" applyAlignment="1">
      <alignment horizontal="center" vertical="center" wrapText="1"/>
    </xf>
    <xf numFmtId="2" fontId="46" fillId="0" borderId="6" xfId="42" applyNumberFormat="1" applyFont="1" applyFill="1" applyBorder="1" applyAlignment="1">
      <alignment horizontal="center" vertical="center" wrapText="1"/>
    </xf>
    <xf numFmtId="170" fontId="46" fillId="0" borderId="1" xfId="29" applyNumberFormat="1" applyFont="1" applyFill="1" applyBorder="1" applyAlignment="1">
      <alignment horizontal="center" vertical="center" wrapText="1"/>
    </xf>
    <xf numFmtId="0" fontId="73" fillId="0" borderId="1" xfId="26" applyFont="1" applyFill="1" applyBorder="1" applyAlignment="1">
      <alignment horizontal="justify" vertical="center"/>
    </xf>
    <xf numFmtId="0" fontId="73" fillId="0" borderId="1" xfId="26" applyFont="1" applyFill="1" applyBorder="1" applyAlignment="1">
      <alignment horizontal="center" vertical="center"/>
    </xf>
    <xf numFmtId="0" fontId="73" fillId="0" borderId="1" xfId="26" applyFont="1" applyFill="1" applyBorder="1" applyAlignment="1">
      <alignment horizontal="left" vertical="center"/>
    </xf>
    <xf numFmtId="4" fontId="73" fillId="0" borderId="1" xfId="26" applyNumberFormat="1" applyFont="1" applyFill="1" applyBorder="1" applyAlignment="1">
      <alignment horizontal="center" vertical="center"/>
    </xf>
    <xf numFmtId="0" fontId="74" fillId="0" borderId="0" xfId="42" applyFont="1" applyFill="1"/>
    <xf numFmtId="0" fontId="74" fillId="0" borderId="1" xfId="26" applyFont="1" applyFill="1" applyBorder="1" applyAlignment="1">
      <alignment horizontal="left" vertical="center"/>
    </xf>
    <xf numFmtId="170" fontId="74" fillId="0" borderId="1" xfId="42" applyNumberFormat="1" applyFont="1" applyFill="1" applyBorder="1" applyAlignment="1">
      <alignment horizontal="left" vertical="center" indent="1"/>
    </xf>
    <xf numFmtId="9" fontId="74" fillId="0" borderId="1" xfId="26" applyNumberFormat="1" applyFont="1" applyFill="1" applyBorder="1" applyAlignment="1">
      <alignment horizontal="center" vertical="center"/>
    </xf>
    <xf numFmtId="4" fontId="74" fillId="0" borderId="1" xfId="26" applyNumberFormat="1" applyFont="1" applyFill="1" applyBorder="1" applyAlignment="1">
      <alignment horizontal="center" vertical="center"/>
    </xf>
    <xf numFmtId="4" fontId="74" fillId="0" borderId="1" xfId="26" applyNumberFormat="1" applyFont="1" applyFill="1" applyBorder="1" applyAlignment="1">
      <alignment horizontal="left" vertical="center"/>
    </xf>
    <xf numFmtId="0" fontId="74" fillId="0" borderId="0" xfId="42" applyFont="1" applyFill="1" applyAlignment="1">
      <alignment horizontal="left" vertical="center"/>
    </xf>
    <xf numFmtId="4" fontId="69" fillId="0" borderId="1" xfId="26" applyNumberFormat="1" applyFont="1" applyFill="1" applyBorder="1" applyAlignment="1">
      <alignment horizontal="center" vertical="center"/>
    </xf>
    <xf numFmtId="4" fontId="69" fillId="0" borderId="1" xfId="26" applyNumberFormat="1" applyFont="1" applyFill="1" applyBorder="1" applyAlignment="1">
      <alignment horizontal="left" vertical="center"/>
    </xf>
    <xf numFmtId="0" fontId="74" fillId="0" borderId="0" xfId="42" applyFont="1" applyFill="1" applyAlignment="1">
      <alignment horizontal="left"/>
    </xf>
    <xf numFmtId="49" fontId="73" fillId="0" borderId="1" xfId="26" applyNumberFormat="1" applyFont="1" applyFill="1" applyBorder="1" applyAlignment="1">
      <alignment horizontal="left" vertical="center"/>
    </xf>
    <xf numFmtId="0" fontId="74" fillId="0" borderId="1" xfId="26" applyFont="1" applyFill="1" applyBorder="1" applyAlignment="1">
      <alignment horizontal="left" vertical="center" indent="1"/>
    </xf>
    <xf numFmtId="0" fontId="74" fillId="0" borderId="0" xfId="26" applyFont="1" applyFill="1" applyAlignment="1">
      <alignment horizontal="left"/>
    </xf>
    <xf numFmtId="0" fontId="73" fillId="0" borderId="0" xfId="42" applyFont="1" applyFill="1" applyAlignment="1">
      <alignment horizontal="center"/>
    </xf>
    <xf numFmtId="0" fontId="73" fillId="0" borderId="0" xfId="42" applyFont="1" applyFill="1" applyAlignment="1">
      <alignment horizontal="left"/>
    </xf>
    <xf numFmtId="0" fontId="74" fillId="0" borderId="0" xfId="42" applyFont="1" applyFill="1" applyAlignment="1">
      <alignment horizontal="center"/>
    </xf>
    <xf numFmtId="4" fontId="74" fillId="0" borderId="0" xfId="42" applyNumberFormat="1" applyFont="1" applyFill="1" applyAlignment="1">
      <alignment horizontal="center"/>
    </xf>
    <xf numFmtId="0" fontId="45" fillId="0" borderId="0" xfId="27" applyFont="1" applyFill="1" applyAlignment="1">
      <alignment horizontal="center"/>
    </xf>
    <xf numFmtId="3" fontId="45" fillId="0" borderId="1" xfId="27" applyNumberFormat="1" applyFont="1" applyFill="1" applyBorder="1" applyAlignment="1">
      <alignment horizontal="center" vertical="center"/>
    </xf>
    <xf numFmtId="4" fontId="45" fillId="0" borderId="1" xfId="27" applyNumberFormat="1" applyFont="1" applyFill="1" applyBorder="1" applyAlignment="1">
      <alignment horizontal="center" vertical="center"/>
    </xf>
    <xf numFmtId="0" fontId="45" fillId="0" borderId="1" xfId="42" applyFont="1" applyFill="1" applyBorder="1" applyAlignment="1">
      <alignment horizontal="left" vertical="center"/>
    </xf>
    <xf numFmtId="4" fontId="45" fillId="0" borderId="1" xfId="42" applyNumberFormat="1" applyFont="1" applyFill="1" applyBorder="1" applyAlignment="1">
      <alignment horizontal="center" vertical="center"/>
    </xf>
    <xf numFmtId="4" fontId="46" fillId="0" borderId="1" xfId="42" applyNumberFormat="1" applyFont="1" applyFill="1" applyBorder="1" applyAlignment="1">
      <alignment horizontal="center" vertical="center"/>
    </xf>
    <xf numFmtId="0" fontId="46" fillId="0" borderId="1" xfId="27" applyFont="1" applyFill="1" applyBorder="1" applyAlignment="1">
      <alignment horizontal="left" vertical="center"/>
    </xf>
    <xf numFmtId="0" fontId="46" fillId="0" borderId="1" xfId="27" applyFont="1" applyFill="1" applyBorder="1" applyAlignment="1">
      <alignment horizontal="center" vertical="center"/>
    </xf>
    <xf numFmtId="177" fontId="46" fillId="0" borderId="1" xfId="42" applyNumberFormat="1" applyFont="1" applyFill="1" applyBorder="1" applyAlignment="1">
      <alignment horizontal="center" vertical="center"/>
    </xf>
    <xf numFmtId="0" fontId="46" fillId="0" borderId="1" xfId="42" applyFont="1" applyFill="1" applyBorder="1" applyAlignment="1">
      <alignment horizontal="left" vertical="center"/>
    </xf>
    <xf numFmtId="176" fontId="46" fillId="0" borderId="1" xfId="42" applyNumberFormat="1" applyFont="1" applyFill="1" applyBorder="1" applyAlignment="1">
      <alignment horizontal="center" vertical="center"/>
    </xf>
    <xf numFmtId="4" fontId="46" fillId="0" borderId="1" xfId="56" applyNumberFormat="1" applyFont="1" applyFill="1" applyBorder="1" applyAlignment="1">
      <alignment horizontal="center" vertical="center"/>
    </xf>
    <xf numFmtId="49" fontId="46" fillId="0" borderId="1" xfId="29" applyNumberFormat="1" applyFont="1" applyFill="1" applyBorder="1" applyAlignment="1">
      <alignment horizontal="center" vertical="center"/>
    </xf>
    <xf numFmtId="0" fontId="46" fillId="0" borderId="1" xfId="42" applyFont="1" applyFill="1" applyBorder="1" applyAlignment="1">
      <alignment vertical="justify"/>
    </xf>
    <xf numFmtId="4" fontId="45" fillId="0" borderId="1" xfId="30" applyNumberFormat="1" applyFont="1" applyFill="1" applyBorder="1" applyAlignment="1">
      <alignment horizontal="center" vertical="center"/>
    </xf>
    <xf numFmtId="0" fontId="46" fillId="0" borderId="0" xfId="29" applyFont="1" applyFill="1" applyAlignment="1">
      <alignment horizontal="center" vertical="center" wrapText="1"/>
    </xf>
    <xf numFmtId="49" fontId="45" fillId="0" borderId="1" xfId="16" applyNumberFormat="1" applyFont="1" applyFill="1" applyBorder="1" applyAlignment="1">
      <alignment horizontal="center" vertical="center" wrapText="1"/>
    </xf>
    <xf numFmtId="0" fontId="45" fillId="0" borderId="1" xfId="16" applyFont="1" applyFill="1" applyBorder="1" applyAlignment="1">
      <alignment horizontal="left" vertical="center"/>
    </xf>
    <xf numFmtId="4" fontId="45" fillId="0" borderId="1" xfId="16" applyNumberFormat="1" applyFont="1" applyFill="1" applyBorder="1" applyAlignment="1">
      <alignment horizontal="center" vertical="center"/>
    </xf>
    <xf numFmtId="0" fontId="45" fillId="0" borderId="0" xfId="16" applyFont="1" applyFill="1" applyAlignment="1">
      <alignment horizontal="center" vertical="center" wrapText="1"/>
    </xf>
    <xf numFmtId="49" fontId="46" fillId="0" borderId="1" xfId="16" applyNumberFormat="1" applyFont="1" applyFill="1" applyBorder="1" applyAlignment="1">
      <alignment horizontal="center" vertical="center"/>
    </xf>
    <xf numFmtId="0" fontId="46" fillId="0" borderId="1" xfId="27" applyFont="1" applyFill="1" applyBorder="1" applyAlignment="1">
      <alignment vertical="center"/>
    </xf>
    <xf numFmtId="4" fontId="46" fillId="0" borderId="1" xfId="16" applyNumberFormat="1" applyFont="1" applyFill="1" applyBorder="1" applyAlignment="1">
      <alignment horizontal="center" vertical="center"/>
    </xf>
    <xf numFmtId="0" fontId="46" fillId="0" borderId="0" xfId="16" applyFont="1" applyFill="1" applyAlignment="1">
      <alignment horizontal="center" vertical="center" wrapText="1"/>
    </xf>
    <xf numFmtId="0" fontId="45" fillId="0" borderId="0" xfId="42" applyFont="1" applyFill="1" applyAlignment="1">
      <alignment horizontal="center" vertical="center" wrapText="1"/>
    </xf>
    <xf numFmtId="0" fontId="46" fillId="0" borderId="1" xfId="26" applyFont="1" applyFill="1" applyBorder="1" applyAlignment="1">
      <alignment horizontal="center" vertical="center"/>
    </xf>
    <xf numFmtId="49" fontId="46" fillId="0" borderId="1" xfId="26" applyNumberFormat="1" applyFont="1" applyFill="1" applyBorder="1" applyAlignment="1">
      <alignment horizontal="center" vertical="center"/>
    </xf>
    <xf numFmtId="0" fontId="46" fillId="0" borderId="0" xfId="26" applyFont="1" applyFill="1" applyAlignment="1">
      <alignment horizontal="center" vertical="center" wrapText="1"/>
    </xf>
    <xf numFmtId="0" fontId="45" fillId="0" borderId="0" xfId="27" applyFont="1" applyFill="1" applyAlignment="1">
      <alignment horizontal="center" vertical="center"/>
    </xf>
    <xf numFmtId="49" fontId="46" fillId="0" borderId="1" xfId="26" applyNumberFormat="1" applyFont="1" applyFill="1" applyBorder="1" applyAlignment="1">
      <alignment horizontal="center" vertical="center" wrapText="1"/>
    </xf>
    <xf numFmtId="0" fontId="46" fillId="0" borderId="1" xfId="26" applyFont="1" applyFill="1" applyBorder="1" applyAlignment="1">
      <alignment horizontal="left" vertical="center"/>
    </xf>
    <xf numFmtId="4" fontId="46" fillId="0" borderId="1" xfId="14" applyNumberFormat="1" applyFont="1" applyFill="1" applyBorder="1" applyAlignment="1">
      <alignment horizontal="center" vertical="center"/>
    </xf>
    <xf numFmtId="4" fontId="46" fillId="0" borderId="1" xfId="27" applyNumberFormat="1" applyFont="1" applyFill="1" applyBorder="1" applyAlignment="1">
      <alignment horizontal="center" vertical="center"/>
    </xf>
    <xf numFmtId="4" fontId="46" fillId="0" borderId="1" xfId="26" applyNumberFormat="1" applyFont="1" applyFill="1" applyBorder="1" applyAlignment="1">
      <alignment horizontal="center" vertical="center"/>
    </xf>
    <xf numFmtId="0" fontId="45" fillId="0" borderId="1" xfId="42" applyFont="1" applyFill="1" applyBorder="1" applyAlignment="1">
      <alignment vertical="center"/>
    </xf>
    <xf numFmtId="0" fontId="46" fillId="0" borderId="0" xfId="42" applyFont="1" applyFill="1" applyAlignment="1">
      <alignment horizontal="center" vertical="center" wrapText="1"/>
    </xf>
    <xf numFmtId="175" fontId="46" fillId="0" borderId="1" xfId="42" applyNumberFormat="1" applyFont="1" applyFill="1" applyBorder="1" applyAlignment="1">
      <alignment horizontal="center" vertical="center"/>
    </xf>
    <xf numFmtId="0" fontId="46" fillId="0" borderId="1" xfId="29" applyFont="1" applyFill="1" applyBorder="1" applyAlignment="1">
      <alignment horizontal="left" vertical="center"/>
    </xf>
    <xf numFmtId="0" fontId="46" fillId="0" borderId="1" xfId="29" applyFont="1" applyFill="1" applyBorder="1" applyAlignment="1">
      <alignment horizontal="center" vertical="center"/>
    </xf>
    <xf numFmtId="0" fontId="46" fillId="0" borderId="1" xfId="29" applyFont="1" applyFill="1" applyBorder="1" applyAlignment="1">
      <alignment vertical="center"/>
    </xf>
    <xf numFmtId="0" fontId="46" fillId="0" borderId="1" xfId="42" applyFont="1" applyFill="1" applyBorder="1" applyAlignment="1">
      <alignment vertical="center"/>
    </xf>
    <xf numFmtId="4" fontId="46" fillId="0" borderId="1" xfId="30" applyNumberFormat="1" applyFont="1" applyFill="1" applyBorder="1" applyAlignment="1">
      <alignment horizontal="center" vertical="center"/>
    </xf>
    <xf numFmtId="176" fontId="46" fillId="0" borderId="1" xfId="42" applyNumberFormat="1" applyFont="1" applyFill="1" applyBorder="1" applyAlignment="1">
      <alignment horizontal="center" vertical="center" wrapText="1"/>
    </xf>
    <xf numFmtId="177" fontId="46" fillId="0" borderId="1" xfId="29" applyNumberFormat="1" applyFont="1" applyFill="1" applyBorder="1" applyAlignment="1">
      <alignment horizontal="center" vertical="center"/>
    </xf>
    <xf numFmtId="174" fontId="68" fillId="0" borderId="1" xfId="42" applyNumberFormat="1" applyFont="1" applyFill="1" applyBorder="1" applyAlignment="1">
      <alignment horizontal="center" vertical="center"/>
    </xf>
    <xf numFmtId="49" fontId="45" fillId="0" borderId="1" xfId="42" applyNumberFormat="1" applyFont="1" applyFill="1" applyBorder="1" applyAlignment="1">
      <alignment horizontal="left" vertical="center"/>
    </xf>
    <xf numFmtId="0" fontId="45" fillId="0" borderId="0" xfId="27" applyFont="1" applyFill="1" applyAlignment="1">
      <alignment vertical="center"/>
    </xf>
    <xf numFmtId="4" fontId="46" fillId="0" borderId="1" xfId="42" applyNumberFormat="1" applyFont="1" applyFill="1" applyBorder="1" applyAlignment="1">
      <alignment horizontal="center"/>
    </xf>
    <xf numFmtId="0" fontId="46" fillId="0" borderId="0" xfId="27" applyFont="1" applyFill="1" applyAlignment="1">
      <alignment vertical="center"/>
    </xf>
    <xf numFmtId="175" fontId="46" fillId="0" borderId="1" xfId="42" applyNumberFormat="1" applyFont="1" applyFill="1" applyBorder="1" applyAlignment="1">
      <alignment horizontal="center"/>
    </xf>
    <xf numFmtId="176" fontId="46" fillId="0" borderId="1" xfId="42" applyNumberFormat="1" applyFont="1" applyFill="1" applyBorder="1" applyAlignment="1">
      <alignment horizontal="center"/>
    </xf>
    <xf numFmtId="176" fontId="46" fillId="0" borderId="1" xfId="27" applyNumberFormat="1" applyFont="1" applyFill="1" applyBorder="1" applyAlignment="1">
      <alignment horizontal="center" vertical="center"/>
    </xf>
    <xf numFmtId="49" fontId="46" fillId="0" borderId="1" xfId="29" applyNumberFormat="1" applyFont="1" applyFill="1" applyBorder="1" applyAlignment="1">
      <alignment horizontal="center" vertical="center" wrapText="1"/>
    </xf>
    <xf numFmtId="4" fontId="46" fillId="0" borderId="1" xfId="14" applyNumberFormat="1" applyFont="1" applyFill="1" applyBorder="1" applyAlignment="1">
      <alignment horizontal="right" vertical="center"/>
    </xf>
    <xf numFmtId="0" fontId="46" fillId="0" borderId="0" xfId="14" applyFont="1" applyFill="1" applyAlignment="1">
      <alignment horizontal="center" vertical="center" wrapText="1"/>
    </xf>
    <xf numFmtId="49" fontId="45" fillId="0" borderId="1" xfId="14" applyNumberFormat="1" applyFont="1" applyFill="1" applyBorder="1" applyAlignment="1">
      <alignment horizontal="center" vertical="center"/>
    </xf>
    <xf numFmtId="0" fontId="46" fillId="0" borderId="1" xfId="14" applyFont="1" applyFill="1" applyBorder="1" applyAlignment="1">
      <alignment horizontal="left" vertical="center"/>
    </xf>
    <xf numFmtId="49" fontId="46" fillId="0" borderId="1" xfId="14" applyNumberFormat="1" applyFont="1" applyFill="1" applyBorder="1" applyAlignment="1">
      <alignment horizontal="center" vertical="center"/>
    </xf>
    <xf numFmtId="4" fontId="45" fillId="0" borderId="1" xfId="27" applyNumberFormat="1" applyFont="1" applyFill="1" applyBorder="1" applyAlignment="1">
      <alignment vertical="center"/>
    </xf>
    <xf numFmtId="4" fontId="45" fillId="0" borderId="1" xfId="14" applyNumberFormat="1" applyFont="1" applyFill="1" applyBorder="1" applyAlignment="1">
      <alignment horizontal="center" vertical="center"/>
    </xf>
    <xf numFmtId="0" fontId="45" fillId="0" borderId="0" xfId="14" applyFont="1" applyFill="1" applyAlignment="1">
      <alignment horizontal="center" vertical="center" wrapText="1"/>
    </xf>
    <xf numFmtId="175" fontId="46" fillId="0" borderId="1" xfId="14" applyNumberFormat="1" applyFont="1" applyFill="1" applyBorder="1" applyAlignment="1">
      <alignment horizontal="center" vertical="center"/>
    </xf>
    <xf numFmtId="176" fontId="46" fillId="0" borderId="1" xfId="14" applyNumberFormat="1" applyFont="1" applyFill="1" applyBorder="1" applyAlignment="1">
      <alignment horizontal="center" vertical="center"/>
    </xf>
    <xf numFmtId="0" fontId="46" fillId="0" borderId="1" xfId="14" applyFont="1" applyFill="1" applyBorder="1" applyAlignment="1">
      <alignment horizontal="justify" vertical="center"/>
    </xf>
    <xf numFmtId="3" fontId="46" fillId="0" borderId="1" xfId="27" applyNumberFormat="1" applyFont="1" applyFill="1" applyBorder="1" applyAlignment="1">
      <alignment horizontal="center" vertical="center"/>
    </xf>
    <xf numFmtId="0" fontId="45" fillId="0" borderId="1" xfId="14" quotePrefix="1" applyFont="1" applyFill="1" applyBorder="1" applyAlignment="1">
      <alignment horizontal="center" vertical="center" wrapText="1"/>
    </xf>
    <xf numFmtId="0" fontId="45" fillId="0" borderId="1" xfId="30" applyFont="1" applyFill="1" applyBorder="1" applyAlignment="1">
      <alignment horizontal="left" vertical="center"/>
    </xf>
    <xf numFmtId="4" fontId="46" fillId="0" borderId="1" xfId="54" applyNumberFormat="1" applyFont="1" applyFill="1" applyBorder="1" applyAlignment="1">
      <alignment horizontal="center" vertical="center"/>
    </xf>
    <xf numFmtId="0" fontId="46" fillId="0" borderId="1" xfId="14" quotePrefix="1" applyFont="1" applyFill="1" applyBorder="1" applyAlignment="1">
      <alignment horizontal="center" vertical="center"/>
    </xf>
    <xf numFmtId="0" fontId="46" fillId="0" borderId="1" xfId="14" applyFont="1" applyFill="1" applyBorder="1" applyAlignment="1">
      <alignment horizontal="left" vertical="center" wrapText="1"/>
    </xf>
    <xf numFmtId="0" fontId="45" fillId="0" borderId="1" xfId="42" applyFont="1" applyFill="1" applyBorder="1" applyAlignment="1">
      <alignment horizontal="justify" vertical="center"/>
    </xf>
    <xf numFmtId="4" fontId="45" fillId="0" borderId="1" xfId="42" applyNumberFormat="1" applyFont="1" applyFill="1" applyBorder="1" applyAlignment="1">
      <alignment vertical="center"/>
    </xf>
    <xf numFmtId="0" fontId="45" fillId="0" borderId="1" xfId="14" applyFont="1" applyFill="1" applyBorder="1" applyAlignment="1">
      <alignment horizontal="left" vertical="center" wrapText="1"/>
    </xf>
    <xf numFmtId="49" fontId="46" fillId="0" borderId="1" xfId="30" applyNumberFormat="1" applyFont="1" applyFill="1" applyBorder="1" applyAlignment="1">
      <alignment horizontal="center" vertical="center"/>
    </xf>
    <xf numFmtId="0" fontId="46" fillId="0" borderId="0" xfId="30" applyFont="1" applyFill="1" applyAlignment="1">
      <alignment horizontal="center" vertical="center" wrapText="1"/>
    </xf>
    <xf numFmtId="0" fontId="46" fillId="0" borderId="1" xfId="30" applyFont="1" applyFill="1" applyBorder="1" applyAlignment="1">
      <alignment horizontal="center" vertical="center"/>
    </xf>
    <xf numFmtId="0" fontId="46" fillId="0" borderId="1" xfId="30" applyFont="1" applyFill="1" applyBorder="1" applyAlignment="1">
      <alignment horizontal="justify" vertical="center"/>
    </xf>
    <xf numFmtId="3" fontId="45" fillId="0" borderId="1" xfId="27" applyNumberFormat="1" applyFont="1" applyFill="1" applyBorder="1" applyAlignment="1">
      <alignment horizontal="left" vertical="center"/>
    </xf>
    <xf numFmtId="14" fontId="45" fillId="0" borderId="1" xfId="31" applyNumberFormat="1" applyFont="1" applyFill="1" applyBorder="1" applyAlignment="1">
      <alignment horizontal="center" vertical="center" wrapText="1"/>
    </xf>
    <xf numFmtId="0" fontId="45" fillId="0" borderId="1" xfId="31" applyFont="1" applyFill="1" applyBorder="1" applyAlignment="1">
      <alignment horizontal="left" vertical="center" wrapText="1"/>
    </xf>
    <xf numFmtId="0" fontId="46" fillId="0" borderId="1" xfId="31" applyFont="1" applyFill="1" applyBorder="1" applyAlignment="1">
      <alignment horizontal="center" vertical="center" wrapText="1"/>
    </xf>
    <xf numFmtId="168" fontId="46" fillId="0" borderId="1" xfId="31" applyNumberFormat="1" applyFont="1" applyFill="1" applyBorder="1" applyAlignment="1">
      <alignment horizontal="center" vertical="center" wrapText="1"/>
    </xf>
    <xf numFmtId="2" fontId="45" fillId="0" borderId="1" xfId="31" applyNumberFormat="1" applyFont="1" applyFill="1" applyBorder="1" applyAlignment="1">
      <alignment horizontal="center" vertical="center" wrapText="1"/>
    </xf>
    <xf numFmtId="2" fontId="46" fillId="0" borderId="1" xfId="31" applyNumberFormat="1" applyFont="1" applyFill="1" applyBorder="1" applyAlignment="1">
      <alignment horizontal="center" vertical="center" wrapText="1"/>
    </xf>
    <xf numFmtId="0" fontId="46" fillId="0" borderId="1" xfId="10" applyFont="1" applyFill="1" applyBorder="1" applyAlignment="1">
      <alignment horizontal="center" vertical="center" wrapText="1"/>
    </xf>
    <xf numFmtId="2" fontId="46" fillId="0" borderId="1" xfId="10" applyNumberFormat="1" applyFont="1" applyFill="1" applyBorder="1" applyAlignment="1">
      <alignment horizontal="center" vertical="center" wrapText="1"/>
    </xf>
    <xf numFmtId="49" fontId="45" fillId="0" borderId="1" xfId="42" applyNumberFormat="1" applyFont="1" applyFill="1" applyBorder="1" applyAlignment="1">
      <alignment horizontal="center" vertical="top" wrapText="1"/>
    </xf>
    <xf numFmtId="0" fontId="46" fillId="0" borderId="1" xfId="31" applyFont="1" applyFill="1" applyBorder="1" applyAlignment="1">
      <alignment horizontal="left"/>
    </xf>
    <xf numFmtId="0" fontId="46" fillId="0" borderId="1" xfId="31" applyFont="1" applyFill="1" applyBorder="1" applyAlignment="1">
      <alignment horizontal="center"/>
    </xf>
    <xf numFmtId="168" fontId="46" fillId="0" borderId="1" xfId="31" applyNumberFormat="1" applyFont="1" applyFill="1" applyBorder="1" applyAlignment="1">
      <alignment horizontal="center"/>
    </xf>
    <xf numFmtId="2" fontId="46" fillId="0" borderId="1" xfId="31" applyNumberFormat="1" applyFont="1" applyFill="1" applyBorder="1" applyAlignment="1">
      <alignment horizontal="center"/>
    </xf>
    <xf numFmtId="0" fontId="45" fillId="0" borderId="1" xfId="27" applyFont="1" applyFill="1" applyBorder="1" applyAlignment="1">
      <alignment horizontal="center"/>
    </xf>
    <xf numFmtId="0" fontId="45" fillId="0" borderId="1" xfId="42" quotePrefix="1" applyFont="1" applyFill="1" applyBorder="1" applyAlignment="1">
      <alignment horizontal="center" vertical="top" wrapText="1"/>
    </xf>
    <xf numFmtId="169" fontId="46" fillId="0" borderId="1" xfId="31" applyNumberFormat="1" applyFont="1" applyFill="1" applyBorder="1" applyAlignment="1">
      <alignment horizontal="center"/>
    </xf>
    <xf numFmtId="0" fontId="45" fillId="0" borderId="1" xfId="42" applyFont="1" applyFill="1" applyBorder="1" applyAlignment="1">
      <alignment horizontal="center" vertical="top" wrapText="1"/>
    </xf>
    <xf numFmtId="0" fontId="46" fillId="0" borderId="1" xfId="33" applyFont="1" applyFill="1" applyBorder="1" applyAlignment="1">
      <alignment horizontal="left"/>
    </xf>
    <xf numFmtId="14" fontId="45" fillId="0" borderId="1" xfId="32" applyNumberFormat="1" applyFont="1" applyFill="1" applyBorder="1" applyAlignment="1">
      <alignment horizontal="center" vertical="center" wrapText="1"/>
    </xf>
    <xf numFmtId="0" fontId="45" fillId="0" borderId="1" xfId="58" applyFont="1" applyFill="1" applyBorder="1" applyAlignment="1">
      <alignment horizontal="left" vertical="center" wrapText="1"/>
    </xf>
    <xf numFmtId="0" fontId="46" fillId="0" borderId="1" xfId="32" applyFont="1" applyFill="1" applyBorder="1" applyAlignment="1">
      <alignment horizontal="center" vertical="center" wrapText="1"/>
    </xf>
    <xf numFmtId="2" fontId="46" fillId="0" borderId="1" xfId="32" applyNumberFormat="1" applyFont="1" applyFill="1" applyBorder="1" applyAlignment="1">
      <alignment horizontal="center" vertical="center" wrapText="1"/>
    </xf>
    <xf numFmtId="2" fontId="45" fillId="0" borderId="1" xfId="32" applyNumberFormat="1" applyFont="1" applyFill="1" applyBorder="1" applyAlignment="1">
      <alignment horizontal="center" vertical="center" wrapText="1"/>
    </xf>
    <xf numFmtId="0" fontId="46" fillId="0" borderId="1" xfId="32" applyFont="1" applyFill="1" applyBorder="1" applyAlignment="1">
      <alignment horizontal="left"/>
    </xf>
    <xf numFmtId="0" fontId="46" fillId="0" borderId="1" xfId="32" applyFont="1" applyFill="1" applyBorder="1" applyAlignment="1">
      <alignment horizontal="center"/>
    </xf>
    <xf numFmtId="2" fontId="46" fillId="0" borderId="1" xfId="32" applyNumberFormat="1" applyFont="1" applyFill="1" applyBorder="1" applyAlignment="1">
      <alignment horizontal="center"/>
    </xf>
    <xf numFmtId="14" fontId="45" fillId="0" borderId="1" xfId="33" applyNumberFormat="1" applyFont="1" applyFill="1" applyBorder="1" applyAlignment="1">
      <alignment horizontal="center" vertical="center" wrapText="1"/>
    </xf>
    <xf numFmtId="0" fontId="45" fillId="0" borderId="1" xfId="59" applyFont="1" applyFill="1" applyBorder="1" applyAlignment="1">
      <alignment horizontal="left" vertical="center" wrapText="1"/>
    </xf>
    <xf numFmtId="0" fontId="46" fillId="0" borderId="1" xfId="33" applyFont="1" applyFill="1" applyBorder="1" applyAlignment="1">
      <alignment horizontal="center" vertical="center" wrapText="1"/>
    </xf>
    <xf numFmtId="2" fontId="46" fillId="0" borderId="1" xfId="33" applyNumberFormat="1" applyFont="1" applyFill="1" applyBorder="1" applyAlignment="1">
      <alignment horizontal="center" vertical="center" wrapText="1"/>
    </xf>
    <xf numFmtId="2" fontId="45" fillId="0" borderId="1" xfId="33" applyNumberFormat="1" applyFont="1" applyFill="1" applyBorder="1" applyAlignment="1">
      <alignment horizontal="center" vertical="center" wrapText="1"/>
    </xf>
    <xf numFmtId="0" fontId="46" fillId="0" borderId="1" xfId="33" applyFont="1" applyFill="1" applyBorder="1" applyAlignment="1">
      <alignment horizontal="center"/>
    </xf>
    <xf numFmtId="2" fontId="46" fillId="0" borderId="1" xfId="33" applyNumberFormat="1" applyFont="1" applyFill="1" applyBorder="1" applyAlignment="1">
      <alignment horizontal="center"/>
    </xf>
    <xf numFmtId="0" fontId="46" fillId="0" borderId="1" xfId="59" applyFont="1" applyFill="1" applyBorder="1" applyAlignment="1">
      <alignment horizontal="left" vertical="center" wrapText="1"/>
    </xf>
    <xf numFmtId="0" fontId="46" fillId="0" borderId="1" xfId="33" applyFont="1" applyFill="1" applyBorder="1" applyAlignment="1">
      <alignment horizontal="center" vertical="center"/>
    </xf>
    <xf numFmtId="2" fontId="46" fillId="0" borderId="1" xfId="33" applyNumberFormat="1" applyFont="1" applyFill="1" applyBorder="1" applyAlignment="1">
      <alignment horizontal="center" vertical="center"/>
    </xf>
    <xf numFmtId="14" fontId="45" fillId="0" borderId="1" xfId="58" applyNumberFormat="1" applyFont="1" applyFill="1" applyBorder="1" applyAlignment="1">
      <alignment horizontal="center" vertical="center" wrapText="1"/>
    </xf>
    <xf numFmtId="0" fontId="46" fillId="0" borderId="1" xfId="58" applyFont="1" applyFill="1" applyBorder="1" applyAlignment="1">
      <alignment horizontal="center" vertical="center" wrapText="1"/>
    </xf>
    <xf numFmtId="168" fontId="46" fillId="0" borderId="1" xfId="58" applyNumberFormat="1" applyFont="1" applyFill="1" applyBorder="1" applyAlignment="1">
      <alignment horizontal="center" vertical="center" wrapText="1"/>
    </xf>
    <xf numFmtId="2" fontId="46" fillId="0" borderId="1" xfId="58" applyNumberFormat="1" applyFont="1" applyFill="1" applyBorder="1" applyAlignment="1">
      <alignment horizontal="center" vertical="center" wrapText="1"/>
    </xf>
    <xf numFmtId="169" fontId="46" fillId="0" borderId="1" xfId="58" applyNumberFormat="1" applyFont="1" applyFill="1" applyBorder="1" applyAlignment="1">
      <alignment horizontal="center" vertical="center" wrapText="1"/>
    </xf>
    <xf numFmtId="2" fontId="45" fillId="0" borderId="1" xfId="58" applyNumberFormat="1" applyFont="1" applyFill="1" applyBorder="1" applyAlignment="1">
      <alignment horizontal="center" vertical="center" wrapText="1"/>
    </xf>
    <xf numFmtId="0" fontId="46" fillId="0" borderId="1" xfId="58" applyFont="1" applyFill="1" applyBorder="1" applyAlignment="1">
      <alignment horizontal="left"/>
    </xf>
    <xf numFmtId="0" fontId="46" fillId="0" borderId="1" xfId="60" applyFont="1" applyFill="1" applyBorder="1" applyAlignment="1">
      <alignment horizontal="center"/>
    </xf>
    <xf numFmtId="168" fontId="46" fillId="0" borderId="1" xfId="60" applyNumberFormat="1" applyFont="1" applyFill="1" applyBorder="1" applyAlignment="1">
      <alignment horizontal="center"/>
    </xf>
    <xf numFmtId="2" fontId="46" fillId="0" borderId="1" xfId="58" applyNumberFormat="1" applyFont="1" applyFill="1" applyBorder="1" applyAlignment="1">
      <alignment horizontal="center"/>
    </xf>
    <xf numFmtId="0" fontId="46" fillId="0" borderId="1" xfId="58" applyFont="1" applyFill="1" applyBorder="1" applyAlignment="1">
      <alignment horizontal="center"/>
    </xf>
    <xf numFmtId="170" fontId="46" fillId="0" borderId="1" xfId="58" applyNumberFormat="1" applyFont="1" applyFill="1" applyBorder="1" applyAlignment="1">
      <alignment horizontal="center"/>
    </xf>
    <xf numFmtId="168" fontId="46" fillId="0" borderId="1" xfId="58" applyNumberFormat="1" applyFont="1" applyFill="1" applyBorder="1" applyAlignment="1">
      <alignment horizontal="center"/>
    </xf>
    <xf numFmtId="169" fontId="46" fillId="0" borderId="1" xfId="58" applyNumberFormat="1" applyFont="1" applyFill="1" applyBorder="1" applyAlignment="1">
      <alignment horizontal="center"/>
    </xf>
    <xf numFmtId="49" fontId="45" fillId="0" borderId="1" xfId="57" applyNumberFormat="1" applyFont="1" applyFill="1" applyBorder="1" applyAlignment="1">
      <alignment horizontal="center" vertical="center" wrapText="1"/>
    </xf>
    <xf numFmtId="0" fontId="45" fillId="0" borderId="1" xfId="57" applyFont="1" applyFill="1" applyBorder="1" applyAlignment="1">
      <alignment horizontal="left" vertical="center" wrapText="1"/>
    </xf>
    <xf numFmtId="2" fontId="45" fillId="0" borderId="1" xfId="57" applyNumberFormat="1" applyFont="1" applyFill="1" applyBorder="1" applyAlignment="1">
      <alignment horizontal="center" vertical="center" wrapText="1"/>
    </xf>
    <xf numFmtId="179" fontId="45" fillId="0" borderId="1" xfId="57" applyNumberFormat="1" applyFont="1" applyFill="1" applyBorder="1" applyAlignment="1">
      <alignment horizontal="center" vertical="center"/>
    </xf>
    <xf numFmtId="2" fontId="46" fillId="0" borderId="1" xfId="57" applyNumberFormat="1" applyFont="1" applyFill="1" applyBorder="1" applyAlignment="1">
      <alignment horizontal="center" vertical="center"/>
    </xf>
    <xf numFmtId="0" fontId="45" fillId="0" borderId="1" xfId="17" applyFont="1" applyFill="1" applyBorder="1" applyAlignment="1">
      <alignment horizontal="center" vertical="center"/>
    </xf>
    <xf numFmtId="0" fontId="46" fillId="0" borderId="1" xfId="57" quotePrefix="1" applyFont="1" applyFill="1" applyBorder="1" applyAlignment="1">
      <alignment horizontal="center" vertical="center" wrapText="1"/>
    </xf>
    <xf numFmtId="2" fontId="46" fillId="0" borderId="1" xfId="57" applyNumberFormat="1" applyFont="1" applyFill="1" applyBorder="1" applyAlignment="1">
      <alignment horizontal="center" vertical="center" wrapText="1"/>
    </xf>
    <xf numFmtId="0" fontId="45" fillId="0" borderId="1" xfId="57" quotePrefix="1" applyFont="1" applyFill="1" applyBorder="1" applyAlignment="1">
      <alignment horizontal="center" vertical="center" wrapText="1"/>
    </xf>
    <xf numFmtId="2" fontId="45" fillId="0" borderId="1" xfId="42" applyNumberFormat="1" applyFont="1" applyFill="1" applyBorder="1" applyAlignment="1">
      <alignment horizontal="center" vertical="top" wrapText="1"/>
    </xf>
    <xf numFmtId="2" fontId="67" fillId="0" borderId="1" xfId="42" applyNumberFormat="1" applyFont="1" applyFill="1" applyBorder="1" applyAlignment="1">
      <alignment horizontal="center" vertical="top" wrapText="1"/>
    </xf>
    <xf numFmtId="169" fontId="45" fillId="0" borderId="1" xfId="42" applyNumberFormat="1" applyFont="1" applyFill="1" applyBorder="1" applyAlignment="1">
      <alignment horizontal="center" vertical="top" wrapText="1"/>
    </xf>
    <xf numFmtId="0" fontId="46" fillId="0" borderId="1" xfId="42" applyFont="1" applyFill="1" applyBorder="1" applyAlignment="1">
      <alignment horizontal="center" vertical="top" wrapText="1"/>
    </xf>
    <xf numFmtId="2" fontId="46" fillId="0" borderId="1" xfId="42" applyNumberFormat="1" applyFont="1" applyFill="1" applyBorder="1" applyAlignment="1">
      <alignment horizontal="center" wrapText="1"/>
    </xf>
    <xf numFmtId="169" fontId="46" fillId="0" borderId="1" xfId="42" applyNumberFormat="1" applyFont="1" applyFill="1" applyBorder="1" applyAlignment="1">
      <alignment horizontal="center" wrapText="1"/>
    </xf>
    <xf numFmtId="169" fontId="46" fillId="0" borderId="1" xfId="42" applyNumberFormat="1" applyFont="1" applyFill="1" applyBorder="1" applyAlignment="1">
      <alignment horizontal="center" vertical="center" wrapText="1"/>
    </xf>
    <xf numFmtId="2" fontId="46" fillId="0" borderId="1" xfId="42" applyNumberFormat="1" applyFont="1" applyFill="1" applyBorder="1" applyAlignment="1">
      <alignment horizontal="center" vertical="top" wrapText="1"/>
    </xf>
    <xf numFmtId="168" fontId="46" fillId="0" borderId="1" xfId="42" applyNumberFormat="1" applyFont="1" applyFill="1" applyBorder="1" applyAlignment="1">
      <alignment horizontal="center" wrapText="1"/>
    </xf>
    <xf numFmtId="0" fontId="46" fillId="0" borderId="1" xfId="42" applyFont="1" applyFill="1" applyBorder="1" applyAlignment="1">
      <alignment horizontal="center" wrapText="1"/>
    </xf>
    <xf numFmtId="169" fontId="46" fillId="0" borderId="1" xfId="42" applyNumberFormat="1" applyFont="1" applyFill="1" applyBorder="1" applyAlignment="1">
      <alignment horizontal="center" vertical="top" wrapText="1"/>
    </xf>
    <xf numFmtId="0" fontId="45" fillId="0" borderId="1" xfId="36" applyFont="1" applyFill="1" applyBorder="1" applyAlignment="1">
      <alignment horizontal="center" vertical="center" wrapText="1"/>
    </xf>
    <xf numFmtId="0" fontId="45" fillId="0" borderId="1" xfId="36" applyFont="1" applyFill="1" applyBorder="1" applyAlignment="1">
      <alignment horizontal="left" vertical="center" wrapText="1"/>
    </xf>
    <xf numFmtId="0" fontId="45" fillId="0" borderId="1" xfId="36" applyFont="1" applyFill="1" applyBorder="1" applyAlignment="1">
      <alignment horizontal="center" vertical="top" wrapText="1"/>
    </xf>
    <xf numFmtId="169" fontId="45" fillId="0" borderId="1" xfId="36" applyNumberFormat="1" applyFont="1" applyFill="1" applyBorder="1" applyAlignment="1">
      <alignment horizontal="center" vertical="top" wrapText="1"/>
    </xf>
    <xf numFmtId="2" fontId="45" fillId="0" borderId="1" xfId="36" applyNumberFormat="1" applyFont="1" applyFill="1" applyBorder="1" applyAlignment="1">
      <alignment horizontal="center" vertical="center" wrapText="1"/>
    </xf>
    <xf numFmtId="2" fontId="67" fillId="0" borderId="1" xfId="36" applyNumberFormat="1" applyFont="1" applyFill="1" applyBorder="1" applyAlignment="1">
      <alignment horizontal="center" vertical="center" wrapText="1"/>
    </xf>
    <xf numFmtId="2" fontId="35" fillId="0" borderId="1" xfId="42" applyNumberFormat="1" applyFont="1" applyFill="1" applyBorder="1" applyAlignment="1">
      <alignment horizontal="center" vertical="center" wrapText="1"/>
    </xf>
    <xf numFmtId="0" fontId="35" fillId="0" borderId="1" xfId="42" applyFont="1" applyFill="1" applyBorder="1" applyAlignment="1">
      <alignment horizontal="center" vertical="center" wrapText="1"/>
    </xf>
    <xf numFmtId="2" fontId="35" fillId="0" borderId="1" xfId="54" applyNumberFormat="1" applyFont="1" applyFill="1" applyBorder="1" applyAlignment="1">
      <alignment horizontal="center" vertical="center" wrapText="1"/>
    </xf>
    <xf numFmtId="2" fontId="30" fillId="0" borderId="1" xfId="54" applyNumberFormat="1" applyFont="1" applyFill="1" applyBorder="1" applyAlignment="1">
      <alignment horizontal="center" vertical="center" wrapText="1"/>
    </xf>
    <xf numFmtId="167" fontId="13" fillId="0" borderId="1" xfId="42" applyNumberFormat="1" applyFont="1" applyFill="1" applyBorder="1" applyAlignment="1">
      <alignment horizontal="center" vertical="center" wrapText="1"/>
    </xf>
    <xf numFmtId="2" fontId="30" fillId="0" borderId="1" xfId="42" applyNumberFormat="1" applyFont="1" applyFill="1" applyBorder="1" applyAlignment="1">
      <alignment horizontal="center" vertical="center" wrapText="1"/>
    </xf>
    <xf numFmtId="0" fontId="30" fillId="0" borderId="1" xfId="42" applyFont="1" applyFill="1" applyBorder="1" applyAlignment="1">
      <alignment horizontal="center" vertical="center" wrapText="1"/>
    </xf>
    <xf numFmtId="2" fontId="39" fillId="0" borderId="1" xfId="42" applyNumberFormat="1" applyFont="1" applyFill="1" applyBorder="1" applyAlignment="1">
      <alignment horizontal="center" vertical="center" wrapText="1"/>
    </xf>
    <xf numFmtId="2" fontId="40" fillId="0" borderId="1" xfId="42" applyNumberFormat="1" applyFont="1" applyFill="1" applyBorder="1" applyAlignment="1">
      <alignment horizontal="center" vertical="center" wrapText="1"/>
    </xf>
    <xf numFmtId="9" fontId="13" fillId="0" borderId="1" xfId="42" quotePrefix="1" applyNumberFormat="1" applyFont="1" applyFill="1" applyBorder="1" applyAlignment="1">
      <alignment horizontal="center" vertical="center" wrapText="1"/>
    </xf>
    <xf numFmtId="9" fontId="13" fillId="0" borderId="1" xfId="42" applyNumberFormat="1" applyFont="1" applyFill="1" applyBorder="1" applyAlignment="1">
      <alignment horizontal="center" vertical="center"/>
    </xf>
    <xf numFmtId="9" fontId="13" fillId="0" borderId="1" xfId="42" applyNumberFormat="1" applyFont="1" applyFill="1" applyBorder="1" applyAlignment="1">
      <alignment horizontal="center" vertical="center" wrapText="1"/>
    </xf>
    <xf numFmtId="0" fontId="45" fillId="0" borderId="0" xfId="42" applyFont="1" applyFill="1" applyAlignment="1">
      <alignment horizontal="center"/>
    </xf>
    <xf numFmtId="0" fontId="46" fillId="0" borderId="0" xfId="42" applyFont="1" applyFill="1" applyAlignment="1">
      <alignment horizontal="left"/>
    </xf>
    <xf numFmtId="0" fontId="46" fillId="0" borderId="0" xfId="42" applyFont="1" applyFill="1" applyAlignment="1">
      <alignment horizontal="center"/>
    </xf>
    <xf numFmtId="4" fontId="46" fillId="0" borderId="0" xfId="42" applyNumberFormat="1" applyFont="1" applyFill="1" applyAlignment="1">
      <alignment horizontal="center"/>
    </xf>
    <xf numFmtId="0" fontId="69" fillId="0" borderId="0" xfId="27" applyFont="1" applyFill="1" applyAlignment="1">
      <alignment horizontal="center"/>
    </xf>
    <xf numFmtId="0" fontId="45" fillId="0" borderId="1" xfId="7" applyFont="1" applyFill="1" applyBorder="1" applyAlignment="1">
      <alignment horizontal="left" vertical="center" wrapText="1"/>
    </xf>
    <xf numFmtId="1" fontId="45" fillId="0" borderId="1" xfId="7" applyNumberFormat="1" applyFont="1" applyFill="1" applyBorder="1" applyAlignment="1">
      <alignment horizontal="center" vertical="center"/>
    </xf>
    <xf numFmtId="2" fontId="45" fillId="0" borderId="2" xfId="7" applyNumberFormat="1" applyFont="1" applyFill="1" applyBorder="1" applyAlignment="1">
      <alignment horizontal="center" vertical="center"/>
    </xf>
    <xf numFmtId="49" fontId="46" fillId="0" borderId="1" xfId="7" applyNumberFormat="1" applyFont="1" applyFill="1" applyBorder="1" applyAlignment="1">
      <alignment horizontal="center" vertical="center"/>
    </xf>
    <xf numFmtId="0" fontId="46" fillId="0" borderId="1" xfId="7" applyFont="1" applyFill="1" applyBorder="1" applyAlignment="1">
      <alignment vertical="center" wrapText="1"/>
    </xf>
    <xf numFmtId="0" fontId="46" fillId="0" borderId="1" xfId="7" applyFont="1" applyFill="1" applyBorder="1" applyAlignment="1">
      <alignment horizontal="left" vertical="center" wrapText="1"/>
    </xf>
    <xf numFmtId="2" fontId="45" fillId="0" borderId="1" xfId="7" applyNumberFormat="1" applyFont="1" applyFill="1" applyBorder="1" applyAlignment="1">
      <alignment horizontal="center" vertical="center"/>
    </xf>
    <xf numFmtId="0" fontId="57" fillId="0" borderId="1" xfId="7" applyFont="1" applyFill="1" applyBorder="1" applyAlignment="1">
      <alignment horizontal="left" vertical="center" wrapText="1"/>
    </xf>
    <xf numFmtId="49" fontId="46" fillId="0" borderId="1" xfId="7" applyNumberFormat="1" applyFont="1" applyFill="1" applyBorder="1" applyAlignment="1">
      <alignment horizontal="center" vertical="center" wrapText="1"/>
    </xf>
    <xf numFmtId="171" fontId="46" fillId="0" borderId="1" xfId="7" applyNumberFormat="1" applyFont="1" applyFill="1" applyBorder="1" applyAlignment="1">
      <alignment horizontal="center" vertical="center"/>
    </xf>
    <xf numFmtId="0" fontId="45" fillId="0" borderId="1" xfId="6" applyNumberFormat="1" applyFont="1" applyFill="1" applyBorder="1" applyAlignment="1">
      <alignment horizontal="left" vertical="center" wrapText="1"/>
    </xf>
    <xf numFmtId="0" fontId="46" fillId="0" borderId="1" xfId="6" applyNumberFormat="1" applyFont="1" applyFill="1" applyBorder="1" applyAlignment="1">
      <alignment horizontal="left" vertical="center" wrapText="1"/>
    </xf>
    <xf numFmtId="0" fontId="46" fillId="0" borderId="1" xfId="7" applyFont="1" applyFill="1" applyBorder="1" applyAlignment="1">
      <alignment horizontal="left" wrapText="1"/>
    </xf>
    <xf numFmtId="0" fontId="56" fillId="0" borderId="1" xfId="7" applyFont="1" applyFill="1" applyBorder="1" applyAlignment="1">
      <alignment horizontal="left" wrapText="1"/>
    </xf>
    <xf numFmtId="0" fontId="5" fillId="0" borderId="0" xfId="29" applyFont="1" applyFill="1" applyAlignment="1">
      <alignment horizontal="center" vertical="center" wrapText="1"/>
    </xf>
    <xf numFmtId="0" fontId="69" fillId="0" borderId="0" xfId="29" applyFont="1" applyFill="1" applyAlignment="1">
      <alignment horizontal="center" vertical="center" wrapText="1"/>
    </xf>
    <xf numFmtId="0" fontId="71" fillId="0" borderId="1" xfId="7" applyFont="1" applyFill="1" applyBorder="1" applyAlignment="1">
      <alignment horizontal="center" vertical="center"/>
    </xf>
    <xf numFmtId="1" fontId="45" fillId="0" borderId="1" xfId="7" applyNumberFormat="1" applyFont="1" applyFill="1" applyBorder="1" applyAlignment="1">
      <alignment wrapText="1"/>
    </xf>
    <xf numFmtId="0" fontId="45" fillId="0" borderId="1" xfId="7" applyFont="1" applyFill="1" applyBorder="1" applyAlignment="1">
      <alignment horizontal="center"/>
    </xf>
    <xf numFmtId="2" fontId="45" fillId="0" borderId="1" xfId="7" applyNumberFormat="1" applyFont="1" applyFill="1" applyBorder="1" applyAlignment="1">
      <alignment horizontal="center"/>
    </xf>
    <xf numFmtId="0" fontId="9" fillId="0" borderId="1" xfId="7" applyFill="1" applyBorder="1"/>
    <xf numFmtId="0" fontId="9" fillId="0" borderId="1" xfId="7" applyFill="1" applyBorder="1" applyAlignment="1">
      <alignment horizontal="center"/>
    </xf>
    <xf numFmtId="0" fontId="46" fillId="0" borderId="1" xfId="7" applyFont="1" applyFill="1" applyBorder="1" applyAlignment="1">
      <alignment horizontal="justify" vertical="center" wrapText="1"/>
    </xf>
    <xf numFmtId="0" fontId="46" fillId="0" borderId="1" xfId="7" applyFont="1" applyFill="1" applyBorder="1" applyAlignment="1">
      <alignment horizontal="center"/>
    </xf>
    <xf numFmtId="2" fontId="46" fillId="0" borderId="1" xfId="7" applyNumberFormat="1" applyFont="1" applyFill="1" applyBorder="1" applyAlignment="1">
      <alignment horizontal="center"/>
    </xf>
    <xf numFmtId="0" fontId="46" fillId="0" borderId="1" xfId="7" applyFont="1" applyFill="1" applyBorder="1" applyAlignment="1">
      <alignment wrapText="1"/>
    </xf>
    <xf numFmtId="2" fontId="46" fillId="0" borderId="1" xfId="7" applyNumberFormat="1" applyFont="1" applyFill="1" applyBorder="1" applyAlignment="1">
      <alignment horizontal="center" vertical="center" wrapText="1"/>
    </xf>
    <xf numFmtId="0" fontId="45" fillId="0" borderId="1" xfId="7" applyFont="1" applyFill="1" applyBorder="1" applyAlignment="1">
      <alignment wrapText="1"/>
    </xf>
    <xf numFmtId="168" fontId="45" fillId="0" borderId="1" xfId="7" applyNumberFormat="1" applyFont="1" applyFill="1" applyBorder="1" applyAlignment="1">
      <alignment horizontal="center" vertical="center"/>
    </xf>
    <xf numFmtId="0" fontId="45" fillId="0" borderId="1" xfId="17" applyFont="1" applyFill="1" applyBorder="1" applyAlignment="1">
      <alignment vertical="center" wrapText="1"/>
    </xf>
    <xf numFmtId="0" fontId="69" fillId="0" borderId="0" xfId="42" applyFont="1" applyFill="1" applyAlignment="1">
      <alignment vertical="center"/>
    </xf>
    <xf numFmtId="0" fontId="46" fillId="0" borderId="1" xfId="7" applyFont="1" applyFill="1" applyBorder="1" applyAlignment="1">
      <alignment horizontal="left" vertical="top" wrapText="1"/>
    </xf>
    <xf numFmtId="4" fontId="5" fillId="0" borderId="1" xfId="26" applyNumberFormat="1" applyFont="1" applyFill="1" applyBorder="1" applyAlignment="1">
      <alignment horizontal="center" vertical="center"/>
    </xf>
    <xf numFmtId="4" fontId="5" fillId="0" borderId="1" xfId="26" applyNumberFormat="1" applyFont="1" applyFill="1" applyBorder="1" applyAlignment="1">
      <alignment horizontal="left" vertical="center"/>
    </xf>
    <xf numFmtId="0" fontId="5" fillId="0" borderId="0" xfId="42" applyFill="1" applyAlignment="1">
      <alignment horizontal="left" vertical="center"/>
    </xf>
    <xf numFmtId="0" fontId="5" fillId="0" borderId="0" xfId="42" applyFill="1" applyAlignment="1">
      <alignment horizontal="left"/>
    </xf>
    <xf numFmtId="0" fontId="5" fillId="0" borderId="0" xfId="26" applyFont="1" applyFill="1" applyAlignment="1">
      <alignment horizontal="left"/>
    </xf>
    <xf numFmtId="0" fontId="69" fillId="0" borderId="0" xfId="26" applyFont="1" applyFill="1" applyAlignment="1">
      <alignment horizontal="left" vertical="center"/>
    </xf>
    <xf numFmtId="49" fontId="69" fillId="0" borderId="0" xfId="26" applyNumberFormat="1" applyFont="1" applyFill="1" applyAlignment="1">
      <alignment horizontal="left" vertical="center"/>
    </xf>
    <xf numFmtId="0" fontId="69" fillId="0" borderId="0" xfId="26" applyFont="1" applyFill="1" applyAlignment="1">
      <alignment horizontal="left" vertical="center" indent="1"/>
    </xf>
    <xf numFmtId="9" fontId="69" fillId="0" borderId="0" xfId="26" applyNumberFormat="1" applyFont="1" applyFill="1" applyAlignment="1">
      <alignment horizontal="center" vertical="center"/>
    </xf>
    <xf numFmtId="4" fontId="69" fillId="0" borderId="0" xfId="26" applyNumberFormat="1" applyFont="1" applyFill="1" applyAlignment="1">
      <alignment horizontal="center" vertical="center"/>
    </xf>
    <xf numFmtId="4" fontId="69" fillId="0" borderId="0" xfId="26" applyNumberFormat="1" applyFont="1" applyFill="1" applyAlignment="1">
      <alignment horizontal="left" vertical="center"/>
    </xf>
    <xf numFmtId="0" fontId="69" fillId="0" borderId="0" xfId="42" applyFont="1" applyFill="1" applyAlignment="1">
      <alignment horizontal="center"/>
    </xf>
    <xf numFmtId="0" fontId="5" fillId="0" borderId="0" xfId="42" applyFill="1" applyAlignment="1">
      <alignment horizontal="center"/>
    </xf>
    <xf numFmtId="4" fontId="5" fillId="0" borderId="0" xfId="42" applyNumberFormat="1" applyFill="1" applyAlignment="1">
      <alignment horizontal="center"/>
    </xf>
    <xf numFmtId="3" fontId="72" fillId="0" borderId="1" xfId="27" applyNumberFormat="1" applyFont="1" applyFill="1" applyBorder="1" applyAlignment="1">
      <alignment horizontal="center" vertical="center"/>
    </xf>
    <xf numFmtId="3" fontId="72" fillId="0" borderId="1" xfId="27" applyNumberFormat="1" applyFont="1" applyFill="1" applyBorder="1" applyAlignment="1">
      <alignment vertical="center"/>
    </xf>
    <xf numFmtId="4" fontId="72" fillId="0" borderId="1" xfId="27" applyNumberFormat="1" applyFont="1" applyFill="1" applyBorder="1" applyAlignment="1">
      <alignment horizontal="center" vertical="center"/>
    </xf>
    <xf numFmtId="0" fontId="46" fillId="0" borderId="0" xfId="27" applyFont="1" applyFill="1" applyAlignment="1">
      <alignment horizontal="center"/>
    </xf>
    <xf numFmtId="0" fontId="46" fillId="0" borderId="1" xfId="26" applyFont="1" applyFill="1" applyBorder="1" applyAlignment="1">
      <alignment horizontal="justify" vertical="center"/>
    </xf>
    <xf numFmtId="0" fontId="45" fillId="0" borderId="1" xfId="26" applyFont="1" applyFill="1" applyBorder="1" applyAlignment="1">
      <alignment horizontal="center" vertical="center"/>
    </xf>
    <xf numFmtId="49" fontId="45" fillId="0" borderId="1" xfId="26" applyNumberFormat="1" applyFont="1" applyFill="1" applyBorder="1" applyAlignment="1">
      <alignment horizontal="center" vertical="center"/>
    </xf>
    <xf numFmtId="0" fontId="45" fillId="0" borderId="1" xfId="26" applyFont="1" applyFill="1" applyBorder="1" applyAlignment="1">
      <alignment horizontal="justify" vertical="center"/>
    </xf>
    <xf numFmtId="4" fontId="45" fillId="0" borderId="1" xfId="42" applyNumberFormat="1" applyFont="1" applyFill="1" applyBorder="1" applyAlignment="1">
      <alignment horizontal="center" vertical="center" wrapText="1"/>
    </xf>
    <xf numFmtId="0" fontId="72" fillId="0" borderId="1" xfId="42" applyFont="1" applyFill="1" applyBorder="1" applyAlignment="1">
      <alignment horizontal="center" vertical="center"/>
    </xf>
    <xf numFmtId="4" fontId="45" fillId="0" borderId="1" xfId="29" applyNumberFormat="1" applyFont="1" applyFill="1" applyBorder="1" applyAlignment="1">
      <alignment horizontal="center" vertical="center"/>
    </xf>
    <xf numFmtId="170" fontId="45" fillId="0" borderId="1" xfId="42" applyNumberFormat="1" applyFont="1" applyFill="1" applyBorder="1" applyAlignment="1">
      <alignment horizontal="center" vertical="center" wrapText="1"/>
    </xf>
    <xf numFmtId="170" fontId="45" fillId="0" borderId="1" xfId="42" applyNumberFormat="1" applyFont="1" applyFill="1" applyBorder="1" applyAlignment="1">
      <alignment horizontal="right" vertical="center" wrapText="1"/>
    </xf>
    <xf numFmtId="170" fontId="45" fillId="0" borderId="1" xfId="42" applyNumberFormat="1" applyFont="1" applyFill="1" applyBorder="1" applyAlignment="1">
      <alignment horizontal="center" vertical="center"/>
    </xf>
    <xf numFmtId="170" fontId="45" fillId="0" borderId="1" xfId="42" applyNumberFormat="1" applyFont="1" applyFill="1" applyBorder="1" applyAlignment="1">
      <alignment horizontal="right" vertical="center"/>
    </xf>
    <xf numFmtId="170" fontId="46" fillId="0" borderId="1" xfId="42" applyNumberFormat="1" applyFont="1" applyFill="1" applyBorder="1" applyAlignment="1">
      <alignment horizontal="left" vertical="center"/>
    </xf>
    <xf numFmtId="170" fontId="46" fillId="0" borderId="1" xfId="42" applyNumberFormat="1" applyFont="1" applyFill="1" applyBorder="1" applyAlignment="1">
      <alignment horizontal="left" vertical="center" wrapText="1"/>
    </xf>
    <xf numFmtId="0" fontId="45" fillId="0" borderId="0" xfId="42" applyFont="1" applyFill="1" applyAlignment="1">
      <alignment horizontal="center" vertical="center"/>
    </xf>
    <xf numFmtId="0" fontId="46" fillId="0" borderId="0" xfId="25" applyFont="1" applyFill="1" applyAlignment="1">
      <alignment horizontal="left" vertical="center"/>
    </xf>
    <xf numFmtId="0" fontId="46" fillId="0" borderId="0" xfId="25" applyFont="1" applyFill="1" applyAlignment="1">
      <alignment horizontal="center" vertical="center"/>
    </xf>
    <xf numFmtId="0" fontId="46" fillId="0" borderId="0" xfId="16" applyFont="1" applyFill="1" applyAlignment="1">
      <alignment horizontal="center" vertical="center"/>
    </xf>
    <xf numFmtId="4" fontId="46" fillId="0" borderId="0" xfId="42" applyNumberFormat="1" applyFont="1" applyFill="1" applyAlignment="1">
      <alignment horizontal="center" vertical="center"/>
    </xf>
    <xf numFmtId="173" fontId="45" fillId="0" borderId="1" xfId="37" applyNumberFormat="1" applyFont="1" applyFill="1" applyBorder="1" applyAlignment="1">
      <alignment horizontal="center" vertical="center"/>
    </xf>
    <xf numFmtId="0" fontId="57" fillId="0" borderId="14" xfId="118" applyFont="1" applyFill="1" applyBorder="1" applyAlignment="1">
      <alignment horizontal="center" vertical="center" wrapText="1"/>
    </xf>
    <xf numFmtId="49" fontId="57" fillId="0" borderId="1" xfId="119" applyNumberFormat="1" applyFont="1" applyFill="1" applyBorder="1" applyAlignment="1">
      <alignment horizontal="center" vertical="center" wrapText="1"/>
    </xf>
    <xf numFmtId="0" fontId="58" fillId="0" borderId="1" xfId="119" applyFont="1" applyFill="1" applyBorder="1" applyAlignment="1">
      <alignment horizontal="center" vertical="center"/>
    </xf>
    <xf numFmtId="0" fontId="58" fillId="0" borderId="1" xfId="118" applyFont="1" applyFill="1" applyBorder="1" applyAlignment="1">
      <alignment horizontal="center" vertical="center" wrapText="1"/>
    </xf>
    <xf numFmtId="169" fontId="58" fillId="0" borderId="1" xfId="119" applyNumberFormat="1" applyFont="1" applyFill="1" applyBorder="1" applyAlignment="1">
      <alignment horizontal="center" vertical="center"/>
    </xf>
    <xf numFmtId="1" fontId="58" fillId="0" borderId="1" xfId="118" applyNumberFormat="1" applyFont="1" applyFill="1" applyBorder="1" applyAlignment="1">
      <alignment horizontal="center" vertical="center" wrapText="1"/>
    </xf>
    <xf numFmtId="2" fontId="58" fillId="0" borderId="1" xfId="119" applyNumberFormat="1" applyFont="1" applyFill="1" applyBorder="1" applyAlignment="1">
      <alignment horizontal="center" vertical="center"/>
    </xf>
    <xf numFmtId="2" fontId="57" fillId="0" borderId="15" xfId="119" applyNumberFormat="1" applyFont="1" applyFill="1" applyBorder="1" applyAlignment="1">
      <alignment horizontal="center" vertical="center"/>
    </xf>
    <xf numFmtId="0" fontId="58" fillId="0" borderId="14" xfId="119" applyFont="1" applyFill="1" applyBorder="1" applyAlignment="1">
      <alignment horizontal="center" vertical="center"/>
    </xf>
    <xf numFmtId="0" fontId="58" fillId="0" borderId="1" xfId="119" applyFont="1" applyFill="1" applyBorder="1" applyAlignment="1">
      <alignment horizontal="center" vertical="center" wrapText="1"/>
    </xf>
    <xf numFmtId="0" fontId="58" fillId="0" borderId="1" xfId="119" applyFont="1" applyFill="1" applyBorder="1" applyAlignment="1">
      <alignment vertical="center" wrapText="1"/>
    </xf>
    <xf numFmtId="0" fontId="46" fillId="0" borderId="1" xfId="120" applyFont="1" applyFill="1" applyBorder="1" applyAlignment="1">
      <alignment horizontal="center" vertical="center"/>
    </xf>
    <xf numFmtId="2" fontId="58" fillId="0" borderId="15" xfId="119" applyNumberFormat="1" applyFont="1" applyFill="1" applyBorder="1" applyAlignment="1">
      <alignment horizontal="center" vertical="center"/>
    </xf>
    <xf numFmtId="0" fontId="57" fillId="0" borderId="1" xfId="119" applyFont="1" applyFill="1" applyBorder="1" applyAlignment="1">
      <alignment vertical="center" wrapText="1"/>
    </xf>
    <xf numFmtId="169" fontId="57" fillId="0" borderId="1" xfId="119" applyNumberFormat="1" applyFont="1" applyFill="1" applyBorder="1" applyAlignment="1">
      <alignment horizontal="center" vertical="center" wrapText="1"/>
    </xf>
    <xf numFmtId="0" fontId="57" fillId="0" borderId="1" xfId="119" applyFont="1" applyFill="1" applyBorder="1" applyAlignment="1">
      <alignment horizontal="center" vertical="center" wrapText="1"/>
    </xf>
    <xf numFmtId="2" fontId="57" fillId="0" borderId="1" xfId="119" applyNumberFormat="1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2" fontId="58" fillId="0" borderId="1" xfId="119" applyNumberFormat="1" applyFont="1" applyFill="1" applyBorder="1" applyAlignment="1">
      <alignment horizontal="center" vertical="center" wrapText="1"/>
    </xf>
    <xf numFmtId="2" fontId="11" fillId="0" borderId="1" xfId="6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/>
    </xf>
    <xf numFmtId="0" fontId="86" fillId="0" borderId="1" xfId="2" applyFont="1" applyFill="1" applyBorder="1" applyAlignment="1">
      <alignment horizontal="center" vertical="center" wrapText="1"/>
    </xf>
    <xf numFmtId="180" fontId="46" fillId="0" borderId="1" xfId="6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43" fillId="0" borderId="0" xfId="40" applyFont="1" applyFill="1" applyAlignment="1">
      <alignment horizontal="center" vertical="center" wrapText="1" shrinkToFit="1"/>
    </xf>
    <xf numFmtId="0" fontId="45" fillId="0" borderId="1" xfId="42" applyFont="1" applyFill="1" applyBorder="1" applyAlignment="1">
      <alignment horizontal="center" vertical="center" wrapText="1"/>
    </xf>
    <xf numFmtId="0" fontId="45" fillId="0" borderId="1" xfId="42" applyFont="1" applyFill="1" applyBorder="1" applyAlignment="1">
      <alignment horizontal="center" vertical="center"/>
    </xf>
    <xf numFmtId="0" fontId="46" fillId="0" borderId="1" xfId="42" applyFont="1" applyFill="1" applyBorder="1" applyAlignment="1">
      <alignment horizontal="center" vertical="center" wrapText="1"/>
    </xf>
    <xf numFmtId="2" fontId="45" fillId="0" borderId="1" xfId="42" applyNumberFormat="1" applyFont="1" applyFill="1" applyBorder="1" applyAlignment="1">
      <alignment horizontal="center" vertical="center"/>
    </xf>
    <xf numFmtId="0" fontId="46" fillId="0" borderId="0" xfId="7" applyFont="1" applyFill="1" applyAlignment="1">
      <alignment horizontal="center" vertical="center" wrapText="1"/>
    </xf>
    <xf numFmtId="0" fontId="46" fillId="0" borderId="1" xfId="7" applyFont="1" applyFill="1" applyBorder="1" applyAlignment="1">
      <alignment horizontal="center" vertical="center" wrapText="1"/>
    </xf>
    <xf numFmtId="0" fontId="46" fillId="0" borderId="1" xfId="7" applyFont="1" applyFill="1" applyBorder="1" applyAlignment="1">
      <alignment horizontal="center" vertical="center"/>
    </xf>
    <xf numFmtId="0" fontId="45" fillId="0" borderId="1" xfId="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43" fillId="0" borderId="0" xfId="40" applyFont="1" applyFill="1" applyAlignment="1">
      <alignment horizontal="center" vertical="center" wrapText="1" shrinkToFit="1"/>
    </xf>
    <xf numFmtId="0" fontId="42" fillId="0" borderId="0" xfId="40" applyFont="1" applyFill="1" applyAlignment="1">
      <alignment horizontal="left" vertical="center" wrapText="1" shrinkToFit="1"/>
    </xf>
    <xf numFmtId="0" fontId="45" fillId="0" borderId="1" xfId="42" applyFont="1" applyFill="1" applyBorder="1" applyAlignment="1">
      <alignment horizontal="center" vertical="center" wrapText="1"/>
    </xf>
    <xf numFmtId="0" fontId="45" fillId="0" borderId="1" xfId="42" applyFont="1" applyFill="1" applyBorder="1" applyAlignment="1">
      <alignment horizontal="center" vertical="center"/>
    </xf>
    <xf numFmtId="0" fontId="46" fillId="0" borderId="1" xfId="4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2" fontId="45" fillId="0" borderId="1" xfId="42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3" fillId="0" borderId="0" xfId="40" applyFont="1" applyFill="1" applyAlignment="1">
      <alignment horizontal="center" vertical="center" wrapText="1" shrinkToFit="1"/>
    </xf>
    <xf numFmtId="0" fontId="45" fillId="0" borderId="1" xfId="42" applyFont="1" applyFill="1" applyBorder="1" applyAlignment="1">
      <alignment horizontal="center" vertical="center" wrapText="1"/>
    </xf>
    <xf numFmtId="0" fontId="45" fillId="0" borderId="1" xfId="42" applyFont="1" applyFill="1" applyBorder="1" applyAlignment="1">
      <alignment horizontal="center" vertical="center"/>
    </xf>
    <xf numFmtId="0" fontId="46" fillId="0" borderId="1" xfId="42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center" vertical="center" wrapText="1"/>
    </xf>
    <xf numFmtId="0" fontId="46" fillId="0" borderId="0" xfId="7" applyFont="1" applyFill="1" applyAlignment="1">
      <alignment horizontal="center" vertical="center" wrapText="1"/>
    </xf>
    <xf numFmtId="0" fontId="46" fillId="0" borderId="1" xfId="7" applyFont="1" applyFill="1" applyBorder="1" applyAlignment="1">
      <alignment horizontal="center" vertical="center" wrapText="1"/>
    </xf>
    <xf numFmtId="0" fontId="46" fillId="0" borderId="1" xfId="7" applyFont="1" applyFill="1" applyBorder="1" applyAlignment="1">
      <alignment horizontal="center" vertical="center"/>
    </xf>
    <xf numFmtId="0" fontId="45" fillId="0" borderId="1" xfId="7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61" fillId="0" borderId="1" xfId="17" applyFont="1" applyFill="1" applyBorder="1" applyAlignment="1">
      <alignment horizontal="center" vertical="center"/>
    </xf>
    <xf numFmtId="49" fontId="45" fillId="0" borderId="1" xfId="22" applyNumberFormat="1" applyFont="1" applyFill="1" applyBorder="1" applyAlignment="1">
      <alignment horizontal="center" vertical="center" wrapText="1"/>
    </xf>
    <xf numFmtId="0" fontId="44" fillId="0" borderId="1" xfId="22" applyFont="1" applyFill="1" applyBorder="1" applyAlignment="1">
      <alignment horizontal="left" vertical="center" wrapText="1"/>
    </xf>
    <xf numFmtId="0" fontId="45" fillId="0" borderId="1" xfId="22" applyFont="1" applyFill="1" applyBorder="1" applyAlignment="1">
      <alignment horizontal="center" vertical="center"/>
    </xf>
    <xf numFmtId="1" fontId="45" fillId="0" borderId="1" xfId="22" applyNumberFormat="1" applyFont="1" applyFill="1" applyBorder="1" applyAlignment="1">
      <alignment horizontal="center" vertical="center"/>
    </xf>
    <xf numFmtId="2" fontId="45" fillId="0" borderId="1" xfId="22" applyNumberFormat="1" applyFont="1" applyFill="1" applyBorder="1" applyAlignment="1">
      <alignment horizontal="center" vertical="center"/>
    </xf>
    <xf numFmtId="0" fontId="45" fillId="0" borderId="1" xfId="22" applyFont="1" applyFill="1" applyBorder="1" applyAlignment="1">
      <alignment vertical="center"/>
    </xf>
    <xf numFmtId="0" fontId="62" fillId="0" borderId="1" xfId="17" applyFont="1" applyFill="1" applyBorder="1" applyAlignment="1">
      <alignment horizontal="center" vertical="top"/>
    </xf>
    <xf numFmtId="0" fontId="63" fillId="0" borderId="1" xfId="17" applyFont="1" applyFill="1" applyBorder="1" applyAlignment="1">
      <alignment horizontal="left" vertical="top" wrapText="1"/>
    </xf>
    <xf numFmtId="0" fontId="46" fillId="0" borderId="1" xfId="22" applyFont="1" applyFill="1" applyBorder="1" applyAlignment="1">
      <alignment vertical="center" wrapText="1"/>
    </xf>
    <xf numFmtId="0" fontId="46" fillId="0" borderId="1" xfId="22" applyFont="1" applyFill="1" applyBorder="1" applyAlignment="1">
      <alignment vertical="center"/>
    </xf>
    <xf numFmtId="0" fontId="64" fillId="0" borderId="1" xfId="0" applyFont="1" applyFill="1" applyBorder="1" applyAlignment="1">
      <alignment horizontal="center" vertical="top" wrapText="1"/>
    </xf>
    <xf numFmtId="0" fontId="46" fillId="0" borderId="1" xfId="22" applyFont="1" applyFill="1" applyBorder="1" applyAlignment="1">
      <alignment horizontal="left" vertical="center" wrapText="1"/>
    </xf>
    <xf numFmtId="169" fontId="46" fillId="0" borderId="1" xfId="22" applyNumberFormat="1" applyFont="1" applyFill="1" applyBorder="1" applyAlignment="1">
      <alignment horizontal="center" vertical="center"/>
    </xf>
    <xf numFmtId="0" fontId="45" fillId="0" borderId="1" xfId="23" applyNumberFormat="1" applyFont="1" applyFill="1" applyBorder="1" applyAlignment="1">
      <alignment horizontal="left" vertical="center" wrapText="1"/>
    </xf>
    <xf numFmtId="0" fontId="63" fillId="0" borderId="1" xfId="1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36" fillId="0" borderId="1" xfId="42" applyFont="1" applyFill="1" applyBorder="1" applyAlignment="1">
      <alignment horizontal="center" vertical="center" wrapText="1"/>
    </xf>
    <xf numFmtId="0" fontId="36" fillId="0" borderId="1" xfId="42" applyFont="1" applyFill="1" applyBorder="1" applyAlignment="1">
      <alignment horizontal="center" vertical="center"/>
    </xf>
    <xf numFmtId="0" fontId="36" fillId="0" borderId="4" xfId="42" applyFont="1" applyFill="1" applyBorder="1" applyAlignment="1">
      <alignment horizontal="center" vertical="center"/>
    </xf>
    <xf numFmtId="0" fontId="36" fillId="0" borderId="6" xfId="42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right" vertical="center"/>
    </xf>
    <xf numFmtId="0" fontId="37" fillId="0" borderId="13" xfId="42" applyFont="1" applyFill="1" applyBorder="1" applyAlignment="1">
      <alignment horizontal="right" vertical="center"/>
    </xf>
    <xf numFmtId="0" fontId="36" fillId="0" borderId="7" xfId="42" applyFont="1" applyFill="1" applyBorder="1" applyAlignment="1">
      <alignment horizontal="center" vertical="center" wrapText="1"/>
    </xf>
    <xf numFmtId="0" fontId="36" fillId="0" borderId="8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9" xfId="42" applyFont="1" applyFill="1" applyBorder="1" applyAlignment="1">
      <alignment horizontal="center" vertical="center" wrapText="1"/>
    </xf>
    <xf numFmtId="0" fontId="36" fillId="0" borderId="10" xfId="42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right" vertical="center"/>
    </xf>
    <xf numFmtId="0" fontId="8" fillId="0" borderId="0" xfId="40" applyFont="1" applyFill="1" applyAlignment="1">
      <alignment horizontal="center" vertical="center" shrinkToFit="1"/>
    </xf>
    <xf numFmtId="0" fontId="8" fillId="0" borderId="0" xfId="40" applyFont="1" applyFill="1" applyAlignment="1">
      <alignment horizontal="right" vertical="center" shrinkToFit="1"/>
    </xf>
    <xf numFmtId="0" fontId="57" fillId="0" borderId="0" xfId="40" applyFont="1" applyFill="1" applyAlignment="1">
      <alignment horizontal="center" vertical="center" wrapText="1" shrinkToFit="1"/>
    </xf>
    <xf numFmtId="0" fontId="70" fillId="0" borderId="0" xfId="40" applyFont="1" applyFill="1" applyAlignment="1">
      <alignment horizontal="center" vertical="center" wrapText="1" shrinkToFit="1"/>
    </xf>
    <xf numFmtId="0" fontId="56" fillId="0" borderId="0" xfId="40" applyFont="1" applyFill="1" applyAlignment="1">
      <alignment horizontal="left" vertical="center" wrapText="1" shrinkToFit="1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2" fillId="0" borderId="13" xfId="0" applyFont="1" applyFill="1" applyBorder="1" applyAlignment="1">
      <alignment horizontal="right" vertical="center"/>
    </xf>
    <xf numFmtId="0" fontId="41" fillId="0" borderId="0" xfId="40" applyFont="1" applyFill="1" applyAlignment="1">
      <alignment horizontal="center" vertical="center" shrinkToFit="1"/>
    </xf>
    <xf numFmtId="0" fontId="41" fillId="0" borderId="0" xfId="40" applyFont="1" applyFill="1" applyAlignment="1">
      <alignment horizontal="right" vertical="center" shrinkToFit="1"/>
    </xf>
    <xf numFmtId="0" fontId="44" fillId="0" borderId="0" xfId="40" applyFont="1" applyFill="1" applyAlignment="1">
      <alignment horizontal="center" vertical="center" wrapText="1" shrinkToFit="1"/>
    </xf>
    <xf numFmtId="0" fontId="43" fillId="0" borderId="0" xfId="40" applyFont="1" applyFill="1" applyAlignment="1">
      <alignment horizontal="center" vertical="center" wrapText="1" shrinkToFit="1"/>
    </xf>
    <xf numFmtId="0" fontId="42" fillId="0" borderId="0" xfId="40" applyFont="1" applyFill="1" applyAlignment="1">
      <alignment horizontal="left" vertical="center" wrapText="1" shrinkToFit="1"/>
    </xf>
    <xf numFmtId="0" fontId="93" fillId="0" borderId="1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 wrapText="1"/>
    </xf>
    <xf numFmtId="0" fontId="93" fillId="0" borderId="4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45" fillId="0" borderId="1" xfId="42" applyFont="1" applyFill="1" applyBorder="1" applyAlignment="1">
      <alignment horizontal="center" vertical="center" wrapText="1"/>
    </xf>
    <xf numFmtId="0" fontId="45" fillId="0" borderId="1" xfId="42" applyFont="1" applyFill="1" applyBorder="1" applyAlignment="1">
      <alignment horizontal="center" vertical="center"/>
    </xf>
    <xf numFmtId="0" fontId="41" fillId="0" borderId="0" xfId="40" applyFont="1" applyFill="1" applyAlignment="1">
      <alignment horizontal="center" vertical="center" wrapText="1" shrinkToFit="1"/>
    </xf>
    <xf numFmtId="0" fontId="46" fillId="0" borderId="1" xfId="42" applyFont="1" applyFill="1" applyBorder="1" applyAlignment="1">
      <alignment horizontal="center" vertical="center" wrapText="1"/>
    </xf>
    <xf numFmtId="0" fontId="42" fillId="0" borderId="1" xfId="17" applyFont="1" applyFill="1" applyBorder="1" applyAlignment="1">
      <alignment horizontal="center" vertical="center" wrapText="1"/>
    </xf>
    <xf numFmtId="0" fontId="45" fillId="0" borderId="4" xfId="42" applyFont="1" applyFill="1" applyBorder="1" applyAlignment="1">
      <alignment horizontal="center" vertical="center" wrapText="1"/>
    </xf>
    <xf numFmtId="0" fontId="45" fillId="0" borderId="5" xfId="42" applyFont="1" applyFill="1" applyBorder="1" applyAlignment="1">
      <alignment horizontal="center" vertical="center" wrapText="1"/>
    </xf>
    <xf numFmtId="0" fontId="45" fillId="0" borderId="6" xfId="4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57" fillId="0" borderId="5" xfId="119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shrinkToFit="1"/>
    </xf>
    <xf numFmtId="0" fontId="10" fillId="0" borderId="0" xfId="3" applyFont="1" applyFill="1" applyAlignment="1">
      <alignment horizontal="center" vertical="center" wrapText="1" shrinkToFit="1"/>
    </xf>
    <xf numFmtId="0" fontId="25" fillId="0" borderId="0" xfId="3" applyFont="1" applyFill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right" vertical="center" shrinkToFit="1"/>
    </xf>
    <xf numFmtId="0" fontId="20" fillId="0" borderId="0" xfId="3" applyFont="1" applyFill="1" applyAlignment="1">
      <alignment horizontal="center" vertical="center" shrinkToFit="1"/>
    </xf>
    <xf numFmtId="0" fontId="20" fillId="0" borderId="0" xfId="3" applyFont="1" applyFill="1" applyAlignment="1">
      <alignment horizontal="right" vertical="center" shrinkToFit="1"/>
    </xf>
    <xf numFmtId="0" fontId="20" fillId="0" borderId="0" xfId="3" applyFont="1" applyFill="1" applyAlignment="1">
      <alignment horizontal="center" vertical="center" wrapText="1" shrinkToFit="1"/>
    </xf>
    <xf numFmtId="0" fontId="89" fillId="0" borderId="0" xfId="3" applyFont="1" applyFill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90" fillId="0" borderId="2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horizontal="center" vertical="center" wrapText="1"/>
    </xf>
    <xf numFmtId="0" fontId="91" fillId="0" borderId="9" xfId="0" applyFont="1" applyBorder="1" applyAlignment="1">
      <alignment horizontal="center"/>
    </xf>
    <xf numFmtId="0" fontId="91" fillId="0" borderId="10" xfId="0" applyFont="1" applyBorder="1" applyAlignment="1">
      <alignment horizontal="center"/>
    </xf>
    <xf numFmtId="0" fontId="91" fillId="0" borderId="4" xfId="0" applyFont="1" applyFill="1" applyBorder="1" applyAlignment="1">
      <alignment horizontal="left" vertical="center" wrapText="1"/>
    </xf>
    <xf numFmtId="0" fontId="91" fillId="0" borderId="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90" fillId="0" borderId="1" xfId="0" applyFont="1" applyFill="1" applyBorder="1" applyAlignment="1">
      <alignment horizontal="center" vertical="center" wrapText="1"/>
    </xf>
    <xf numFmtId="0" fontId="90" fillId="0" borderId="7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90" fillId="0" borderId="5" xfId="0" applyFont="1" applyFill="1" applyBorder="1" applyAlignment="1">
      <alignment horizontal="center" vertical="center" wrapText="1"/>
    </xf>
    <xf numFmtId="0" fontId="90" fillId="0" borderId="3" xfId="0" applyFont="1" applyFill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90" fillId="0" borderId="7" xfId="0" applyFont="1" applyBorder="1" applyAlignment="1">
      <alignment horizontal="center" vertical="center" wrapText="1"/>
    </xf>
    <xf numFmtId="0" fontId="90" fillId="0" borderId="9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 wrapText="1"/>
    </xf>
    <xf numFmtId="0" fontId="90" fillId="0" borderId="6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40" applyFont="1" applyFill="1" applyAlignment="1">
      <alignment horizontal="center" vertical="center" shrinkToFit="1"/>
    </xf>
    <xf numFmtId="0" fontId="10" fillId="0" borderId="0" xfId="40" applyFont="1" applyFill="1" applyAlignment="1">
      <alignment horizontal="right" vertical="center" shrinkToFit="1"/>
    </xf>
    <xf numFmtId="0" fontId="10" fillId="0" borderId="0" xfId="40" applyFont="1" applyFill="1" applyAlignment="1">
      <alignment horizontal="center" vertical="center" wrapText="1" shrinkToFit="1"/>
    </xf>
    <xf numFmtId="0" fontId="25" fillId="0" borderId="0" xfId="40" applyFont="1" applyFill="1" applyAlignment="1">
      <alignment horizontal="center" vertical="center" wrapText="1" shrinkToFit="1"/>
    </xf>
    <xf numFmtId="0" fontId="48" fillId="0" borderId="4" xfId="42" applyFont="1" applyBorder="1" applyAlignment="1">
      <alignment horizontal="center" vertical="center"/>
    </xf>
    <xf numFmtId="0" fontId="48" fillId="0" borderId="6" xfId="42" applyFont="1" applyBorder="1" applyAlignment="1">
      <alignment horizontal="center" vertical="center"/>
    </xf>
    <xf numFmtId="0" fontId="46" fillId="0" borderId="0" xfId="7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right" vertical="center"/>
    </xf>
    <xf numFmtId="0" fontId="55" fillId="0" borderId="0" xfId="0" applyFont="1" applyAlignment="1">
      <alignment horizontal="center"/>
    </xf>
    <xf numFmtId="0" fontId="7" fillId="0" borderId="0" xfId="2" applyFont="1" applyFill="1" applyAlignment="1">
      <alignment horizontal="left" vertical="center" wrapText="1"/>
    </xf>
    <xf numFmtId="0" fontId="51" fillId="0" borderId="13" xfId="42" applyFont="1" applyBorder="1" applyAlignment="1">
      <alignment horizontal="right" vertical="center"/>
    </xf>
    <xf numFmtId="0" fontId="48" fillId="0" borderId="7" xfId="42" applyFont="1" applyBorder="1" applyAlignment="1">
      <alignment horizontal="center" vertical="center" wrapText="1"/>
    </xf>
    <xf numFmtId="0" fontId="48" fillId="0" borderId="8" xfId="42" applyFont="1" applyBorder="1" applyAlignment="1">
      <alignment horizontal="center" vertical="center" wrapText="1"/>
    </xf>
    <xf numFmtId="0" fontId="48" fillId="0" borderId="11" xfId="42" applyFont="1" applyBorder="1" applyAlignment="1">
      <alignment horizontal="center" vertical="center" wrapText="1"/>
    </xf>
    <xf numFmtId="0" fontId="48" fillId="0" borderId="12" xfId="42" applyFont="1" applyBorder="1" applyAlignment="1">
      <alignment horizontal="center" vertical="center" wrapText="1"/>
    </xf>
    <xf numFmtId="0" fontId="48" fillId="0" borderId="9" xfId="42" applyFont="1" applyBorder="1" applyAlignment="1">
      <alignment horizontal="center" vertical="center" wrapText="1"/>
    </xf>
    <xf numFmtId="0" fontId="48" fillId="0" borderId="10" xfId="42" applyFont="1" applyBorder="1" applyAlignment="1">
      <alignment horizontal="center" vertical="center" wrapText="1"/>
    </xf>
    <xf numFmtId="0" fontId="48" fillId="0" borderId="1" xfId="42" applyFont="1" applyBorder="1" applyAlignment="1">
      <alignment horizontal="center" vertical="center" wrapText="1"/>
    </xf>
    <xf numFmtId="0" fontId="48" fillId="0" borderId="1" xfId="42" applyFont="1" applyBorder="1" applyAlignment="1">
      <alignment horizontal="center" vertical="center"/>
    </xf>
    <xf numFmtId="0" fontId="46" fillId="0" borderId="0" xfId="7" applyFont="1" applyFill="1" applyAlignment="1">
      <alignment horizontal="center"/>
    </xf>
    <xf numFmtId="0" fontId="46" fillId="0" borderId="1" xfId="7" applyFont="1" applyFill="1" applyBorder="1" applyAlignment="1">
      <alignment horizontal="center" vertical="center" wrapText="1"/>
    </xf>
    <xf numFmtId="0" fontId="46" fillId="0" borderId="1" xfId="7" applyFont="1" applyFill="1" applyBorder="1" applyAlignment="1">
      <alignment horizontal="center" vertical="center"/>
    </xf>
    <xf numFmtId="0" fontId="45" fillId="0" borderId="1" xfId="7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/>
    </xf>
    <xf numFmtId="0" fontId="51" fillId="0" borderId="0" xfId="40" applyFont="1" applyFill="1" applyAlignment="1">
      <alignment horizontal="center" vertical="center" shrinkToFit="1"/>
    </xf>
    <xf numFmtId="0" fontId="51" fillId="0" borderId="0" xfId="40" applyFont="1" applyFill="1" applyAlignment="1">
      <alignment horizontal="right" vertical="center" shrinkToFit="1"/>
    </xf>
    <xf numFmtId="0" fontId="51" fillId="0" borderId="0" xfId="40" applyFont="1" applyFill="1" applyAlignment="1">
      <alignment horizontal="center" vertical="center" wrapText="1" shrinkToFit="1"/>
    </xf>
    <xf numFmtId="0" fontId="67" fillId="0" borderId="0" xfId="40" applyFont="1" applyFill="1" applyAlignment="1">
      <alignment horizontal="center" vertical="center" wrapText="1" shrinkToFit="1"/>
    </xf>
    <xf numFmtId="0" fontId="46" fillId="0" borderId="0" xfId="7" applyFont="1" applyFill="1" applyAlignment="1">
      <alignment horizontal="left"/>
    </xf>
    <xf numFmtId="0" fontId="46" fillId="0" borderId="2" xfId="7" applyFont="1" applyFill="1" applyBorder="1" applyAlignment="1">
      <alignment horizontal="center" vertical="center" wrapText="1"/>
    </xf>
    <xf numFmtId="0" fontId="46" fillId="0" borderId="3" xfId="7" applyFont="1" applyFill="1" applyBorder="1" applyAlignment="1">
      <alignment horizontal="center" vertical="center" wrapText="1"/>
    </xf>
  </cellXfs>
  <cellStyles count="125">
    <cellStyle name="Comma" xfId="1" builtinId="3"/>
    <cellStyle name="Comma 10" xfId="6"/>
    <cellStyle name="Comma 10 2" xfId="63"/>
    <cellStyle name="Comma 10 2 2" xfId="87"/>
    <cellStyle name="Comma 10 2 3" xfId="108"/>
    <cellStyle name="Comma 10 3" xfId="8"/>
    <cellStyle name="Comma 10 3 2" xfId="88"/>
    <cellStyle name="Comma 10 3 2 2" xfId="109"/>
    <cellStyle name="Comma 10 3 3" xfId="80"/>
    <cellStyle name="Comma 10 4" xfId="62"/>
    <cellStyle name="Comma 10 5" xfId="121"/>
    <cellStyle name="Comma 19" xfId="23"/>
    <cellStyle name="Comma 2" xfId="39"/>
    <cellStyle name="Comma 2 2" xfId="37"/>
    <cellStyle name="Comma 2 2 2" xfId="65"/>
    <cellStyle name="Comma 2 2 2 2" xfId="97"/>
    <cellStyle name="Comma 2 2 2 3" xfId="113"/>
    <cellStyle name="Comma 2 3" xfId="66"/>
    <cellStyle name="Comma 2 3 2" xfId="15"/>
    <cellStyle name="Comma 2 3 2 2" xfId="92"/>
    <cellStyle name="Comma 2 3 2 2 2" xfId="111"/>
    <cellStyle name="Comma 2 3 2 3" xfId="83"/>
    <cellStyle name="Comma 2 3 3" xfId="98"/>
    <cellStyle name="Comma 2 3 4" xfId="114"/>
    <cellStyle name="Comma 2 4" xfId="24"/>
    <cellStyle name="Comma 2 5" xfId="64"/>
    <cellStyle name="Comma 2 6" xfId="84"/>
    <cellStyle name="Comma 20" xfId="19"/>
    <cellStyle name="Comma 20 2" xfId="54"/>
    <cellStyle name="Comma 20 2 2" xfId="100"/>
    <cellStyle name="Comma 20 2 3" xfId="116"/>
    <cellStyle name="Comma 20 3" xfId="67"/>
    <cellStyle name="Comma 20 3 2" xfId="93"/>
    <cellStyle name="Comma 20 3 3" xfId="112"/>
    <cellStyle name="Comma 3" xfId="68"/>
    <cellStyle name="Comma 3 2" xfId="86"/>
    <cellStyle name="Comma 3 3" xfId="107"/>
    <cellStyle name="Comma 4" xfId="69"/>
    <cellStyle name="Comma 5" xfId="12"/>
    <cellStyle name="Comma 5 2" xfId="70"/>
    <cellStyle name="Comma 5 2 2" xfId="90"/>
    <cellStyle name="Comma 5 2 3" xfId="110"/>
    <cellStyle name="Comma 5 3" xfId="82"/>
    <cellStyle name="Comma 5 4" xfId="104"/>
    <cellStyle name="Comma 6" xfId="61"/>
    <cellStyle name="Comma 6 2" xfId="122"/>
    <cellStyle name="Comma 7" xfId="79"/>
    <cellStyle name="Comma 8" xfId="102"/>
    <cellStyle name="Comma 9" xfId="105"/>
    <cellStyle name="Normal" xfId="0" builtinId="0"/>
    <cellStyle name="Normal 10" xfId="7"/>
    <cellStyle name="Normal 11" xfId="52"/>
    <cellStyle name="Normal 12" xfId="101"/>
    <cellStyle name="Normal 12 2" xfId="124"/>
    <cellStyle name="Normal 13 3 4" xfId="32"/>
    <cellStyle name="Normal 13 5 3" xfId="31"/>
    <cellStyle name="Normal 14" xfId="4"/>
    <cellStyle name="Normal 14 3" xfId="42"/>
    <cellStyle name="Normal 14 3 2" xfId="34"/>
    <cellStyle name="Normal 14 3 2 2" xfId="59"/>
    <cellStyle name="Normal 14 3 2 3" xfId="95"/>
    <cellStyle name="Normal 15" xfId="43"/>
    <cellStyle name="Normal 15 2" xfId="119"/>
    <cellStyle name="Normal 16_axalqalaqis skola " xfId="5"/>
    <cellStyle name="Normal 2" xfId="2"/>
    <cellStyle name="Normal 2 2" xfId="16"/>
    <cellStyle name="Normal 2 2 2" xfId="71"/>
    <cellStyle name="Normal 2 2 2 2" xfId="123"/>
    <cellStyle name="Normal 2 2_MCXETA yazarma- Copy" xfId="72"/>
    <cellStyle name="Normal 2 3" xfId="44"/>
    <cellStyle name="Normal 2_---SUL--- GORI-HOSPITALI-BOLO" xfId="73"/>
    <cellStyle name="Normal 3" xfId="14"/>
    <cellStyle name="Normal 3 15" xfId="120"/>
    <cellStyle name="Normal 3 2" xfId="38"/>
    <cellStyle name="Normal 3 3" xfId="45"/>
    <cellStyle name="Normal 3 5" xfId="20"/>
    <cellStyle name="Normal 35 2" xfId="35"/>
    <cellStyle name="Normal 35 2 2" xfId="60"/>
    <cellStyle name="Normal 35 2 3" xfId="96"/>
    <cellStyle name="Normal 37" xfId="53"/>
    <cellStyle name="Normal 37 2" xfId="99"/>
    <cellStyle name="Normal 37 2 2" xfId="115"/>
    <cellStyle name="Normal 37 3" xfId="85"/>
    <cellStyle name="Normal 37 4" xfId="106"/>
    <cellStyle name="Normal 4" xfId="46"/>
    <cellStyle name="Normal 4 2" xfId="47"/>
    <cellStyle name="Normal 4 3" xfId="74"/>
    <cellStyle name="Normal 49" xfId="33"/>
    <cellStyle name="Normal 5" xfId="21"/>
    <cellStyle name="Normal 5 4 2" xfId="22"/>
    <cellStyle name="Normal 50" xfId="11"/>
    <cellStyle name="Normal 50 2" xfId="57"/>
    <cellStyle name="Normal 51" xfId="9"/>
    <cellStyle name="Normal 51 2" xfId="89"/>
    <cellStyle name="Normal 51 3" xfId="81"/>
    <cellStyle name="Normal 6" xfId="41"/>
    <cellStyle name="Normal 6 2" xfId="75"/>
    <cellStyle name="Normal 7" xfId="48"/>
    <cellStyle name="Normal 7 2" xfId="76"/>
    <cellStyle name="Normal 7 3" xfId="18"/>
    <cellStyle name="Normal 8" xfId="50"/>
    <cellStyle name="Normal 8 2" xfId="77"/>
    <cellStyle name="Normal 9" xfId="51"/>
    <cellStyle name="Normal_axalqalaqis skola  2" xfId="58"/>
    <cellStyle name="Normal_gare wyalsadfenigagarini 2 2" xfId="10"/>
    <cellStyle name="Percent 2" xfId="13"/>
    <cellStyle name="Percent 2 2" xfId="55"/>
    <cellStyle name="Percent 2 3" xfId="78"/>
    <cellStyle name="Percent 2 3 2" xfId="91"/>
    <cellStyle name="Percent 3" xfId="103"/>
    <cellStyle name="Percent 3 2" xfId="117"/>
    <cellStyle name="Style 1" xfId="36"/>
    <cellStyle name="Обычный 2" xfId="27"/>
    <cellStyle name="Обычный 2 2" xfId="25"/>
    <cellStyle name="Обычный 3" xfId="26"/>
    <cellStyle name="Обычный 4" xfId="28"/>
    <cellStyle name="Обычный 4 2" xfId="56"/>
    <cellStyle name="Обычный 4 3" xfId="94"/>
    <cellStyle name="Обычный_SAN2008-I" xfId="49"/>
    <cellStyle name="Обычный_Лист1" xfId="3"/>
    <cellStyle name="Обычный_Лист1 2" xfId="17"/>
    <cellStyle name="Обычный_Лист1 3" xfId="40"/>
    <cellStyle name="Обычный_დემონტაჟი" xfId="118"/>
    <cellStyle name="ჩვეულებრივი 2" xfId="29"/>
    <cellStyle name="ჩვეულებრივი 2 2 2" xfId="30"/>
  </cellStyles>
  <dxfs count="16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328;&#4318;&#4321;.%20&#4308;&#4314;&#4313;&#4317;\&#4313;&#4304;&#4321;&#4318;&#4312;\kaspi%20sof.%20agaiani\&#4321;&#4317;&#4324;&#4308;&#4314;%20&#4304;&#4326;&#4304;&#4312;&#4304;&#4316;&#4312;&#4321;%20&#4332;&#4327;&#4304;&#4314;&#4315;&#4317;&#4315;&#4304;&#4320;&#4304;&#4306;&#4308;&#4305;&#4312;&#4321;%20&#4306;&#4304;&#4315;&#4304;&#4316;&#4304;&#4332;&#4312;&#4314;&#4308;&#4305;&#4308;&#4314;&#4312;%20&#4325;&#4321;&#4308;&#4314;&#4312;&#4321;%20&#4315;&#4317;&#4332;&#4327;&#4317;&#4305;&#4312;&#4321;%20&#4321;&#4304;&#4315;&#4323;&#4328;&#4304;&#4317;&#4308;&#4305;&#4312;&#4321;%20&#4313;&#4317;&#4320;.%20&#4334;&#4304;&#4320;&#4335;&#4311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.barat"/>
      <sheetName val="B"/>
      <sheetName val="B-1"/>
      <sheetName val="B-1.1"/>
      <sheetName val="B-1.1.1"/>
      <sheetName val="B-1.1.2"/>
      <sheetName val="B-1.1.3"/>
      <sheetName val="B-1.1.4"/>
      <sheetName val="B-1.1.5"/>
      <sheetName val="B-1.1.6"/>
      <sheetName val="B-1.1.7"/>
      <sheetName val="B-1.1.8"/>
      <sheetName val="B-1.1.9"/>
      <sheetName val="B-1.1.10"/>
      <sheetName val="B-2."/>
      <sheetName val="B-2.1."/>
      <sheetName val="B-2.1.1"/>
      <sheetName val="B-2.1.2"/>
      <sheetName val="B-2.1.3"/>
      <sheetName val="B-2.1.4"/>
      <sheetName val="B-2.1.5"/>
      <sheetName val="B-2.1.6"/>
      <sheetName val="B-2.1.7"/>
      <sheetName val="B-2.1.8"/>
      <sheetName val="B-2.1.9"/>
      <sheetName val="B-3."/>
      <sheetName val="B-3.1."/>
      <sheetName val="B-3.1.1"/>
      <sheetName val="B-3.1.2"/>
      <sheetName val="B-3.1.3"/>
      <sheetName val="B-3.2."/>
      <sheetName val="B-3.2.1"/>
      <sheetName val="B-3.2.1.1"/>
      <sheetName val="B-3.2.1.1.1"/>
      <sheetName val="B-3.2.1.1.2"/>
      <sheetName val="B-3.2.2"/>
      <sheetName val="B-3.2.2.1"/>
      <sheetName val="B-3.2.2.1.1"/>
      <sheetName val="B-3.2.2.1.2"/>
      <sheetName val="B-2.2.3"/>
      <sheetName val="B-2.2.3.1"/>
      <sheetName val="B-2.2.3.2"/>
      <sheetName val="B-3.3"/>
      <sheetName val="B-3.3.1"/>
      <sheetName val="B-3.3.2"/>
      <sheetName val="B-3.3.3"/>
      <sheetName val="B-3.4"/>
      <sheetName val="B-3.4.1"/>
      <sheetName val="B-3.4.2"/>
      <sheetName val="B-3.4.3"/>
      <sheetName val="B-3.5"/>
      <sheetName val="B-4"/>
      <sheetName val="B-4.1"/>
      <sheetName val="B-4.1.1"/>
      <sheetName val="B-4.1.2"/>
      <sheetName val="B-4-2"/>
      <sheetName val="B-4.2.1."/>
      <sheetName val="B-4.2.1.1."/>
      <sheetName val="B-4.2.1.2."/>
      <sheetName val="B-4.2.1.3"/>
      <sheetName val="B-4.2.2"/>
      <sheetName val="B-4.2.2.1"/>
      <sheetName val="B-4.2.2.2"/>
      <sheetName val="B-4.2.2.3."/>
      <sheetName val="B-4.2.2.4"/>
      <sheetName val="B-4.2.3."/>
      <sheetName val="B-4.2.3.1"/>
      <sheetName val="B-4.2.3.2"/>
      <sheetName val="B-4.2.4"/>
      <sheetName val="B-4.3"/>
      <sheetName val="B-4.3.1"/>
      <sheetName val="B-4.3.1.1"/>
      <sheetName val="B-4.3.1.2"/>
      <sheetName val="B-4.3.2"/>
      <sheetName val="B-4.3.2.1"/>
      <sheetName val="B-4.3.2.2"/>
      <sheetName val="B-4.3.2.3"/>
      <sheetName val="B-4.3.2.4"/>
      <sheetName val="B-4.3.3"/>
      <sheetName val="B-4.3.3.1"/>
      <sheetName val="B-4.3.3.2"/>
      <sheetName val="B-4.3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1">
          <cell r="F11">
            <v>55.125</v>
          </cell>
        </row>
        <row r="22">
          <cell r="F22">
            <v>364.71499999999997</v>
          </cell>
        </row>
        <row r="33">
          <cell r="F33">
            <v>1469.8200000000002</v>
          </cell>
        </row>
        <row r="44">
          <cell r="F44">
            <v>272.74799999999999</v>
          </cell>
        </row>
        <row r="55">
          <cell r="F55">
            <v>245.07</v>
          </cell>
        </row>
        <row r="66">
          <cell r="F66">
            <v>417.375</v>
          </cell>
        </row>
        <row r="77">
          <cell r="F77">
            <v>689.80870000000004</v>
          </cell>
        </row>
        <row r="94">
          <cell r="F94">
            <v>373.36950000000002</v>
          </cell>
        </row>
        <row r="99">
          <cell r="F99">
            <v>775.35149999999999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4" zoomScaleNormal="100" zoomScaleSheetLayoutView="100" workbookViewId="0">
      <selection activeCell="I21" sqref="I21"/>
    </sheetView>
  </sheetViews>
  <sheetFormatPr defaultRowHeight="12.75"/>
  <cols>
    <col min="1" max="1" width="5.85546875" style="24" customWidth="1"/>
    <col min="2" max="2" width="8" style="24" customWidth="1"/>
    <col min="3" max="3" width="63.28515625" style="24" customWidth="1"/>
    <col min="4" max="4" width="6" style="24" customWidth="1"/>
    <col min="5" max="5" width="14.42578125" style="24" customWidth="1"/>
    <col min="6" max="9" width="15.85546875" style="24" customWidth="1"/>
    <col min="10" max="10" width="12.5703125" style="24" customWidth="1"/>
    <col min="11" max="16384" width="9.140625" style="24"/>
  </cols>
  <sheetData>
    <row r="1" spans="1:10">
      <c r="B1" s="1042" t="e">
        <f>#REF!</f>
        <v>#REF!</v>
      </c>
      <c r="C1" s="1042"/>
      <c r="D1" s="1042"/>
      <c r="E1" s="1042"/>
      <c r="F1" s="1042"/>
      <c r="G1" s="1042"/>
      <c r="H1" s="1042"/>
      <c r="I1" s="1042"/>
      <c r="J1" s="1042"/>
    </row>
    <row r="2" spans="1:10">
      <c r="B2" s="1043" t="s">
        <v>53</v>
      </c>
      <c r="C2" s="1043"/>
      <c r="D2" s="1043"/>
      <c r="E2" s="1043"/>
      <c r="F2" s="25" t="s">
        <v>11</v>
      </c>
      <c r="G2" s="25"/>
      <c r="H2" s="25"/>
      <c r="I2" s="25"/>
      <c r="J2" s="25"/>
    </row>
    <row r="3" spans="1:10">
      <c r="B3" s="26"/>
      <c r="C3" s="26"/>
      <c r="D3" s="26"/>
      <c r="E3" s="26"/>
      <c r="F3" s="26"/>
      <c r="G3" s="26"/>
      <c r="H3" s="26"/>
      <c r="I3" s="1043"/>
      <c r="J3" s="1043"/>
    </row>
    <row r="4" spans="1:10">
      <c r="B4" s="27"/>
      <c r="C4" s="28"/>
      <c r="D4" s="28"/>
      <c r="E4" s="28"/>
      <c r="F4" s="28"/>
      <c r="G4" s="1044"/>
      <c r="H4" s="1044"/>
      <c r="I4" s="1044"/>
      <c r="J4" s="1044"/>
    </row>
    <row r="5" spans="1:10" ht="15.75" customHeight="1">
      <c r="A5" s="1032" t="s">
        <v>7</v>
      </c>
      <c r="B5" s="1032"/>
      <c r="C5" s="1033" t="s">
        <v>0</v>
      </c>
      <c r="D5" s="1034"/>
      <c r="E5" s="1037" t="s">
        <v>8</v>
      </c>
      <c r="F5" s="1038"/>
      <c r="G5" s="1038"/>
      <c r="H5" s="1038"/>
      <c r="I5" s="1039"/>
      <c r="J5" s="1040" t="s">
        <v>6</v>
      </c>
    </row>
    <row r="6" spans="1:10" ht="25.5">
      <c r="A6" s="1032"/>
      <c r="B6" s="1032"/>
      <c r="C6" s="1035"/>
      <c r="D6" s="1036"/>
      <c r="E6" s="7" t="s">
        <v>1</v>
      </c>
      <c r="F6" s="7" t="s">
        <v>2</v>
      </c>
      <c r="G6" s="7" t="s">
        <v>3</v>
      </c>
      <c r="H6" s="7" t="s">
        <v>4</v>
      </c>
      <c r="I6" s="7" t="s">
        <v>5</v>
      </c>
      <c r="J6" s="1041"/>
    </row>
    <row r="7" spans="1:10">
      <c r="A7" s="1040">
        <v>1</v>
      </c>
      <c r="B7" s="1040"/>
      <c r="C7" s="1037">
        <v>2</v>
      </c>
      <c r="D7" s="1039"/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</row>
    <row r="8" spans="1:10">
      <c r="A8" s="29">
        <v>1</v>
      </c>
      <c r="B8" s="118" t="s">
        <v>11</v>
      </c>
      <c r="C8" s="163" t="s">
        <v>529</v>
      </c>
      <c r="D8" s="117"/>
      <c r="E8" s="2">
        <f>'B-1'!I11</f>
        <v>0</v>
      </c>
      <c r="F8" s="118"/>
      <c r="G8" s="118"/>
      <c r="H8" s="118"/>
      <c r="I8" s="2">
        <f>E8+F8+G8+H8</f>
        <v>0</v>
      </c>
      <c r="J8" s="118"/>
    </row>
    <row r="9" spans="1:10">
      <c r="A9" s="29">
        <v>2</v>
      </c>
      <c r="B9" s="118" t="s">
        <v>170</v>
      </c>
      <c r="C9" s="30" t="s">
        <v>251</v>
      </c>
      <c r="D9" s="31"/>
      <c r="E9" s="2">
        <f>'B-2'!I11</f>
        <v>0</v>
      </c>
      <c r="F9" s="7"/>
      <c r="G9" s="7"/>
      <c r="H9" s="7"/>
      <c r="I9" s="2">
        <f>E9+F9+G9+H9</f>
        <v>0</v>
      </c>
      <c r="J9" s="7"/>
    </row>
    <row r="10" spans="1:10">
      <c r="A10" s="29">
        <v>3</v>
      </c>
      <c r="B10" s="991" t="s">
        <v>392</v>
      </c>
      <c r="C10" s="32" t="s">
        <v>513</v>
      </c>
      <c r="D10" s="31"/>
      <c r="E10" s="2">
        <f>'B-3'!H13</f>
        <v>0</v>
      </c>
      <c r="F10" s="210"/>
      <c r="G10" s="210"/>
      <c r="H10" s="210"/>
      <c r="I10" s="2">
        <f t="shared" ref="I10:I11" si="0">E10+F10+G10+H10</f>
        <v>0</v>
      </c>
      <c r="J10" s="210"/>
    </row>
    <row r="11" spans="1:10">
      <c r="A11" s="29">
        <v>4</v>
      </c>
      <c r="B11" s="991" t="s">
        <v>431</v>
      </c>
      <c r="C11" s="32" t="s">
        <v>257</v>
      </c>
      <c r="D11" s="31"/>
      <c r="E11" s="2">
        <f>'B-4'!H13</f>
        <v>0</v>
      </c>
      <c r="F11" s="118"/>
      <c r="G11" s="118"/>
      <c r="H11" s="118"/>
      <c r="I11" s="2">
        <f t="shared" si="0"/>
        <v>0</v>
      </c>
      <c r="J11" s="118"/>
    </row>
    <row r="12" spans="1:10" s="35" customFormat="1">
      <c r="A12" s="1049"/>
      <c r="B12" s="1050"/>
      <c r="C12" s="1051" t="s">
        <v>9</v>
      </c>
      <c r="D12" s="1052"/>
      <c r="E12" s="33"/>
      <c r="F12" s="33"/>
      <c r="G12" s="33"/>
      <c r="H12" s="33"/>
      <c r="I12" s="34">
        <f>SUM(I8:I11)</f>
        <v>0</v>
      </c>
      <c r="J12" s="33"/>
    </row>
    <row r="13" spans="1:10">
      <c r="A13" s="1045"/>
      <c r="B13" s="1046"/>
      <c r="C13" s="36" t="e">
        <f>#REF!</f>
        <v>#REF!</v>
      </c>
      <c r="D13" s="37">
        <v>0.03</v>
      </c>
      <c r="E13" s="38"/>
      <c r="F13" s="7"/>
      <c r="G13" s="7"/>
      <c r="H13" s="7"/>
      <c r="I13" s="2">
        <f>I12*D13</f>
        <v>0</v>
      </c>
      <c r="J13" s="7"/>
    </row>
    <row r="14" spans="1:10" s="35" customFormat="1">
      <c r="A14" s="1053"/>
      <c r="B14" s="1054"/>
      <c r="C14" s="1055" t="s">
        <v>9</v>
      </c>
      <c r="D14" s="1056"/>
      <c r="E14" s="33"/>
      <c r="F14" s="33"/>
      <c r="G14" s="33"/>
      <c r="H14" s="33"/>
      <c r="I14" s="34">
        <f>I12+I13</f>
        <v>0</v>
      </c>
      <c r="J14" s="33"/>
    </row>
    <row r="15" spans="1:10">
      <c r="A15" s="1045"/>
      <c r="B15" s="1046"/>
      <c r="C15" s="36" t="e">
        <f>#REF!</f>
        <v>#REF!</v>
      </c>
      <c r="D15" s="37">
        <v>0.18</v>
      </c>
      <c r="E15" s="38"/>
      <c r="F15" s="7"/>
      <c r="G15" s="7"/>
      <c r="H15" s="7"/>
      <c r="I15" s="2">
        <f>I14*D15</f>
        <v>0</v>
      </c>
      <c r="J15" s="7"/>
    </row>
    <row r="16" spans="1:10" s="35" customFormat="1">
      <c r="A16" s="1047"/>
      <c r="B16" s="1047"/>
      <c r="C16" s="1048" t="s">
        <v>9</v>
      </c>
      <c r="D16" s="1048"/>
      <c r="E16" s="33"/>
      <c r="F16" s="33"/>
      <c r="G16" s="33"/>
      <c r="H16" s="18"/>
      <c r="I16" s="34">
        <f>SUM(I14:I15)</f>
        <v>0</v>
      </c>
      <c r="J16" s="33"/>
    </row>
    <row r="17" spans="1:10">
      <c r="A17" s="39"/>
      <c r="B17" s="40"/>
      <c r="C17" s="41" t="s">
        <v>666</v>
      </c>
      <c r="D17" s="235">
        <v>1</v>
      </c>
      <c r="E17" s="2"/>
      <c r="F17" s="2"/>
      <c r="G17" s="42"/>
      <c r="H17" s="43"/>
      <c r="I17" s="3"/>
      <c r="J17" s="44"/>
    </row>
    <row r="18" spans="1:10">
      <c r="A18" s="39"/>
      <c r="B18" s="40"/>
      <c r="C18" s="45" t="s">
        <v>9</v>
      </c>
      <c r="D18" s="41"/>
      <c r="E18" s="2"/>
      <c r="F18" s="2"/>
      <c r="G18" s="42"/>
      <c r="H18" s="43"/>
      <c r="I18" s="46">
        <f>I16+I17</f>
        <v>0</v>
      </c>
      <c r="J18" s="44"/>
    </row>
    <row r="19" spans="1:10">
      <c r="B19" s="27"/>
      <c r="C19" s="47"/>
      <c r="D19" s="47"/>
      <c r="E19" s="48"/>
      <c r="F19" s="48"/>
      <c r="G19" s="49"/>
      <c r="H19" s="50"/>
      <c r="I19" s="51"/>
      <c r="J19" s="52"/>
    </row>
    <row r="20" spans="1:10">
      <c r="B20" s="53"/>
      <c r="C20" s="54"/>
      <c r="D20" s="54"/>
      <c r="E20" s="54"/>
      <c r="F20" s="54"/>
      <c r="G20" s="54"/>
      <c r="H20" s="54"/>
      <c r="I20" s="54"/>
      <c r="J20" s="54"/>
    </row>
    <row r="21" spans="1:10">
      <c r="B21" s="54"/>
      <c r="C21" s="55" t="e">
        <f>#REF!</f>
        <v>#REF!</v>
      </c>
      <c r="D21" s="55"/>
      <c r="E21" s="54"/>
      <c r="F21" s="54"/>
      <c r="G21" s="54"/>
      <c r="H21" s="54"/>
      <c r="I21" s="54"/>
      <c r="J21" s="54"/>
    </row>
    <row r="22" spans="1:10">
      <c r="B22" s="54"/>
      <c r="C22" s="55" t="e">
        <f>#REF!</f>
        <v>#REF!</v>
      </c>
      <c r="D22" s="55"/>
      <c r="E22" s="54"/>
      <c r="F22" s="54"/>
      <c r="G22" s="56" t="e">
        <f>#REF!</f>
        <v>#REF!</v>
      </c>
      <c r="H22" s="56"/>
      <c r="I22" s="56"/>
      <c r="J22" s="54"/>
    </row>
    <row r="28" spans="1:10">
      <c r="J28" s="209"/>
    </row>
  </sheetData>
  <mergeCells count="18">
    <mergeCell ref="A15:B15"/>
    <mergeCell ref="A16:B16"/>
    <mergeCell ref="C16:D16"/>
    <mergeCell ref="A7:B7"/>
    <mergeCell ref="C7:D7"/>
    <mergeCell ref="A12:B12"/>
    <mergeCell ref="C12:D12"/>
    <mergeCell ref="A13:B13"/>
    <mergeCell ref="A14:B14"/>
    <mergeCell ref="C14:D14"/>
    <mergeCell ref="A5:B6"/>
    <mergeCell ref="C5:D6"/>
    <mergeCell ref="E5:I5"/>
    <mergeCell ref="J5:J6"/>
    <mergeCell ref="B1:J1"/>
    <mergeCell ref="B2:E2"/>
    <mergeCell ref="I3:J3"/>
    <mergeCell ref="G4:J4"/>
  </mergeCells>
  <phoneticPr fontId="66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81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4"/>
  <sheetViews>
    <sheetView view="pageBreakPreview" topLeftCell="A25" zoomScaleNormal="110" zoomScaleSheetLayoutView="100" workbookViewId="0">
      <selection activeCell="D44" sqref="D44:M50"/>
    </sheetView>
  </sheetViews>
  <sheetFormatPr defaultRowHeight="13.5"/>
  <cols>
    <col min="1" max="1" width="5.28515625" style="489" customWidth="1"/>
    <col min="2" max="2" width="12" style="489" customWidth="1"/>
    <col min="3" max="3" width="62" style="489" customWidth="1"/>
    <col min="4" max="13" width="10.7109375" style="489" customWidth="1"/>
    <col min="14" max="247" width="9.140625" style="489"/>
    <col min="248" max="248" width="5.28515625" style="489" customWidth="1"/>
    <col min="249" max="249" width="12" style="489" customWidth="1"/>
    <col min="250" max="250" width="54.5703125" style="489" customWidth="1"/>
    <col min="251" max="260" width="10.7109375" style="489" customWidth="1"/>
    <col min="261" max="261" width="9.85546875" style="489" bestFit="1" customWidth="1"/>
    <col min="262" max="262" width="11.28515625" style="489" customWidth="1"/>
    <col min="263" max="503" width="9.140625" style="489"/>
    <col min="504" max="504" width="5.28515625" style="489" customWidth="1"/>
    <col min="505" max="505" width="12" style="489" customWidth="1"/>
    <col min="506" max="506" width="54.5703125" style="489" customWidth="1"/>
    <col min="507" max="516" width="10.7109375" style="489" customWidth="1"/>
    <col min="517" max="517" width="9.85546875" style="489" bestFit="1" customWidth="1"/>
    <col min="518" max="518" width="11.28515625" style="489" customWidth="1"/>
    <col min="519" max="759" width="9.140625" style="489"/>
    <col min="760" max="760" width="5.28515625" style="489" customWidth="1"/>
    <col min="761" max="761" width="12" style="489" customWidth="1"/>
    <col min="762" max="762" width="54.5703125" style="489" customWidth="1"/>
    <col min="763" max="772" width="10.7109375" style="489" customWidth="1"/>
    <col min="773" max="773" width="9.85546875" style="489" bestFit="1" customWidth="1"/>
    <col min="774" max="774" width="11.28515625" style="489" customWidth="1"/>
    <col min="775" max="1015" width="9.140625" style="489"/>
    <col min="1016" max="1016" width="5.28515625" style="489" customWidth="1"/>
    <col min="1017" max="1017" width="12" style="489" customWidth="1"/>
    <col min="1018" max="1018" width="54.5703125" style="489" customWidth="1"/>
    <col min="1019" max="1028" width="10.7109375" style="489" customWidth="1"/>
    <col min="1029" max="1029" width="9.85546875" style="489" bestFit="1" customWidth="1"/>
    <col min="1030" max="1030" width="11.28515625" style="489" customWidth="1"/>
    <col min="1031" max="1271" width="9.140625" style="489"/>
    <col min="1272" max="1272" width="5.28515625" style="489" customWidth="1"/>
    <col min="1273" max="1273" width="12" style="489" customWidth="1"/>
    <col min="1274" max="1274" width="54.5703125" style="489" customWidth="1"/>
    <col min="1275" max="1284" width="10.7109375" style="489" customWidth="1"/>
    <col min="1285" max="1285" width="9.85546875" style="489" bestFit="1" customWidth="1"/>
    <col min="1286" max="1286" width="11.28515625" style="489" customWidth="1"/>
    <col min="1287" max="1527" width="9.140625" style="489"/>
    <col min="1528" max="1528" width="5.28515625" style="489" customWidth="1"/>
    <col min="1529" max="1529" width="12" style="489" customWidth="1"/>
    <col min="1530" max="1530" width="54.5703125" style="489" customWidth="1"/>
    <col min="1531" max="1540" width="10.7109375" style="489" customWidth="1"/>
    <col min="1541" max="1541" width="9.85546875" style="489" bestFit="1" customWidth="1"/>
    <col min="1542" max="1542" width="11.28515625" style="489" customWidth="1"/>
    <col min="1543" max="1783" width="9.140625" style="489"/>
    <col min="1784" max="1784" width="5.28515625" style="489" customWidth="1"/>
    <col min="1785" max="1785" width="12" style="489" customWidth="1"/>
    <col min="1786" max="1786" width="54.5703125" style="489" customWidth="1"/>
    <col min="1787" max="1796" width="10.7109375" style="489" customWidth="1"/>
    <col min="1797" max="1797" width="9.85546875" style="489" bestFit="1" customWidth="1"/>
    <col min="1798" max="1798" width="11.28515625" style="489" customWidth="1"/>
    <col min="1799" max="2039" width="9.140625" style="489"/>
    <col min="2040" max="2040" width="5.28515625" style="489" customWidth="1"/>
    <col min="2041" max="2041" width="12" style="489" customWidth="1"/>
    <col min="2042" max="2042" width="54.5703125" style="489" customWidth="1"/>
    <col min="2043" max="2052" width="10.7109375" style="489" customWidth="1"/>
    <col min="2053" max="2053" width="9.85546875" style="489" bestFit="1" customWidth="1"/>
    <col min="2054" max="2054" width="11.28515625" style="489" customWidth="1"/>
    <col min="2055" max="2295" width="9.140625" style="489"/>
    <col min="2296" max="2296" width="5.28515625" style="489" customWidth="1"/>
    <col min="2297" max="2297" width="12" style="489" customWidth="1"/>
    <col min="2298" max="2298" width="54.5703125" style="489" customWidth="1"/>
    <col min="2299" max="2308" width="10.7109375" style="489" customWidth="1"/>
    <col min="2309" max="2309" width="9.85546875" style="489" bestFit="1" customWidth="1"/>
    <col min="2310" max="2310" width="11.28515625" style="489" customWidth="1"/>
    <col min="2311" max="2551" width="9.140625" style="489"/>
    <col min="2552" max="2552" width="5.28515625" style="489" customWidth="1"/>
    <col min="2553" max="2553" width="12" style="489" customWidth="1"/>
    <col min="2554" max="2554" width="54.5703125" style="489" customWidth="1"/>
    <col min="2555" max="2564" width="10.7109375" style="489" customWidth="1"/>
    <col min="2565" max="2565" width="9.85546875" style="489" bestFit="1" customWidth="1"/>
    <col min="2566" max="2566" width="11.28515625" style="489" customWidth="1"/>
    <col min="2567" max="2807" width="9.140625" style="489"/>
    <col min="2808" max="2808" width="5.28515625" style="489" customWidth="1"/>
    <col min="2809" max="2809" width="12" style="489" customWidth="1"/>
    <col min="2810" max="2810" width="54.5703125" style="489" customWidth="1"/>
    <col min="2811" max="2820" width="10.7109375" style="489" customWidth="1"/>
    <col min="2821" max="2821" width="9.85546875" style="489" bestFit="1" customWidth="1"/>
    <col min="2822" max="2822" width="11.28515625" style="489" customWidth="1"/>
    <col min="2823" max="3063" width="9.140625" style="489"/>
    <col min="3064" max="3064" width="5.28515625" style="489" customWidth="1"/>
    <col min="3065" max="3065" width="12" style="489" customWidth="1"/>
    <col min="3066" max="3066" width="54.5703125" style="489" customWidth="1"/>
    <col min="3067" max="3076" width="10.7109375" style="489" customWidth="1"/>
    <col min="3077" max="3077" width="9.85546875" style="489" bestFit="1" customWidth="1"/>
    <col min="3078" max="3078" width="11.28515625" style="489" customWidth="1"/>
    <col min="3079" max="3319" width="9.140625" style="489"/>
    <col min="3320" max="3320" width="5.28515625" style="489" customWidth="1"/>
    <col min="3321" max="3321" width="12" style="489" customWidth="1"/>
    <col min="3322" max="3322" width="54.5703125" style="489" customWidth="1"/>
    <col min="3323" max="3332" width="10.7109375" style="489" customWidth="1"/>
    <col min="3333" max="3333" width="9.85546875" style="489" bestFit="1" customWidth="1"/>
    <col min="3334" max="3334" width="11.28515625" style="489" customWidth="1"/>
    <col min="3335" max="3575" width="9.140625" style="489"/>
    <col min="3576" max="3576" width="5.28515625" style="489" customWidth="1"/>
    <col min="3577" max="3577" width="12" style="489" customWidth="1"/>
    <col min="3578" max="3578" width="54.5703125" style="489" customWidth="1"/>
    <col min="3579" max="3588" width="10.7109375" style="489" customWidth="1"/>
    <col min="3589" max="3589" width="9.85546875" style="489" bestFit="1" customWidth="1"/>
    <col min="3590" max="3590" width="11.28515625" style="489" customWidth="1"/>
    <col min="3591" max="3831" width="9.140625" style="489"/>
    <col min="3832" max="3832" width="5.28515625" style="489" customWidth="1"/>
    <col min="3833" max="3833" width="12" style="489" customWidth="1"/>
    <col min="3834" max="3834" width="54.5703125" style="489" customWidth="1"/>
    <col min="3835" max="3844" width="10.7109375" style="489" customWidth="1"/>
    <col min="3845" max="3845" width="9.85546875" style="489" bestFit="1" customWidth="1"/>
    <col min="3846" max="3846" width="11.28515625" style="489" customWidth="1"/>
    <col min="3847" max="4087" width="9.140625" style="489"/>
    <col min="4088" max="4088" width="5.28515625" style="489" customWidth="1"/>
    <col min="4089" max="4089" width="12" style="489" customWidth="1"/>
    <col min="4090" max="4090" width="54.5703125" style="489" customWidth="1"/>
    <col min="4091" max="4100" width="10.7109375" style="489" customWidth="1"/>
    <col min="4101" max="4101" width="9.85546875" style="489" bestFit="1" customWidth="1"/>
    <col min="4102" max="4102" width="11.28515625" style="489" customWidth="1"/>
    <col min="4103" max="4343" width="9.140625" style="489"/>
    <col min="4344" max="4344" width="5.28515625" style="489" customWidth="1"/>
    <col min="4345" max="4345" width="12" style="489" customWidth="1"/>
    <col min="4346" max="4346" width="54.5703125" style="489" customWidth="1"/>
    <col min="4347" max="4356" width="10.7109375" style="489" customWidth="1"/>
    <col min="4357" max="4357" width="9.85546875" style="489" bestFit="1" customWidth="1"/>
    <col min="4358" max="4358" width="11.28515625" style="489" customWidth="1"/>
    <col min="4359" max="4599" width="9.140625" style="489"/>
    <col min="4600" max="4600" width="5.28515625" style="489" customWidth="1"/>
    <col min="4601" max="4601" width="12" style="489" customWidth="1"/>
    <col min="4602" max="4602" width="54.5703125" style="489" customWidth="1"/>
    <col min="4603" max="4612" width="10.7109375" style="489" customWidth="1"/>
    <col min="4613" max="4613" width="9.85546875" style="489" bestFit="1" customWidth="1"/>
    <col min="4614" max="4614" width="11.28515625" style="489" customWidth="1"/>
    <col min="4615" max="4855" width="9.140625" style="489"/>
    <col min="4856" max="4856" width="5.28515625" style="489" customWidth="1"/>
    <col min="4857" max="4857" width="12" style="489" customWidth="1"/>
    <col min="4858" max="4858" width="54.5703125" style="489" customWidth="1"/>
    <col min="4859" max="4868" width="10.7109375" style="489" customWidth="1"/>
    <col min="4869" max="4869" width="9.85546875" style="489" bestFit="1" customWidth="1"/>
    <col min="4870" max="4870" width="11.28515625" style="489" customWidth="1"/>
    <col min="4871" max="5111" width="9.140625" style="489"/>
    <col min="5112" max="5112" width="5.28515625" style="489" customWidth="1"/>
    <col min="5113" max="5113" width="12" style="489" customWidth="1"/>
    <col min="5114" max="5114" width="54.5703125" style="489" customWidth="1"/>
    <col min="5115" max="5124" width="10.7109375" style="489" customWidth="1"/>
    <col min="5125" max="5125" width="9.85546875" style="489" bestFit="1" customWidth="1"/>
    <col min="5126" max="5126" width="11.28515625" style="489" customWidth="1"/>
    <col min="5127" max="5367" width="9.140625" style="489"/>
    <col min="5368" max="5368" width="5.28515625" style="489" customWidth="1"/>
    <col min="5369" max="5369" width="12" style="489" customWidth="1"/>
    <col min="5370" max="5370" width="54.5703125" style="489" customWidth="1"/>
    <col min="5371" max="5380" width="10.7109375" style="489" customWidth="1"/>
    <col min="5381" max="5381" width="9.85546875" style="489" bestFit="1" customWidth="1"/>
    <col min="5382" max="5382" width="11.28515625" style="489" customWidth="1"/>
    <col min="5383" max="5623" width="9.140625" style="489"/>
    <col min="5624" max="5624" width="5.28515625" style="489" customWidth="1"/>
    <col min="5625" max="5625" width="12" style="489" customWidth="1"/>
    <col min="5626" max="5626" width="54.5703125" style="489" customWidth="1"/>
    <col min="5627" max="5636" width="10.7109375" style="489" customWidth="1"/>
    <col min="5637" max="5637" width="9.85546875" style="489" bestFit="1" customWidth="1"/>
    <col min="5638" max="5638" width="11.28515625" style="489" customWidth="1"/>
    <col min="5639" max="5879" width="9.140625" style="489"/>
    <col min="5880" max="5880" width="5.28515625" style="489" customWidth="1"/>
    <col min="5881" max="5881" width="12" style="489" customWidth="1"/>
    <col min="5882" max="5882" width="54.5703125" style="489" customWidth="1"/>
    <col min="5883" max="5892" width="10.7109375" style="489" customWidth="1"/>
    <col min="5893" max="5893" width="9.85546875" style="489" bestFit="1" customWidth="1"/>
    <col min="5894" max="5894" width="11.28515625" style="489" customWidth="1"/>
    <col min="5895" max="6135" width="9.140625" style="489"/>
    <col min="6136" max="6136" width="5.28515625" style="489" customWidth="1"/>
    <col min="6137" max="6137" width="12" style="489" customWidth="1"/>
    <col min="6138" max="6138" width="54.5703125" style="489" customWidth="1"/>
    <col min="6139" max="6148" width="10.7109375" style="489" customWidth="1"/>
    <col min="6149" max="6149" width="9.85546875" style="489" bestFit="1" customWidth="1"/>
    <col min="6150" max="6150" width="11.28515625" style="489" customWidth="1"/>
    <col min="6151" max="6391" width="9.140625" style="489"/>
    <col min="6392" max="6392" width="5.28515625" style="489" customWidth="1"/>
    <col min="6393" max="6393" width="12" style="489" customWidth="1"/>
    <col min="6394" max="6394" width="54.5703125" style="489" customWidth="1"/>
    <col min="6395" max="6404" width="10.7109375" style="489" customWidth="1"/>
    <col min="6405" max="6405" width="9.85546875" style="489" bestFit="1" customWidth="1"/>
    <col min="6406" max="6406" width="11.28515625" style="489" customWidth="1"/>
    <col min="6407" max="6647" width="9.140625" style="489"/>
    <col min="6648" max="6648" width="5.28515625" style="489" customWidth="1"/>
    <col min="6649" max="6649" width="12" style="489" customWidth="1"/>
    <col min="6650" max="6650" width="54.5703125" style="489" customWidth="1"/>
    <col min="6651" max="6660" width="10.7109375" style="489" customWidth="1"/>
    <col min="6661" max="6661" width="9.85546875" style="489" bestFit="1" customWidth="1"/>
    <col min="6662" max="6662" width="11.28515625" style="489" customWidth="1"/>
    <col min="6663" max="6903" width="9.140625" style="489"/>
    <col min="6904" max="6904" width="5.28515625" style="489" customWidth="1"/>
    <col min="6905" max="6905" width="12" style="489" customWidth="1"/>
    <col min="6906" max="6906" width="54.5703125" style="489" customWidth="1"/>
    <col min="6907" max="6916" width="10.7109375" style="489" customWidth="1"/>
    <col min="6917" max="6917" width="9.85546875" style="489" bestFit="1" customWidth="1"/>
    <col min="6918" max="6918" width="11.28515625" style="489" customWidth="1"/>
    <col min="6919" max="7159" width="9.140625" style="489"/>
    <col min="7160" max="7160" width="5.28515625" style="489" customWidth="1"/>
    <col min="7161" max="7161" width="12" style="489" customWidth="1"/>
    <col min="7162" max="7162" width="54.5703125" style="489" customWidth="1"/>
    <col min="7163" max="7172" width="10.7109375" style="489" customWidth="1"/>
    <col min="7173" max="7173" width="9.85546875" style="489" bestFit="1" customWidth="1"/>
    <col min="7174" max="7174" width="11.28515625" style="489" customWidth="1"/>
    <col min="7175" max="7415" width="9.140625" style="489"/>
    <col min="7416" max="7416" width="5.28515625" style="489" customWidth="1"/>
    <col min="7417" max="7417" width="12" style="489" customWidth="1"/>
    <col min="7418" max="7418" width="54.5703125" style="489" customWidth="1"/>
    <col min="7419" max="7428" width="10.7109375" style="489" customWidth="1"/>
    <col min="7429" max="7429" width="9.85546875" style="489" bestFit="1" customWidth="1"/>
    <col min="7430" max="7430" width="11.28515625" style="489" customWidth="1"/>
    <col min="7431" max="7671" width="9.140625" style="489"/>
    <col min="7672" max="7672" width="5.28515625" style="489" customWidth="1"/>
    <col min="7673" max="7673" width="12" style="489" customWidth="1"/>
    <col min="7674" max="7674" width="54.5703125" style="489" customWidth="1"/>
    <col min="7675" max="7684" width="10.7109375" style="489" customWidth="1"/>
    <col min="7685" max="7685" width="9.85546875" style="489" bestFit="1" customWidth="1"/>
    <col min="7686" max="7686" width="11.28515625" style="489" customWidth="1"/>
    <col min="7687" max="7927" width="9.140625" style="489"/>
    <col min="7928" max="7928" width="5.28515625" style="489" customWidth="1"/>
    <col min="7929" max="7929" width="12" style="489" customWidth="1"/>
    <col min="7930" max="7930" width="54.5703125" style="489" customWidth="1"/>
    <col min="7931" max="7940" width="10.7109375" style="489" customWidth="1"/>
    <col min="7941" max="7941" width="9.85546875" style="489" bestFit="1" customWidth="1"/>
    <col min="7942" max="7942" width="11.28515625" style="489" customWidth="1"/>
    <col min="7943" max="8183" width="9.140625" style="489"/>
    <col min="8184" max="8184" width="5.28515625" style="489" customWidth="1"/>
    <col min="8185" max="8185" width="12" style="489" customWidth="1"/>
    <col min="8186" max="8186" width="54.5703125" style="489" customWidth="1"/>
    <col min="8187" max="8196" width="10.7109375" style="489" customWidth="1"/>
    <col min="8197" max="8197" width="9.85546875" style="489" bestFit="1" customWidth="1"/>
    <col min="8198" max="8198" width="11.28515625" style="489" customWidth="1"/>
    <col min="8199" max="8439" width="9.140625" style="489"/>
    <col min="8440" max="8440" width="5.28515625" style="489" customWidth="1"/>
    <col min="8441" max="8441" width="12" style="489" customWidth="1"/>
    <col min="8442" max="8442" width="54.5703125" style="489" customWidth="1"/>
    <col min="8443" max="8452" width="10.7109375" style="489" customWidth="1"/>
    <col min="8453" max="8453" width="9.85546875" style="489" bestFit="1" customWidth="1"/>
    <col min="8454" max="8454" width="11.28515625" style="489" customWidth="1"/>
    <col min="8455" max="8695" width="9.140625" style="489"/>
    <col min="8696" max="8696" width="5.28515625" style="489" customWidth="1"/>
    <col min="8697" max="8697" width="12" style="489" customWidth="1"/>
    <col min="8698" max="8698" width="54.5703125" style="489" customWidth="1"/>
    <col min="8699" max="8708" width="10.7109375" style="489" customWidth="1"/>
    <col min="8709" max="8709" width="9.85546875" style="489" bestFit="1" customWidth="1"/>
    <col min="8710" max="8710" width="11.28515625" style="489" customWidth="1"/>
    <col min="8711" max="8951" width="9.140625" style="489"/>
    <col min="8952" max="8952" width="5.28515625" style="489" customWidth="1"/>
    <col min="8953" max="8953" width="12" style="489" customWidth="1"/>
    <col min="8954" max="8954" width="54.5703125" style="489" customWidth="1"/>
    <col min="8955" max="8964" width="10.7109375" style="489" customWidth="1"/>
    <col min="8965" max="8965" width="9.85546875" style="489" bestFit="1" customWidth="1"/>
    <col min="8966" max="8966" width="11.28515625" style="489" customWidth="1"/>
    <col min="8967" max="9207" width="9.140625" style="489"/>
    <col min="9208" max="9208" width="5.28515625" style="489" customWidth="1"/>
    <col min="9209" max="9209" width="12" style="489" customWidth="1"/>
    <col min="9210" max="9210" width="54.5703125" style="489" customWidth="1"/>
    <col min="9211" max="9220" width="10.7109375" style="489" customWidth="1"/>
    <col min="9221" max="9221" width="9.85546875" style="489" bestFit="1" customWidth="1"/>
    <col min="9222" max="9222" width="11.28515625" style="489" customWidth="1"/>
    <col min="9223" max="9463" width="9.140625" style="489"/>
    <col min="9464" max="9464" width="5.28515625" style="489" customWidth="1"/>
    <col min="9465" max="9465" width="12" style="489" customWidth="1"/>
    <col min="9466" max="9466" width="54.5703125" style="489" customWidth="1"/>
    <col min="9467" max="9476" width="10.7109375" style="489" customWidth="1"/>
    <col min="9477" max="9477" width="9.85546875" style="489" bestFit="1" customWidth="1"/>
    <col min="9478" max="9478" width="11.28515625" style="489" customWidth="1"/>
    <col min="9479" max="9719" width="9.140625" style="489"/>
    <col min="9720" max="9720" width="5.28515625" style="489" customWidth="1"/>
    <col min="9721" max="9721" width="12" style="489" customWidth="1"/>
    <col min="9722" max="9722" width="54.5703125" style="489" customWidth="1"/>
    <col min="9723" max="9732" width="10.7109375" style="489" customWidth="1"/>
    <col min="9733" max="9733" width="9.85546875" style="489" bestFit="1" customWidth="1"/>
    <col min="9734" max="9734" width="11.28515625" style="489" customWidth="1"/>
    <col min="9735" max="9975" width="9.140625" style="489"/>
    <col min="9976" max="9976" width="5.28515625" style="489" customWidth="1"/>
    <col min="9977" max="9977" width="12" style="489" customWidth="1"/>
    <col min="9978" max="9978" width="54.5703125" style="489" customWidth="1"/>
    <col min="9979" max="9988" width="10.7109375" style="489" customWidth="1"/>
    <col min="9989" max="9989" width="9.85546875" style="489" bestFit="1" customWidth="1"/>
    <col min="9990" max="9990" width="11.28515625" style="489" customWidth="1"/>
    <col min="9991" max="10231" width="9.140625" style="489"/>
    <col min="10232" max="10232" width="5.28515625" style="489" customWidth="1"/>
    <col min="10233" max="10233" width="12" style="489" customWidth="1"/>
    <col min="10234" max="10234" width="54.5703125" style="489" customWidth="1"/>
    <col min="10235" max="10244" width="10.7109375" style="489" customWidth="1"/>
    <col min="10245" max="10245" width="9.85546875" style="489" bestFit="1" customWidth="1"/>
    <col min="10246" max="10246" width="11.28515625" style="489" customWidth="1"/>
    <col min="10247" max="10487" width="9.140625" style="489"/>
    <col min="10488" max="10488" width="5.28515625" style="489" customWidth="1"/>
    <col min="10489" max="10489" width="12" style="489" customWidth="1"/>
    <col min="10490" max="10490" width="54.5703125" style="489" customWidth="1"/>
    <col min="10491" max="10500" width="10.7109375" style="489" customWidth="1"/>
    <col min="10501" max="10501" width="9.85546875" style="489" bestFit="1" customWidth="1"/>
    <col min="10502" max="10502" width="11.28515625" style="489" customWidth="1"/>
    <col min="10503" max="10743" width="9.140625" style="489"/>
    <col min="10744" max="10744" width="5.28515625" style="489" customWidth="1"/>
    <col min="10745" max="10745" width="12" style="489" customWidth="1"/>
    <col min="10746" max="10746" width="54.5703125" style="489" customWidth="1"/>
    <col min="10747" max="10756" width="10.7109375" style="489" customWidth="1"/>
    <col min="10757" max="10757" width="9.85546875" style="489" bestFit="1" customWidth="1"/>
    <col min="10758" max="10758" width="11.28515625" style="489" customWidth="1"/>
    <col min="10759" max="10999" width="9.140625" style="489"/>
    <col min="11000" max="11000" width="5.28515625" style="489" customWidth="1"/>
    <col min="11001" max="11001" width="12" style="489" customWidth="1"/>
    <col min="11002" max="11002" width="54.5703125" style="489" customWidth="1"/>
    <col min="11003" max="11012" width="10.7109375" style="489" customWidth="1"/>
    <col min="11013" max="11013" width="9.85546875" style="489" bestFit="1" customWidth="1"/>
    <col min="11014" max="11014" width="11.28515625" style="489" customWidth="1"/>
    <col min="11015" max="11255" width="9.140625" style="489"/>
    <col min="11256" max="11256" width="5.28515625" style="489" customWidth="1"/>
    <col min="11257" max="11257" width="12" style="489" customWidth="1"/>
    <col min="11258" max="11258" width="54.5703125" style="489" customWidth="1"/>
    <col min="11259" max="11268" width="10.7109375" style="489" customWidth="1"/>
    <col min="11269" max="11269" width="9.85546875" style="489" bestFit="1" customWidth="1"/>
    <col min="11270" max="11270" width="11.28515625" style="489" customWidth="1"/>
    <col min="11271" max="11511" width="9.140625" style="489"/>
    <col min="11512" max="11512" width="5.28515625" style="489" customWidth="1"/>
    <col min="11513" max="11513" width="12" style="489" customWidth="1"/>
    <col min="11514" max="11514" width="54.5703125" style="489" customWidth="1"/>
    <col min="11515" max="11524" width="10.7109375" style="489" customWidth="1"/>
    <col min="11525" max="11525" width="9.85546875" style="489" bestFit="1" customWidth="1"/>
    <col min="11526" max="11526" width="11.28515625" style="489" customWidth="1"/>
    <col min="11527" max="11767" width="9.140625" style="489"/>
    <col min="11768" max="11768" width="5.28515625" style="489" customWidth="1"/>
    <col min="11769" max="11769" width="12" style="489" customWidth="1"/>
    <col min="11770" max="11770" width="54.5703125" style="489" customWidth="1"/>
    <col min="11771" max="11780" width="10.7109375" style="489" customWidth="1"/>
    <col min="11781" max="11781" width="9.85546875" style="489" bestFit="1" customWidth="1"/>
    <col min="11782" max="11782" width="11.28515625" style="489" customWidth="1"/>
    <col min="11783" max="12023" width="9.140625" style="489"/>
    <col min="12024" max="12024" width="5.28515625" style="489" customWidth="1"/>
    <col min="12025" max="12025" width="12" style="489" customWidth="1"/>
    <col min="12026" max="12026" width="54.5703125" style="489" customWidth="1"/>
    <col min="12027" max="12036" width="10.7109375" style="489" customWidth="1"/>
    <col min="12037" max="12037" width="9.85546875" style="489" bestFit="1" customWidth="1"/>
    <col min="12038" max="12038" width="11.28515625" style="489" customWidth="1"/>
    <col min="12039" max="12279" width="9.140625" style="489"/>
    <col min="12280" max="12280" width="5.28515625" style="489" customWidth="1"/>
    <col min="12281" max="12281" width="12" style="489" customWidth="1"/>
    <col min="12282" max="12282" width="54.5703125" style="489" customWidth="1"/>
    <col min="12283" max="12292" width="10.7109375" style="489" customWidth="1"/>
    <col min="12293" max="12293" width="9.85546875" style="489" bestFit="1" customWidth="1"/>
    <col min="12294" max="12294" width="11.28515625" style="489" customWidth="1"/>
    <col min="12295" max="12535" width="9.140625" style="489"/>
    <col min="12536" max="12536" width="5.28515625" style="489" customWidth="1"/>
    <col min="12537" max="12537" width="12" style="489" customWidth="1"/>
    <col min="12538" max="12538" width="54.5703125" style="489" customWidth="1"/>
    <col min="12539" max="12548" width="10.7109375" style="489" customWidth="1"/>
    <col min="12549" max="12549" width="9.85546875" style="489" bestFit="1" customWidth="1"/>
    <col min="12550" max="12550" width="11.28515625" style="489" customWidth="1"/>
    <col min="12551" max="12791" width="9.140625" style="489"/>
    <col min="12792" max="12792" width="5.28515625" style="489" customWidth="1"/>
    <col min="12793" max="12793" width="12" style="489" customWidth="1"/>
    <col min="12794" max="12794" width="54.5703125" style="489" customWidth="1"/>
    <col min="12795" max="12804" width="10.7109375" style="489" customWidth="1"/>
    <col min="12805" max="12805" width="9.85546875" style="489" bestFit="1" customWidth="1"/>
    <col min="12806" max="12806" width="11.28515625" style="489" customWidth="1"/>
    <col min="12807" max="13047" width="9.140625" style="489"/>
    <col min="13048" max="13048" width="5.28515625" style="489" customWidth="1"/>
    <col min="13049" max="13049" width="12" style="489" customWidth="1"/>
    <col min="13050" max="13050" width="54.5703125" style="489" customWidth="1"/>
    <col min="13051" max="13060" width="10.7109375" style="489" customWidth="1"/>
    <col min="13061" max="13061" width="9.85546875" style="489" bestFit="1" customWidth="1"/>
    <col min="13062" max="13062" width="11.28515625" style="489" customWidth="1"/>
    <col min="13063" max="13303" width="9.140625" style="489"/>
    <col min="13304" max="13304" width="5.28515625" style="489" customWidth="1"/>
    <col min="13305" max="13305" width="12" style="489" customWidth="1"/>
    <col min="13306" max="13306" width="54.5703125" style="489" customWidth="1"/>
    <col min="13307" max="13316" width="10.7109375" style="489" customWidth="1"/>
    <col min="13317" max="13317" width="9.85546875" style="489" bestFit="1" customWidth="1"/>
    <col min="13318" max="13318" width="11.28515625" style="489" customWidth="1"/>
    <col min="13319" max="13559" width="9.140625" style="489"/>
    <col min="13560" max="13560" width="5.28515625" style="489" customWidth="1"/>
    <col min="13561" max="13561" width="12" style="489" customWidth="1"/>
    <col min="13562" max="13562" width="54.5703125" style="489" customWidth="1"/>
    <col min="13563" max="13572" width="10.7109375" style="489" customWidth="1"/>
    <col min="13573" max="13573" width="9.85546875" style="489" bestFit="1" customWidth="1"/>
    <col min="13574" max="13574" width="11.28515625" style="489" customWidth="1"/>
    <col min="13575" max="13815" width="9.140625" style="489"/>
    <col min="13816" max="13816" width="5.28515625" style="489" customWidth="1"/>
    <col min="13817" max="13817" width="12" style="489" customWidth="1"/>
    <col min="13818" max="13818" width="54.5703125" style="489" customWidth="1"/>
    <col min="13819" max="13828" width="10.7109375" style="489" customWidth="1"/>
    <col min="13829" max="13829" width="9.85546875" style="489" bestFit="1" customWidth="1"/>
    <col min="13830" max="13830" width="11.28515625" style="489" customWidth="1"/>
    <col min="13831" max="14071" width="9.140625" style="489"/>
    <col min="14072" max="14072" width="5.28515625" style="489" customWidth="1"/>
    <col min="14073" max="14073" width="12" style="489" customWidth="1"/>
    <col min="14074" max="14074" width="54.5703125" style="489" customWidth="1"/>
    <col min="14075" max="14084" width="10.7109375" style="489" customWidth="1"/>
    <col min="14085" max="14085" width="9.85546875" style="489" bestFit="1" customWidth="1"/>
    <col min="14086" max="14086" width="11.28515625" style="489" customWidth="1"/>
    <col min="14087" max="14327" width="9.140625" style="489"/>
    <col min="14328" max="14328" width="5.28515625" style="489" customWidth="1"/>
    <col min="14329" max="14329" width="12" style="489" customWidth="1"/>
    <col min="14330" max="14330" width="54.5703125" style="489" customWidth="1"/>
    <col min="14331" max="14340" width="10.7109375" style="489" customWidth="1"/>
    <col min="14341" max="14341" width="9.85546875" style="489" bestFit="1" customWidth="1"/>
    <col min="14342" max="14342" width="11.28515625" style="489" customWidth="1"/>
    <col min="14343" max="14583" width="9.140625" style="489"/>
    <col min="14584" max="14584" width="5.28515625" style="489" customWidth="1"/>
    <col min="14585" max="14585" width="12" style="489" customWidth="1"/>
    <col min="14586" max="14586" width="54.5703125" style="489" customWidth="1"/>
    <col min="14587" max="14596" width="10.7109375" style="489" customWidth="1"/>
    <col min="14597" max="14597" width="9.85546875" style="489" bestFit="1" customWidth="1"/>
    <col min="14598" max="14598" width="11.28515625" style="489" customWidth="1"/>
    <col min="14599" max="14839" width="9.140625" style="489"/>
    <col min="14840" max="14840" width="5.28515625" style="489" customWidth="1"/>
    <col min="14841" max="14841" width="12" style="489" customWidth="1"/>
    <col min="14842" max="14842" width="54.5703125" style="489" customWidth="1"/>
    <col min="14843" max="14852" width="10.7109375" style="489" customWidth="1"/>
    <col min="14853" max="14853" width="9.85546875" style="489" bestFit="1" customWidth="1"/>
    <col min="14854" max="14854" width="11.28515625" style="489" customWidth="1"/>
    <col min="14855" max="15095" width="9.140625" style="489"/>
    <col min="15096" max="15096" width="5.28515625" style="489" customWidth="1"/>
    <col min="15097" max="15097" width="12" style="489" customWidth="1"/>
    <col min="15098" max="15098" width="54.5703125" style="489" customWidth="1"/>
    <col min="15099" max="15108" width="10.7109375" style="489" customWidth="1"/>
    <col min="15109" max="15109" width="9.85546875" style="489" bestFit="1" customWidth="1"/>
    <col min="15110" max="15110" width="11.28515625" style="489" customWidth="1"/>
    <col min="15111" max="15351" width="9.140625" style="489"/>
    <col min="15352" max="15352" width="5.28515625" style="489" customWidth="1"/>
    <col min="15353" max="15353" width="12" style="489" customWidth="1"/>
    <col min="15354" max="15354" width="54.5703125" style="489" customWidth="1"/>
    <col min="15355" max="15364" width="10.7109375" style="489" customWidth="1"/>
    <col min="15365" max="15365" width="9.85546875" style="489" bestFit="1" customWidth="1"/>
    <col min="15366" max="15366" width="11.28515625" style="489" customWidth="1"/>
    <col min="15367" max="15607" width="9.140625" style="489"/>
    <col min="15608" max="15608" width="5.28515625" style="489" customWidth="1"/>
    <col min="15609" max="15609" width="12" style="489" customWidth="1"/>
    <col min="15610" max="15610" width="54.5703125" style="489" customWidth="1"/>
    <col min="15611" max="15620" width="10.7109375" style="489" customWidth="1"/>
    <col min="15621" max="15621" width="9.85546875" style="489" bestFit="1" customWidth="1"/>
    <col min="15622" max="15622" width="11.28515625" style="489" customWidth="1"/>
    <col min="15623" max="15863" width="9.140625" style="489"/>
    <col min="15864" max="15864" width="5.28515625" style="489" customWidth="1"/>
    <col min="15865" max="15865" width="12" style="489" customWidth="1"/>
    <col min="15866" max="15866" width="54.5703125" style="489" customWidth="1"/>
    <col min="15867" max="15876" width="10.7109375" style="489" customWidth="1"/>
    <col min="15877" max="15877" width="9.85546875" style="489" bestFit="1" customWidth="1"/>
    <col min="15878" max="15878" width="11.28515625" style="489" customWidth="1"/>
    <col min="15879" max="16119" width="9.140625" style="489"/>
    <col min="16120" max="16120" width="5.28515625" style="489" customWidth="1"/>
    <col min="16121" max="16121" width="12" style="489" customWidth="1"/>
    <col min="16122" max="16122" width="54.5703125" style="489" customWidth="1"/>
    <col min="16123" max="16132" width="10.7109375" style="489" customWidth="1"/>
    <col min="16133" max="16133" width="9.85546875" style="489" bestFit="1" customWidth="1"/>
    <col min="16134" max="16134" width="11.28515625" style="489" customWidth="1"/>
    <col min="16135" max="16384" width="9.140625" style="489"/>
  </cols>
  <sheetData>
    <row r="1" spans="1:13" ht="18">
      <c r="A1" s="1083" t="e">
        <f>B!B1</f>
        <v>#REF!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</row>
    <row r="2" spans="1:13" ht="18">
      <c r="A2" s="1084" t="s">
        <v>7</v>
      </c>
      <c r="B2" s="1084"/>
      <c r="C2" s="1084"/>
      <c r="D2" s="1084"/>
      <c r="E2" s="1084"/>
      <c r="F2" s="1084"/>
      <c r="G2" s="421" t="str">
        <f>'B-1.2'!B11</f>
        <v>B-1.2.2</v>
      </c>
      <c r="H2" s="421"/>
      <c r="I2" s="421"/>
      <c r="J2" s="421"/>
      <c r="K2" s="421"/>
      <c r="L2" s="421"/>
      <c r="M2" s="421"/>
    </row>
    <row r="3" spans="1:13" ht="18">
      <c r="A3" s="1094" t="str">
        <f>'B-1.2'!C11</f>
        <v>სადრენაჟე სათავე კვანძის სამშენებლო სამუშაოები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3" ht="15">
      <c r="A4" s="1086"/>
      <c r="B4" s="1086"/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</row>
    <row r="5" spans="1:13" ht="29.25" customHeight="1">
      <c r="A5" s="422"/>
      <c r="B5" s="1087" t="e">
        <f>'B-1.1.3'!B5:G5</f>
        <v>#REF!</v>
      </c>
      <c r="C5" s="1087"/>
      <c r="D5" s="1087"/>
      <c r="E5" s="1087"/>
      <c r="F5" s="1087"/>
      <c r="G5" s="1087"/>
      <c r="H5" s="422"/>
      <c r="I5" s="422"/>
      <c r="J5" s="422"/>
      <c r="K5" s="422"/>
      <c r="L5" s="422"/>
      <c r="M5" s="422"/>
    </row>
    <row r="6" spans="1:13" ht="15">
      <c r="A6" s="422"/>
      <c r="B6" s="490"/>
      <c r="C6" s="490"/>
      <c r="D6" s="490"/>
      <c r="E6" s="490"/>
      <c r="F6" s="490"/>
      <c r="G6" s="490"/>
      <c r="H6" s="422"/>
      <c r="I6" s="422"/>
      <c r="J6" s="422"/>
      <c r="K6" s="422"/>
      <c r="L6" s="422"/>
      <c r="M6" s="422"/>
    </row>
    <row r="7" spans="1:13">
      <c r="A7" s="1095" t="s">
        <v>147</v>
      </c>
      <c r="B7" s="1096" t="s">
        <v>20</v>
      </c>
      <c r="C7" s="1092" t="s">
        <v>149</v>
      </c>
      <c r="D7" s="1092" t="s">
        <v>150</v>
      </c>
      <c r="E7" s="1092" t="s">
        <v>151</v>
      </c>
      <c r="F7" s="1092" t="s">
        <v>152</v>
      </c>
      <c r="G7" s="1093" t="s">
        <v>153</v>
      </c>
      <c r="H7" s="1093"/>
      <c r="I7" s="1093" t="s">
        <v>154</v>
      </c>
      <c r="J7" s="1093"/>
      <c r="K7" s="1092" t="s">
        <v>155</v>
      </c>
      <c r="L7" s="1092"/>
      <c r="M7" s="492" t="s">
        <v>156</v>
      </c>
    </row>
    <row r="8" spans="1:13">
      <c r="A8" s="1095"/>
      <c r="B8" s="1096"/>
      <c r="C8" s="1092"/>
      <c r="D8" s="1092"/>
      <c r="E8" s="1092"/>
      <c r="F8" s="1092"/>
      <c r="G8" s="492" t="s">
        <v>157</v>
      </c>
      <c r="H8" s="493" t="s">
        <v>158</v>
      </c>
      <c r="I8" s="492" t="s">
        <v>157</v>
      </c>
      <c r="J8" s="493" t="s">
        <v>158</v>
      </c>
      <c r="K8" s="492" t="s">
        <v>157</v>
      </c>
      <c r="L8" s="493" t="s">
        <v>159</v>
      </c>
      <c r="M8" s="492" t="s">
        <v>160</v>
      </c>
    </row>
    <row r="9" spans="1:13">
      <c r="A9" s="382">
        <v>1</v>
      </c>
      <c r="B9" s="382"/>
      <c r="C9" s="382">
        <v>2</v>
      </c>
      <c r="D9" s="382">
        <v>4</v>
      </c>
      <c r="E9" s="382">
        <v>5</v>
      </c>
      <c r="F9" s="382">
        <v>6</v>
      </c>
      <c r="G9" s="494">
        <v>7</v>
      </c>
      <c r="H9" s="495">
        <v>8</v>
      </c>
      <c r="I9" s="494">
        <v>9</v>
      </c>
      <c r="J9" s="495">
        <v>10</v>
      </c>
      <c r="K9" s="494">
        <v>11</v>
      </c>
      <c r="L9" s="495">
        <v>12</v>
      </c>
      <c r="M9" s="494">
        <v>13</v>
      </c>
    </row>
    <row r="10" spans="1:13" s="500" customFormat="1">
      <c r="A10" s="496"/>
      <c r="B10" s="496"/>
      <c r="C10" s="497" t="s">
        <v>755</v>
      </c>
      <c r="D10" s="496"/>
      <c r="E10" s="496"/>
      <c r="F10" s="496"/>
      <c r="G10" s="498"/>
      <c r="H10" s="499"/>
      <c r="I10" s="498"/>
      <c r="J10" s="499"/>
      <c r="K10" s="498"/>
      <c r="L10" s="499"/>
      <c r="M10" s="498"/>
    </row>
    <row r="11" spans="1:13" s="512" customFormat="1" ht="27">
      <c r="A11" s="509">
        <v>1</v>
      </c>
      <c r="B11" s="539" t="s">
        <v>765</v>
      </c>
      <c r="C11" s="510" t="s">
        <v>766</v>
      </c>
      <c r="D11" s="509" t="s">
        <v>15</v>
      </c>
      <c r="E11" s="509"/>
      <c r="F11" s="509">
        <f>50*2*0.1</f>
        <v>10</v>
      </c>
      <c r="G11" s="492"/>
      <c r="H11" s="540"/>
      <c r="I11" s="492"/>
      <c r="J11" s="540"/>
      <c r="K11" s="492"/>
      <c r="L11" s="540"/>
      <c r="M11" s="493"/>
    </row>
    <row r="12" spans="1:13" s="512" customFormat="1">
      <c r="A12" s="417"/>
      <c r="B12" s="417"/>
      <c r="C12" s="541" t="s">
        <v>265</v>
      </c>
      <c r="D12" s="382" t="s">
        <v>13</v>
      </c>
      <c r="E12" s="382">
        <f>17.8/10</f>
        <v>1.78</v>
      </c>
      <c r="F12" s="386">
        <f>F11*E12</f>
        <v>17.8</v>
      </c>
      <c r="G12" s="382"/>
      <c r="H12" s="386"/>
      <c r="I12" s="382"/>
      <c r="J12" s="386"/>
      <c r="K12" s="382"/>
      <c r="L12" s="386"/>
      <c r="M12" s="386"/>
    </row>
    <row r="13" spans="1:13" s="512" customFormat="1">
      <c r="A13" s="417"/>
      <c r="B13" s="417" t="s">
        <v>803</v>
      </c>
      <c r="C13" s="541" t="s">
        <v>767</v>
      </c>
      <c r="D13" s="494" t="s">
        <v>373</v>
      </c>
      <c r="E13" s="382">
        <f>11/10</f>
        <v>1.1000000000000001</v>
      </c>
      <c r="F13" s="386">
        <f>F11*E13</f>
        <v>11</v>
      </c>
      <c r="G13" s="382"/>
      <c r="H13" s="386"/>
      <c r="I13" s="382"/>
      <c r="J13" s="386"/>
      <c r="K13" s="382"/>
      <c r="L13" s="386"/>
      <c r="M13" s="386"/>
    </row>
    <row r="14" spans="1:13" s="512" customFormat="1" ht="27">
      <c r="A14" s="509">
        <v>2</v>
      </c>
      <c r="B14" s="509" t="s">
        <v>768</v>
      </c>
      <c r="C14" s="528" t="s">
        <v>837</v>
      </c>
      <c r="D14" s="509" t="s">
        <v>169</v>
      </c>
      <c r="E14" s="509"/>
      <c r="F14" s="542">
        <f>0.6*3.14*50</f>
        <v>94.199999999999989</v>
      </c>
      <c r="G14" s="543"/>
      <c r="H14" s="543"/>
      <c r="I14" s="492"/>
      <c r="J14" s="540"/>
      <c r="K14" s="492"/>
      <c r="L14" s="540"/>
      <c r="M14" s="526"/>
    </row>
    <row r="15" spans="1:13" s="512" customFormat="1">
      <c r="A15" s="509"/>
      <c r="B15" s="509"/>
      <c r="C15" s="541" t="s">
        <v>96</v>
      </c>
      <c r="D15" s="494" t="s">
        <v>13</v>
      </c>
      <c r="E15" s="382">
        <f>21.1/100</f>
        <v>0.21100000000000002</v>
      </c>
      <c r="F15" s="386">
        <f>E15*F14</f>
        <v>19.876200000000001</v>
      </c>
      <c r="G15" s="382"/>
      <c r="H15" s="386"/>
      <c r="I15" s="382"/>
      <c r="J15" s="386"/>
      <c r="K15" s="382"/>
      <c r="L15" s="382"/>
      <c r="M15" s="386"/>
    </row>
    <row r="16" spans="1:13" s="512" customFormat="1">
      <c r="A16" s="509"/>
      <c r="B16" s="509"/>
      <c r="C16" s="541" t="s">
        <v>97</v>
      </c>
      <c r="D16" s="494" t="s">
        <v>16</v>
      </c>
      <c r="E16" s="382">
        <f>0.05/100</f>
        <v>5.0000000000000001E-4</v>
      </c>
      <c r="F16" s="386">
        <f>E16*F14</f>
        <v>4.7099999999999996E-2</v>
      </c>
      <c r="G16" s="382"/>
      <c r="H16" s="382"/>
      <c r="I16" s="382"/>
      <c r="J16" s="382"/>
      <c r="K16" s="382"/>
      <c r="L16" s="386"/>
      <c r="M16" s="386"/>
    </row>
    <row r="17" spans="1:13" s="547" customFormat="1">
      <c r="A17" s="509"/>
      <c r="B17" s="509" t="s">
        <v>804</v>
      </c>
      <c r="C17" s="541" t="s">
        <v>769</v>
      </c>
      <c r="D17" s="382" t="s">
        <v>110</v>
      </c>
      <c r="E17" s="544">
        <f>31.5/100</f>
        <v>0.315</v>
      </c>
      <c r="F17" s="388">
        <f>E17*F14</f>
        <v>29.672999999999998</v>
      </c>
      <c r="G17" s="400"/>
      <c r="H17" s="389"/>
      <c r="I17" s="545"/>
      <c r="J17" s="546"/>
      <c r="K17" s="400"/>
      <c r="L17" s="400"/>
      <c r="M17" s="386"/>
    </row>
    <row r="18" spans="1:13" s="548" customFormat="1">
      <c r="A18" s="509"/>
      <c r="B18" s="509" t="s">
        <v>805</v>
      </c>
      <c r="C18" s="541" t="s">
        <v>770</v>
      </c>
      <c r="D18" s="382" t="s">
        <v>169</v>
      </c>
      <c r="E18" s="494">
        <v>1.03</v>
      </c>
      <c r="F18" s="386">
        <f>E18*F14</f>
        <v>97.025999999999996</v>
      </c>
      <c r="G18" s="400"/>
      <c r="H18" s="389"/>
      <c r="I18" s="545"/>
      <c r="J18" s="546"/>
      <c r="K18" s="400"/>
      <c r="L18" s="400"/>
      <c r="M18" s="386"/>
    </row>
    <row r="19" spans="1:13" s="512" customFormat="1">
      <c r="A19" s="509"/>
      <c r="B19" s="549"/>
      <c r="C19" s="550" t="s">
        <v>89</v>
      </c>
      <c r="D19" s="551" t="s">
        <v>16</v>
      </c>
      <c r="E19" s="551">
        <f>0.47/100</f>
        <v>4.6999999999999993E-3</v>
      </c>
      <c r="F19" s="552">
        <f>E19*F14</f>
        <v>0.44273999999999986</v>
      </c>
      <c r="G19" s="551"/>
      <c r="H19" s="552"/>
      <c r="I19" s="551"/>
      <c r="J19" s="552"/>
      <c r="K19" s="551"/>
      <c r="L19" s="552"/>
      <c r="M19" s="553"/>
    </row>
    <row r="20" spans="1:13" s="512" customFormat="1" ht="27">
      <c r="A20" s="509">
        <v>3</v>
      </c>
      <c r="B20" s="554" t="s">
        <v>771</v>
      </c>
      <c r="C20" s="510" t="s">
        <v>834</v>
      </c>
      <c r="D20" s="509" t="s">
        <v>772</v>
      </c>
      <c r="E20" s="555"/>
      <c r="F20" s="556">
        <v>50</v>
      </c>
      <c r="G20" s="492"/>
      <c r="H20" s="540"/>
      <c r="I20" s="492"/>
      <c r="J20" s="493"/>
      <c r="K20" s="492"/>
      <c r="L20" s="540"/>
      <c r="M20" s="526"/>
    </row>
    <row r="21" spans="1:13" s="512" customFormat="1">
      <c r="A21" s="417"/>
      <c r="B21" s="417"/>
      <c r="C21" s="541" t="s">
        <v>96</v>
      </c>
      <c r="D21" s="494" t="s">
        <v>13</v>
      </c>
      <c r="E21" s="557">
        <f>323/1000</f>
        <v>0.32300000000000001</v>
      </c>
      <c r="F21" s="511">
        <f>F20*E21</f>
        <v>16.150000000000002</v>
      </c>
      <c r="G21" s="382"/>
      <c r="H21" s="386"/>
      <c r="I21" s="382"/>
      <c r="J21" s="386"/>
      <c r="K21" s="382"/>
      <c r="L21" s="382"/>
      <c r="M21" s="386"/>
    </row>
    <row r="22" spans="1:13" s="548" customFormat="1">
      <c r="A22" s="558"/>
      <c r="B22" s="558"/>
      <c r="C22" s="541" t="s">
        <v>97</v>
      </c>
      <c r="D22" s="494" t="s">
        <v>16</v>
      </c>
      <c r="E22" s="382">
        <f>140/1000</f>
        <v>0.14000000000000001</v>
      </c>
      <c r="F22" s="386">
        <f>E22*F20</f>
        <v>7.0000000000000009</v>
      </c>
      <c r="G22" s="382"/>
      <c r="H22" s="382"/>
      <c r="I22" s="382"/>
      <c r="J22" s="382"/>
      <c r="K22" s="382"/>
      <c r="L22" s="386"/>
      <c r="M22" s="386"/>
    </row>
    <row r="23" spans="1:13" ht="27">
      <c r="A23" s="382"/>
      <c r="B23" s="382" t="s">
        <v>836</v>
      </c>
      <c r="C23" s="383" t="s">
        <v>835</v>
      </c>
      <c r="D23" s="382" t="s">
        <v>91</v>
      </c>
      <c r="E23" s="494">
        <f>1010/1000</f>
        <v>1.01</v>
      </c>
      <c r="F23" s="511">
        <f>E23*F20</f>
        <v>50.5</v>
      </c>
      <c r="G23" s="400"/>
      <c r="H23" s="389"/>
      <c r="I23" s="545"/>
      <c r="J23" s="546"/>
      <c r="K23" s="400"/>
      <c r="L23" s="400"/>
      <c r="M23" s="386"/>
    </row>
    <row r="24" spans="1:13">
      <c r="A24" s="417"/>
      <c r="B24" s="559"/>
      <c r="C24" s="550" t="s">
        <v>89</v>
      </c>
      <c r="D24" s="494" t="s">
        <v>16</v>
      </c>
      <c r="E24" s="544">
        <f>14.2/1000</f>
        <v>1.4199999999999999E-2</v>
      </c>
      <c r="F24" s="511">
        <f>E24*F20</f>
        <v>0.71</v>
      </c>
      <c r="G24" s="400"/>
      <c r="H24" s="389"/>
      <c r="I24" s="545"/>
      <c r="J24" s="546"/>
      <c r="K24" s="400"/>
      <c r="L24" s="400"/>
      <c r="M24" s="386"/>
    </row>
    <row r="25" spans="1:13">
      <c r="A25" s="509">
        <v>4</v>
      </c>
      <c r="B25" s="554" t="s">
        <v>552</v>
      </c>
      <c r="C25" s="510" t="s">
        <v>773</v>
      </c>
      <c r="D25" s="509" t="s">
        <v>15</v>
      </c>
      <c r="E25" s="509"/>
      <c r="F25" s="509">
        <f>F28+F29+F30+F31</f>
        <v>133</v>
      </c>
      <c r="G25" s="492"/>
      <c r="H25" s="540"/>
      <c r="I25" s="492"/>
      <c r="J25" s="540"/>
      <c r="K25" s="492"/>
      <c r="L25" s="540"/>
      <c r="M25" s="560"/>
    </row>
    <row r="26" spans="1:13">
      <c r="A26" s="416"/>
      <c r="B26" s="416"/>
      <c r="C26" s="541" t="s">
        <v>265</v>
      </c>
      <c r="D26" s="382" t="s">
        <v>13</v>
      </c>
      <c r="E26" s="382">
        <f>1.71</f>
        <v>1.71</v>
      </c>
      <c r="F26" s="386">
        <f>E26*F25</f>
        <v>227.43</v>
      </c>
      <c r="G26" s="382"/>
      <c r="H26" s="386"/>
      <c r="I26" s="382"/>
      <c r="J26" s="386"/>
      <c r="K26" s="382"/>
      <c r="L26" s="386"/>
      <c r="M26" s="386"/>
    </row>
    <row r="27" spans="1:13">
      <c r="A27" s="416"/>
      <c r="B27" s="416"/>
      <c r="C27" s="383" t="s">
        <v>97</v>
      </c>
      <c r="D27" s="382" t="s">
        <v>16</v>
      </c>
      <c r="E27" s="382">
        <f>0.531</f>
        <v>0.53100000000000003</v>
      </c>
      <c r="F27" s="386">
        <f>E27*F25</f>
        <v>70.623000000000005</v>
      </c>
      <c r="G27" s="382"/>
      <c r="H27" s="386"/>
      <c r="I27" s="382"/>
      <c r="J27" s="386"/>
      <c r="K27" s="382"/>
      <c r="L27" s="386"/>
      <c r="M27" s="386"/>
    </row>
    <row r="28" spans="1:13">
      <c r="A28" s="416"/>
      <c r="B28" s="417" t="s">
        <v>806</v>
      </c>
      <c r="C28" s="383" t="s">
        <v>774</v>
      </c>
      <c r="D28" s="382" t="s">
        <v>15</v>
      </c>
      <c r="E28" s="382"/>
      <c r="F28" s="509">
        <v>25</v>
      </c>
      <c r="G28" s="382"/>
      <c r="H28" s="386"/>
      <c r="I28" s="382"/>
      <c r="J28" s="386"/>
      <c r="K28" s="382"/>
      <c r="L28" s="386"/>
      <c r="M28" s="386"/>
    </row>
    <row r="29" spans="1:13">
      <c r="A29" s="561"/>
      <c r="B29" s="417" t="s">
        <v>807</v>
      </c>
      <c r="C29" s="383" t="s">
        <v>775</v>
      </c>
      <c r="D29" s="382" t="s">
        <v>15</v>
      </c>
      <c r="E29" s="382"/>
      <c r="F29" s="509">
        <v>28</v>
      </c>
      <c r="G29" s="382"/>
      <c r="H29" s="386"/>
      <c r="I29" s="551"/>
      <c r="J29" s="552"/>
      <c r="K29" s="551"/>
      <c r="L29" s="552"/>
      <c r="M29" s="386"/>
    </row>
    <row r="30" spans="1:13" s="547" customFormat="1">
      <c r="A30" s="561"/>
      <c r="B30" s="417" t="s">
        <v>803</v>
      </c>
      <c r="C30" s="383" t="s">
        <v>776</v>
      </c>
      <c r="D30" s="382" t="s">
        <v>15</v>
      </c>
      <c r="E30" s="382"/>
      <c r="F30" s="509">
        <v>35</v>
      </c>
      <c r="G30" s="382"/>
      <c r="H30" s="386"/>
      <c r="I30" s="551"/>
      <c r="J30" s="552"/>
      <c r="K30" s="551"/>
      <c r="L30" s="552"/>
      <c r="M30" s="386"/>
    </row>
    <row r="31" spans="1:13" s="512" customFormat="1">
      <c r="A31" s="561"/>
      <c r="B31" s="417" t="s">
        <v>808</v>
      </c>
      <c r="C31" s="383" t="s">
        <v>777</v>
      </c>
      <c r="D31" s="382" t="s">
        <v>15</v>
      </c>
      <c r="E31" s="382"/>
      <c r="F31" s="509">
        <v>45</v>
      </c>
      <c r="G31" s="382"/>
      <c r="H31" s="386"/>
      <c r="I31" s="551"/>
      <c r="J31" s="552"/>
      <c r="K31" s="551"/>
      <c r="L31" s="552"/>
      <c r="M31" s="386"/>
    </row>
    <row r="32" spans="1:13" s="512" customFormat="1">
      <c r="A32" s="561"/>
      <c r="B32" s="562"/>
      <c r="C32" s="550" t="s">
        <v>89</v>
      </c>
      <c r="D32" s="551" t="s">
        <v>16</v>
      </c>
      <c r="E32" s="551">
        <v>3.8399999999999997E-2</v>
      </c>
      <c r="F32" s="552">
        <f>E32*F25</f>
        <v>5.1071999999999997</v>
      </c>
      <c r="G32" s="551"/>
      <c r="H32" s="552"/>
      <c r="I32" s="551"/>
      <c r="J32" s="552"/>
      <c r="K32" s="551"/>
      <c r="L32" s="552"/>
      <c r="M32" s="386"/>
    </row>
    <row r="33" spans="1:13" s="512" customFormat="1">
      <c r="A33" s="561">
        <v>5</v>
      </c>
      <c r="B33" s="563" t="s">
        <v>778</v>
      </c>
      <c r="C33" s="510" t="s">
        <v>779</v>
      </c>
      <c r="D33" s="509" t="s">
        <v>15</v>
      </c>
      <c r="E33" s="509"/>
      <c r="F33" s="509">
        <v>20</v>
      </c>
      <c r="G33" s="509"/>
      <c r="H33" s="526"/>
      <c r="I33" s="492"/>
      <c r="J33" s="526"/>
      <c r="K33" s="509"/>
      <c r="L33" s="526"/>
      <c r="M33" s="526"/>
    </row>
    <row r="34" spans="1:13" s="512" customFormat="1">
      <c r="A34" s="561"/>
      <c r="B34" s="564"/>
      <c r="C34" s="383" t="s">
        <v>238</v>
      </c>
      <c r="D34" s="382" t="s">
        <v>13</v>
      </c>
      <c r="E34" s="382">
        <v>6.5</v>
      </c>
      <c r="F34" s="386">
        <f>F33*E34</f>
        <v>130</v>
      </c>
      <c r="G34" s="382"/>
      <c r="H34" s="386"/>
      <c r="I34" s="494"/>
      <c r="J34" s="386"/>
      <c r="K34" s="382"/>
      <c r="L34" s="386"/>
      <c r="M34" s="386"/>
    </row>
    <row r="35" spans="1:13" s="512" customFormat="1">
      <c r="A35" s="561"/>
      <c r="B35" s="561" t="s">
        <v>809</v>
      </c>
      <c r="C35" s="383" t="s">
        <v>571</v>
      </c>
      <c r="D35" s="382" t="s">
        <v>15</v>
      </c>
      <c r="E35" s="382">
        <v>1.1499999999999999</v>
      </c>
      <c r="F35" s="386">
        <f>F33*E35</f>
        <v>23</v>
      </c>
      <c r="G35" s="386"/>
      <c r="H35" s="386"/>
      <c r="I35" s="494"/>
      <c r="J35" s="386"/>
      <c r="K35" s="382"/>
      <c r="L35" s="386"/>
      <c r="M35" s="386"/>
    </row>
    <row r="36" spans="1:13" s="512" customFormat="1" ht="27">
      <c r="A36" s="561">
        <v>6</v>
      </c>
      <c r="B36" s="563" t="s">
        <v>778</v>
      </c>
      <c r="C36" s="510" t="s">
        <v>810</v>
      </c>
      <c r="D36" s="509" t="s">
        <v>15</v>
      </c>
      <c r="E36" s="509"/>
      <c r="F36" s="509">
        <v>10</v>
      </c>
      <c r="G36" s="509"/>
      <c r="H36" s="526"/>
      <c r="I36" s="492"/>
      <c r="J36" s="526"/>
      <c r="K36" s="509"/>
      <c r="L36" s="526"/>
      <c r="M36" s="526"/>
    </row>
    <row r="37" spans="1:13" s="512" customFormat="1">
      <c r="A37" s="561"/>
      <c r="B37" s="564"/>
      <c r="C37" s="383" t="s">
        <v>238</v>
      </c>
      <c r="D37" s="382" t="s">
        <v>13</v>
      </c>
      <c r="E37" s="382">
        <v>6.5</v>
      </c>
      <c r="F37" s="386">
        <f>F36*E37</f>
        <v>65</v>
      </c>
      <c r="G37" s="382"/>
      <c r="H37" s="386"/>
      <c r="I37" s="494"/>
      <c r="J37" s="386"/>
      <c r="K37" s="382"/>
      <c r="L37" s="386"/>
      <c r="M37" s="386"/>
    </row>
    <row r="38" spans="1:13" s="512" customFormat="1">
      <c r="A38" s="561"/>
      <c r="B38" s="561" t="s">
        <v>809</v>
      </c>
      <c r="C38" s="383" t="s">
        <v>571</v>
      </c>
      <c r="D38" s="382" t="s">
        <v>15</v>
      </c>
      <c r="E38" s="382">
        <v>1.1499999999999999</v>
      </c>
      <c r="F38" s="386">
        <f>F36*E38</f>
        <v>11.5</v>
      </c>
      <c r="G38" s="386"/>
      <c r="H38" s="386"/>
      <c r="I38" s="494"/>
      <c r="J38" s="386"/>
      <c r="K38" s="382"/>
      <c r="L38" s="386"/>
      <c r="M38" s="386"/>
    </row>
    <row r="39" spans="1:13" s="547" customFormat="1" ht="27">
      <c r="A39" s="509">
        <v>7</v>
      </c>
      <c r="B39" s="563" t="s">
        <v>780</v>
      </c>
      <c r="C39" s="510" t="s">
        <v>802</v>
      </c>
      <c r="D39" s="492" t="s">
        <v>15</v>
      </c>
      <c r="E39" s="492"/>
      <c r="F39" s="565">
        <f>F25</f>
        <v>133</v>
      </c>
      <c r="G39" s="566"/>
      <c r="H39" s="493"/>
      <c r="I39" s="492"/>
      <c r="J39" s="493"/>
      <c r="K39" s="492"/>
      <c r="L39" s="493"/>
      <c r="M39" s="493"/>
    </row>
    <row r="40" spans="1:13" s="548" customFormat="1">
      <c r="A40" s="509"/>
      <c r="B40" s="382"/>
      <c r="C40" s="383" t="s">
        <v>86</v>
      </c>
      <c r="D40" s="494" t="s">
        <v>13</v>
      </c>
      <c r="E40" s="494">
        <f>0.112</f>
        <v>0.112</v>
      </c>
      <c r="F40" s="511">
        <f>F39*E40</f>
        <v>14.896000000000001</v>
      </c>
      <c r="G40" s="494"/>
      <c r="H40" s="511"/>
      <c r="I40" s="494"/>
      <c r="J40" s="511"/>
      <c r="K40" s="494"/>
      <c r="L40" s="511"/>
      <c r="M40" s="511"/>
    </row>
    <row r="41" spans="1:13" s="548" customFormat="1" ht="25.5">
      <c r="A41" s="509"/>
      <c r="B41" s="362" t="s">
        <v>459</v>
      </c>
      <c r="C41" s="383" t="s">
        <v>781</v>
      </c>
      <c r="D41" s="382" t="s">
        <v>14</v>
      </c>
      <c r="E41" s="494">
        <f>0.109</f>
        <v>0.109</v>
      </c>
      <c r="F41" s="557">
        <f>E41*F39</f>
        <v>14.497</v>
      </c>
      <c r="G41" s="494"/>
      <c r="H41" s="511"/>
      <c r="I41" s="494"/>
      <c r="J41" s="511"/>
      <c r="K41" s="9"/>
      <c r="L41" s="511"/>
      <c r="M41" s="511"/>
    </row>
    <row r="42" spans="1:13" ht="27">
      <c r="A42" s="501">
        <v>8</v>
      </c>
      <c r="B42" s="502" t="s">
        <v>782</v>
      </c>
      <c r="C42" s="503" t="s">
        <v>783</v>
      </c>
      <c r="D42" s="504" t="s">
        <v>15</v>
      </c>
      <c r="E42" s="504"/>
      <c r="F42" s="505">
        <v>380</v>
      </c>
      <c r="G42" s="504"/>
      <c r="H42" s="506"/>
      <c r="I42" s="504"/>
      <c r="J42" s="506"/>
      <c r="K42" s="504"/>
      <c r="L42" s="506"/>
      <c r="M42" s="506"/>
    </row>
    <row r="43" spans="1:13">
      <c r="A43" s="496"/>
      <c r="B43" s="312" t="s">
        <v>622</v>
      </c>
      <c r="C43" s="507" t="s">
        <v>784</v>
      </c>
      <c r="D43" s="496" t="s">
        <v>65</v>
      </c>
      <c r="E43" s="567">
        <f>9.21/1000</f>
        <v>9.2100000000000012E-3</v>
      </c>
      <c r="F43" s="508">
        <f>F42*E43</f>
        <v>3.4998000000000005</v>
      </c>
      <c r="G43" s="498"/>
      <c r="H43" s="508"/>
      <c r="I43" s="498"/>
      <c r="J43" s="508"/>
      <c r="K43" s="289"/>
      <c r="L43" s="568"/>
      <c r="M43" s="508"/>
    </row>
    <row r="44" spans="1:13">
      <c r="A44" s="569"/>
      <c r="B44" s="569"/>
      <c r="C44" s="570" t="s">
        <v>158</v>
      </c>
      <c r="D44" s="571"/>
      <c r="E44" s="571"/>
      <c r="F44" s="571"/>
      <c r="G44" s="571"/>
      <c r="H44" s="572"/>
      <c r="I44" s="571"/>
      <c r="J44" s="572"/>
      <c r="K44" s="571"/>
      <c r="L44" s="572"/>
      <c r="M44" s="572"/>
    </row>
    <row r="45" spans="1:13">
      <c r="A45" s="382"/>
      <c r="B45" s="382"/>
      <c r="C45" s="528" t="s">
        <v>162</v>
      </c>
      <c r="D45" s="529" t="s">
        <v>851</v>
      </c>
      <c r="E45" s="530"/>
      <c r="F45" s="530"/>
      <c r="G45" s="530"/>
      <c r="H45" s="531"/>
      <c r="I45" s="530"/>
      <c r="J45" s="531"/>
      <c r="K45" s="530"/>
      <c r="L45" s="531"/>
      <c r="M45" s="531"/>
    </row>
    <row r="46" spans="1:13">
      <c r="A46" s="382"/>
      <c r="B46" s="382"/>
      <c r="C46" s="528" t="s">
        <v>158</v>
      </c>
      <c r="D46" s="492"/>
      <c r="E46" s="532"/>
      <c r="F46" s="532"/>
      <c r="G46" s="532"/>
      <c r="H46" s="533"/>
      <c r="I46" s="534"/>
      <c r="J46" s="533"/>
      <c r="K46" s="534"/>
      <c r="L46" s="533"/>
      <c r="M46" s="533"/>
    </row>
    <row r="47" spans="1:13">
      <c r="A47" s="382"/>
      <c r="B47" s="382"/>
      <c r="C47" s="528" t="s">
        <v>797</v>
      </c>
      <c r="D47" s="535" t="s">
        <v>851</v>
      </c>
      <c r="E47" s="530"/>
      <c r="F47" s="530"/>
      <c r="G47" s="530"/>
      <c r="H47" s="536"/>
      <c r="I47" s="536"/>
      <c r="J47" s="536"/>
      <c r="K47" s="536"/>
      <c r="L47" s="536"/>
      <c r="M47" s="531"/>
    </row>
    <row r="48" spans="1:13">
      <c r="A48" s="382"/>
      <c r="B48" s="382"/>
      <c r="C48" s="528" t="s">
        <v>158</v>
      </c>
      <c r="D48" s="494"/>
      <c r="E48" s="532"/>
      <c r="F48" s="532"/>
      <c r="G48" s="532"/>
      <c r="H48" s="534"/>
      <c r="I48" s="534"/>
      <c r="J48" s="534"/>
      <c r="K48" s="534"/>
      <c r="L48" s="534"/>
      <c r="M48" s="533"/>
    </row>
    <row r="49" spans="1:13">
      <c r="A49" s="382"/>
      <c r="B49" s="382"/>
      <c r="C49" s="528" t="s">
        <v>163</v>
      </c>
      <c r="D49" s="529" t="s">
        <v>851</v>
      </c>
      <c r="E49" s="530"/>
      <c r="F49" s="530"/>
      <c r="G49" s="530"/>
      <c r="H49" s="536"/>
      <c r="I49" s="536"/>
      <c r="J49" s="536"/>
      <c r="K49" s="536"/>
      <c r="L49" s="536"/>
      <c r="M49" s="531"/>
    </row>
    <row r="50" spans="1:13">
      <c r="A50" s="382"/>
      <c r="B50" s="382"/>
      <c r="C50" s="528" t="s">
        <v>164</v>
      </c>
      <c r="D50" s="532"/>
      <c r="E50" s="532"/>
      <c r="F50" s="532"/>
      <c r="G50" s="532"/>
      <c r="H50" s="534"/>
      <c r="I50" s="534"/>
      <c r="J50" s="534"/>
      <c r="K50" s="534"/>
      <c r="L50" s="534"/>
      <c r="M50" s="533"/>
    </row>
    <row r="53" spans="1:13">
      <c r="C53" s="537" t="e">
        <f>#REF!</f>
        <v>#REF!</v>
      </c>
      <c r="D53" s="538"/>
      <c r="E53" s="538"/>
      <c r="F53" s="538"/>
      <c r="G53" s="538"/>
      <c r="H53" s="538"/>
      <c r="I53" s="538"/>
    </row>
    <row r="54" spans="1:13">
      <c r="C54" s="537" t="e">
        <f>#REF!</f>
        <v>#REF!</v>
      </c>
      <c r="D54" s="538"/>
      <c r="E54" s="538"/>
      <c r="F54" s="538"/>
      <c r="G54" s="538"/>
      <c r="H54" s="538" t="e">
        <f>#REF!</f>
        <v>#REF!</v>
      </c>
      <c r="I54" s="538"/>
    </row>
  </sheetData>
  <sheetProtection password="CA9C" sheet="1" objects="1" scenarios="1"/>
  <protectedRanges>
    <protectedRange sqref="D44:M50" name="Range2"/>
    <protectedRange sqref="G10:M50" name="Range1"/>
  </protectedRanges>
  <mergeCells count="14">
    <mergeCell ref="F7:F8"/>
    <mergeCell ref="G7:H7"/>
    <mergeCell ref="I7:J7"/>
    <mergeCell ref="K7:L7"/>
    <mergeCell ref="A1:M1"/>
    <mergeCell ref="A2:F2"/>
    <mergeCell ref="A3:M3"/>
    <mergeCell ref="A4:M4"/>
    <mergeCell ref="B5:G5"/>
    <mergeCell ref="A7:A8"/>
    <mergeCell ref="B7:B8"/>
    <mergeCell ref="C7:C8"/>
    <mergeCell ref="D7:D8"/>
    <mergeCell ref="E7:E8"/>
  </mergeCells>
  <phoneticPr fontId="66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7" orientation="landscape" r:id="rId1"/>
  <headerFooter alignWithMargins="0"/>
  <rowBreaks count="1" manualBreakCount="1">
    <brk id="24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3"/>
  <sheetViews>
    <sheetView view="pageBreakPreview" zoomScaleNormal="110" zoomScaleSheetLayoutView="100" workbookViewId="0">
      <selection activeCell="C52" sqref="C52:C54"/>
    </sheetView>
  </sheetViews>
  <sheetFormatPr defaultRowHeight="13.5"/>
  <cols>
    <col min="1" max="1" width="5.28515625" style="489" customWidth="1"/>
    <col min="2" max="2" width="13.140625" style="489" customWidth="1"/>
    <col min="3" max="3" width="62" style="489" customWidth="1"/>
    <col min="4" max="13" width="10.7109375" style="489" customWidth="1"/>
    <col min="14" max="249" width="9.140625" style="489"/>
    <col min="250" max="250" width="5.28515625" style="489" customWidth="1"/>
    <col min="251" max="251" width="12" style="489" customWidth="1"/>
    <col min="252" max="252" width="54.5703125" style="489" customWidth="1"/>
    <col min="253" max="262" width="10.7109375" style="489" customWidth="1"/>
    <col min="263" max="263" width="9.85546875" style="489" bestFit="1" customWidth="1"/>
    <col min="264" max="264" width="11.28515625" style="489" customWidth="1"/>
    <col min="265" max="505" width="9.140625" style="489"/>
    <col min="506" max="506" width="5.28515625" style="489" customWidth="1"/>
    <col min="507" max="507" width="12" style="489" customWidth="1"/>
    <col min="508" max="508" width="54.5703125" style="489" customWidth="1"/>
    <col min="509" max="518" width="10.7109375" style="489" customWidth="1"/>
    <col min="519" max="519" width="9.85546875" style="489" bestFit="1" customWidth="1"/>
    <col min="520" max="520" width="11.28515625" style="489" customWidth="1"/>
    <col min="521" max="761" width="9.140625" style="489"/>
    <col min="762" max="762" width="5.28515625" style="489" customWidth="1"/>
    <col min="763" max="763" width="12" style="489" customWidth="1"/>
    <col min="764" max="764" width="54.5703125" style="489" customWidth="1"/>
    <col min="765" max="774" width="10.7109375" style="489" customWidth="1"/>
    <col min="775" max="775" width="9.85546875" style="489" bestFit="1" customWidth="1"/>
    <col min="776" max="776" width="11.28515625" style="489" customWidth="1"/>
    <col min="777" max="1017" width="9.140625" style="489"/>
    <col min="1018" max="1018" width="5.28515625" style="489" customWidth="1"/>
    <col min="1019" max="1019" width="12" style="489" customWidth="1"/>
    <col min="1020" max="1020" width="54.5703125" style="489" customWidth="1"/>
    <col min="1021" max="1030" width="10.7109375" style="489" customWidth="1"/>
    <col min="1031" max="1031" width="9.85546875" style="489" bestFit="1" customWidth="1"/>
    <col min="1032" max="1032" width="11.28515625" style="489" customWidth="1"/>
    <col min="1033" max="1273" width="9.140625" style="489"/>
    <col min="1274" max="1274" width="5.28515625" style="489" customWidth="1"/>
    <col min="1275" max="1275" width="12" style="489" customWidth="1"/>
    <col min="1276" max="1276" width="54.5703125" style="489" customWidth="1"/>
    <col min="1277" max="1286" width="10.7109375" style="489" customWidth="1"/>
    <col min="1287" max="1287" width="9.85546875" style="489" bestFit="1" customWidth="1"/>
    <col min="1288" max="1288" width="11.28515625" style="489" customWidth="1"/>
    <col min="1289" max="1529" width="9.140625" style="489"/>
    <col min="1530" max="1530" width="5.28515625" style="489" customWidth="1"/>
    <col min="1531" max="1531" width="12" style="489" customWidth="1"/>
    <col min="1532" max="1532" width="54.5703125" style="489" customWidth="1"/>
    <col min="1533" max="1542" width="10.7109375" style="489" customWidth="1"/>
    <col min="1543" max="1543" width="9.85546875" style="489" bestFit="1" customWidth="1"/>
    <col min="1544" max="1544" width="11.28515625" style="489" customWidth="1"/>
    <col min="1545" max="1785" width="9.140625" style="489"/>
    <col min="1786" max="1786" width="5.28515625" style="489" customWidth="1"/>
    <col min="1787" max="1787" width="12" style="489" customWidth="1"/>
    <col min="1788" max="1788" width="54.5703125" style="489" customWidth="1"/>
    <col min="1789" max="1798" width="10.7109375" style="489" customWidth="1"/>
    <col min="1799" max="1799" width="9.85546875" style="489" bestFit="1" customWidth="1"/>
    <col min="1800" max="1800" width="11.28515625" style="489" customWidth="1"/>
    <col min="1801" max="2041" width="9.140625" style="489"/>
    <col min="2042" max="2042" width="5.28515625" style="489" customWidth="1"/>
    <col min="2043" max="2043" width="12" style="489" customWidth="1"/>
    <col min="2044" max="2044" width="54.5703125" style="489" customWidth="1"/>
    <col min="2045" max="2054" width="10.7109375" style="489" customWidth="1"/>
    <col min="2055" max="2055" width="9.85546875" style="489" bestFit="1" customWidth="1"/>
    <col min="2056" max="2056" width="11.28515625" style="489" customWidth="1"/>
    <col min="2057" max="2297" width="9.140625" style="489"/>
    <col min="2298" max="2298" width="5.28515625" style="489" customWidth="1"/>
    <col min="2299" max="2299" width="12" style="489" customWidth="1"/>
    <col min="2300" max="2300" width="54.5703125" style="489" customWidth="1"/>
    <col min="2301" max="2310" width="10.7109375" style="489" customWidth="1"/>
    <col min="2311" max="2311" width="9.85546875" style="489" bestFit="1" customWidth="1"/>
    <col min="2312" max="2312" width="11.28515625" style="489" customWidth="1"/>
    <col min="2313" max="2553" width="9.140625" style="489"/>
    <col min="2554" max="2554" width="5.28515625" style="489" customWidth="1"/>
    <col min="2555" max="2555" width="12" style="489" customWidth="1"/>
    <col min="2556" max="2556" width="54.5703125" style="489" customWidth="1"/>
    <col min="2557" max="2566" width="10.7109375" style="489" customWidth="1"/>
    <col min="2567" max="2567" width="9.85546875" style="489" bestFit="1" customWidth="1"/>
    <col min="2568" max="2568" width="11.28515625" style="489" customWidth="1"/>
    <col min="2569" max="2809" width="9.140625" style="489"/>
    <col min="2810" max="2810" width="5.28515625" style="489" customWidth="1"/>
    <col min="2811" max="2811" width="12" style="489" customWidth="1"/>
    <col min="2812" max="2812" width="54.5703125" style="489" customWidth="1"/>
    <col min="2813" max="2822" width="10.7109375" style="489" customWidth="1"/>
    <col min="2823" max="2823" width="9.85546875" style="489" bestFit="1" customWidth="1"/>
    <col min="2824" max="2824" width="11.28515625" style="489" customWidth="1"/>
    <col min="2825" max="3065" width="9.140625" style="489"/>
    <col min="3066" max="3066" width="5.28515625" style="489" customWidth="1"/>
    <col min="3067" max="3067" width="12" style="489" customWidth="1"/>
    <col min="3068" max="3068" width="54.5703125" style="489" customWidth="1"/>
    <col min="3069" max="3078" width="10.7109375" style="489" customWidth="1"/>
    <col min="3079" max="3079" width="9.85546875" style="489" bestFit="1" customWidth="1"/>
    <col min="3080" max="3080" width="11.28515625" style="489" customWidth="1"/>
    <col min="3081" max="3321" width="9.140625" style="489"/>
    <col min="3322" max="3322" width="5.28515625" style="489" customWidth="1"/>
    <col min="3323" max="3323" width="12" style="489" customWidth="1"/>
    <col min="3324" max="3324" width="54.5703125" style="489" customWidth="1"/>
    <col min="3325" max="3334" width="10.7109375" style="489" customWidth="1"/>
    <col min="3335" max="3335" width="9.85546875" style="489" bestFit="1" customWidth="1"/>
    <col min="3336" max="3336" width="11.28515625" style="489" customWidth="1"/>
    <col min="3337" max="3577" width="9.140625" style="489"/>
    <col min="3578" max="3578" width="5.28515625" style="489" customWidth="1"/>
    <col min="3579" max="3579" width="12" style="489" customWidth="1"/>
    <col min="3580" max="3580" width="54.5703125" style="489" customWidth="1"/>
    <col min="3581" max="3590" width="10.7109375" style="489" customWidth="1"/>
    <col min="3591" max="3591" width="9.85546875" style="489" bestFit="1" customWidth="1"/>
    <col min="3592" max="3592" width="11.28515625" style="489" customWidth="1"/>
    <col min="3593" max="3833" width="9.140625" style="489"/>
    <col min="3834" max="3834" width="5.28515625" style="489" customWidth="1"/>
    <col min="3835" max="3835" width="12" style="489" customWidth="1"/>
    <col min="3836" max="3836" width="54.5703125" style="489" customWidth="1"/>
    <col min="3837" max="3846" width="10.7109375" style="489" customWidth="1"/>
    <col min="3847" max="3847" width="9.85546875" style="489" bestFit="1" customWidth="1"/>
    <col min="3848" max="3848" width="11.28515625" style="489" customWidth="1"/>
    <col min="3849" max="4089" width="9.140625" style="489"/>
    <col min="4090" max="4090" width="5.28515625" style="489" customWidth="1"/>
    <col min="4091" max="4091" width="12" style="489" customWidth="1"/>
    <col min="4092" max="4092" width="54.5703125" style="489" customWidth="1"/>
    <col min="4093" max="4102" width="10.7109375" style="489" customWidth="1"/>
    <col min="4103" max="4103" width="9.85546875" style="489" bestFit="1" customWidth="1"/>
    <col min="4104" max="4104" width="11.28515625" style="489" customWidth="1"/>
    <col min="4105" max="4345" width="9.140625" style="489"/>
    <col min="4346" max="4346" width="5.28515625" style="489" customWidth="1"/>
    <col min="4347" max="4347" width="12" style="489" customWidth="1"/>
    <col min="4348" max="4348" width="54.5703125" style="489" customWidth="1"/>
    <col min="4349" max="4358" width="10.7109375" style="489" customWidth="1"/>
    <col min="4359" max="4359" width="9.85546875" style="489" bestFit="1" customWidth="1"/>
    <col min="4360" max="4360" width="11.28515625" style="489" customWidth="1"/>
    <col min="4361" max="4601" width="9.140625" style="489"/>
    <col min="4602" max="4602" width="5.28515625" style="489" customWidth="1"/>
    <col min="4603" max="4603" width="12" style="489" customWidth="1"/>
    <col min="4604" max="4604" width="54.5703125" style="489" customWidth="1"/>
    <col min="4605" max="4614" width="10.7109375" style="489" customWidth="1"/>
    <col min="4615" max="4615" width="9.85546875" style="489" bestFit="1" customWidth="1"/>
    <col min="4616" max="4616" width="11.28515625" style="489" customWidth="1"/>
    <col min="4617" max="4857" width="9.140625" style="489"/>
    <col min="4858" max="4858" width="5.28515625" style="489" customWidth="1"/>
    <col min="4859" max="4859" width="12" style="489" customWidth="1"/>
    <col min="4860" max="4860" width="54.5703125" style="489" customWidth="1"/>
    <col min="4861" max="4870" width="10.7109375" style="489" customWidth="1"/>
    <col min="4871" max="4871" width="9.85546875" style="489" bestFit="1" customWidth="1"/>
    <col min="4872" max="4872" width="11.28515625" style="489" customWidth="1"/>
    <col min="4873" max="5113" width="9.140625" style="489"/>
    <col min="5114" max="5114" width="5.28515625" style="489" customWidth="1"/>
    <col min="5115" max="5115" width="12" style="489" customWidth="1"/>
    <col min="5116" max="5116" width="54.5703125" style="489" customWidth="1"/>
    <col min="5117" max="5126" width="10.7109375" style="489" customWidth="1"/>
    <col min="5127" max="5127" width="9.85546875" style="489" bestFit="1" customWidth="1"/>
    <col min="5128" max="5128" width="11.28515625" style="489" customWidth="1"/>
    <col min="5129" max="5369" width="9.140625" style="489"/>
    <col min="5370" max="5370" width="5.28515625" style="489" customWidth="1"/>
    <col min="5371" max="5371" width="12" style="489" customWidth="1"/>
    <col min="5372" max="5372" width="54.5703125" style="489" customWidth="1"/>
    <col min="5373" max="5382" width="10.7109375" style="489" customWidth="1"/>
    <col min="5383" max="5383" width="9.85546875" style="489" bestFit="1" customWidth="1"/>
    <col min="5384" max="5384" width="11.28515625" style="489" customWidth="1"/>
    <col min="5385" max="5625" width="9.140625" style="489"/>
    <col min="5626" max="5626" width="5.28515625" style="489" customWidth="1"/>
    <col min="5627" max="5627" width="12" style="489" customWidth="1"/>
    <col min="5628" max="5628" width="54.5703125" style="489" customWidth="1"/>
    <col min="5629" max="5638" width="10.7109375" style="489" customWidth="1"/>
    <col min="5639" max="5639" width="9.85546875" style="489" bestFit="1" customWidth="1"/>
    <col min="5640" max="5640" width="11.28515625" style="489" customWidth="1"/>
    <col min="5641" max="5881" width="9.140625" style="489"/>
    <col min="5882" max="5882" width="5.28515625" style="489" customWidth="1"/>
    <col min="5883" max="5883" width="12" style="489" customWidth="1"/>
    <col min="5884" max="5884" width="54.5703125" style="489" customWidth="1"/>
    <col min="5885" max="5894" width="10.7109375" style="489" customWidth="1"/>
    <col min="5895" max="5895" width="9.85546875" style="489" bestFit="1" customWidth="1"/>
    <col min="5896" max="5896" width="11.28515625" style="489" customWidth="1"/>
    <col min="5897" max="6137" width="9.140625" style="489"/>
    <col min="6138" max="6138" width="5.28515625" style="489" customWidth="1"/>
    <col min="6139" max="6139" width="12" style="489" customWidth="1"/>
    <col min="6140" max="6140" width="54.5703125" style="489" customWidth="1"/>
    <col min="6141" max="6150" width="10.7109375" style="489" customWidth="1"/>
    <col min="6151" max="6151" width="9.85546875" style="489" bestFit="1" customWidth="1"/>
    <col min="6152" max="6152" width="11.28515625" style="489" customWidth="1"/>
    <col min="6153" max="6393" width="9.140625" style="489"/>
    <col min="6394" max="6394" width="5.28515625" style="489" customWidth="1"/>
    <col min="6395" max="6395" width="12" style="489" customWidth="1"/>
    <col min="6396" max="6396" width="54.5703125" style="489" customWidth="1"/>
    <col min="6397" max="6406" width="10.7109375" style="489" customWidth="1"/>
    <col min="6407" max="6407" width="9.85546875" style="489" bestFit="1" customWidth="1"/>
    <col min="6408" max="6408" width="11.28515625" style="489" customWidth="1"/>
    <col min="6409" max="6649" width="9.140625" style="489"/>
    <col min="6650" max="6650" width="5.28515625" style="489" customWidth="1"/>
    <col min="6651" max="6651" width="12" style="489" customWidth="1"/>
    <col min="6652" max="6652" width="54.5703125" style="489" customWidth="1"/>
    <col min="6653" max="6662" width="10.7109375" style="489" customWidth="1"/>
    <col min="6663" max="6663" width="9.85546875" style="489" bestFit="1" customWidth="1"/>
    <col min="6664" max="6664" width="11.28515625" style="489" customWidth="1"/>
    <col min="6665" max="6905" width="9.140625" style="489"/>
    <col min="6906" max="6906" width="5.28515625" style="489" customWidth="1"/>
    <col min="6907" max="6907" width="12" style="489" customWidth="1"/>
    <col min="6908" max="6908" width="54.5703125" style="489" customWidth="1"/>
    <col min="6909" max="6918" width="10.7109375" style="489" customWidth="1"/>
    <col min="6919" max="6919" width="9.85546875" style="489" bestFit="1" customWidth="1"/>
    <col min="6920" max="6920" width="11.28515625" style="489" customWidth="1"/>
    <col min="6921" max="7161" width="9.140625" style="489"/>
    <col min="7162" max="7162" width="5.28515625" style="489" customWidth="1"/>
    <col min="7163" max="7163" width="12" style="489" customWidth="1"/>
    <col min="7164" max="7164" width="54.5703125" style="489" customWidth="1"/>
    <col min="7165" max="7174" width="10.7109375" style="489" customWidth="1"/>
    <col min="7175" max="7175" width="9.85546875" style="489" bestFit="1" customWidth="1"/>
    <col min="7176" max="7176" width="11.28515625" style="489" customWidth="1"/>
    <col min="7177" max="7417" width="9.140625" style="489"/>
    <col min="7418" max="7418" width="5.28515625" style="489" customWidth="1"/>
    <col min="7419" max="7419" width="12" style="489" customWidth="1"/>
    <col min="7420" max="7420" width="54.5703125" style="489" customWidth="1"/>
    <col min="7421" max="7430" width="10.7109375" style="489" customWidth="1"/>
    <col min="7431" max="7431" width="9.85546875" style="489" bestFit="1" customWidth="1"/>
    <col min="7432" max="7432" width="11.28515625" style="489" customWidth="1"/>
    <col min="7433" max="7673" width="9.140625" style="489"/>
    <col min="7674" max="7674" width="5.28515625" style="489" customWidth="1"/>
    <col min="7675" max="7675" width="12" style="489" customWidth="1"/>
    <col min="7676" max="7676" width="54.5703125" style="489" customWidth="1"/>
    <col min="7677" max="7686" width="10.7109375" style="489" customWidth="1"/>
    <col min="7687" max="7687" width="9.85546875" style="489" bestFit="1" customWidth="1"/>
    <col min="7688" max="7688" width="11.28515625" style="489" customWidth="1"/>
    <col min="7689" max="7929" width="9.140625" style="489"/>
    <col min="7930" max="7930" width="5.28515625" style="489" customWidth="1"/>
    <col min="7931" max="7931" width="12" style="489" customWidth="1"/>
    <col min="7932" max="7932" width="54.5703125" style="489" customWidth="1"/>
    <col min="7933" max="7942" width="10.7109375" style="489" customWidth="1"/>
    <col min="7943" max="7943" width="9.85546875" style="489" bestFit="1" customWidth="1"/>
    <col min="7944" max="7944" width="11.28515625" style="489" customWidth="1"/>
    <col min="7945" max="8185" width="9.140625" style="489"/>
    <col min="8186" max="8186" width="5.28515625" style="489" customWidth="1"/>
    <col min="8187" max="8187" width="12" style="489" customWidth="1"/>
    <col min="8188" max="8188" width="54.5703125" style="489" customWidth="1"/>
    <col min="8189" max="8198" width="10.7109375" style="489" customWidth="1"/>
    <col min="8199" max="8199" width="9.85546875" style="489" bestFit="1" customWidth="1"/>
    <col min="8200" max="8200" width="11.28515625" style="489" customWidth="1"/>
    <col min="8201" max="8441" width="9.140625" style="489"/>
    <col min="8442" max="8442" width="5.28515625" style="489" customWidth="1"/>
    <col min="8443" max="8443" width="12" style="489" customWidth="1"/>
    <col min="8444" max="8444" width="54.5703125" style="489" customWidth="1"/>
    <col min="8445" max="8454" width="10.7109375" style="489" customWidth="1"/>
    <col min="8455" max="8455" width="9.85546875" style="489" bestFit="1" customWidth="1"/>
    <col min="8456" max="8456" width="11.28515625" style="489" customWidth="1"/>
    <col min="8457" max="8697" width="9.140625" style="489"/>
    <col min="8698" max="8698" width="5.28515625" style="489" customWidth="1"/>
    <col min="8699" max="8699" width="12" style="489" customWidth="1"/>
    <col min="8700" max="8700" width="54.5703125" style="489" customWidth="1"/>
    <col min="8701" max="8710" width="10.7109375" style="489" customWidth="1"/>
    <col min="8711" max="8711" width="9.85546875" style="489" bestFit="1" customWidth="1"/>
    <col min="8712" max="8712" width="11.28515625" style="489" customWidth="1"/>
    <col min="8713" max="8953" width="9.140625" style="489"/>
    <col min="8954" max="8954" width="5.28515625" style="489" customWidth="1"/>
    <col min="8955" max="8955" width="12" style="489" customWidth="1"/>
    <col min="8956" max="8956" width="54.5703125" style="489" customWidth="1"/>
    <col min="8957" max="8966" width="10.7109375" style="489" customWidth="1"/>
    <col min="8967" max="8967" width="9.85546875" style="489" bestFit="1" customWidth="1"/>
    <col min="8968" max="8968" width="11.28515625" style="489" customWidth="1"/>
    <col min="8969" max="9209" width="9.140625" style="489"/>
    <col min="9210" max="9210" width="5.28515625" style="489" customWidth="1"/>
    <col min="9211" max="9211" width="12" style="489" customWidth="1"/>
    <col min="9212" max="9212" width="54.5703125" style="489" customWidth="1"/>
    <col min="9213" max="9222" width="10.7109375" style="489" customWidth="1"/>
    <col min="9223" max="9223" width="9.85546875" style="489" bestFit="1" customWidth="1"/>
    <col min="9224" max="9224" width="11.28515625" style="489" customWidth="1"/>
    <col min="9225" max="9465" width="9.140625" style="489"/>
    <col min="9466" max="9466" width="5.28515625" style="489" customWidth="1"/>
    <col min="9467" max="9467" width="12" style="489" customWidth="1"/>
    <col min="9468" max="9468" width="54.5703125" style="489" customWidth="1"/>
    <col min="9469" max="9478" width="10.7109375" style="489" customWidth="1"/>
    <col min="9479" max="9479" width="9.85546875" style="489" bestFit="1" customWidth="1"/>
    <col min="9480" max="9480" width="11.28515625" style="489" customWidth="1"/>
    <col min="9481" max="9721" width="9.140625" style="489"/>
    <col min="9722" max="9722" width="5.28515625" style="489" customWidth="1"/>
    <col min="9723" max="9723" width="12" style="489" customWidth="1"/>
    <col min="9724" max="9724" width="54.5703125" style="489" customWidth="1"/>
    <col min="9725" max="9734" width="10.7109375" style="489" customWidth="1"/>
    <col min="9735" max="9735" width="9.85546875" style="489" bestFit="1" customWidth="1"/>
    <col min="9736" max="9736" width="11.28515625" style="489" customWidth="1"/>
    <col min="9737" max="9977" width="9.140625" style="489"/>
    <col min="9978" max="9978" width="5.28515625" style="489" customWidth="1"/>
    <col min="9979" max="9979" width="12" style="489" customWidth="1"/>
    <col min="9980" max="9980" width="54.5703125" style="489" customWidth="1"/>
    <col min="9981" max="9990" width="10.7109375" style="489" customWidth="1"/>
    <col min="9991" max="9991" width="9.85546875" style="489" bestFit="1" customWidth="1"/>
    <col min="9992" max="9992" width="11.28515625" style="489" customWidth="1"/>
    <col min="9993" max="10233" width="9.140625" style="489"/>
    <col min="10234" max="10234" width="5.28515625" style="489" customWidth="1"/>
    <col min="10235" max="10235" width="12" style="489" customWidth="1"/>
    <col min="10236" max="10236" width="54.5703125" style="489" customWidth="1"/>
    <col min="10237" max="10246" width="10.7109375" style="489" customWidth="1"/>
    <col min="10247" max="10247" width="9.85546875" style="489" bestFit="1" customWidth="1"/>
    <col min="10248" max="10248" width="11.28515625" style="489" customWidth="1"/>
    <col min="10249" max="10489" width="9.140625" style="489"/>
    <col min="10490" max="10490" width="5.28515625" style="489" customWidth="1"/>
    <col min="10491" max="10491" width="12" style="489" customWidth="1"/>
    <col min="10492" max="10492" width="54.5703125" style="489" customWidth="1"/>
    <col min="10493" max="10502" width="10.7109375" style="489" customWidth="1"/>
    <col min="10503" max="10503" width="9.85546875" style="489" bestFit="1" customWidth="1"/>
    <col min="10504" max="10504" width="11.28515625" style="489" customWidth="1"/>
    <col min="10505" max="10745" width="9.140625" style="489"/>
    <col min="10746" max="10746" width="5.28515625" style="489" customWidth="1"/>
    <col min="10747" max="10747" width="12" style="489" customWidth="1"/>
    <col min="10748" max="10748" width="54.5703125" style="489" customWidth="1"/>
    <col min="10749" max="10758" width="10.7109375" style="489" customWidth="1"/>
    <col min="10759" max="10759" width="9.85546875" style="489" bestFit="1" customWidth="1"/>
    <col min="10760" max="10760" width="11.28515625" style="489" customWidth="1"/>
    <col min="10761" max="11001" width="9.140625" style="489"/>
    <col min="11002" max="11002" width="5.28515625" style="489" customWidth="1"/>
    <col min="11003" max="11003" width="12" style="489" customWidth="1"/>
    <col min="11004" max="11004" width="54.5703125" style="489" customWidth="1"/>
    <col min="11005" max="11014" width="10.7109375" style="489" customWidth="1"/>
    <col min="11015" max="11015" width="9.85546875" style="489" bestFit="1" customWidth="1"/>
    <col min="11016" max="11016" width="11.28515625" style="489" customWidth="1"/>
    <col min="11017" max="11257" width="9.140625" style="489"/>
    <col min="11258" max="11258" width="5.28515625" style="489" customWidth="1"/>
    <col min="11259" max="11259" width="12" style="489" customWidth="1"/>
    <col min="11260" max="11260" width="54.5703125" style="489" customWidth="1"/>
    <col min="11261" max="11270" width="10.7109375" style="489" customWidth="1"/>
    <col min="11271" max="11271" width="9.85546875" style="489" bestFit="1" customWidth="1"/>
    <col min="11272" max="11272" width="11.28515625" style="489" customWidth="1"/>
    <col min="11273" max="11513" width="9.140625" style="489"/>
    <col min="11514" max="11514" width="5.28515625" style="489" customWidth="1"/>
    <col min="11515" max="11515" width="12" style="489" customWidth="1"/>
    <col min="11516" max="11516" width="54.5703125" style="489" customWidth="1"/>
    <col min="11517" max="11526" width="10.7109375" style="489" customWidth="1"/>
    <col min="11527" max="11527" width="9.85546875" style="489" bestFit="1" customWidth="1"/>
    <col min="11528" max="11528" width="11.28515625" style="489" customWidth="1"/>
    <col min="11529" max="11769" width="9.140625" style="489"/>
    <col min="11770" max="11770" width="5.28515625" style="489" customWidth="1"/>
    <col min="11771" max="11771" width="12" style="489" customWidth="1"/>
    <col min="11772" max="11772" width="54.5703125" style="489" customWidth="1"/>
    <col min="11773" max="11782" width="10.7109375" style="489" customWidth="1"/>
    <col min="11783" max="11783" width="9.85546875" style="489" bestFit="1" customWidth="1"/>
    <col min="11784" max="11784" width="11.28515625" style="489" customWidth="1"/>
    <col min="11785" max="12025" width="9.140625" style="489"/>
    <col min="12026" max="12026" width="5.28515625" style="489" customWidth="1"/>
    <col min="12027" max="12027" width="12" style="489" customWidth="1"/>
    <col min="12028" max="12028" width="54.5703125" style="489" customWidth="1"/>
    <col min="12029" max="12038" width="10.7109375" style="489" customWidth="1"/>
    <col min="12039" max="12039" width="9.85546875" style="489" bestFit="1" customWidth="1"/>
    <col min="12040" max="12040" width="11.28515625" style="489" customWidth="1"/>
    <col min="12041" max="12281" width="9.140625" style="489"/>
    <col min="12282" max="12282" width="5.28515625" style="489" customWidth="1"/>
    <col min="12283" max="12283" width="12" style="489" customWidth="1"/>
    <col min="12284" max="12284" width="54.5703125" style="489" customWidth="1"/>
    <col min="12285" max="12294" width="10.7109375" style="489" customWidth="1"/>
    <col min="12295" max="12295" width="9.85546875" style="489" bestFit="1" customWidth="1"/>
    <col min="12296" max="12296" width="11.28515625" style="489" customWidth="1"/>
    <col min="12297" max="12537" width="9.140625" style="489"/>
    <col min="12538" max="12538" width="5.28515625" style="489" customWidth="1"/>
    <col min="12539" max="12539" width="12" style="489" customWidth="1"/>
    <col min="12540" max="12540" width="54.5703125" style="489" customWidth="1"/>
    <col min="12541" max="12550" width="10.7109375" style="489" customWidth="1"/>
    <col min="12551" max="12551" width="9.85546875" style="489" bestFit="1" customWidth="1"/>
    <col min="12552" max="12552" width="11.28515625" style="489" customWidth="1"/>
    <col min="12553" max="12793" width="9.140625" style="489"/>
    <col min="12794" max="12794" width="5.28515625" style="489" customWidth="1"/>
    <col min="12795" max="12795" width="12" style="489" customWidth="1"/>
    <col min="12796" max="12796" width="54.5703125" style="489" customWidth="1"/>
    <col min="12797" max="12806" width="10.7109375" style="489" customWidth="1"/>
    <col min="12807" max="12807" width="9.85546875" style="489" bestFit="1" customWidth="1"/>
    <col min="12808" max="12808" width="11.28515625" style="489" customWidth="1"/>
    <col min="12809" max="13049" width="9.140625" style="489"/>
    <col min="13050" max="13050" width="5.28515625" style="489" customWidth="1"/>
    <col min="13051" max="13051" width="12" style="489" customWidth="1"/>
    <col min="13052" max="13052" width="54.5703125" style="489" customWidth="1"/>
    <col min="13053" max="13062" width="10.7109375" style="489" customWidth="1"/>
    <col min="13063" max="13063" width="9.85546875" style="489" bestFit="1" customWidth="1"/>
    <col min="13064" max="13064" width="11.28515625" style="489" customWidth="1"/>
    <col min="13065" max="13305" width="9.140625" style="489"/>
    <col min="13306" max="13306" width="5.28515625" style="489" customWidth="1"/>
    <col min="13307" max="13307" width="12" style="489" customWidth="1"/>
    <col min="13308" max="13308" width="54.5703125" style="489" customWidth="1"/>
    <col min="13309" max="13318" width="10.7109375" style="489" customWidth="1"/>
    <col min="13319" max="13319" width="9.85546875" style="489" bestFit="1" customWidth="1"/>
    <col min="13320" max="13320" width="11.28515625" style="489" customWidth="1"/>
    <col min="13321" max="13561" width="9.140625" style="489"/>
    <col min="13562" max="13562" width="5.28515625" style="489" customWidth="1"/>
    <col min="13563" max="13563" width="12" style="489" customWidth="1"/>
    <col min="13564" max="13564" width="54.5703125" style="489" customWidth="1"/>
    <col min="13565" max="13574" width="10.7109375" style="489" customWidth="1"/>
    <col min="13575" max="13575" width="9.85546875" style="489" bestFit="1" customWidth="1"/>
    <col min="13576" max="13576" width="11.28515625" style="489" customWidth="1"/>
    <col min="13577" max="13817" width="9.140625" style="489"/>
    <col min="13818" max="13818" width="5.28515625" style="489" customWidth="1"/>
    <col min="13819" max="13819" width="12" style="489" customWidth="1"/>
    <col min="13820" max="13820" width="54.5703125" style="489" customWidth="1"/>
    <col min="13821" max="13830" width="10.7109375" style="489" customWidth="1"/>
    <col min="13831" max="13831" width="9.85546875" style="489" bestFit="1" customWidth="1"/>
    <col min="13832" max="13832" width="11.28515625" style="489" customWidth="1"/>
    <col min="13833" max="14073" width="9.140625" style="489"/>
    <col min="14074" max="14074" width="5.28515625" style="489" customWidth="1"/>
    <col min="14075" max="14075" width="12" style="489" customWidth="1"/>
    <col min="14076" max="14076" width="54.5703125" style="489" customWidth="1"/>
    <col min="14077" max="14086" width="10.7109375" style="489" customWidth="1"/>
    <col min="14087" max="14087" width="9.85546875" style="489" bestFit="1" customWidth="1"/>
    <col min="14088" max="14088" width="11.28515625" style="489" customWidth="1"/>
    <col min="14089" max="14329" width="9.140625" style="489"/>
    <col min="14330" max="14330" width="5.28515625" style="489" customWidth="1"/>
    <col min="14331" max="14331" width="12" style="489" customWidth="1"/>
    <col min="14332" max="14332" width="54.5703125" style="489" customWidth="1"/>
    <col min="14333" max="14342" width="10.7109375" style="489" customWidth="1"/>
    <col min="14343" max="14343" width="9.85546875" style="489" bestFit="1" customWidth="1"/>
    <col min="14344" max="14344" width="11.28515625" style="489" customWidth="1"/>
    <col min="14345" max="14585" width="9.140625" style="489"/>
    <col min="14586" max="14586" width="5.28515625" style="489" customWidth="1"/>
    <col min="14587" max="14587" width="12" style="489" customWidth="1"/>
    <col min="14588" max="14588" width="54.5703125" style="489" customWidth="1"/>
    <col min="14589" max="14598" width="10.7109375" style="489" customWidth="1"/>
    <col min="14599" max="14599" width="9.85546875" style="489" bestFit="1" customWidth="1"/>
    <col min="14600" max="14600" width="11.28515625" style="489" customWidth="1"/>
    <col min="14601" max="14841" width="9.140625" style="489"/>
    <col min="14842" max="14842" width="5.28515625" style="489" customWidth="1"/>
    <col min="14843" max="14843" width="12" style="489" customWidth="1"/>
    <col min="14844" max="14844" width="54.5703125" style="489" customWidth="1"/>
    <col min="14845" max="14854" width="10.7109375" style="489" customWidth="1"/>
    <col min="14855" max="14855" width="9.85546875" style="489" bestFit="1" customWidth="1"/>
    <col min="14856" max="14856" width="11.28515625" style="489" customWidth="1"/>
    <col min="14857" max="15097" width="9.140625" style="489"/>
    <col min="15098" max="15098" width="5.28515625" style="489" customWidth="1"/>
    <col min="15099" max="15099" width="12" style="489" customWidth="1"/>
    <col min="15100" max="15100" width="54.5703125" style="489" customWidth="1"/>
    <col min="15101" max="15110" width="10.7109375" style="489" customWidth="1"/>
    <col min="15111" max="15111" width="9.85546875" style="489" bestFit="1" customWidth="1"/>
    <col min="15112" max="15112" width="11.28515625" style="489" customWidth="1"/>
    <col min="15113" max="15353" width="9.140625" style="489"/>
    <col min="15354" max="15354" width="5.28515625" style="489" customWidth="1"/>
    <col min="15355" max="15355" width="12" style="489" customWidth="1"/>
    <col min="15356" max="15356" width="54.5703125" style="489" customWidth="1"/>
    <col min="15357" max="15366" width="10.7109375" style="489" customWidth="1"/>
    <col min="15367" max="15367" width="9.85546875" style="489" bestFit="1" customWidth="1"/>
    <col min="15368" max="15368" width="11.28515625" style="489" customWidth="1"/>
    <col min="15369" max="15609" width="9.140625" style="489"/>
    <col min="15610" max="15610" width="5.28515625" style="489" customWidth="1"/>
    <col min="15611" max="15611" width="12" style="489" customWidth="1"/>
    <col min="15612" max="15612" width="54.5703125" style="489" customWidth="1"/>
    <col min="15613" max="15622" width="10.7109375" style="489" customWidth="1"/>
    <col min="15623" max="15623" width="9.85546875" style="489" bestFit="1" customWidth="1"/>
    <col min="15624" max="15624" width="11.28515625" style="489" customWidth="1"/>
    <col min="15625" max="15865" width="9.140625" style="489"/>
    <col min="15866" max="15866" width="5.28515625" style="489" customWidth="1"/>
    <col min="15867" max="15867" width="12" style="489" customWidth="1"/>
    <col min="15868" max="15868" width="54.5703125" style="489" customWidth="1"/>
    <col min="15869" max="15878" width="10.7109375" style="489" customWidth="1"/>
    <col min="15879" max="15879" width="9.85546875" style="489" bestFit="1" customWidth="1"/>
    <col min="15880" max="15880" width="11.28515625" style="489" customWidth="1"/>
    <col min="15881" max="16121" width="9.140625" style="489"/>
    <col min="16122" max="16122" width="5.28515625" style="489" customWidth="1"/>
    <col min="16123" max="16123" width="12" style="489" customWidth="1"/>
    <col min="16124" max="16124" width="54.5703125" style="489" customWidth="1"/>
    <col min="16125" max="16134" width="10.7109375" style="489" customWidth="1"/>
    <col min="16135" max="16135" width="9.85546875" style="489" bestFit="1" customWidth="1"/>
    <col min="16136" max="16136" width="11.28515625" style="489" customWidth="1"/>
    <col min="16137" max="16384" width="9.140625" style="489"/>
  </cols>
  <sheetData>
    <row r="1" spans="1:13" ht="18">
      <c r="A1" s="1083" t="e">
        <f>#REF!</f>
        <v>#REF!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</row>
    <row r="2" spans="1:13" ht="18">
      <c r="A2" s="1084" t="s">
        <v>7</v>
      </c>
      <c r="B2" s="1084"/>
      <c r="C2" s="1084"/>
      <c r="D2" s="1084"/>
      <c r="E2" s="1084"/>
      <c r="F2" s="1084"/>
      <c r="G2" s="421" t="str">
        <f>'B-1.2'!B12</f>
        <v>B-1.2.3</v>
      </c>
      <c r="H2" s="421"/>
      <c r="I2" s="421"/>
      <c r="J2" s="421"/>
      <c r="K2" s="421"/>
      <c r="L2" s="421"/>
      <c r="M2" s="421"/>
    </row>
    <row r="3" spans="1:13" ht="18">
      <c r="A3" s="1094" t="str">
        <f>'B-1.2'!C12</f>
        <v>სადრენაჟე სათავე კვანძის სათვალთვალო ჭები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3" ht="15">
      <c r="A4" s="1086"/>
      <c r="B4" s="1086"/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</row>
    <row r="5" spans="1:13" ht="29.25" customHeight="1">
      <c r="A5" s="422"/>
      <c r="B5" s="1087" t="e">
        <f>#REF!</f>
        <v>#REF!</v>
      </c>
      <c r="C5" s="1087"/>
      <c r="D5" s="1087"/>
      <c r="E5" s="1087"/>
      <c r="F5" s="1087"/>
      <c r="G5" s="1087"/>
      <c r="H5" s="422"/>
      <c r="I5" s="422"/>
      <c r="J5" s="422"/>
      <c r="K5" s="422"/>
      <c r="L5" s="422"/>
      <c r="M5" s="422"/>
    </row>
    <row r="6" spans="1:13" ht="15">
      <c r="A6" s="422"/>
      <c r="B6" s="490"/>
      <c r="C6" s="490"/>
      <c r="D6" s="490"/>
      <c r="E6" s="490"/>
      <c r="F6" s="490"/>
      <c r="G6" s="490"/>
      <c r="H6" s="422"/>
      <c r="I6" s="422"/>
      <c r="J6" s="422"/>
      <c r="K6" s="422"/>
      <c r="L6" s="422"/>
      <c r="M6" s="422"/>
    </row>
    <row r="7" spans="1:13">
      <c r="A7" s="1095" t="s">
        <v>147</v>
      </c>
      <c r="B7" s="1096" t="s">
        <v>20</v>
      </c>
      <c r="C7" s="1092" t="s">
        <v>149</v>
      </c>
      <c r="D7" s="1092" t="s">
        <v>150</v>
      </c>
      <c r="E7" s="1092" t="s">
        <v>151</v>
      </c>
      <c r="F7" s="1092" t="s">
        <v>152</v>
      </c>
      <c r="G7" s="1093" t="s">
        <v>153</v>
      </c>
      <c r="H7" s="1093"/>
      <c r="I7" s="1093" t="s">
        <v>154</v>
      </c>
      <c r="J7" s="1093"/>
      <c r="K7" s="1092" t="s">
        <v>155</v>
      </c>
      <c r="L7" s="1092"/>
      <c r="M7" s="492" t="s">
        <v>156</v>
      </c>
    </row>
    <row r="8" spans="1:13">
      <c r="A8" s="1095"/>
      <c r="B8" s="1096"/>
      <c r="C8" s="1092"/>
      <c r="D8" s="1092"/>
      <c r="E8" s="1092"/>
      <c r="F8" s="1092"/>
      <c r="G8" s="492" t="s">
        <v>157</v>
      </c>
      <c r="H8" s="493" t="s">
        <v>158</v>
      </c>
      <c r="I8" s="492" t="s">
        <v>157</v>
      </c>
      <c r="J8" s="493" t="s">
        <v>158</v>
      </c>
      <c r="K8" s="492" t="s">
        <v>157</v>
      </c>
      <c r="L8" s="493" t="s">
        <v>159</v>
      </c>
      <c r="M8" s="492" t="s">
        <v>160</v>
      </c>
    </row>
    <row r="9" spans="1:13">
      <c r="A9" s="382">
        <v>1</v>
      </c>
      <c r="B9" s="382"/>
      <c r="C9" s="382">
        <v>2</v>
      </c>
      <c r="D9" s="382">
        <v>4</v>
      </c>
      <c r="E9" s="382">
        <v>5</v>
      </c>
      <c r="F9" s="382">
        <v>6</v>
      </c>
      <c r="G9" s="494">
        <v>7</v>
      </c>
      <c r="H9" s="495">
        <v>8</v>
      </c>
      <c r="I9" s="494">
        <v>9</v>
      </c>
      <c r="J9" s="495">
        <v>10</v>
      </c>
      <c r="K9" s="494">
        <v>11</v>
      </c>
      <c r="L9" s="495">
        <v>12</v>
      </c>
      <c r="M9" s="494">
        <v>13</v>
      </c>
    </row>
    <row r="10" spans="1:13">
      <c r="A10" s="1097" t="s">
        <v>831</v>
      </c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9"/>
    </row>
    <row r="11" spans="1:13" ht="27">
      <c r="A11" s="509">
        <v>1</v>
      </c>
      <c r="B11" s="563" t="s">
        <v>756</v>
      </c>
      <c r="C11" s="510" t="s">
        <v>785</v>
      </c>
      <c r="D11" s="492" t="s">
        <v>15</v>
      </c>
      <c r="E11" s="492"/>
      <c r="F11" s="542">
        <f>11.25*0.6</f>
        <v>6.75</v>
      </c>
      <c r="G11" s="492"/>
      <c r="H11" s="493"/>
      <c r="I11" s="492"/>
      <c r="J11" s="493"/>
      <c r="K11" s="492"/>
      <c r="L11" s="493"/>
      <c r="M11" s="493"/>
    </row>
    <row r="12" spans="1:13">
      <c r="A12" s="382"/>
      <c r="B12" s="382"/>
      <c r="C12" s="383" t="s">
        <v>86</v>
      </c>
      <c r="D12" s="494" t="s">
        <v>13</v>
      </c>
      <c r="E12" s="498">
        <f>16.5/1000</f>
        <v>1.6500000000000001E-2</v>
      </c>
      <c r="F12" s="544">
        <f>F11*E12</f>
        <v>0.111375</v>
      </c>
      <c r="G12" s="494"/>
      <c r="H12" s="511"/>
      <c r="I12" s="494"/>
      <c r="J12" s="557"/>
      <c r="K12" s="494"/>
      <c r="L12" s="511"/>
      <c r="M12" s="557"/>
    </row>
    <row r="13" spans="1:13">
      <c r="A13" s="382"/>
      <c r="B13" s="366" t="s">
        <v>615</v>
      </c>
      <c r="C13" s="507" t="s">
        <v>763</v>
      </c>
      <c r="D13" s="496" t="s">
        <v>14</v>
      </c>
      <c r="E13" s="498">
        <f>37/1000</f>
        <v>3.6999999999999998E-2</v>
      </c>
      <c r="F13" s="508">
        <f>E13*F11</f>
        <v>0.24975</v>
      </c>
      <c r="G13" s="498"/>
      <c r="H13" s="508"/>
      <c r="I13" s="498"/>
      <c r="J13" s="508"/>
      <c r="K13" s="415"/>
      <c r="L13" s="508"/>
      <c r="M13" s="557"/>
    </row>
    <row r="14" spans="1:13" ht="27">
      <c r="A14" s="501">
        <v>2</v>
      </c>
      <c r="B14" s="502" t="s">
        <v>762</v>
      </c>
      <c r="C14" s="503" t="s">
        <v>745</v>
      </c>
      <c r="D14" s="504" t="s">
        <v>15</v>
      </c>
      <c r="E14" s="504"/>
      <c r="F14" s="542">
        <f>11.25*0.4</f>
        <v>4.5</v>
      </c>
      <c r="G14" s="504"/>
      <c r="H14" s="506"/>
      <c r="I14" s="504"/>
      <c r="J14" s="506"/>
      <c r="K14" s="504"/>
      <c r="L14" s="506"/>
      <c r="M14" s="506"/>
    </row>
    <row r="15" spans="1:13">
      <c r="A15" s="496"/>
      <c r="B15" s="496"/>
      <c r="C15" s="507" t="s">
        <v>86</v>
      </c>
      <c r="D15" s="498" t="s">
        <v>13</v>
      </c>
      <c r="E15" s="498">
        <f>21.5/1000</f>
        <v>2.1499999999999998E-2</v>
      </c>
      <c r="F15" s="508">
        <f>F14*E15</f>
        <v>9.6749999999999989E-2</v>
      </c>
      <c r="G15" s="498"/>
      <c r="H15" s="508"/>
      <c r="I15" s="498"/>
      <c r="J15" s="508"/>
      <c r="K15" s="498"/>
      <c r="L15" s="508"/>
      <c r="M15" s="508"/>
    </row>
    <row r="16" spans="1:13">
      <c r="A16" s="496"/>
      <c r="B16" s="496" t="s">
        <v>758</v>
      </c>
      <c r="C16" s="507" t="s">
        <v>763</v>
      </c>
      <c r="D16" s="496" t="s">
        <v>14</v>
      </c>
      <c r="E16" s="498">
        <f>48.2/1000</f>
        <v>4.82E-2</v>
      </c>
      <c r="F16" s="508">
        <f>E16*F14</f>
        <v>0.21690000000000001</v>
      </c>
      <c r="G16" s="498"/>
      <c r="H16" s="508"/>
      <c r="I16" s="498"/>
      <c r="J16" s="508"/>
      <c r="K16" s="415"/>
      <c r="L16" s="508"/>
      <c r="M16" s="508"/>
    </row>
    <row r="17" spans="1:13" ht="27">
      <c r="A17" s="509">
        <v>3</v>
      </c>
      <c r="B17" s="563" t="s">
        <v>786</v>
      </c>
      <c r="C17" s="510" t="s">
        <v>787</v>
      </c>
      <c r="D17" s="509" t="s">
        <v>15</v>
      </c>
      <c r="E17" s="509"/>
      <c r="F17" s="509">
        <v>0.36099999999999999</v>
      </c>
      <c r="G17" s="492"/>
      <c r="H17" s="540"/>
      <c r="I17" s="492"/>
      <c r="J17" s="540"/>
      <c r="K17" s="492"/>
      <c r="L17" s="540"/>
      <c r="M17" s="493"/>
    </row>
    <row r="18" spans="1:13">
      <c r="A18" s="417"/>
      <c r="B18" s="382"/>
      <c r="C18" s="541" t="s">
        <v>265</v>
      </c>
      <c r="D18" s="382" t="s">
        <v>13</v>
      </c>
      <c r="E18" s="382">
        <f>17.8/10</f>
        <v>1.78</v>
      </c>
      <c r="F18" s="386">
        <f>F17*E18</f>
        <v>0.64258000000000004</v>
      </c>
      <c r="G18" s="382"/>
      <c r="H18" s="386"/>
      <c r="I18" s="382"/>
      <c r="J18" s="386"/>
      <c r="K18" s="382"/>
      <c r="L18" s="386"/>
      <c r="M18" s="386"/>
    </row>
    <row r="19" spans="1:13">
      <c r="A19" s="417"/>
      <c r="B19" s="573"/>
      <c r="C19" s="382" t="s">
        <v>88</v>
      </c>
      <c r="D19" s="382"/>
      <c r="E19" s="382"/>
      <c r="F19" s="386"/>
      <c r="G19" s="382"/>
      <c r="H19" s="386"/>
      <c r="I19" s="382"/>
      <c r="J19" s="386"/>
      <c r="K19" s="382"/>
      <c r="L19" s="386"/>
      <c r="M19" s="386"/>
    </row>
    <row r="20" spans="1:13">
      <c r="A20" s="417"/>
      <c r="B20" s="412" t="s">
        <v>618</v>
      </c>
      <c r="C20" s="541" t="s">
        <v>95</v>
      </c>
      <c r="D20" s="494" t="s">
        <v>373</v>
      </c>
      <c r="E20" s="382">
        <f>11/10</f>
        <v>1.1000000000000001</v>
      </c>
      <c r="F20" s="386">
        <f>F17*E20</f>
        <v>0.39710000000000001</v>
      </c>
      <c r="G20" s="413"/>
      <c r="H20" s="386"/>
      <c r="I20" s="382"/>
      <c r="J20" s="386"/>
      <c r="K20" s="382"/>
      <c r="L20" s="386"/>
      <c r="M20" s="386"/>
    </row>
    <row r="21" spans="1:13" ht="27">
      <c r="A21" s="416">
        <v>4</v>
      </c>
      <c r="B21" s="563" t="s">
        <v>788</v>
      </c>
      <c r="C21" s="528" t="s">
        <v>789</v>
      </c>
      <c r="D21" s="509" t="s">
        <v>15</v>
      </c>
      <c r="E21" s="526"/>
      <c r="F21" s="526">
        <v>3.5813000000000001</v>
      </c>
      <c r="G21" s="526"/>
      <c r="H21" s="526"/>
      <c r="I21" s="526"/>
      <c r="J21" s="526"/>
      <c r="K21" s="526"/>
      <c r="L21" s="526"/>
      <c r="M21" s="526"/>
    </row>
    <row r="22" spans="1:13">
      <c r="A22" s="417"/>
      <c r="B22" s="382"/>
      <c r="C22" s="541" t="s">
        <v>96</v>
      </c>
      <c r="D22" s="494" t="s">
        <v>13</v>
      </c>
      <c r="E22" s="493">
        <f>106/10</f>
        <v>10.6</v>
      </c>
      <c r="F22" s="511">
        <f>F21*E22</f>
        <v>37.961779999999997</v>
      </c>
      <c r="G22" s="382"/>
      <c r="H22" s="386"/>
      <c r="I22" s="382"/>
      <c r="J22" s="386"/>
      <c r="K22" s="382"/>
      <c r="L22" s="382"/>
      <c r="M22" s="386"/>
    </row>
    <row r="23" spans="1:13">
      <c r="A23" s="558"/>
      <c r="B23" s="382"/>
      <c r="C23" s="541" t="s">
        <v>97</v>
      </c>
      <c r="D23" s="494" t="s">
        <v>16</v>
      </c>
      <c r="E23" s="509">
        <f>71.4/10</f>
        <v>7.1400000000000006</v>
      </c>
      <c r="F23" s="386">
        <f>E23*F21</f>
        <v>25.570482000000002</v>
      </c>
      <c r="G23" s="382"/>
      <c r="H23" s="382"/>
      <c r="I23" s="382"/>
      <c r="J23" s="382"/>
      <c r="K23" s="382"/>
      <c r="L23" s="386"/>
      <c r="M23" s="386"/>
    </row>
    <row r="24" spans="1:13">
      <c r="A24" s="417"/>
      <c r="B24" s="19" t="s">
        <v>624</v>
      </c>
      <c r="C24" s="73" t="s">
        <v>377</v>
      </c>
      <c r="D24" s="494" t="s">
        <v>98</v>
      </c>
      <c r="E24" s="511"/>
      <c r="F24" s="493">
        <v>2</v>
      </c>
      <c r="G24" s="574"/>
      <c r="H24" s="574"/>
      <c r="I24" s="575"/>
      <c r="J24" s="575"/>
      <c r="K24" s="574"/>
      <c r="L24" s="574"/>
      <c r="M24" s="9"/>
    </row>
    <row r="25" spans="1:13">
      <c r="A25" s="417"/>
      <c r="B25" s="19" t="s">
        <v>626</v>
      </c>
      <c r="C25" s="73" t="s">
        <v>196</v>
      </c>
      <c r="D25" s="494" t="s">
        <v>98</v>
      </c>
      <c r="E25" s="511"/>
      <c r="F25" s="493">
        <v>1</v>
      </c>
      <c r="G25" s="574"/>
      <c r="H25" s="574"/>
      <c r="I25" s="575"/>
      <c r="J25" s="575"/>
      <c r="K25" s="574"/>
      <c r="L25" s="574"/>
      <c r="M25" s="9"/>
    </row>
    <row r="26" spans="1:13">
      <c r="A26" s="417"/>
      <c r="B26" s="19" t="s">
        <v>627</v>
      </c>
      <c r="C26" s="73" t="s">
        <v>99</v>
      </c>
      <c r="D26" s="494" t="s">
        <v>98</v>
      </c>
      <c r="E26" s="511"/>
      <c r="F26" s="493">
        <f>F25</f>
        <v>1</v>
      </c>
      <c r="G26" s="574"/>
      <c r="H26" s="574"/>
      <c r="I26" s="575"/>
      <c r="J26" s="575"/>
      <c r="K26" s="574"/>
      <c r="L26" s="574"/>
      <c r="M26" s="9"/>
    </row>
    <row r="27" spans="1:13">
      <c r="A27" s="417"/>
      <c r="B27" s="19" t="s">
        <v>628</v>
      </c>
      <c r="C27" s="73" t="s">
        <v>105</v>
      </c>
      <c r="D27" s="494" t="s">
        <v>15</v>
      </c>
      <c r="E27" s="576">
        <f>1.57/10</f>
        <v>0.157</v>
      </c>
      <c r="F27" s="511">
        <f>F21*E27</f>
        <v>0.56226410000000004</v>
      </c>
      <c r="G27" s="574"/>
      <c r="H27" s="574"/>
      <c r="I27" s="575"/>
      <c r="J27" s="575"/>
      <c r="K27" s="574"/>
      <c r="L27" s="574"/>
      <c r="M27" s="9"/>
    </row>
    <row r="28" spans="1:13">
      <c r="A28" s="417"/>
      <c r="B28" s="494"/>
      <c r="C28" s="507" t="s">
        <v>161</v>
      </c>
      <c r="D28" s="494" t="s">
        <v>16</v>
      </c>
      <c r="E28" s="493">
        <f>66.1/10</f>
        <v>6.6099999999999994</v>
      </c>
      <c r="F28" s="511">
        <f>F21*E28</f>
        <v>23.672393</v>
      </c>
      <c r="G28" s="400"/>
      <c r="H28" s="389"/>
      <c r="I28" s="545"/>
      <c r="J28" s="546"/>
      <c r="K28" s="400"/>
      <c r="L28" s="400"/>
      <c r="M28" s="386"/>
    </row>
    <row r="29" spans="1:13" ht="27">
      <c r="A29" s="416">
        <v>5</v>
      </c>
      <c r="B29" s="577" t="s">
        <v>790</v>
      </c>
      <c r="C29" s="528" t="s">
        <v>100</v>
      </c>
      <c r="D29" s="509" t="s">
        <v>539</v>
      </c>
      <c r="E29" s="509"/>
      <c r="F29" s="526">
        <v>8.01</v>
      </c>
      <c r="G29" s="526"/>
      <c r="H29" s="526"/>
      <c r="I29" s="526"/>
      <c r="J29" s="526"/>
      <c r="K29" s="526"/>
      <c r="L29" s="526"/>
      <c r="M29" s="526"/>
    </row>
    <row r="30" spans="1:13">
      <c r="A30" s="417"/>
      <c r="B30" s="578"/>
      <c r="C30" s="579" t="s">
        <v>101</v>
      </c>
      <c r="D30" s="580" t="s">
        <v>102</v>
      </c>
      <c r="E30" s="472">
        <v>0.56399999999999995</v>
      </c>
      <c r="F30" s="581">
        <f>F29*E30</f>
        <v>4.5176399999999992</v>
      </c>
      <c r="G30" s="581"/>
      <c r="H30" s="581"/>
      <c r="I30" s="582"/>
      <c r="J30" s="582"/>
      <c r="K30" s="581"/>
      <c r="L30" s="581"/>
      <c r="M30" s="582"/>
    </row>
    <row r="31" spans="1:13">
      <c r="A31" s="417"/>
      <c r="B31" s="578"/>
      <c r="C31" s="579" t="s">
        <v>97</v>
      </c>
      <c r="D31" s="580" t="s">
        <v>16</v>
      </c>
      <c r="E31" s="472">
        <v>4.0899999999999999E-2</v>
      </c>
      <c r="F31" s="581">
        <f>F29*E31</f>
        <v>0.32760899999999998</v>
      </c>
      <c r="G31" s="581"/>
      <c r="H31" s="581"/>
      <c r="I31" s="581"/>
      <c r="J31" s="581"/>
      <c r="K31" s="581"/>
      <c r="L31" s="581"/>
      <c r="M31" s="582"/>
    </row>
    <row r="32" spans="1:13">
      <c r="A32" s="417"/>
      <c r="B32" s="19" t="s">
        <v>629</v>
      </c>
      <c r="C32" s="579" t="s">
        <v>121</v>
      </c>
      <c r="D32" s="580" t="s">
        <v>103</v>
      </c>
      <c r="E32" s="473">
        <v>4.5000000000000005E-3</v>
      </c>
      <c r="F32" s="583">
        <f>F29*E32</f>
        <v>3.6045000000000001E-2</v>
      </c>
      <c r="G32" s="8"/>
      <c r="H32" s="581"/>
      <c r="I32" s="581"/>
      <c r="J32" s="581"/>
      <c r="K32" s="581"/>
      <c r="L32" s="581"/>
      <c r="M32" s="582"/>
    </row>
    <row r="33" spans="1:13">
      <c r="A33" s="417"/>
      <c r="B33" s="19" t="s">
        <v>630</v>
      </c>
      <c r="C33" s="579" t="s">
        <v>791</v>
      </c>
      <c r="D33" s="580" t="s">
        <v>15</v>
      </c>
      <c r="E33" s="473">
        <v>1E-3</v>
      </c>
      <c r="F33" s="583">
        <f>F29*E33</f>
        <v>8.0099999999999998E-3</v>
      </c>
      <c r="G33" s="8"/>
      <c r="H33" s="581"/>
      <c r="I33" s="581"/>
      <c r="J33" s="581"/>
      <c r="K33" s="581"/>
      <c r="L33" s="581"/>
      <c r="M33" s="582"/>
    </row>
    <row r="34" spans="1:13">
      <c r="A34" s="417"/>
      <c r="B34" s="541"/>
      <c r="C34" s="584" t="s">
        <v>45</v>
      </c>
      <c r="D34" s="580" t="s">
        <v>16</v>
      </c>
      <c r="E34" s="473">
        <v>0.26500000000000001</v>
      </c>
      <c r="F34" s="585">
        <f>F29*E34</f>
        <v>2.1226500000000001</v>
      </c>
      <c r="G34" s="581"/>
      <c r="H34" s="581"/>
      <c r="I34" s="581"/>
      <c r="J34" s="581"/>
      <c r="K34" s="581"/>
      <c r="L34" s="581"/>
      <c r="M34" s="582"/>
    </row>
    <row r="35" spans="1:13">
      <c r="A35" s="509">
        <v>6</v>
      </c>
      <c r="B35" s="563" t="s">
        <v>792</v>
      </c>
      <c r="C35" s="528" t="s">
        <v>793</v>
      </c>
      <c r="D35" s="509" t="s">
        <v>15</v>
      </c>
      <c r="E35" s="509"/>
      <c r="F35" s="509">
        <v>0.55000000000000004</v>
      </c>
      <c r="G35" s="492"/>
      <c r="H35" s="540"/>
      <c r="I35" s="492"/>
      <c r="J35" s="540"/>
      <c r="K35" s="492"/>
      <c r="L35" s="540"/>
      <c r="M35" s="493"/>
    </row>
    <row r="36" spans="1:13">
      <c r="A36" s="417" t="s">
        <v>130</v>
      </c>
      <c r="B36" s="382"/>
      <c r="C36" s="541" t="s">
        <v>265</v>
      </c>
      <c r="D36" s="382" t="s">
        <v>13</v>
      </c>
      <c r="E36" s="382">
        <f>2.9</f>
        <v>2.9</v>
      </c>
      <c r="F36" s="386">
        <f>F35*E36</f>
        <v>1.595</v>
      </c>
      <c r="G36" s="382"/>
      <c r="H36" s="386"/>
      <c r="I36" s="382"/>
      <c r="J36" s="386"/>
      <c r="K36" s="382"/>
      <c r="L36" s="386"/>
      <c r="M36" s="386"/>
    </row>
    <row r="37" spans="1:13">
      <c r="A37" s="417"/>
      <c r="B37" s="573"/>
      <c r="C37" s="382" t="s">
        <v>88</v>
      </c>
      <c r="D37" s="382"/>
      <c r="E37" s="382"/>
      <c r="F37" s="386"/>
      <c r="G37" s="382"/>
      <c r="H37" s="386"/>
      <c r="I37" s="382"/>
      <c r="J37" s="386"/>
      <c r="K37" s="382"/>
      <c r="L37" s="386"/>
      <c r="M37" s="386"/>
    </row>
    <row r="38" spans="1:13">
      <c r="A38" s="417"/>
      <c r="B38" s="580" t="s">
        <v>675</v>
      </c>
      <c r="C38" s="541" t="s">
        <v>254</v>
      </c>
      <c r="D38" s="494" t="s">
        <v>373</v>
      </c>
      <c r="E38" s="382">
        <f>1.02</f>
        <v>1.02</v>
      </c>
      <c r="F38" s="386">
        <f>F35*E38</f>
        <v>0.56100000000000005</v>
      </c>
      <c r="G38" s="382"/>
      <c r="H38" s="386"/>
      <c r="I38" s="382"/>
      <c r="J38" s="386"/>
      <c r="K38" s="382"/>
      <c r="L38" s="386"/>
      <c r="M38" s="386"/>
    </row>
    <row r="39" spans="1:13">
      <c r="A39" s="417"/>
      <c r="B39" s="573"/>
      <c r="C39" s="383" t="s">
        <v>89</v>
      </c>
      <c r="D39" s="382" t="s">
        <v>16</v>
      </c>
      <c r="E39" s="382">
        <f>0.88</f>
        <v>0.88</v>
      </c>
      <c r="F39" s="386">
        <f>F35*E39</f>
        <v>0.48400000000000004</v>
      </c>
      <c r="G39" s="382"/>
      <c r="H39" s="386"/>
      <c r="I39" s="382"/>
      <c r="J39" s="386"/>
      <c r="K39" s="382"/>
      <c r="L39" s="386"/>
      <c r="M39" s="386"/>
    </row>
    <row r="40" spans="1:13" ht="40.5">
      <c r="A40" s="501">
        <v>7</v>
      </c>
      <c r="B40" s="502" t="s">
        <v>794</v>
      </c>
      <c r="C40" s="503" t="s">
        <v>795</v>
      </c>
      <c r="D40" s="504" t="s">
        <v>15</v>
      </c>
      <c r="E40" s="504"/>
      <c r="F40" s="505">
        <f>F11+F14</f>
        <v>11.25</v>
      </c>
      <c r="G40" s="504"/>
      <c r="H40" s="506"/>
      <c r="I40" s="504"/>
      <c r="J40" s="506"/>
      <c r="K40" s="504"/>
      <c r="L40" s="506"/>
      <c r="M40" s="506"/>
    </row>
    <row r="41" spans="1:13">
      <c r="A41" s="496"/>
      <c r="B41" s="312" t="s">
        <v>622</v>
      </c>
      <c r="C41" s="507" t="s">
        <v>784</v>
      </c>
      <c r="D41" s="496" t="s">
        <v>65</v>
      </c>
      <c r="E41" s="586">
        <f>9.21/1000</f>
        <v>9.2100000000000012E-3</v>
      </c>
      <c r="F41" s="508">
        <f>F40*E41</f>
        <v>0.10361250000000001</v>
      </c>
      <c r="G41" s="498"/>
      <c r="H41" s="508"/>
      <c r="I41" s="498"/>
      <c r="J41" s="508"/>
      <c r="K41" s="289"/>
      <c r="L41" s="568"/>
      <c r="M41" s="508"/>
    </row>
    <row r="42" spans="1:13">
      <c r="A42" s="521"/>
      <c r="B42" s="521"/>
      <c r="C42" s="522" t="s">
        <v>158</v>
      </c>
      <c r="D42" s="523"/>
      <c r="E42" s="524"/>
      <c r="F42" s="524"/>
      <c r="G42" s="525"/>
      <c r="H42" s="526"/>
      <c r="I42" s="527"/>
      <c r="J42" s="526"/>
      <c r="K42" s="525"/>
      <c r="L42" s="526"/>
      <c r="M42" s="526"/>
    </row>
    <row r="43" spans="1:13">
      <c r="A43" s="521"/>
      <c r="B43" s="521"/>
      <c r="C43" s="523" t="s">
        <v>796</v>
      </c>
      <c r="D43" s="587">
        <v>3</v>
      </c>
      <c r="E43" s="587"/>
      <c r="F43" s="587"/>
      <c r="G43" s="525"/>
      <c r="H43" s="526"/>
      <c r="I43" s="527"/>
      <c r="J43" s="526"/>
      <c r="K43" s="525"/>
      <c r="L43" s="526"/>
      <c r="M43" s="526"/>
    </row>
    <row r="44" spans="1:13">
      <c r="A44" s="382"/>
      <c r="B44" s="382"/>
      <c r="C44" s="528" t="s">
        <v>162</v>
      </c>
      <c r="D44" s="529" t="s">
        <v>851</v>
      </c>
      <c r="E44" s="530"/>
      <c r="F44" s="530"/>
      <c r="G44" s="530"/>
      <c r="H44" s="531"/>
      <c r="I44" s="530"/>
      <c r="J44" s="531"/>
      <c r="K44" s="530"/>
      <c r="L44" s="531"/>
      <c r="M44" s="531"/>
    </row>
    <row r="45" spans="1:13">
      <c r="A45" s="382"/>
      <c r="B45" s="382"/>
      <c r="C45" s="528" t="s">
        <v>158</v>
      </c>
      <c r="D45" s="492"/>
      <c r="E45" s="532"/>
      <c r="F45" s="532"/>
      <c r="G45" s="532"/>
      <c r="H45" s="533"/>
      <c r="I45" s="534"/>
      <c r="J45" s="533"/>
      <c r="K45" s="534"/>
      <c r="L45" s="533"/>
      <c r="M45" s="533"/>
    </row>
    <row r="46" spans="1:13">
      <c r="A46" s="382"/>
      <c r="B46" s="382"/>
      <c r="C46" s="528" t="s">
        <v>797</v>
      </c>
      <c r="D46" s="535" t="s">
        <v>851</v>
      </c>
      <c r="E46" s="530"/>
      <c r="F46" s="530"/>
      <c r="G46" s="530"/>
      <c r="H46" s="536"/>
      <c r="I46" s="536"/>
      <c r="J46" s="536"/>
      <c r="K46" s="536"/>
      <c r="L46" s="536"/>
      <c r="M46" s="531"/>
    </row>
    <row r="47" spans="1:13">
      <c r="A47" s="382"/>
      <c r="B47" s="382"/>
      <c r="C47" s="528" t="s">
        <v>158</v>
      </c>
      <c r="D47" s="494"/>
      <c r="E47" s="532"/>
      <c r="F47" s="532"/>
      <c r="G47" s="532"/>
      <c r="H47" s="534"/>
      <c r="I47" s="534"/>
      <c r="J47" s="534"/>
      <c r="K47" s="534"/>
      <c r="L47" s="534"/>
      <c r="M47" s="533"/>
    </row>
    <row r="48" spans="1:13">
      <c r="A48" s="382"/>
      <c r="B48" s="382"/>
      <c r="C48" s="528" t="s">
        <v>163</v>
      </c>
      <c r="D48" s="529" t="s">
        <v>851</v>
      </c>
      <c r="E48" s="530"/>
      <c r="F48" s="530"/>
      <c r="G48" s="530"/>
      <c r="H48" s="536"/>
      <c r="I48" s="536"/>
      <c r="J48" s="536"/>
      <c r="K48" s="536"/>
      <c r="L48" s="536"/>
      <c r="M48" s="531"/>
    </row>
    <row r="49" spans="1:13">
      <c r="A49" s="382"/>
      <c r="B49" s="382"/>
      <c r="C49" s="528" t="s">
        <v>164</v>
      </c>
      <c r="D49" s="532"/>
      <c r="E49" s="532"/>
      <c r="F49" s="532"/>
      <c r="G49" s="532"/>
      <c r="H49" s="534"/>
      <c r="I49" s="534"/>
      <c r="J49" s="534"/>
      <c r="K49" s="534"/>
      <c r="L49" s="534"/>
      <c r="M49" s="533"/>
    </row>
    <row r="52" spans="1:13">
      <c r="C52" s="537"/>
      <c r="D52" s="538"/>
      <c r="E52" s="538"/>
      <c r="F52" s="538"/>
      <c r="G52" s="538"/>
      <c r="H52" s="538"/>
      <c r="I52" s="538"/>
    </row>
    <row r="53" spans="1:13">
      <c r="C53" s="537"/>
      <c r="D53" s="538"/>
      <c r="E53" s="538"/>
      <c r="F53" s="538"/>
      <c r="G53" s="538"/>
      <c r="H53" s="538"/>
      <c r="I53" s="538"/>
    </row>
  </sheetData>
  <sheetProtection password="CA9C" sheet="1" objects="1" scenarios="1"/>
  <protectedRanges>
    <protectedRange sqref="D44:M53" name="Range2"/>
    <protectedRange sqref="G11:M53" name="Range1"/>
  </protectedRanges>
  <mergeCells count="15">
    <mergeCell ref="A1:M1"/>
    <mergeCell ref="A2:F2"/>
    <mergeCell ref="A3:M3"/>
    <mergeCell ref="A4:M4"/>
    <mergeCell ref="B5:G5"/>
    <mergeCell ref="F7:F8"/>
    <mergeCell ref="G7:H7"/>
    <mergeCell ref="I7:J7"/>
    <mergeCell ref="K7:L7"/>
    <mergeCell ref="A10:M10"/>
    <mergeCell ref="A7:A8"/>
    <mergeCell ref="B7:B8"/>
    <mergeCell ref="C7:C8"/>
    <mergeCell ref="D7:D8"/>
    <mergeCell ref="E7:E8"/>
  </mergeCells>
  <conditionalFormatting sqref="C29:C34">
    <cfRule type="cellIs" dxfId="145" priority="5" stopIfTrue="1" operator="equal">
      <formula>8223.307275</formula>
    </cfRule>
  </conditionalFormatting>
  <conditionalFormatting sqref="F29">
    <cfRule type="cellIs" dxfId="144" priority="2" stopIfTrue="1" operator="equal">
      <formula>8223.307275</formula>
    </cfRule>
  </conditionalFormatting>
  <conditionalFormatting sqref="D29:E34 F30:M31 F34:M34 F32:F33 H32:M33">
    <cfRule type="cellIs" dxfId="143" priority="4" stopIfTrue="1" operator="equal">
      <formula>8223.307275</formula>
    </cfRule>
  </conditionalFormatting>
  <conditionalFormatting sqref="G29:M29">
    <cfRule type="cellIs" dxfId="142" priority="3" stopIfTrue="1" operator="equal">
      <formula>8223.307275</formula>
    </cfRule>
  </conditionalFormatting>
  <conditionalFormatting sqref="B20">
    <cfRule type="cellIs" dxfId="141" priority="1" stopIfTrue="1" operator="equal">
      <formula>8223.307275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scale="75" orientation="landscape" r:id="rId1"/>
  <headerFooter alignWithMargins="0"/>
  <rowBreaks count="1" manualBreakCount="1">
    <brk id="34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C16" sqref="C16:G19"/>
    </sheetView>
  </sheetViews>
  <sheetFormatPr defaultRowHeight="12.75"/>
  <cols>
    <col min="1" max="1" width="5.85546875" style="24" customWidth="1"/>
    <col min="2" max="2" width="8" style="24" customWidth="1"/>
    <col min="3" max="3" width="50.5703125" style="24" customWidth="1"/>
    <col min="4" max="4" width="6" style="24" customWidth="1"/>
    <col min="5" max="5" width="14.42578125" style="24" customWidth="1"/>
    <col min="6" max="8" width="15.85546875" style="24" customWidth="1"/>
    <col min="9" max="9" width="18.140625" style="24" bestFit="1" customWidth="1"/>
    <col min="10" max="10" width="12.5703125" style="24" customWidth="1"/>
    <col min="11" max="16384" width="9.140625" style="24"/>
  </cols>
  <sheetData>
    <row r="1" spans="1:10">
      <c r="B1" s="1042" t="e">
        <f>#REF!</f>
        <v>#REF!</v>
      </c>
      <c r="C1" s="1042"/>
      <c r="D1" s="1042"/>
      <c r="E1" s="1042"/>
      <c r="F1" s="1042"/>
      <c r="G1" s="1042"/>
      <c r="H1" s="1042"/>
      <c r="I1" s="1042"/>
      <c r="J1" s="1042"/>
    </row>
    <row r="2" spans="1:10">
      <c r="B2" s="1043" t="s">
        <v>53</v>
      </c>
      <c r="C2" s="1043"/>
      <c r="D2" s="1043"/>
      <c r="E2" s="1043"/>
      <c r="F2" s="25" t="str">
        <f>B!B9</f>
        <v>B-2</v>
      </c>
      <c r="G2" s="25"/>
      <c r="H2" s="25"/>
      <c r="I2" s="25"/>
      <c r="J2" s="25"/>
    </row>
    <row r="3" spans="1:10">
      <c r="B3" s="57"/>
      <c r="C3" s="57"/>
      <c r="D3" s="57"/>
      <c r="E3" s="57"/>
      <c r="F3" s="25"/>
      <c r="G3" s="25"/>
      <c r="H3" s="25"/>
      <c r="I3" s="25"/>
      <c r="J3" s="25"/>
    </row>
    <row r="4" spans="1:10">
      <c r="B4" s="26"/>
      <c r="C4" s="26"/>
      <c r="D4" s="26"/>
      <c r="E4" s="26"/>
      <c r="F4" s="26"/>
      <c r="G4" s="26"/>
      <c r="H4" s="26"/>
      <c r="I4" s="1043"/>
      <c r="J4" s="1043"/>
    </row>
    <row r="5" spans="1:10">
      <c r="B5" s="27"/>
      <c r="C5" s="28"/>
      <c r="D5" s="28"/>
      <c r="E5" s="28"/>
      <c r="F5" s="28"/>
      <c r="G5" s="1044"/>
      <c r="H5" s="1044"/>
      <c r="I5" s="1044"/>
      <c r="J5" s="1044"/>
    </row>
    <row r="6" spans="1:10" ht="15.75" customHeight="1">
      <c r="A6" s="1032" t="s">
        <v>7</v>
      </c>
      <c r="B6" s="1032"/>
      <c r="C6" s="1033" t="s">
        <v>0</v>
      </c>
      <c r="D6" s="1034"/>
      <c r="E6" s="1037" t="s">
        <v>8</v>
      </c>
      <c r="F6" s="1038"/>
      <c r="G6" s="1038"/>
      <c r="H6" s="1038"/>
      <c r="I6" s="1039"/>
      <c r="J6" s="1040" t="s">
        <v>6</v>
      </c>
    </row>
    <row r="7" spans="1:10" ht="25.5">
      <c r="A7" s="1032"/>
      <c r="B7" s="1032"/>
      <c r="C7" s="1035"/>
      <c r="D7" s="1036"/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1041"/>
    </row>
    <row r="8" spans="1:10">
      <c r="A8" s="1040">
        <v>1</v>
      </c>
      <c r="B8" s="1040"/>
      <c r="C8" s="1037">
        <v>2</v>
      </c>
      <c r="D8" s="1039"/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</row>
    <row r="9" spans="1:10">
      <c r="A9" s="29">
        <v>1</v>
      </c>
      <c r="B9" s="7" t="s">
        <v>371</v>
      </c>
      <c r="C9" s="30" t="s">
        <v>433</v>
      </c>
      <c r="D9" s="31"/>
      <c r="E9" s="2">
        <f>'B-2.1'!I12</f>
        <v>0</v>
      </c>
      <c r="F9" s="2"/>
      <c r="G9" s="2"/>
      <c r="H9" s="2"/>
      <c r="I9" s="2">
        <f>E9+F9+G9+H9</f>
        <v>0</v>
      </c>
      <c r="J9" s="7"/>
    </row>
    <row r="10" spans="1:10">
      <c r="A10" s="29">
        <v>2</v>
      </c>
      <c r="B10" s="118" t="s">
        <v>372</v>
      </c>
      <c r="C10" s="32" t="s">
        <v>116</v>
      </c>
      <c r="D10" s="31"/>
      <c r="E10" s="2">
        <f>'B-2.2'!I12</f>
        <v>0</v>
      </c>
      <c r="F10" s="2"/>
      <c r="G10" s="2"/>
      <c r="H10" s="2"/>
      <c r="I10" s="2">
        <f>E10+F10+G10+H10</f>
        <v>0</v>
      </c>
      <c r="J10" s="7"/>
    </row>
    <row r="11" spans="1:10" s="35" customFormat="1">
      <c r="A11" s="1047"/>
      <c r="B11" s="1047"/>
      <c r="C11" s="1100" t="s">
        <v>9</v>
      </c>
      <c r="D11" s="1052"/>
      <c r="E11" s="33"/>
      <c r="F11" s="33"/>
      <c r="G11" s="33"/>
      <c r="H11" s="33"/>
      <c r="I11" s="58">
        <f>SUM(I9:I10)</f>
        <v>0</v>
      </c>
      <c r="J11" s="33"/>
    </row>
    <row r="12" spans="1:10">
      <c r="B12" s="27"/>
      <c r="C12" s="59"/>
      <c r="D12" s="59"/>
      <c r="E12" s="60"/>
      <c r="F12" s="60"/>
      <c r="G12" s="60"/>
      <c r="H12" s="60"/>
      <c r="I12" s="60"/>
      <c r="J12" s="51"/>
    </row>
    <row r="13" spans="1:10">
      <c r="B13" s="27"/>
      <c r="C13" s="59"/>
      <c r="D13" s="59"/>
      <c r="E13" s="60"/>
      <c r="F13" s="60"/>
      <c r="G13" s="60"/>
      <c r="H13" s="60"/>
      <c r="I13" s="60"/>
      <c r="J13" s="51"/>
    </row>
    <row r="14" spans="1:10">
      <c r="B14" s="27"/>
      <c r="C14" s="47"/>
      <c r="D14" s="47"/>
      <c r="E14" s="48"/>
      <c r="F14" s="48"/>
      <c r="G14" s="49"/>
      <c r="H14" s="50"/>
      <c r="I14" s="51"/>
      <c r="J14" s="52"/>
    </row>
    <row r="15" spans="1:10">
      <c r="B15" s="53"/>
      <c r="C15" s="54"/>
      <c r="D15" s="54"/>
      <c r="E15" s="54"/>
      <c r="F15" s="54"/>
      <c r="G15" s="54"/>
      <c r="H15" s="54"/>
      <c r="I15" s="54"/>
      <c r="J15" s="54"/>
    </row>
    <row r="16" spans="1:10">
      <c r="B16" s="54"/>
      <c r="C16" s="55"/>
      <c r="D16" s="55"/>
      <c r="E16" s="54"/>
      <c r="F16" s="54"/>
      <c r="G16" s="54"/>
      <c r="H16" s="54"/>
      <c r="I16" s="54"/>
      <c r="J16" s="54"/>
    </row>
    <row r="17" spans="2:10">
      <c r="B17" s="54"/>
      <c r="C17" s="55"/>
      <c r="D17" s="55"/>
      <c r="E17" s="54"/>
      <c r="F17" s="54"/>
      <c r="G17" s="56"/>
      <c r="H17" s="56"/>
      <c r="I17" s="56"/>
      <c r="J17" s="54"/>
    </row>
  </sheetData>
  <mergeCells count="12">
    <mergeCell ref="B1:J1"/>
    <mergeCell ref="I4:J4"/>
    <mergeCell ref="G5:J5"/>
    <mergeCell ref="E6:I6"/>
    <mergeCell ref="J6:J7"/>
    <mergeCell ref="A6:B7"/>
    <mergeCell ref="A8:B8"/>
    <mergeCell ref="A11:B11"/>
    <mergeCell ref="C8:D8"/>
    <mergeCell ref="C11:D11"/>
    <mergeCell ref="B2:E2"/>
    <mergeCell ref="C6:D7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activeCell="T65" sqref="T65"/>
    </sheetView>
  </sheetViews>
  <sheetFormatPr defaultRowHeight="12.75"/>
  <cols>
    <col min="1" max="1" width="5.85546875" style="24" customWidth="1"/>
    <col min="2" max="2" width="8" style="24" customWidth="1"/>
    <col min="3" max="3" width="50.5703125" style="24" customWidth="1"/>
    <col min="4" max="4" width="6" style="24" customWidth="1"/>
    <col min="5" max="5" width="14.42578125" style="24" customWidth="1"/>
    <col min="6" max="9" width="15.85546875" style="24" customWidth="1"/>
    <col min="10" max="10" width="12.5703125" style="24" customWidth="1"/>
    <col min="11" max="16384" width="9.140625" style="24"/>
  </cols>
  <sheetData>
    <row r="1" spans="1:10">
      <c r="B1" s="1042" t="e">
        <f>#REF!</f>
        <v>#REF!</v>
      </c>
      <c r="C1" s="1042"/>
      <c r="D1" s="1042"/>
      <c r="E1" s="1042"/>
      <c r="F1" s="1042"/>
      <c r="G1" s="1042"/>
      <c r="H1" s="1042"/>
      <c r="I1" s="1042"/>
      <c r="J1" s="61"/>
    </row>
    <row r="2" spans="1:10">
      <c r="B2" s="1043" t="s">
        <v>54</v>
      </c>
      <c r="C2" s="1043"/>
      <c r="D2" s="1043"/>
      <c r="E2" s="1043"/>
      <c r="F2" s="25" t="str">
        <f>'B-2'!B10</f>
        <v>B-2.2</v>
      </c>
      <c r="G2" s="25"/>
      <c r="H2" s="25"/>
      <c r="I2" s="25"/>
      <c r="J2" s="25"/>
    </row>
    <row r="3" spans="1:10">
      <c r="B3" s="1057" t="str">
        <f>'B-2'!C9</f>
        <v>წყალმომარაგების მაგისტრალური მილსადენები</v>
      </c>
      <c r="C3" s="1057"/>
      <c r="D3" s="1057"/>
      <c r="E3" s="1057"/>
      <c r="F3" s="1057"/>
      <c r="G3" s="1057"/>
      <c r="H3" s="1057"/>
      <c r="I3" s="1057"/>
    </row>
    <row r="4" spans="1:10">
      <c r="B4" s="62"/>
      <c r="C4" s="62"/>
      <c r="D4" s="62"/>
      <c r="E4" s="62"/>
      <c r="F4" s="62"/>
      <c r="G4" s="62"/>
      <c r="H4" s="62"/>
      <c r="I4" s="62"/>
    </row>
    <row r="5" spans="1:10">
      <c r="B5" s="27"/>
      <c r="C5" s="28"/>
      <c r="D5" s="28"/>
      <c r="E5" s="28"/>
      <c r="F5" s="28"/>
      <c r="G5" s="1044"/>
      <c r="H5" s="1044"/>
      <c r="I5" s="1044"/>
      <c r="J5" s="1044"/>
    </row>
    <row r="6" spans="1:10" ht="15.75" customHeight="1">
      <c r="A6" s="1032" t="s">
        <v>7</v>
      </c>
      <c r="B6" s="1032"/>
      <c r="C6" s="1033" t="s">
        <v>0</v>
      </c>
      <c r="D6" s="1034"/>
      <c r="E6" s="1037" t="s">
        <v>8</v>
      </c>
      <c r="F6" s="1038"/>
      <c r="G6" s="1038"/>
      <c r="H6" s="1038"/>
      <c r="I6" s="1039"/>
      <c r="J6" s="1040" t="s">
        <v>6</v>
      </c>
    </row>
    <row r="7" spans="1:10" ht="25.5">
      <c r="A7" s="1032"/>
      <c r="B7" s="1032"/>
      <c r="C7" s="1035"/>
      <c r="D7" s="1036"/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1041"/>
    </row>
    <row r="8" spans="1:10">
      <c r="A8" s="1040">
        <v>1</v>
      </c>
      <c r="B8" s="1040"/>
      <c r="C8" s="1037">
        <v>2</v>
      </c>
      <c r="D8" s="1039"/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</row>
    <row r="9" spans="1:10">
      <c r="A9" s="29">
        <v>1</v>
      </c>
      <c r="B9" s="337" t="s">
        <v>421</v>
      </c>
      <c r="C9" s="4" t="s">
        <v>434</v>
      </c>
      <c r="D9" s="31"/>
      <c r="E9" s="2">
        <f>'B-2.1.1'!M82</f>
        <v>0</v>
      </c>
      <c r="F9" s="7"/>
      <c r="G9" s="7"/>
      <c r="H9" s="7"/>
      <c r="I9" s="2">
        <f>E9+F9+G9+H9</f>
        <v>0</v>
      </c>
      <c r="J9" s="7"/>
    </row>
    <row r="10" spans="1:10">
      <c r="A10" s="29">
        <v>2</v>
      </c>
      <c r="B10" s="337" t="s">
        <v>422</v>
      </c>
      <c r="C10" s="4" t="s">
        <v>32</v>
      </c>
      <c r="D10" s="31"/>
      <c r="E10" s="2">
        <f>'B-2.1.2'!M46</f>
        <v>0</v>
      </c>
      <c r="F10" s="7"/>
      <c r="G10" s="7"/>
      <c r="H10" s="7"/>
      <c r="I10" s="2">
        <f>E10+F10+G10+H10</f>
        <v>0</v>
      </c>
      <c r="J10" s="7"/>
    </row>
    <row r="11" spans="1:10">
      <c r="A11" s="29">
        <v>3</v>
      </c>
      <c r="B11" s="337" t="s">
        <v>423</v>
      </c>
      <c r="C11" s="4" t="s">
        <v>112</v>
      </c>
      <c r="D11" s="31"/>
      <c r="E11" s="2">
        <f>'B-2.1.3'!M36</f>
        <v>0</v>
      </c>
      <c r="F11" s="7"/>
      <c r="G11" s="7"/>
      <c r="H11" s="7"/>
      <c r="I11" s="2">
        <f>E11+F11+G11+H11</f>
        <v>0</v>
      </c>
      <c r="J11" s="7"/>
    </row>
    <row r="12" spans="1:10" s="35" customFormat="1">
      <c r="A12" s="1049"/>
      <c r="B12" s="1050"/>
      <c r="C12" s="1051" t="s">
        <v>9</v>
      </c>
      <c r="D12" s="1052"/>
      <c r="E12" s="33"/>
      <c r="F12" s="33"/>
      <c r="G12" s="33"/>
      <c r="H12" s="33"/>
      <c r="I12" s="34">
        <f>SUM(I9:I11)</f>
        <v>0</v>
      </c>
      <c r="J12" s="33"/>
    </row>
    <row r="13" spans="1:10">
      <c r="B13" s="27"/>
      <c r="C13" s="59"/>
      <c r="D13" s="59"/>
      <c r="E13" s="60"/>
      <c r="F13" s="60"/>
      <c r="G13" s="60"/>
      <c r="H13" s="60"/>
      <c r="I13" s="60"/>
      <c r="J13" s="51"/>
    </row>
    <row r="14" spans="1:10">
      <c r="B14" s="27"/>
      <c r="C14" s="47"/>
      <c r="D14" s="47"/>
      <c r="E14" s="48"/>
      <c r="F14" s="48"/>
      <c r="G14" s="49"/>
      <c r="H14" s="50"/>
      <c r="I14" s="51"/>
      <c r="J14" s="52"/>
    </row>
    <row r="15" spans="1:10">
      <c r="B15" s="53"/>
      <c r="C15" s="54"/>
      <c r="D15" s="54"/>
      <c r="E15" s="54"/>
      <c r="F15" s="54"/>
      <c r="G15" s="54"/>
      <c r="H15" s="54"/>
      <c r="I15" s="54"/>
      <c r="J15" s="54"/>
    </row>
    <row r="16" spans="1:10">
      <c r="B16" s="54"/>
      <c r="C16" s="55" t="e">
        <f>#REF!</f>
        <v>#REF!</v>
      </c>
      <c r="D16" s="55"/>
      <c r="E16" s="54"/>
      <c r="F16" s="54"/>
      <c r="G16" s="54"/>
      <c r="H16" s="54"/>
      <c r="I16" s="54"/>
      <c r="J16" s="54"/>
    </row>
    <row r="17" spans="2:10">
      <c r="B17" s="54"/>
      <c r="C17" s="55" t="e">
        <f>#REF!</f>
        <v>#REF!</v>
      </c>
      <c r="D17" s="55"/>
      <c r="E17" s="54"/>
      <c r="F17" s="54"/>
      <c r="G17" s="56" t="e">
        <f>#REF!</f>
        <v>#REF!</v>
      </c>
      <c r="H17" s="56"/>
      <c r="I17" s="56"/>
      <c r="J17" s="54"/>
    </row>
    <row r="19" spans="2:10">
      <c r="D19" s="24" t="s">
        <v>587</v>
      </c>
    </row>
  </sheetData>
  <mergeCells count="12">
    <mergeCell ref="A8:B8"/>
    <mergeCell ref="C8:D8"/>
    <mergeCell ref="A12:B12"/>
    <mergeCell ref="C12:D12"/>
    <mergeCell ref="B1:I1"/>
    <mergeCell ref="B3:I3"/>
    <mergeCell ref="B2:E2"/>
    <mergeCell ref="G5:J5"/>
    <mergeCell ref="A6:B7"/>
    <mergeCell ref="C6:D7"/>
    <mergeCell ref="E6:I6"/>
    <mergeCell ref="J6:J7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6"/>
  <sheetViews>
    <sheetView view="pageBreakPreview" topLeftCell="A60" zoomScaleNormal="100" zoomScaleSheetLayoutView="100" workbookViewId="0">
      <selection activeCell="D76" sqref="D76:L80"/>
    </sheetView>
  </sheetViews>
  <sheetFormatPr defaultRowHeight="12.75"/>
  <cols>
    <col min="1" max="1" width="6.7109375" style="53" customWidth="1"/>
    <col min="2" max="2" width="14.42578125" style="79" customWidth="1"/>
    <col min="3" max="3" width="65" style="53" customWidth="1"/>
    <col min="4" max="13" width="10.7109375" style="53" customWidth="1"/>
    <col min="14" max="16384" width="9.140625" style="53"/>
  </cols>
  <sheetData>
    <row r="1" spans="1:13">
      <c r="A1" s="1105" t="e">
        <f>#REF!</f>
        <v>#REF!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</row>
    <row r="2" spans="1:13">
      <c r="A2" s="1110" t="s">
        <v>7</v>
      </c>
      <c r="B2" s="1110"/>
      <c r="C2" s="1110"/>
      <c r="D2" s="1110"/>
      <c r="E2" s="1110"/>
      <c r="F2" s="1110"/>
      <c r="G2" s="65" t="str">
        <f>'B-2.1'!B9</f>
        <v>B-2.1.1</v>
      </c>
      <c r="H2" s="65"/>
      <c r="I2" s="65"/>
      <c r="J2" s="65"/>
      <c r="K2" s="65"/>
      <c r="L2" s="65"/>
      <c r="M2" s="65"/>
    </row>
    <row r="3" spans="1:13">
      <c r="A3" s="1106" t="str">
        <f>'B-2.1'!C9</f>
        <v>სატყეო გზის შეკეთებითი სამუშაოები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</row>
    <row r="4" spans="1:13">
      <c r="A4" s="1107"/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</row>
    <row r="5" spans="1:13">
      <c r="A5" s="1109" t="s">
        <v>19</v>
      </c>
      <c r="B5" s="1081" t="s">
        <v>20</v>
      </c>
      <c r="C5" s="1109" t="s">
        <v>21</v>
      </c>
      <c r="D5" s="1109" t="s">
        <v>22</v>
      </c>
      <c r="E5" s="1109" t="s">
        <v>23</v>
      </c>
      <c r="F5" s="1109" t="s">
        <v>24</v>
      </c>
      <c r="G5" s="1108" t="s">
        <v>25</v>
      </c>
      <c r="H5" s="1108"/>
      <c r="I5" s="1108" t="s">
        <v>26</v>
      </c>
      <c r="J5" s="1108"/>
      <c r="K5" s="1109" t="s">
        <v>27</v>
      </c>
      <c r="L5" s="1102"/>
      <c r="M5" s="66" t="s">
        <v>5</v>
      </c>
    </row>
    <row r="6" spans="1:13">
      <c r="A6" s="1109"/>
      <c r="B6" s="1081"/>
      <c r="C6" s="1109"/>
      <c r="D6" s="1109"/>
      <c r="E6" s="1109"/>
      <c r="F6" s="1109"/>
      <c r="G6" s="378" t="s">
        <v>28</v>
      </c>
      <c r="H6" s="46" t="s">
        <v>9</v>
      </c>
      <c r="I6" s="378" t="s">
        <v>28</v>
      </c>
      <c r="J6" s="46" t="s">
        <v>9</v>
      </c>
      <c r="K6" s="378" t="s">
        <v>28</v>
      </c>
      <c r="L6" s="67" t="s">
        <v>9</v>
      </c>
      <c r="M6" s="68" t="s">
        <v>29</v>
      </c>
    </row>
    <row r="7" spans="1:13">
      <c r="A7" s="379">
        <v>1</v>
      </c>
      <c r="B7" s="377">
        <v>2</v>
      </c>
      <c r="C7" s="379">
        <v>3</v>
      </c>
      <c r="D7" s="379">
        <v>4</v>
      </c>
      <c r="E7" s="379">
        <v>5</v>
      </c>
      <c r="F7" s="379">
        <v>6</v>
      </c>
      <c r="G7" s="379">
        <v>7</v>
      </c>
      <c r="H7" s="379">
        <v>8</v>
      </c>
      <c r="I7" s="379">
        <v>9</v>
      </c>
      <c r="J7" s="379">
        <v>10</v>
      </c>
      <c r="K7" s="379">
        <v>11</v>
      </c>
      <c r="L7" s="379">
        <v>12</v>
      </c>
      <c r="M7" s="379">
        <v>13</v>
      </c>
    </row>
    <row r="8" spans="1:13">
      <c r="A8" s="1102" t="s">
        <v>611</v>
      </c>
      <c r="B8" s="1103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4"/>
    </row>
    <row r="9" spans="1:13" ht="51">
      <c r="A9" s="74"/>
      <c r="B9" s="616" t="s">
        <v>603</v>
      </c>
      <c r="C9" s="513" t="s">
        <v>817</v>
      </c>
      <c r="D9" s="462" t="s">
        <v>44</v>
      </c>
      <c r="E9" s="462"/>
      <c r="F9" s="70">
        <v>30</v>
      </c>
      <c r="G9" s="590"/>
      <c r="H9" s="22"/>
      <c r="I9" s="590"/>
      <c r="J9" s="23"/>
      <c r="K9" s="590"/>
      <c r="L9" s="22"/>
      <c r="M9" s="70"/>
    </row>
    <row r="10" spans="1:13">
      <c r="A10" s="74"/>
      <c r="B10" s="616" t="s">
        <v>818</v>
      </c>
      <c r="C10" s="514" t="s">
        <v>36</v>
      </c>
      <c r="D10" s="515" t="s">
        <v>63</v>
      </c>
      <c r="E10" s="515">
        <v>1</v>
      </c>
      <c r="F10" s="516">
        <f>F9*E10</f>
        <v>30</v>
      </c>
      <c r="G10" s="9"/>
      <c r="H10" s="9"/>
      <c r="I10" s="9"/>
      <c r="J10" s="9"/>
      <c r="K10" s="9"/>
      <c r="L10" s="9"/>
      <c r="M10" s="9"/>
    </row>
    <row r="11" spans="1:13" ht="27">
      <c r="A11" s="664">
        <v>2</v>
      </c>
      <c r="B11" s="554" t="s">
        <v>185</v>
      </c>
      <c r="C11" s="667" t="s">
        <v>819</v>
      </c>
      <c r="D11" s="509" t="s">
        <v>44</v>
      </c>
      <c r="E11" s="509"/>
      <c r="F11" s="668">
        <f>F9</f>
        <v>30</v>
      </c>
      <c r="G11" s="509"/>
      <c r="H11" s="509"/>
      <c r="I11" s="509"/>
      <c r="J11" s="509"/>
      <c r="K11" s="509"/>
      <c r="L11" s="509"/>
      <c r="M11" s="526"/>
    </row>
    <row r="12" spans="1:13" ht="13.5">
      <c r="A12" s="661"/>
      <c r="B12" s="509"/>
      <c r="C12" s="541" t="s">
        <v>96</v>
      </c>
      <c r="D12" s="494" t="s">
        <v>13</v>
      </c>
      <c r="E12" s="491">
        <f>3.12</f>
        <v>3.12</v>
      </c>
      <c r="F12" s="386">
        <f>E12*F11</f>
        <v>93.600000000000009</v>
      </c>
      <c r="G12" s="491"/>
      <c r="H12" s="386"/>
      <c r="I12" s="491"/>
      <c r="J12" s="386"/>
      <c r="K12" s="491"/>
      <c r="L12" s="491"/>
      <c r="M12" s="386"/>
    </row>
    <row r="13" spans="1:13" ht="13.5">
      <c r="A13" s="661"/>
      <c r="B13" s="649" t="s">
        <v>737</v>
      </c>
      <c r="C13" s="541" t="s">
        <v>186</v>
      </c>
      <c r="D13" s="494" t="s">
        <v>168</v>
      </c>
      <c r="E13" s="491">
        <f>0.407</f>
        <v>0.40699999999999997</v>
      </c>
      <c r="F13" s="386">
        <f>E13*F11</f>
        <v>12.209999999999999</v>
      </c>
      <c r="G13" s="491"/>
      <c r="H13" s="491"/>
      <c r="I13" s="491"/>
      <c r="J13" s="491"/>
      <c r="K13" s="256"/>
      <c r="L13" s="386"/>
      <c r="M13" s="386"/>
    </row>
    <row r="14" spans="1:13" ht="13.5">
      <c r="A14" s="664"/>
      <c r="B14" s="669"/>
      <c r="C14" s="541" t="s">
        <v>97</v>
      </c>
      <c r="D14" s="494" t="s">
        <v>16</v>
      </c>
      <c r="E14" s="491">
        <v>0.09</v>
      </c>
      <c r="F14" s="386">
        <f>E14*F11</f>
        <v>2.6999999999999997</v>
      </c>
      <c r="G14" s="491"/>
      <c r="H14" s="491"/>
      <c r="I14" s="491"/>
      <c r="J14" s="491"/>
      <c r="K14" s="491"/>
      <c r="L14" s="386"/>
      <c r="M14" s="386"/>
    </row>
    <row r="15" spans="1:13" ht="13.5">
      <c r="A15" s="661"/>
      <c r="B15" s="674"/>
      <c r="C15" s="671" t="s">
        <v>89</v>
      </c>
      <c r="D15" s="672" t="s">
        <v>16</v>
      </c>
      <c r="E15" s="551">
        <v>0.05</v>
      </c>
      <c r="F15" s="552">
        <f>E15*F11</f>
        <v>1.5</v>
      </c>
      <c r="G15" s="675"/>
      <c r="H15" s="676"/>
      <c r="I15" s="677"/>
      <c r="J15" s="678"/>
      <c r="K15" s="675"/>
      <c r="L15" s="675"/>
      <c r="M15" s="552"/>
    </row>
    <row r="16" spans="1:13" ht="25.5">
      <c r="A16" s="588" t="s">
        <v>69</v>
      </c>
      <c r="B16" s="517"/>
      <c r="C16" s="518" t="s">
        <v>820</v>
      </c>
      <c r="D16" s="462" t="s">
        <v>47</v>
      </c>
      <c r="E16" s="462"/>
      <c r="F16" s="70">
        <f>F9*0.9</f>
        <v>27</v>
      </c>
      <c r="G16" s="590"/>
      <c r="H16" s="22"/>
      <c r="I16" s="590"/>
      <c r="J16" s="23"/>
      <c r="K16" s="590"/>
      <c r="L16" s="22"/>
      <c r="M16" s="23"/>
    </row>
    <row r="17" spans="1:13">
      <c r="A17" s="597"/>
      <c r="B17" s="439" t="s">
        <v>822</v>
      </c>
      <c r="C17" s="520" t="s">
        <v>821</v>
      </c>
      <c r="D17" s="515" t="s">
        <v>47</v>
      </c>
      <c r="E17" s="515">
        <v>1</v>
      </c>
      <c r="F17" s="516">
        <f>F16*E17</f>
        <v>27</v>
      </c>
      <c r="G17" s="80"/>
      <c r="H17" s="8"/>
      <c r="I17" s="80"/>
      <c r="J17" s="9"/>
      <c r="K17" s="415"/>
      <c r="L17" s="8"/>
      <c r="M17" s="9"/>
    </row>
    <row r="18" spans="1:13" ht="15">
      <c r="A18" s="1101" t="s">
        <v>439</v>
      </c>
      <c r="B18" s="1101"/>
      <c r="C18" s="1101"/>
      <c r="D18" s="1101"/>
      <c r="E18" s="1101"/>
      <c r="F18" s="1101"/>
      <c r="G18" s="1101"/>
      <c r="H18" s="1101"/>
      <c r="I18" s="1101"/>
      <c r="J18" s="1101"/>
      <c r="K18" s="1101"/>
      <c r="L18" s="1101"/>
      <c r="M18" s="1101"/>
    </row>
    <row r="19" spans="1:13" ht="25.5">
      <c r="A19" s="957">
        <v>4</v>
      </c>
      <c r="B19" s="958" t="s">
        <v>436</v>
      </c>
      <c r="C19" s="513" t="s">
        <v>442</v>
      </c>
      <c r="D19" s="959" t="s">
        <v>437</v>
      </c>
      <c r="E19" s="960"/>
      <c r="F19" s="961">
        <f>1000*4</f>
        <v>4000</v>
      </c>
      <c r="G19" s="960"/>
      <c r="H19" s="962"/>
      <c r="I19" s="963"/>
      <c r="J19" s="963"/>
      <c r="K19" s="963"/>
      <c r="L19" s="963"/>
      <c r="M19" s="964"/>
    </row>
    <row r="20" spans="1:13" ht="15">
      <c r="A20" s="965"/>
      <c r="B20" s="966" t="s">
        <v>642</v>
      </c>
      <c r="C20" s="967" t="s">
        <v>438</v>
      </c>
      <c r="D20" s="11" t="s">
        <v>14</v>
      </c>
      <c r="E20" s="968">
        <f>3.58/10000</f>
        <v>3.5800000000000003E-4</v>
      </c>
      <c r="F20" s="963">
        <f>E20*F19</f>
        <v>1.4320000000000002</v>
      </c>
      <c r="G20" s="959"/>
      <c r="H20" s="963"/>
      <c r="I20" s="963"/>
      <c r="J20" s="963"/>
      <c r="K20" s="963"/>
      <c r="L20" s="963"/>
      <c r="M20" s="969"/>
    </row>
    <row r="21" spans="1:13" ht="38.25">
      <c r="A21" s="74"/>
      <c r="B21" s="616" t="s">
        <v>603</v>
      </c>
      <c r="C21" s="513" t="s">
        <v>440</v>
      </c>
      <c r="D21" s="462" t="s">
        <v>44</v>
      </c>
      <c r="E21" s="462"/>
      <c r="F21" s="70">
        <f>1000*0.3</f>
        <v>300</v>
      </c>
      <c r="G21" s="590"/>
      <c r="H21" s="22"/>
      <c r="I21" s="590"/>
      <c r="J21" s="23"/>
      <c r="K21" s="590"/>
      <c r="L21" s="22"/>
      <c r="M21" s="70"/>
    </row>
    <row r="22" spans="1:13">
      <c r="A22" s="74"/>
      <c r="B22" s="616"/>
      <c r="C22" s="514" t="s">
        <v>36</v>
      </c>
      <c r="D22" s="515" t="s">
        <v>63</v>
      </c>
      <c r="E22" s="515">
        <f>21.5/1000</f>
        <v>2.1499999999999998E-2</v>
      </c>
      <c r="F22" s="516">
        <f>F21*E22</f>
        <v>6.4499999999999993</v>
      </c>
      <c r="G22" s="9"/>
      <c r="H22" s="9"/>
      <c r="I22" s="9"/>
      <c r="J22" s="9"/>
      <c r="K22" s="9"/>
      <c r="L22" s="9"/>
      <c r="M22" s="9"/>
    </row>
    <row r="23" spans="1:13">
      <c r="A23" s="74"/>
      <c r="B23" s="380" t="s">
        <v>615</v>
      </c>
      <c r="C23" s="514" t="s">
        <v>56</v>
      </c>
      <c r="D23" s="515" t="s">
        <v>64</v>
      </c>
      <c r="E23" s="515">
        <f>48.2/1000</f>
        <v>4.82E-2</v>
      </c>
      <c r="F23" s="516">
        <f>F21*E23</f>
        <v>14.459999999999999</v>
      </c>
      <c r="G23" s="8"/>
      <c r="H23" s="8"/>
      <c r="I23" s="8"/>
      <c r="J23" s="8"/>
      <c r="K23" s="415"/>
      <c r="L23" s="415"/>
      <c r="M23" s="9"/>
    </row>
    <row r="24" spans="1:13">
      <c r="A24" s="74" t="s">
        <v>71</v>
      </c>
      <c r="B24" s="616" t="s">
        <v>83</v>
      </c>
      <c r="C24" s="513" t="s">
        <v>58</v>
      </c>
      <c r="D24" s="462" t="s">
        <v>44</v>
      </c>
      <c r="E24" s="462"/>
      <c r="F24" s="70">
        <f>F21*0.6</f>
        <v>180</v>
      </c>
      <c r="G24" s="590"/>
      <c r="H24" s="22"/>
      <c r="I24" s="590"/>
      <c r="J24" s="23"/>
      <c r="K24" s="590"/>
      <c r="L24" s="22"/>
      <c r="M24" s="70"/>
    </row>
    <row r="25" spans="1:13">
      <c r="A25" s="74"/>
      <c r="B25" s="616"/>
      <c r="C25" s="514" t="s">
        <v>30</v>
      </c>
      <c r="D25" s="515" t="s">
        <v>63</v>
      </c>
      <c r="E25" s="515">
        <f>27/1000</f>
        <v>2.7E-2</v>
      </c>
      <c r="F25" s="516">
        <f>F24*E25</f>
        <v>4.8600000000000003</v>
      </c>
      <c r="G25" s="80"/>
      <c r="H25" s="8"/>
      <c r="I25" s="80"/>
      <c r="J25" s="9"/>
      <c r="K25" s="80"/>
      <c r="L25" s="8"/>
      <c r="M25" s="9"/>
    </row>
    <row r="26" spans="1:13">
      <c r="A26" s="74"/>
      <c r="B26" s="380" t="s">
        <v>615</v>
      </c>
      <c r="C26" s="514" t="s">
        <v>59</v>
      </c>
      <c r="D26" s="515" t="s">
        <v>65</v>
      </c>
      <c r="E26" s="515">
        <f>60.5/1000</f>
        <v>6.0499999999999998E-2</v>
      </c>
      <c r="F26" s="516">
        <f>F24*E26</f>
        <v>10.89</v>
      </c>
      <c r="G26" s="80"/>
      <c r="H26" s="8"/>
      <c r="I26" s="80"/>
      <c r="J26" s="9"/>
      <c r="K26" s="415"/>
      <c r="L26" s="415"/>
      <c r="M26" s="9"/>
    </row>
    <row r="27" spans="1:13">
      <c r="A27" s="74"/>
      <c r="B27" s="616"/>
      <c r="C27" s="514" t="s">
        <v>31</v>
      </c>
      <c r="D27" s="515" t="s">
        <v>16</v>
      </c>
      <c r="E27" s="515">
        <f>2.21/1000</f>
        <v>2.2100000000000002E-3</v>
      </c>
      <c r="F27" s="516">
        <f>F24*E27</f>
        <v>0.39780000000000004</v>
      </c>
      <c r="G27" s="80"/>
      <c r="H27" s="8"/>
      <c r="I27" s="80"/>
      <c r="J27" s="9"/>
      <c r="K27" s="80"/>
      <c r="L27" s="415"/>
      <c r="M27" s="9"/>
    </row>
    <row r="28" spans="1:13">
      <c r="A28" s="74"/>
      <c r="B28" s="412" t="s">
        <v>618</v>
      </c>
      <c r="C28" s="514" t="s">
        <v>33</v>
      </c>
      <c r="D28" s="515" t="s">
        <v>44</v>
      </c>
      <c r="E28" s="515">
        <f>0.06/1000</f>
        <v>5.9999999999999995E-5</v>
      </c>
      <c r="F28" s="516">
        <f>F24*E28</f>
        <v>1.0799999999999999E-2</v>
      </c>
      <c r="G28" s="413"/>
      <c r="H28" s="8"/>
      <c r="I28" s="80"/>
      <c r="J28" s="9"/>
      <c r="K28" s="80"/>
      <c r="L28" s="8"/>
      <c r="M28" s="9"/>
    </row>
    <row r="29" spans="1:13" ht="38.25">
      <c r="A29" s="957">
        <v>6</v>
      </c>
      <c r="B29" s="958" t="s">
        <v>441</v>
      </c>
      <c r="C29" s="513" t="s">
        <v>591</v>
      </c>
      <c r="D29" s="959" t="s">
        <v>590</v>
      </c>
      <c r="E29" s="970"/>
      <c r="F29" s="971">
        <f>5120*0.1*4</f>
        <v>2048</v>
      </c>
      <c r="G29" s="972"/>
      <c r="H29" s="972"/>
      <c r="I29" s="972"/>
      <c r="J29" s="972"/>
      <c r="K29" s="972"/>
      <c r="L29" s="972"/>
      <c r="M29" s="973"/>
    </row>
    <row r="30" spans="1:13" ht="15.75">
      <c r="A30" s="974"/>
      <c r="B30" s="414" t="s">
        <v>644</v>
      </c>
      <c r="C30" s="967" t="s">
        <v>643</v>
      </c>
      <c r="D30" s="11" t="s">
        <v>14</v>
      </c>
      <c r="E30" s="966">
        <f>(22.4+2*9.41)/1000</f>
        <v>4.122E-2</v>
      </c>
      <c r="F30" s="966">
        <f>F29*E30</f>
        <v>84.418559999999999</v>
      </c>
      <c r="G30" s="966"/>
      <c r="H30" s="966"/>
      <c r="I30" s="966"/>
      <c r="J30" s="966"/>
      <c r="K30" s="966"/>
      <c r="L30" s="975"/>
      <c r="M30" s="975"/>
    </row>
    <row r="31" spans="1:13" ht="25.5">
      <c r="A31" s="69">
        <v>7</v>
      </c>
      <c r="B31" s="18" t="s">
        <v>18</v>
      </c>
      <c r="C31" s="461" t="s">
        <v>592</v>
      </c>
      <c r="D31" s="462" t="s">
        <v>375</v>
      </c>
      <c r="E31" s="462"/>
      <c r="F31" s="70">
        <f>100*0.1</f>
        <v>10</v>
      </c>
      <c r="G31" s="34"/>
      <c r="H31" s="34"/>
      <c r="I31" s="34"/>
      <c r="J31" s="34"/>
      <c r="K31" s="34"/>
      <c r="L31" s="34"/>
      <c r="M31" s="34"/>
    </row>
    <row r="32" spans="1:13">
      <c r="A32" s="374"/>
      <c r="B32" s="414"/>
      <c r="C32" s="13" t="s">
        <v>36</v>
      </c>
      <c r="D32" s="10" t="s">
        <v>13</v>
      </c>
      <c r="E32" s="10">
        <f>21.6/100</f>
        <v>0.21600000000000003</v>
      </c>
      <c r="F32" s="9">
        <f>F31*E32</f>
        <v>2.16</v>
      </c>
      <c r="G32" s="2"/>
      <c r="H32" s="2"/>
      <c r="I32" s="2"/>
      <c r="J32" s="415"/>
      <c r="K32" s="2"/>
      <c r="L32" s="2"/>
      <c r="M32" s="415"/>
    </row>
    <row r="33" spans="1:13">
      <c r="A33" s="374"/>
      <c r="B33" s="631" t="s">
        <v>645</v>
      </c>
      <c r="C33" s="13" t="s">
        <v>37</v>
      </c>
      <c r="D33" s="11" t="s">
        <v>14</v>
      </c>
      <c r="E33" s="374">
        <f>1.24/100</f>
        <v>1.24E-2</v>
      </c>
      <c r="F33" s="8">
        <f>F31*E33</f>
        <v>0.124</v>
      </c>
      <c r="G33" s="2"/>
      <c r="H33" s="2"/>
      <c r="I33" s="2"/>
      <c r="J33" s="2"/>
      <c r="K33" s="8"/>
      <c r="L33" s="415"/>
      <c r="M33" s="415"/>
    </row>
    <row r="34" spans="1:13">
      <c r="A34" s="374"/>
      <c r="B34" s="414" t="s">
        <v>646</v>
      </c>
      <c r="C34" s="73" t="s">
        <v>38</v>
      </c>
      <c r="D34" s="11" t="s">
        <v>14</v>
      </c>
      <c r="E34" s="374">
        <f>2.58/100</f>
        <v>2.58E-2</v>
      </c>
      <c r="F34" s="12">
        <f>F31*E34</f>
        <v>0.25800000000000001</v>
      </c>
      <c r="G34" s="2"/>
      <c r="H34" s="2"/>
      <c r="I34" s="2"/>
      <c r="J34" s="2"/>
      <c r="K34" s="2"/>
      <c r="L34" s="415"/>
      <c r="M34" s="415"/>
    </row>
    <row r="35" spans="1:13">
      <c r="A35" s="374"/>
      <c r="B35" s="414" t="s">
        <v>647</v>
      </c>
      <c r="C35" s="13" t="s">
        <v>39</v>
      </c>
      <c r="D35" s="11" t="s">
        <v>14</v>
      </c>
      <c r="E35" s="374">
        <f>0.41/100</f>
        <v>4.0999999999999995E-3</v>
      </c>
      <c r="F35" s="2">
        <f>F31*E35</f>
        <v>4.0999999999999995E-2</v>
      </c>
      <c r="G35" s="2"/>
      <c r="H35" s="2"/>
      <c r="I35" s="2"/>
      <c r="J35" s="2"/>
      <c r="K35" s="2"/>
      <c r="L35" s="415"/>
      <c r="M35" s="415"/>
    </row>
    <row r="36" spans="1:13">
      <c r="A36" s="69"/>
      <c r="B36" s="414" t="s">
        <v>648</v>
      </c>
      <c r="C36" s="13" t="s">
        <v>40</v>
      </c>
      <c r="D36" s="11" t="s">
        <v>14</v>
      </c>
      <c r="E36" s="374">
        <f>7.6/100</f>
        <v>7.5999999999999998E-2</v>
      </c>
      <c r="F36" s="9">
        <f>F31*E36</f>
        <v>0.76</v>
      </c>
      <c r="G36" s="633"/>
      <c r="H36" s="2"/>
      <c r="I36" s="633"/>
      <c r="J36" s="3"/>
      <c r="K36" s="633"/>
      <c r="L36" s="415"/>
      <c r="M36" s="415"/>
    </row>
    <row r="37" spans="1:13">
      <c r="A37" s="379"/>
      <c r="B37" s="414" t="s">
        <v>649</v>
      </c>
      <c r="C37" s="13" t="s">
        <v>41</v>
      </c>
      <c r="D37" s="11" t="s">
        <v>14</v>
      </c>
      <c r="E37" s="374">
        <f>15.1/100</f>
        <v>0.151</v>
      </c>
      <c r="F37" s="8">
        <f>F31*E37</f>
        <v>1.51</v>
      </c>
      <c r="G37" s="3"/>
      <c r="H37" s="3"/>
      <c r="I37" s="3"/>
      <c r="J37" s="3"/>
      <c r="K37" s="3"/>
      <c r="L37" s="415"/>
      <c r="M37" s="415"/>
    </row>
    <row r="38" spans="1:13">
      <c r="A38" s="71"/>
      <c r="B38" s="414" t="s">
        <v>650</v>
      </c>
      <c r="C38" s="13" t="s">
        <v>42</v>
      </c>
      <c r="D38" s="11" t="s">
        <v>14</v>
      </c>
      <c r="E38" s="374">
        <f>0.97/100</f>
        <v>9.7000000000000003E-3</v>
      </c>
      <c r="F38" s="12">
        <f>F31*E38</f>
        <v>9.7000000000000003E-2</v>
      </c>
      <c r="G38" s="2"/>
      <c r="H38" s="2"/>
      <c r="I38" s="2"/>
      <c r="J38" s="2"/>
      <c r="K38" s="2"/>
      <c r="L38" s="415"/>
      <c r="M38" s="415"/>
    </row>
    <row r="39" spans="1:13">
      <c r="A39" s="379"/>
      <c r="B39" s="412" t="s">
        <v>618</v>
      </c>
      <c r="C39" s="13" t="s">
        <v>33</v>
      </c>
      <c r="D39" s="374" t="s">
        <v>44</v>
      </c>
      <c r="E39" s="374">
        <f>126/100</f>
        <v>1.26</v>
      </c>
      <c r="F39" s="9">
        <f>F31*E39</f>
        <v>12.6</v>
      </c>
      <c r="G39" s="413"/>
      <c r="H39" s="2"/>
      <c r="I39" s="3"/>
      <c r="J39" s="3"/>
      <c r="K39" s="3"/>
      <c r="L39" s="976"/>
      <c r="M39" s="415"/>
    </row>
    <row r="40" spans="1:13" ht="15">
      <c r="A40" s="977"/>
      <c r="B40" s="468" t="s">
        <v>623</v>
      </c>
      <c r="C40" s="73" t="s">
        <v>43</v>
      </c>
      <c r="D40" s="374" t="s">
        <v>44</v>
      </c>
      <c r="E40" s="374">
        <f>7/100</f>
        <v>7.0000000000000007E-2</v>
      </c>
      <c r="F40" s="8">
        <f>F31*E40</f>
        <v>0.70000000000000007</v>
      </c>
      <c r="G40" s="634"/>
      <c r="H40" s="2"/>
      <c r="I40" s="634"/>
      <c r="J40" s="634"/>
      <c r="K40" s="634"/>
      <c r="L40" s="634"/>
      <c r="M40" s="415"/>
    </row>
    <row r="41" spans="1:13">
      <c r="A41" s="74" t="s">
        <v>73</v>
      </c>
      <c r="B41" s="517"/>
      <c r="C41" s="518" t="s">
        <v>620</v>
      </c>
      <c r="D41" s="462" t="s">
        <v>47</v>
      </c>
      <c r="E41" s="462"/>
      <c r="F41" s="70">
        <f>F24*1.9</f>
        <v>342</v>
      </c>
      <c r="G41" s="80"/>
      <c r="H41" s="8"/>
      <c r="I41" s="80"/>
      <c r="J41" s="9"/>
      <c r="K41" s="80"/>
      <c r="L41" s="8"/>
      <c r="M41" s="34"/>
    </row>
    <row r="42" spans="1:13">
      <c r="A42" s="519"/>
      <c r="B42" s="439" t="s">
        <v>621</v>
      </c>
      <c r="C42" s="520" t="s">
        <v>620</v>
      </c>
      <c r="D42" s="515" t="s">
        <v>47</v>
      </c>
      <c r="E42" s="515">
        <v>1</v>
      </c>
      <c r="F42" s="516">
        <f>F41*E42</f>
        <v>342</v>
      </c>
      <c r="G42" s="80"/>
      <c r="H42" s="8"/>
      <c r="I42" s="80"/>
      <c r="J42" s="9"/>
      <c r="K42" s="415"/>
      <c r="L42" s="8"/>
      <c r="M42" s="2"/>
    </row>
    <row r="43" spans="1:13">
      <c r="A43" s="1102" t="s">
        <v>839</v>
      </c>
      <c r="B43" s="1103"/>
      <c r="C43" s="1103"/>
      <c r="D43" s="1103"/>
      <c r="E43" s="1103"/>
      <c r="F43" s="1103"/>
      <c r="G43" s="1103"/>
      <c r="H43" s="1103"/>
      <c r="I43" s="1103"/>
      <c r="J43" s="1103"/>
      <c r="K43" s="1103"/>
      <c r="L43" s="1103"/>
      <c r="M43" s="1104"/>
    </row>
    <row r="44" spans="1:13" ht="38.25">
      <c r="A44" s="74" t="s">
        <v>74</v>
      </c>
      <c r="B44" s="616" t="s">
        <v>604</v>
      </c>
      <c r="C44" s="513" t="s">
        <v>601</v>
      </c>
      <c r="D44" s="462" t="s">
        <v>44</v>
      </c>
      <c r="E44" s="462"/>
      <c r="F44" s="70">
        <f>2500*0.08</f>
        <v>200</v>
      </c>
      <c r="G44" s="590"/>
      <c r="H44" s="22"/>
      <c r="I44" s="590"/>
      <c r="J44" s="23"/>
      <c r="K44" s="590"/>
      <c r="L44" s="22"/>
      <c r="M44" s="70"/>
    </row>
    <row r="45" spans="1:13">
      <c r="A45" s="74"/>
      <c r="B45" s="616"/>
      <c r="C45" s="514" t="s">
        <v>36</v>
      </c>
      <c r="D45" s="515" t="s">
        <v>63</v>
      </c>
      <c r="E45" s="515">
        <f>10.2/1000</f>
        <v>1.0199999999999999E-2</v>
      </c>
      <c r="F45" s="516">
        <f>F44*E45</f>
        <v>2.0399999999999996</v>
      </c>
      <c r="G45" s="9"/>
      <c r="H45" s="9"/>
      <c r="I45" s="9"/>
      <c r="J45" s="9"/>
      <c r="K45" s="9"/>
      <c r="L45" s="9"/>
      <c r="M45" s="9"/>
    </row>
    <row r="46" spans="1:13">
      <c r="A46" s="74"/>
      <c r="B46" s="18" t="s">
        <v>651</v>
      </c>
      <c r="C46" s="514" t="s">
        <v>594</v>
      </c>
      <c r="D46" s="515" t="s">
        <v>64</v>
      </c>
      <c r="E46" s="515">
        <f>22.9/1000</f>
        <v>2.29E-2</v>
      </c>
      <c r="F46" s="516">
        <f>F44*E46</f>
        <v>4.58</v>
      </c>
      <c r="G46" s="8"/>
      <c r="H46" s="8"/>
      <c r="I46" s="8"/>
      <c r="J46" s="8"/>
      <c r="K46" s="415"/>
      <c r="L46" s="415"/>
      <c r="M46" s="9"/>
    </row>
    <row r="47" spans="1:13" ht="38.25">
      <c r="A47" s="74" t="s">
        <v>75</v>
      </c>
      <c r="B47" s="616" t="s">
        <v>605</v>
      </c>
      <c r="C47" s="513" t="s">
        <v>602</v>
      </c>
      <c r="D47" s="462" t="s">
        <v>44</v>
      </c>
      <c r="E47" s="462"/>
      <c r="F47" s="70">
        <f>2500*0.22</f>
        <v>550</v>
      </c>
      <c r="G47" s="590"/>
      <c r="H47" s="22"/>
      <c r="I47" s="590"/>
      <c r="J47" s="23"/>
      <c r="K47" s="590"/>
      <c r="L47" s="22"/>
      <c r="M47" s="70"/>
    </row>
    <row r="48" spans="1:13">
      <c r="A48" s="74"/>
      <c r="B48" s="616"/>
      <c r="C48" s="514" t="s">
        <v>36</v>
      </c>
      <c r="D48" s="515" t="s">
        <v>63</v>
      </c>
      <c r="E48" s="515">
        <f>13.2/1000</f>
        <v>1.32E-2</v>
      </c>
      <c r="F48" s="516">
        <f>F47*E48</f>
        <v>7.26</v>
      </c>
      <c r="G48" s="9"/>
      <c r="H48" s="9"/>
      <c r="I48" s="9"/>
      <c r="J48" s="9"/>
      <c r="K48" s="9"/>
      <c r="L48" s="9"/>
      <c r="M48" s="9"/>
    </row>
    <row r="49" spans="1:13">
      <c r="A49" s="74"/>
      <c r="B49" s="18" t="s">
        <v>651</v>
      </c>
      <c r="C49" s="514" t="s">
        <v>594</v>
      </c>
      <c r="D49" s="515" t="s">
        <v>64</v>
      </c>
      <c r="E49" s="515">
        <f>29.7/1000</f>
        <v>2.9700000000000001E-2</v>
      </c>
      <c r="F49" s="516">
        <f>F47*E49</f>
        <v>16.335000000000001</v>
      </c>
      <c r="G49" s="8"/>
      <c r="H49" s="8"/>
      <c r="I49" s="8"/>
      <c r="J49" s="8"/>
      <c r="K49" s="415"/>
      <c r="L49" s="415"/>
      <c r="M49" s="9"/>
    </row>
    <row r="50" spans="1:13" ht="15">
      <c r="A50" s="591" t="s">
        <v>76</v>
      </c>
      <c r="B50" s="978" t="s">
        <v>530</v>
      </c>
      <c r="C50" s="593" t="s">
        <v>596</v>
      </c>
      <c r="D50" s="463" t="s">
        <v>44</v>
      </c>
      <c r="E50" s="463"/>
      <c r="F50" s="70">
        <f>2500*0.25</f>
        <v>625</v>
      </c>
      <c r="G50" s="463"/>
      <c r="H50" s="261"/>
      <c r="I50" s="463"/>
      <c r="J50" s="475"/>
      <c r="K50" s="463"/>
      <c r="L50" s="261"/>
      <c r="M50" s="253"/>
    </row>
    <row r="51" spans="1:13" ht="15">
      <c r="A51" s="249"/>
      <c r="B51" s="978"/>
      <c r="C51" s="254" t="s">
        <v>36</v>
      </c>
      <c r="D51" s="251" t="s">
        <v>63</v>
      </c>
      <c r="E51" s="515">
        <f>13.2/1000</f>
        <v>1.32E-2</v>
      </c>
      <c r="F51" s="256">
        <f>F50*E51</f>
        <v>8.25</v>
      </c>
      <c r="G51" s="267"/>
      <c r="H51" s="385"/>
      <c r="I51" s="267"/>
      <c r="J51" s="385"/>
      <c r="K51" s="267"/>
      <c r="L51" s="385"/>
      <c r="M51" s="385"/>
    </row>
    <row r="52" spans="1:13" ht="15">
      <c r="A52" s="249"/>
      <c r="B52" s="18" t="s">
        <v>651</v>
      </c>
      <c r="C52" s="254" t="s">
        <v>598</v>
      </c>
      <c r="D52" s="251" t="s">
        <v>64</v>
      </c>
      <c r="E52" s="515">
        <f>29.7/1000</f>
        <v>2.9700000000000001E-2</v>
      </c>
      <c r="F52" s="256">
        <f>F50*E52</f>
        <v>18.5625</v>
      </c>
      <c r="G52" s="265"/>
      <c r="H52" s="265"/>
      <c r="I52" s="265"/>
      <c r="J52" s="265"/>
      <c r="K52" s="415"/>
      <c r="L52" s="979"/>
      <c r="M52" s="385"/>
    </row>
    <row r="53" spans="1:13" ht="30">
      <c r="A53" s="591" t="s">
        <v>579</v>
      </c>
      <c r="B53" s="978" t="s">
        <v>533</v>
      </c>
      <c r="C53" s="593" t="s">
        <v>593</v>
      </c>
      <c r="D53" s="463" t="s">
        <v>44</v>
      </c>
      <c r="E53" s="463"/>
      <c r="F53" s="253">
        <f>F50</f>
        <v>625</v>
      </c>
      <c r="G53" s="463"/>
      <c r="H53" s="261"/>
      <c r="I53" s="463"/>
      <c r="J53" s="475"/>
      <c r="K53" s="463"/>
      <c r="L53" s="261"/>
      <c r="M53" s="253"/>
    </row>
    <row r="54" spans="1:13" ht="15">
      <c r="A54" s="249"/>
      <c r="B54" s="978"/>
      <c r="C54" s="254" t="s">
        <v>36</v>
      </c>
      <c r="D54" s="251" t="s">
        <v>63</v>
      </c>
      <c r="E54" s="515">
        <f>13.2/1000</f>
        <v>1.32E-2</v>
      </c>
      <c r="F54" s="256">
        <f>F53*E54</f>
        <v>8.25</v>
      </c>
      <c r="G54" s="251"/>
      <c r="H54" s="266"/>
      <c r="I54" s="251"/>
      <c r="J54" s="385"/>
      <c r="K54" s="251"/>
      <c r="L54" s="266"/>
      <c r="M54" s="385"/>
    </row>
    <row r="55" spans="1:13" ht="15">
      <c r="A55" s="249"/>
      <c r="B55" s="18" t="s">
        <v>651</v>
      </c>
      <c r="C55" s="254" t="s">
        <v>594</v>
      </c>
      <c r="D55" s="251" t="s">
        <v>64</v>
      </c>
      <c r="E55" s="515">
        <f>29.7/1000</f>
        <v>2.9700000000000001E-2</v>
      </c>
      <c r="F55" s="256">
        <f>F53*E55</f>
        <v>18.5625</v>
      </c>
      <c r="G55" s="251"/>
      <c r="H55" s="266"/>
      <c r="I55" s="251"/>
      <c r="J55" s="385"/>
      <c r="K55" s="415"/>
      <c r="L55" s="464"/>
      <c r="M55" s="385"/>
    </row>
    <row r="56" spans="1:13" ht="15">
      <c r="A56" s="591" t="s">
        <v>608</v>
      </c>
      <c r="B56" s="978" t="s">
        <v>530</v>
      </c>
      <c r="C56" s="593" t="s">
        <v>597</v>
      </c>
      <c r="D56" s="463" t="s">
        <v>44</v>
      </c>
      <c r="E56" s="463"/>
      <c r="F56" s="70">
        <f>2500*0.2</f>
        <v>500</v>
      </c>
      <c r="G56" s="463"/>
      <c r="H56" s="261"/>
      <c r="I56" s="463"/>
      <c r="J56" s="475"/>
      <c r="K56" s="463"/>
      <c r="L56" s="261"/>
      <c r="M56" s="253"/>
    </row>
    <row r="57" spans="1:13" ht="15">
      <c r="A57" s="249"/>
      <c r="B57" s="978"/>
      <c r="C57" s="254" t="s">
        <v>36</v>
      </c>
      <c r="D57" s="251" t="s">
        <v>63</v>
      </c>
      <c r="E57" s="515">
        <f>16/1000</f>
        <v>1.6E-2</v>
      </c>
      <c r="F57" s="256">
        <f>F56*E57</f>
        <v>8</v>
      </c>
      <c r="G57" s="267"/>
      <c r="H57" s="385"/>
      <c r="I57" s="267"/>
      <c r="J57" s="385"/>
      <c r="K57" s="267"/>
      <c r="L57" s="385"/>
      <c r="M57" s="385"/>
    </row>
    <row r="58" spans="1:13" ht="15">
      <c r="A58" s="249"/>
      <c r="B58" s="18" t="s">
        <v>651</v>
      </c>
      <c r="C58" s="254" t="s">
        <v>598</v>
      </c>
      <c r="D58" s="251" t="s">
        <v>64</v>
      </c>
      <c r="E58" s="515">
        <f>35.9/1000</f>
        <v>3.5900000000000001E-2</v>
      </c>
      <c r="F58" s="256">
        <f>F56*E58</f>
        <v>17.95</v>
      </c>
      <c r="G58" s="265"/>
      <c r="H58" s="265"/>
      <c r="I58" s="265"/>
      <c r="J58" s="265"/>
      <c r="K58" s="415"/>
      <c r="L58" s="979"/>
      <c r="M58" s="385"/>
    </row>
    <row r="59" spans="1:13" ht="30">
      <c r="A59" s="591" t="s">
        <v>77</v>
      </c>
      <c r="B59" s="978" t="s">
        <v>533</v>
      </c>
      <c r="C59" s="593" t="s">
        <v>595</v>
      </c>
      <c r="D59" s="463" t="s">
        <v>44</v>
      </c>
      <c r="E59" s="463"/>
      <c r="F59" s="253">
        <f>F56</f>
        <v>500</v>
      </c>
      <c r="G59" s="463"/>
      <c r="H59" s="261"/>
      <c r="I59" s="463"/>
      <c r="J59" s="475"/>
      <c r="K59" s="463"/>
      <c r="L59" s="261"/>
      <c r="M59" s="253"/>
    </row>
    <row r="60" spans="1:13" ht="15">
      <c r="A60" s="249"/>
      <c r="B60" s="978"/>
      <c r="C60" s="254" t="s">
        <v>36</v>
      </c>
      <c r="D60" s="251" t="s">
        <v>63</v>
      </c>
      <c r="E60" s="515">
        <f>16/1000</f>
        <v>1.6E-2</v>
      </c>
      <c r="F60" s="256">
        <f>F59*E60</f>
        <v>8</v>
      </c>
      <c r="G60" s="251"/>
      <c r="H60" s="266"/>
      <c r="I60" s="251"/>
      <c r="J60" s="385"/>
      <c r="K60" s="251"/>
      <c r="L60" s="266"/>
      <c r="M60" s="385"/>
    </row>
    <row r="61" spans="1:13" ht="15">
      <c r="A61" s="249"/>
      <c r="B61" s="18" t="s">
        <v>651</v>
      </c>
      <c r="C61" s="254" t="s">
        <v>594</v>
      </c>
      <c r="D61" s="251" t="s">
        <v>64</v>
      </c>
      <c r="E61" s="515">
        <f>35.9/1000</f>
        <v>3.5900000000000001E-2</v>
      </c>
      <c r="F61" s="256">
        <f>F59*E61</f>
        <v>17.95</v>
      </c>
      <c r="G61" s="251"/>
      <c r="H61" s="266"/>
      <c r="I61" s="251"/>
      <c r="J61" s="385"/>
      <c r="K61" s="415"/>
      <c r="L61" s="464"/>
      <c r="M61" s="385"/>
    </row>
    <row r="62" spans="1:13" ht="25.5">
      <c r="A62" s="957">
        <v>15</v>
      </c>
      <c r="B62" s="958" t="s">
        <v>441</v>
      </c>
      <c r="C62" s="513" t="s">
        <v>600</v>
      </c>
      <c r="D62" s="959" t="s">
        <v>590</v>
      </c>
      <c r="E62" s="970"/>
      <c r="F62" s="70">
        <f>2500*0.15</f>
        <v>375</v>
      </c>
      <c r="G62" s="972"/>
      <c r="H62" s="972"/>
      <c r="I62" s="972"/>
      <c r="J62" s="972"/>
      <c r="K62" s="972"/>
      <c r="L62" s="972"/>
      <c r="M62" s="973"/>
    </row>
    <row r="63" spans="1:13" ht="15.75">
      <c r="A63" s="974"/>
      <c r="B63" s="414" t="s">
        <v>644</v>
      </c>
      <c r="C63" s="967" t="s">
        <v>643</v>
      </c>
      <c r="D63" s="11" t="s">
        <v>14</v>
      </c>
      <c r="E63" s="966">
        <f>(22.4+1*9.41)/1000</f>
        <v>3.1809999999999998E-2</v>
      </c>
      <c r="F63" s="966">
        <f>F62*E63</f>
        <v>11.928749999999999</v>
      </c>
      <c r="G63" s="966"/>
      <c r="H63" s="966"/>
      <c r="I63" s="966"/>
      <c r="J63" s="966"/>
      <c r="K63" s="966"/>
      <c r="L63" s="975"/>
      <c r="M63" s="975"/>
    </row>
    <row r="64" spans="1:13" ht="25.5">
      <c r="A64" s="957">
        <v>16</v>
      </c>
      <c r="B64" s="958" t="s">
        <v>441</v>
      </c>
      <c r="C64" s="513" t="s">
        <v>599</v>
      </c>
      <c r="D64" s="959" t="s">
        <v>590</v>
      </c>
      <c r="E64" s="970"/>
      <c r="F64" s="70">
        <f>2500*0.1</f>
        <v>250</v>
      </c>
      <c r="G64" s="972"/>
      <c r="H64" s="972"/>
      <c r="I64" s="972"/>
      <c r="J64" s="972"/>
      <c r="K64" s="972"/>
      <c r="L64" s="972"/>
      <c r="M64" s="973"/>
    </row>
    <row r="65" spans="1:13" ht="15" customHeight="1">
      <c r="A65" s="974"/>
      <c r="B65" s="414" t="s">
        <v>644</v>
      </c>
      <c r="C65" s="967" t="s">
        <v>643</v>
      </c>
      <c r="D65" s="11" t="s">
        <v>14</v>
      </c>
      <c r="E65" s="966">
        <f>(22.4+2*9.41)/1000</f>
        <v>4.122E-2</v>
      </c>
      <c r="F65" s="966">
        <f>F64*E65</f>
        <v>10.305</v>
      </c>
      <c r="G65" s="966"/>
      <c r="H65" s="966"/>
      <c r="I65" s="966"/>
      <c r="J65" s="966"/>
      <c r="K65" s="966"/>
      <c r="L65" s="975"/>
      <c r="M65" s="975"/>
    </row>
    <row r="66" spans="1:13" ht="25.5">
      <c r="A66" s="69">
        <v>17</v>
      </c>
      <c r="B66" s="18" t="s">
        <v>18</v>
      </c>
      <c r="C66" s="461" t="s">
        <v>444</v>
      </c>
      <c r="D66" s="462" t="s">
        <v>375</v>
      </c>
      <c r="E66" s="462"/>
      <c r="F66" s="70">
        <v>20</v>
      </c>
      <c r="G66" s="34"/>
      <c r="H66" s="34"/>
      <c r="I66" s="34"/>
      <c r="J66" s="34"/>
      <c r="K66" s="34"/>
      <c r="L66" s="34"/>
      <c r="M66" s="34"/>
    </row>
    <row r="67" spans="1:13">
      <c r="A67" s="374"/>
      <c r="B67" s="414"/>
      <c r="C67" s="13" t="s">
        <v>36</v>
      </c>
      <c r="D67" s="10" t="s">
        <v>13</v>
      </c>
      <c r="E67" s="10">
        <f>21.6/100</f>
        <v>0.21600000000000003</v>
      </c>
      <c r="F67" s="9">
        <f>F66*E67</f>
        <v>4.32</v>
      </c>
      <c r="G67" s="2"/>
      <c r="H67" s="2"/>
      <c r="I67" s="2"/>
      <c r="J67" s="415"/>
      <c r="K67" s="2"/>
      <c r="L67" s="2"/>
      <c r="M67" s="415"/>
    </row>
    <row r="68" spans="1:13">
      <c r="A68" s="374"/>
      <c r="B68" s="631" t="s">
        <v>645</v>
      </c>
      <c r="C68" s="13" t="s">
        <v>37</v>
      </c>
      <c r="D68" s="11" t="s">
        <v>14</v>
      </c>
      <c r="E68" s="374">
        <f>1.24/100</f>
        <v>1.24E-2</v>
      </c>
      <c r="F68" s="8">
        <f>F66*E68</f>
        <v>0.248</v>
      </c>
      <c r="G68" s="2"/>
      <c r="H68" s="2"/>
      <c r="I68" s="2"/>
      <c r="J68" s="2"/>
      <c r="K68" s="8"/>
      <c r="L68" s="415"/>
      <c r="M68" s="415"/>
    </row>
    <row r="69" spans="1:13">
      <c r="A69" s="374"/>
      <c r="B69" s="414" t="s">
        <v>646</v>
      </c>
      <c r="C69" s="73" t="s">
        <v>38</v>
      </c>
      <c r="D69" s="11" t="s">
        <v>14</v>
      </c>
      <c r="E69" s="374">
        <f>2.58/100</f>
        <v>2.58E-2</v>
      </c>
      <c r="F69" s="12">
        <f>F66*E69</f>
        <v>0.51600000000000001</v>
      </c>
      <c r="G69" s="2"/>
      <c r="H69" s="2"/>
      <c r="I69" s="2"/>
      <c r="J69" s="2"/>
      <c r="K69" s="2"/>
      <c r="L69" s="415"/>
      <c r="M69" s="415"/>
    </row>
    <row r="70" spans="1:13">
      <c r="A70" s="374"/>
      <c r="B70" s="414" t="s">
        <v>647</v>
      </c>
      <c r="C70" s="13" t="s">
        <v>39</v>
      </c>
      <c r="D70" s="11" t="s">
        <v>14</v>
      </c>
      <c r="E70" s="374">
        <f>0.41/100</f>
        <v>4.0999999999999995E-3</v>
      </c>
      <c r="F70" s="2">
        <f>F66*E70</f>
        <v>8.199999999999999E-2</v>
      </c>
      <c r="G70" s="2"/>
      <c r="H70" s="2"/>
      <c r="I70" s="2"/>
      <c r="J70" s="2"/>
      <c r="K70" s="2"/>
      <c r="L70" s="415"/>
      <c r="M70" s="415"/>
    </row>
    <row r="71" spans="1:13">
      <c r="A71" s="69"/>
      <c r="B71" s="414" t="s">
        <v>648</v>
      </c>
      <c r="C71" s="13" t="s">
        <v>40</v>
      </c>
      <c r="D71" s="11" t="s">
        <v>14</v>
      </c>
      <c r="E71" s="374">
        <f>7.6/100</f>
        <v>7.5999999999999998E-2</v>
      </c>
      <c r="F71" s="9">
        <f>F66*E71</f>
        <v>1.52</v>
      </c>
      <c r="G71" s="633"/>
      <c r="H71" s="2"/>
      <c r="I71" s="633"/>
      <c r="J71" s="3"/>
      <c r="K71" s="633"/>
      <c r="L71" s="415"/>
      <c r="M71" s="415"/>
    </row>
    <row r="72" spans="1:13">
      <c r="A72" s="379"/>
      <c r="B72" s="414" t="s">
        <v>649</v>
      </c>
      <c r="C72" s="13" t="s">
        <v>41</v>
      </c>
      <c r="D72" s="11" t="s">
        <v>14</v>
      </c>
      <c r="E72" s="374">
        <f>15.1/100</f>
        <v>0.151</v>
      </c>
      <c r="F72" s="8">
        <f>F66*E72</f>
        <v>3.02</v>
      </c>
      <c r="G72" s="3"/>
      <c r="H72" s="3"/>
      <c r="I72" s="3"/>
      <c r="J72" s="3"/>
      <c r="K72" s="3"/>
      <c r="L72" s="415"/>
      <c r="M72" s="415"/>
    </row>
    <row r="73" spans="1:13">
      <c r="A73" s="71"/>
      <c r="B73" s="414" t="s">
        <v>650</v>
      </c>
      <c r="C73" s="13" t="s">
        <v>42</v>
      </c>
      <c r="D73" s="11" t="s">
        <v>14</v>
      </c>
      <c r="E73" s="374">
        <f>0.97/100</f>
        <v>9.7000000000000003E-3</v>
      </c>
      <c r="F73" s="12">
        <f>F66*E73</f>
        <v>0.19400000000000001</v>
      </c>
      <c r="G73" s="2"/>
      <c r="H73" s="2"/>
      <c r="I73" s="2"/>
      <c r="J73" s="2"/>
      <c r="K73" s="2"/>
      <c r="L73" s="415"/>
      <c r="M73" s="415"/>
    </row>
    <row r="74" spans="1:13">
      <c r="A74" s="379"/>
      <c r="B74" s="412" t="s">
        <v>618</v>
      </c>
      <c r="C74" s="13" t="s">
        <v>33</v>
      </c>
      <c r="D74" s="374" t="s">
        <v>44</v>
      </c>
      <c r="E74" s="374">
        <f>126/100</f>
        <v>1.26</v>
      </c>
      <c r="F74" s="9">
        <f>F66*E74</f>
        <v>25.2</v>
      </c>
      <c r="G74" s="413"/>
      <c r="H74" s="2"/>
      <c r="I74" s="3"/>
      <c r="J74" s="3"/>
      <c r="K74" s="3"/>
      <c r="L74" s="976"/>
      <c r="M74" s="415"/>
    </row>
    <row r="75" spans="1:13" ht="15">
      <c r="A75" s="977"/>
      <c r="B75" s="468" t="s">
        <v>623</v>
      </c>
      <c r="C75" s="73" t="s">
        <v>43</v>
      </c>
      <c r="D75" s="374" t="s">
        <v>44</v>
      </c>
      <c r="E75" s="374">
        <f>7/100</f>
        <v>7.0000000000000007E-2</v>
      </c>
      <c r="F75" s="8">
        <f>F66*E75</f>
        <v>1.4000000000000001</v>
      </c>
      <c r="G75" s="634"/>
      <c r="H75" s="2"/>
      <c r="I75" s="634"/>
      <c r="J75" s="634"/>
      <c r="K75" s="634"/>
      <c r="L75" s="634"/>
      <c r="M75" s="415"/>
    </row>
    <row r="76" spans="1:13">
      <c r="A76" s="375"/>
      <c r="B76" s="15"/>
      <c r="C76" s="75" t="s">
        <v>9</v>
      </c>
      <c r="D76" s="76"/>
      <c r="E76" s="77"/>
      <c r="F76" s="77"/>
      <c r="G76" s="78"/>
      <c r="H76" s="78"/>
      <c r="I76" s="78"/>
      <c r="J76" s="78"/>
      <c r="K76" s="78"/>
      <c r="L76" s="78"/>
      <c r="M76" s="78"/>
    </row>
    <row r="77" spans="1:13">
      <c r="A77" s="374"/>
      <c r="B77" s="14"/>
      <c r="C77" s="4" t="s">
        <v>49</v>
      </c>
      <c r="D77" s="980" t="s">
        <v>851</v>
      </c>
      <c r="E77" s="374"/>
      <c r="F77" s="374"/>
      <c r="G77" s="2"/>
      <c r="H77" s="2"/>
      <c r="I77" s="2"/>
      <c r="J77" s="2"/>
      <c r="K77" s="2"/>
      <c r="L77" s="2"/>
      <c r="M77" s="2"/>
    </row>
    <row r="78" spans="1:13">
      <c r="A78" s="374"/>
      <c r="B78" s="377"/>
      <c r="C78" s="376" t="s">
        <v>9</v>
      </c>
      <c r="D78" s="1031"/>
      <c r="E78" s="379"/>
      <c r="F78" s="379"/>
      <c r="G78" s="34"/>
      <c r="H78" s="34"/>
      <c r="I78" s="34"/>
      <c r="J78" s="34"/>
      <c r="K78" s="34"/>
      <c r="L78" s="34"/>
      <c r="M78" s="34"/>
    </row>
    <row r="79" spans="1:13">
      <c r="A79" s="374"/>
      <c r="B79" s="377"/>
      <c r="C79" s="6" t="s">
        <v>50</v>
      </c>
      <c r="D79" s="981" t="s">
        <v>851</v>
      </c>
      <c r="E79" s="374"/>
      <c r="F79" s="374"/>
      <c r="G79" s="2"/>
      <c r="H79" s="2"/>
      <c r="I79" s="2"/>
      <c r="J79" s="2"/>
      <c r="K79" s="2"/>
      <c r="L79" s="2"/>
      <c r="M79" s="2"/>
    </row>
    <row r="80" spans="1:13">
      <c r="A80" s="374"/>
      <c r="B80" s="377"/>
      <c r="C80" s="376" t="s">
        <v>9</v>
      </c>
      <c r="D80" s="378"/>
      <c r="E80" s="379"/>
      <c r="F80" s="379"/>
      <c r="G80" s="34"/>
      <c r="H80" s="34"/>
      <c r="I80" s="34"/>
      <c r="J80" s="34"/>
      <c r="K80" s="34"/>
      <c r="L80" s="34"/>
      <c r="M80" s="34"/>
    </row>
    <row r="81" spans="1:13">
      <c r="A81" s="374"/>
      <c r="B81" s="377"/>
      <c r="C81" s="6" t="s">
        <v>51</v>
      </c>
      <c r="D81" s="980" t="s">
        <v>851</v>
      </c>
      <c r="E81" s="374"/>
      <c r="F81" s="374"/>
      <c r="G81" s="2"/>
      <c r="H81" s="2"/>
      <c r="I81" s="2"/>
      <c r="J81" s="2"/>
      <c r="K81" s="2"/>
      <c r="L81" s="2"/>
      <c r="M81" s="2"/>
    </row>
    <row r="82" spans="1:13">
      <c r="A82" s="374"/>
      <c r="B82" s="377"/>
      <c r="C82" s="376" t="s">
        <v>52</v>
      </c>
      <c r="D82" s="379"/>
      <c r="E82" s="379"/>
      <c r="F82" s="379"/>
      <c r="G82" s="34"/>
      <c r="H82" s="34"/>
      <c r="I82" s="34"/>
      <c r="J82" s="34"/>
      <c r="K82" s="34"/>
      <c r="L82" s="34"/>
      <c r="M82" s="34"/>
    </row>
    <row r="85" spans="1:13">
      <c r="C85" s="53" t="e">
        <f>#REF!</f>
        <v>#REF!</v>
      </c>
    </row>
    <row r="86" spans="1:13">
      <c r="C86" s="53" t="e">
        <f>#REF!</f>
        <v>#REF!</v>
      </c>
      <c r="D86" s="53" t="e">
        <f>#REF!</f>
        <v>#REF!</v>
      </c>
    </row>
  </sheetData>
  <protectedRanges>
    <protectedRange sqref="D76:L82" name="Range5"/>
    <protectedRange sqref="G44:M82" name="Range3"/>
    <protectedRange sqref="G9:M17" name="Range1"/>
    <protectedRange sqref="G19:M42" name="Range2"/>
    <protectedRange sqref="G44:M82" name="Range4"/>
  </protectedRanges>
  <mergeCells count="16">
    <mergeCell ref="A18:M18"/>
    <mergeCell ref="A43:M43"/>
    <mergeCell ref="A1:M1"/>
    <mergeCell ref="A3:M3"/>
    <mergeCell ref="A4:M4"/>
    <mergeCell ref="G5:H5"/>
    <mergeCell ref="I5:J5"/>
    <mergeCell ref="K5:L5"/>
    <mergeCell ref="A2:F2"/>
    <mergeCell ref="A5:A6"/>
    <mergeCell ref="B5:B6"/>
    <mergeCell ref="C5:C6"/>
    <mergeCell ref="D5:D6"/>
    <mergeCell ref="E5:E6"/>
    <mergeCell ref="F5:F6"/>
    <mergeCell ref="A8:M8"/>
  </mergeCells>
  <conditionalFormatting sqref="B28 A11:M15">
    <cfRule type="cellIs" dxfId="140" priority="5" stopIfTrue="1" operator="equal">
      <formula>8223.307275</formula>
    </cfRule>
  </conditionalFormatting>
  <conditionalFormatting sqref="B39">
    <cfRule type="cellIs" dxfId="139" priority="4" stopIfTrue="1" operator="equal">
      <formula>8223.307275</formula>
    </cfRule>
  </conditionalFormatting>
  <conditionalFormatting sqref="B74">
    <cfRule type="cellIs" dxfId="138" priority="3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9" orientation="landscape" horizontalDpi="4294967293" verticalDpi="4294967293" r:id="rId1"/>
  <rowBreaks count="1" manualBreakCount="1">
    <brk id="4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6"/>
  <sheetViews>
    <sheetView view="pageBreakPreview" topLeftCell="A22" zoomScaleNormal="100" zoomScaleSheetLayoutView="100" workbookViewId="0">
      <selection activeCell="D41" sqref="D41:M47"/>
    </sheetView>
  </sheetViews>
  <sheetFormatPr defaultRowHeight="12.75"/>
  <cols>
    <col min="1" max="1" width="5.42578125" style="317" customWidth="1"/>
    <col min="2" max="2" width="13" style="317" customWidth="1"/>
    <col min="3" max="3" width="54.140625" style="296" customWidth="1"/>
    <col min="4" max="13" width="10.7109375" style="296" customWidth="1"/>
    <col min="14" max="16384" width="9.140625" style="296"/>
  </cols>
  <sheetData>
    <row r="1" spans="1:13">
      <c r="A1" s="1111" t="e">
        <f>#REF!</f>
        <v>#REF!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</row>
    <row r="2" spans="1:13">
      <c r="A2" s="1112" t="s">
        <v>7</v>
      </c>
      <c r="B2" s="1112"/>
      <c r="C2" s="1112"/>
      <c r="D2" s="1112"/>
      <c r="E2" s="1112"/>
      <c r="F2" s="1112"/>
      <c r="G2" s="297" t="str">
        <f>'B-2.1'!B10</f>
        <v>B-2.1.2</v>
      </c>
      <c r="H2" s="297"/>
      <c r="I2" s="297"/>
      <c r="J2" s="297"/>
      <c r="K2" s="297"/>
      <c r="L2" s="297"/>
      <c r="M2" s="297"/>
    </row>
    <row r="3" spans="1:13">
      <c r="A3" s="1113" t="str">
        <f>'B-2.1'!C10</f>
        <v>მიწის სამუშაოები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</row>
    <row r="4" spans="1:13">
      <c r="A4" s="1114"/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</row>
    <row r="5" spans="1:13">
      <c r="A5" s="1091" t="s">
        <v>19</v>
      </c>
      <c r="B5" s="1091" t="s">
        <v>20</v>
      </c>
      <c r="C5" s="1116" t="s">
        <v>21</v>
      </c>
      <c r="D5" s="1116" t="s">
        <v>22</v>
      </c>
      <c r="E5" s="1116" t="s">
        <v>23</v>
      </c>
      <c r="F5" s="1116" t="s">
        <v>24</v>
      </c>
      <c r="G5" s="1115" t="s">
        <v>25</v>
      </c>
      <c r="H5" s="1115"/>
      <c r="I5" s="1115" t="s">
        <v>26</v>
      </c>
      <c r="J5" s="1115"/>
      <c r="K5" s="1116" t="s">
        <v>27</v>
      </c>
      <c r="L5" s="1117"/>
      <c r="M5" s="298" t="s">
        <v>5</v>
      </c>
    </row>
    <row r="6" spans="1:13">
      <c r="A6" s="1091"/>
      <c r="B6" s="1091"/>
      <c r="C6" s="1116"/>
      <c r="D6" s="1116"/>
      <c r="E6" s="1116"/>
      <c r="F6" s="1116"/>
      <c r="G6" s="363" t="s">
        <v>28</v>
      </c>
      <c r="H6" s="299" t="s">
        <v>9</v>
      </c>
      <c r="I6" s="363" t="s">
        <v>28</v>
      </c>
      <c r="J6" s="299" t="s">
        <v>9</v>
      </c>
      <c r="K6" s="363" t="s">
        <v>28</v>
      </c>
      <c r="L6" s="300" t="s">
        <v>9</v>
      </c>
      <c r="M6" s="301" t="s">
        <v>29</v>
      </c>
    </row>
    <row r="7" spans="1:13">
      <c r="A7" s="365">
        <v>1</v>
      </c>
      <c r="B7" s="365">
        <v>2</v>
      </c>
      <c r="C7" s="364">
        <v>3</v>
      </c>
      <c r="D7" s="364">
        <v>4</v>
      </c>
      <c r="E7" s="364">
        <v>5</v>
      </c>
      <c r="F7" s="364">
        <v>6</v>
      </c>
      <c r="G7" s="364">
        <v>7</v>
      </c>
      <c r="H7" s="364">
        <v>8</v>
      </c>
      <c r="I7" s="364">
        <v>9</v>
      </c>
      <c r="J7" s="364">
        <v>10</v>
      </c>
      <c r="K7" s="364">
        <v>11</v>
      </c>
      <c r="L7" s="364">
        <v>12</v>
      </c>
      <c r="M7" s="364">
        <v>13</v>
      </c>
    </row>
    <row r="8" spans="1:13" ht="25.5">
      <c r="A8" s="588" t="s">
        <v>67</v>
      </c>
      <c r="B8" s="589" t="s">
        <v>252</v>
      </c>
      <c r="C8" s="518" t="s">
        <v>194</v>
      </c>
      <c r="D8" s="462" t="s">
        <v>44</v>
      </c>
      <c r="E8" s="462"/>
      <c r="F8" s="70">
        <f>((0.6*'B-2.1.3'!F8)+(0.6*'B-2.1.3'!F21))*0.3</f>
        <v>866.34</v>
      </c>
      <c r="G8" s="590"/>
      <c r="H8" s="22"/>
      <c r="I8" s="590"/>
      <c r="J8" s="23"/>
      <c r="K8" s="590"/>
      <c r="L8" s="22"/>
      <c r="M8" s="70"/>
    </row>
    <row r="9" spans="1:13">
      <c r="A9" s="365"/>
      <c r="B9" s="366"/>
      <c r="C9" s="520" t="s">
        <v>36</v>
      </c>
      <c r="D9" s="515" t="s">
        <v>63</v>
      </c>
      <c r="E9" s="10">
        <f>16.5/1000</f>
        <v>1.6500000000000001E-2</v>
      </c>
      <c r="F9" s="9">
        <f>F8*E9</f>
        <v>14.29461</v>
      </c>
      <c r="G9" s="9"/>
      <c r="H9" s="9"/>
      <c r="I9" s="9"/>
      <c r="J9" s="9"/>
      <c r="K9" s="9"/>
      <c r="L9" s="9"/>
      <c r="M9" s="9"/>
    </row>
    <row r="10" spans="1:13">
      <c r="A10" s="365"/>
      <c r="B10" s="366" t="s">
        <v>615</v>
      </c>
      <c r="C10" s="520" t="s">
        <v>56</v>
      </c>
      <c r="D10" s="515" t="s">
        <v>64</v>
      </c>
      <c r="E10" s="10">
        <f>37/1000</f>
        <v>3.6999999999999998E-2</v>
      </c>
      <c r="F10" s="8">
        <f>F8*E10</f>
        <v>32.054580000000001</v>
      </c>
      <c r="G10" s="8"/>
      <c r="H10" s="8"/>
      <c r="I10" s="8"/>
      <c r="J10" s="8"/>
      <c r="K10" s="415"/>
      <c r="L10" s="415"/>
      <c r="M10" s="9"/>
    </row>
    <row r="11" spans="1:13">
      <c r="A11" s="588" t="s">
        <v>68</v>
      </c>
      <c r="B11" s="517" t="s">
        <v>34</v>
      </c>
      <c r="C11" s="518" t="s">
        <v>79</v>
      </c>
      <c r="D11" s="462" t="s">
        <v>44</v>
      </c>
      <c r="E11" s="462"/>
      <c r="F11" s="70">
        <f>F8*3%</f>
        <v>25.990200000000002</v>
      </c>
      <c r="G11" s="590"/>
      <c r="H11" s="22"/>
      <c r="I11" s="590"/>
      <c r="J11" s="23"/>
      <c r="K11" s="590"/>
      <c r="L11" s="22"/>
      <c r="M11" s="70"/>
    </row>
    <row r="12" spans="1:13">
      <c r="A12" s="588"/>
      <c r="B12" s="517"/>
      <c r="C12" s="520" t="s">
        <v>36</v>
      </c>
      <c r="D12" s="515" t="s">
        <v>63</v>
      </c>
      <c r="E12" s="515">
        <f>206/100</f>
        <v>2.06</v>
      </c>
      <c r="F12" s="516">
        <f>F11*E12</f>
        <v>53.539812000000005</v>
      </c>
      <c r="G12" s="80"/>
      <c r="H12" s="8"/>
      <c r="I12" s="80"/>
      <c r="J12" s="9"/>
      <c r="K12" s="80"/>
      <c r="L12" s="8"/>
      <c r="M12" s="516"/>
    </row>
    <row r="13" spans="1:13" ht="25.5">
      <c r="A13" s="588" t="s">
        <v>69</v>
      </c>
      <c r="B13" s="517" t="s">
        <v>82</v>
      </c>
      <c r="C13" s="518" t="s">
        <v>55</v>
      </c>
      <c r="D13" s="462" t="s">
        <v>44</v>
      </c>
      <c r="E13" s="462"/>
      <c r="F13" s="70">
        <f>((0.6*'B-2.1.3'!F8)+(0.6*'B-2.1.3'!F21))*0.65</f>
        <v>1877.0700000000002</v>
      </c>
      <c r="G13" s="590"/>
      <c r="H13" s="22"/>
      <c r="I13" s="590"/>
      <c r="J13" s="23"/>
      <c r="K13" s="590"/>
      <c r="L13" s="22"/>
      <c r="M13" s="70"/>
    </row>
    <row r="14" spans="1:13">
      <c r="A14" s="588"/>
      <c r="B14" s="517"/>
      <c r="C14" s="520" t="s">
        <v>36</v>
      </c>
      <c r="D14" s="515" t="s">
        <v>63</v>
      </c>
      <c r="E14" s="515">
        <f>21.5/1000</f>
        <v>2.1499999999999998E-2</v>
      </c>
      <c r="F14" s="516">
        <f>F13*E14</f>
        <v>40.357005000000001</v>
      </c>
      <c r="G14" s="9"/>
      <c r="H14" s="9"/>
      <c r="I14" s="9"/>
      <c r="J14" s="9"/>
      <c r="K14" s="9"/>
      <c r="L14" s="9"/>
      <c r="M14" s="9"/>
    </row>
    <row r="15" spans="1:13">
      <c r="A15" s="588"/>
      <c r="B15" s="366" t="s">
        <v>615</v>
      </c>
      <c r="C15" s="520" t="s">
        <v>56</v>
      </c>
      <c r="D15" s="515" t="s">
        <v>64</v>
      </c>
      <c r="E15" s="515">
        <f>48.2/1000</f>
        <v>4.82E-2</v>
      </c>
      <c r="F15" s="516">
        <f>F13*E15</f>
        <v>90.474774000000011</v>
      </c>
      <c r="G15" s="8"/>
      <c r="H15" s="8"/>
      <c r="I15" s="8"/>
      <c r="J15" s="8"/>
      <c r="K15" s="415"/>
      <c r="L15" s="415"/>
      <c r="M15" s="9"/>
    </row>
    <row r="16" spans="1:13">
      <c r="A16" s="588" t="s">
        <v>70</v>
      </c>
      <c r="B16" s="517" t="s">
        <v>78</v>
      </c>
      <c r="C16" s="518" t="s">
        <v>57</v>
      </c>
      <c r="D16" s="462" t="s">
        <v>44</v>
      </c>
      <c r="E16" s="462"/>
      <c r="F16" s="70">
        <f>F13*3%</f>
        <v>56.312100000000001</v>
      </c>
      <c r="G16" s="590"/>
      <c r="H16" s="22"/>
      <c r="I16" s="590"/>
      <c r="J16" s="23"/>
      <c r="K16" s="590"/>
      <c r="L16" s="22"/>
      <c r="M16" s="70"/>
    </row>
    <row r="17" spans="1:13">
      <c r="A17" s="588"/>
      <c r="B17" s="517"/>
      <c r="C17" s="520" t="s">
        <v>36</v>
      </c>
      <c r="D17" s="515" t="s">
        <v>63</v>
      </c>
      <c r="E17" s="515">
        <f>299/100</f>
        <v>2.99</v>
      </c>
      <c r="F17" s="516">
        <f>E17*F16</f>
        <v>168.37317900000002</v>
      </c>
      <c r="G17" s="80"/>
      <c r="H17" s="8"/>
      <c r="I17" s="80"/>
      <c r="J17" s="9"/>
      <c r="K17" s="80"/>
      <c r="L17" s="8"/>
      <c r="M17" s="516"/>
    </row>
    <row r="18" spans="1:13" ht="30">
      <c r="A18" s="591" t="s">
        <v>71</v>
      </c>
      <c r="B18" s="592" t="s">
        <v>530</v>
      </c>
      <c r="C18" s="593" t="s">
        <v>531</v>
      </c>
      <c r="D18" s="251" t="s">
        <v>44</v>
      </c>
      <c r="E18" s="251"/>
      <c r="F18" s="253">
        <v>164</v>
      </c>
      <c r="G18" s="251"/>
      <c r="H18" s="266"/>
      <c r="I18" s="251"/>
      <c r="J18" s="385"/>
      <c r="K18" s="251"/>
      <c r="L18" s="266"/>
      <c r="M18" s="253"/>
    </row>
    <row r="19" spans="1:13" ht="15">
      <c r="A19" s="591"/>
      <c r="B19" s="592"/>
      <c r="C19" s="594" t="s">
        <v>36</v>
      </c>
      <c r="D19" s="515" t="s">
        <v>63</v>
      </c>
      <c r="E19" s="251">
        <v>5.92</v>
      </c>
      <c r="F19" s="256">
        <f>F18*E19</f>
        <v>970.88</v>
      </c>
      <c r="G19" s="267"/>
      <c r="H19" s="385"/>
      <c r="I19" s="267"/>
      <c r="J19" s="385"/>
      <c r="K19" s="267"/>
      <c r="L19" s="385"/>
      <c r="M19" s="385"/>
    </row>
    <row r="20" spans="1:13" ht="30">
      <c r="A20" s="591"/>
      <c r="B20" s="452" t="s">
        <v>617</v>
      </c>
      <c r="C20" s="594" t="s">
        <v>532</v>
      </c>
      <c r="D20" s="251" t="s">
        <v>64</v>
      </c>
      <c r="E20" s="251">
        <v>4.0999999999999996</v>
      </c>
      <c r="F20" s="256">
        <f>F18*E20</f>
        <v>672.4</v>
      </c>
      <c r="G20" s="265"/>
      <c r="H20" s="265"/>
      <c r="I20" s="265"/>
      <c r="J20" s="265"/>
      <c r="K20" s="267"/>
      <c r="L20" s="595"/>
      <c r="M20" s="385"/>
    </row>
    <row r="21" spans="1:13" ht="30">
      <c r="A21" s="591" t="s">
        <v>72</v>
      </c>
      <c r="B21" s="592" t="s">
        <v>533</v>
      </c>
      <c r="C21" s="593" t="s">
        <v>534</v>
      </c>
      <c r="D21" s="251" t="s">
        <v>44</v>
      </c>
      <c r="E21" s="251"/>
      <c r="F21" s="253">
        <f>F18</f>
        <v>164</v>
      </c>
      <c r="G21" s="251"/>
      <c r="H21" s="266"/>
      <c r="I21" s="251"/>
      <c r="J21" s="385"/>
      <c r="K21" s="251"/>
      <c r="L21" s="266"/>
      <c r="M21" s="253"/>
    </row>
    <row r="22" spans="1:13" ht="15">
      <c r="A22" s="591"/>
      <c r="B22" s="592"/>
      <c r="C22" s="594" t="s">
        <v>36</v>
      </c>
      <c r="D22" s="251" t="s">
        <v>63</v>
      </c>
      <c r="E22" s="251">
        <v>2.9000000000000001E-2</v>
      </c>
      <c r="F22" s="256">
        <f>E22*F21</f>
        <v>4.7560000000000002</v>
      </c>
      <c r="G22" s="251"/>
      <c r="H22" s="266"/>
      <c r="I22" s="251"/>
      <c r="J22" s="385"/>
      <c r="K22" s="251"/>
      <c r="L22" s="266"/>
      <c r="M22" s="385"/>
    </row>
    <row r="23" spans="1:13" ht="15">
      <c r="A23" s="591"/>
      <c r="B23" s="366" t="s">
        <v>615</v>
      </c>
      <c r="C23" s="594" t="s">
        <v>56</v>
      </c>
      <c r="D23" s="251" t="s">
        <v>64</v>
      </c>
      <c r="E23" s="251">
        <v>6.5000000000000002E-2</v>
      </c>
      <c r="F23" s="256">
        <f>E23*F21</f>
        <v>10.66</v>
      </c>
      <c r="G23" s="251"/>
      <c r="H23" s="266"/>
      <c r="I23" s="251"/>
      <c r="J23" s="385"/>
      <c r="K23" s="415"/>
      <c r="L23" s="595"/>
      <c r="M23" s="385"/>
    </row>
    <row r="24" spans="1:13">
      <c r="A24" s="588" t="s">
        <v>84</v>
      </c>
      <c r="B24" s="517" t="s">
        <v>78</v>
      </c>
      <c r="C24" s="518" t="s">
        <v>612</v>
      </c>
      <c r="D24" s="462" t="s">
        <v>44</v>
      </c>
      <c r="E24" s="462"/>
      <c r="F24" s="70">
        <f>((0.6*'B-2.1.3'!F8)+(0.6*'B-2.1.3'!F21))*0.05</f>
        <v>144.39000000000001</v>
      </c>
      <c r="G24" s="590"/>
      <c r="H24" s="22"/>
      <c r="I24" s="590"/>
      <c r="J24" s="23"/>
      <c r="K24" s="590"/>
      <c r="L24" s="22"/>
      <c r="M24" s="70"/>
    </row>
    <row r="25" spans="1:13">
      <c r="A25" s="588"/>
      <c r="B25" s="517"/>
      <c r="C25" s="520" t="s">
        <v>36</v>
      </c>
      <c r="D25" s="515" t="s">
        <v>63</v>
      </c>
      <c r="E25" s="515">
        <f>299/100</f>
        <v>2.99</v>
      </c>
      <c r="F25" s="516">
        <f>E25*F24</f>
        <v>431.72610000000009</v>
      </c>
      <c r="G25" s="80"/>
      <c r="H25" s="8"/>
      <c r="I25" s="80"/>
      <c r="J25" s="9"/>
      <c r="K25" s="80"/>
      <c r="L25" s="8"/>
      <c r="M25" s="516"/>
    </row>
    <row r="26" spans="1:13" ht="25.5">
      <c r="A26" s="588" t="s">
        <v>73</v>
      </c>
      <c r="B26" s="517" t="s">
        <v>83</v>
      </c>
      <c r="C26" s="518" t="s">
        <v>58</v>
      </c>
      <c r="D26" s="462" t="s">
        <v>44</v>
      </c>
      <c r="E26" s="462"/>
      <c r="F26" s="70">
        <f>F8+F11+F13+F16+F18+F24-F33-F31</f>
        <v>302.86230000000023</v>
      </c>
      <c r="G26" s="590"/>
      <c r="H26" s="22"/>
      <c r="I26" s="590"/>
      <c r="J26" s="23"/>
      <c r="K26" s="590"/>
      <c r="L26" s="22"/>
      <c r="M26" s="70"/>
    </row>
    <row r="27" spans="1:13">
      <c r="A27" s="588"/>
      <c r="B27" s="517"/>
      <c r="C27" s="520" t="s">
        <v>30</v>
      </c>
      <c r="D27" s="515" t="s">
        <v>63</v>
      </c>
      <c r="E27" s="515">
        <f>27/1000</f>
        <v>2.7E-2</v>
      </c>
      <c r="F27" s="516">
        <f>F26*E27</f>
        <v>8.1772821000000064</v>
      </c>
      <c r="G27" s="80"/>
      <c r="H27" s="8"/>
      <c r="I27" s="80"/>
      <c r="J27" s="9"/>
      <c r="K27" s="80"/>
      <c r="L27" s="8"/>
      <c r="M27" s="9"/>
    </row>
    <row r="28" spans="1:13">
      <c r="A28" s="588"/>
      <c r="B28" s="366" t="s">
        <v>615</v>
      </c>
      <c r="C28" s="520" t="s">
        <v>59</v>
      </c>
      <c r="D28" s="515" t="s">
        <v>65</v>
      </c>
      <c r="E28" s="515">
        <f>60.5/1000</f>
        <v>6.0499999999999998E-2</v>
      </c>
      <c r="F28" s="516">
        <f>F26*E28</f>
        <v>18.323169150000012</v>
      </c>
      <c r="G28" s="80"/>
      <c r="H28" s="8"/>
      <c r="I28" s="80"/>
      <c r="J28" s="9"/>
      <c r="K28" s="415"/>
      <c r="L28" s="415"/>
      <c r="M28" s="9"/>
    </row>
    <row r="29" spans="1:13">
      <c r="A29" s="588"/>
      <c r="B29" s="517"/>
      <c r="C29" s="520" t="s">
        <v>31</v>
      </c>
      <c r="D29" s="515" t="s">
        <v>16</v>
      </c>
      <c r="E29" s="515">
        <f>2.21/1000</f>
        <v>2.2100000000000002E-3</v>
      </c>
      <c r="F29" s="516">
        <f>F26*E29</f>
        <v>0.66932568300000062</v>
      </c>
      <c r="G29" s="80"/>
      <c r="H29" s="8"/>
      <c r="I29" s="80"/>
      <c r="J29" s="9"/>
      <c r="K29" s="80"/>
      <c r="L29" s="415"/>
      <c r="M29" s="9"/>
    </row>
    <row r="30" spans="1:13">
      <c r="A30" s="588"/>
      <c r="B30" s="412" t="s">
        <v>618</v>
      </c>
      <c r="C30" s="520" t="s">
        <v>33</v>
      </c>
      <c r="D30" s="515" t="s">
        <v>44</v>
      </c>
      <c r="E30" s="515">
        <f>0.06/1000</f>
        <v>5.9999999999999995E-5</v>
      </c>
      <c r="F30" s="516">
        <f>F26*E30</f>
        <v>1.8171738000000014E-2</v>
      </c>
      <c r="G30" s="413"/>
      <c r="H30" s="8"/>
      <c r="I30" s="80"/>
      <c r="J30" s="9"/>
      <c r="K30" s="80"/>
      <c r="L30" s="8"/>
      <c r="M30" s="9"/>
    </row>
    <row r="31" spans="1:13" ht="45">
      <c r="A31" s="591" t="s">
        <v>74</v>
      </c>
      <c r="B31" s="596" t="s">
        <v>614</v>
      </c>
      <c r="C31" s="593" t="s">
        <v>613</v>
      </c>
      <c r="D31" s="462" t="s">
        <v>44</v>
      </c>
      <c r="E31" s="462"/>
      <c r="F31" s="70">
        <f>((0.27*'B-2.1.3'!F8)+(0.24*'B-2.1.3'!F21))</f>
        <v>1180.4099999999999</v>
      </c>
      <c r="G31" s="590"/>
      <c r="H31" s="22"/>
      <c r="I31" s="590"/>
      <c r="J31" s="23"/>
      <c r="K31" s="590"/>
      <c r="L31" s="22"/>
      <c r="M31" s="70"/>
    </row>
    <row r="32" spans="1:13">
      <c r="A32" s="588"/>
      <c r="B32" s="517"/>
      <c r="C32" s="520" t="s">
        <v>36</v>
      </c>
      <c r="D32" s="515" t="s">
        <v>63</v>
      </c>
      <c r="E32" s="515">
        <v>1.43</v>
      </c>
      <c r="F32" s="516">
        <f>F31*E32</f>
        <v>1687.9862999999998</v>
      </c>
      <c r="G32" s="80"/>
      <c r="H32" s="8"/>
      <c r="I32" s="80"/>
      <c r="J32" s="9"/>
      <c r="K32" s="80"/>
      <c r="L32" s="8"/>
      <c r="M32" s="9"/>
    </row>
    <row r="33" spans="1:13" ht="25.5">
      <c r="A33" s="588" t="s">
        <v>75</v>
      </c>
      <c r="B33" s="517" t="s">
        <v>17</v>
      </c>
      <c r="C33" s="518" t="s">
        <v>60</v>
      </c>
      <c r="D33" s="462" t="s">
        <v>44</v>
      </c>
      <c r="E33" s="462"/>
      <c r="F33" s="70">
        <f>((0.31*'B-2.1.3'!F8)+(0.35*'B-2.1.3'!F21))</f>
        <v>1650.83</v>
      </c>
      <c r="G33" s="590"/>
      <c r="H33" s="22"/>
      <c r="I33" s="590"/>
      <c r="J33" s="23"/>
      <c r="K33" s="590"/>
      <c r="L33" s="22"/>
      <c r="M33" s="70"/>
    </row>
    <row r="34" spans="1:13">
      <c r="A34" s="588"/>
      <c r="B34" s="312" t="s">
        <v>622</v>
      </c>
      <c r="C34" s="520" t="s">
        <v>61</v>
      </c>
      <c r="D34" s="515" t="s">
        <v>65</v>
      </c>
      <c r="E34" s="515">
        <f>9.21/1000</f>
        <v>9.2100000000000012E-3</v>
      </c>
      <c r="F34" s="516">
        <f>F33*E34</f>
        <v>15.204144300000001</v>
      </c>
      <c r="G34" s="80"/>
      <c r="H34" s="8"/>
      <c r="I34" s="80"/>
      <c r="J34" s="9"/>
      <c r="K34" s="289"/>
      <c r="L34" s="415"/>
      <c r="M34" s="9"/>
    </row>
    <row r="35" spans="1:13">
      <c r="A35" s="588" t="s">
        <v>76</v>
      </c>
      <c r="B35" s="517" t="s">
        <v>85</v>
      </c>
      <c r="C35" s="518" t="s">
        <v>62</v>
      </c>
      <c r="D35" s="462" t="s">
        <v>44</v>
      </c>
      <c r="E35" s="462"/>
      <c r="F35" s="70">
        <f>F33</f>
        <v>1650.83</v>
      </c>
      <c r="G35" s="590"/>
      <c r="H35" s="22"/>
      <c r="I35" s="590"/>
      <c r="J35" s="23"/>
      <c r="K35" s="590"/>
      <c r="L35" s="22"/>
      <c r="M35" s="70"/>
    </row>
    <row r="36" spans="1:13">
      <c r="A36" s="588"/>
      <c r="B36" s="517"/>
      <c r="C36" s="520" t="s">
        <v>36</v>
      </c>
      <c r="D36" s="515" t="s">
        <v>63</v>
      </c>
      <c r="E36" s="515">
        <f>13.4/100</f>
        <v>0.13400000000000001</v>
      </c>
      <c r="F36" s="516">
        <f>E36*F35</f>
        <v>221.21122</v>
      </c>
      <c r="G36" s="80"/>
      <c r="H36" s="8"/>
      <c r="I36" s="80"/>
      <c r="J36" s="9"/>
      <c r="K36" s="80"/>
      <c r="L36" s="8"/>
      <c r="M36" s="9"/>
    </row>
    <row r="37" spans="1:13" ht="25.5">
      <c r="A37" s="588"/>
      <c r="B37" s="364" t="s">
        <v>619</v>
      </c>
      <c r="C37" s="520" t="s">
        <v>111</v>
      </c>
      <c r="D37" s="515" t="s">
        <v>66</v>
      </c>
      <c r="E37" s="515">
        <f>13/100</f>
        <v>0.13</v>
      </c>
      <c r="F37" s="516">
        <f>F35*E37</f>
        <v>214.6079</v>
      </c>
      <c r="G37" s="80"/>
      <c r="H37" s="8"/>
      <c r="I37" s="80"/>
      <c r="J37" s="9"/>
      <c r="K37" s="9"/>
      <c r="L37" s="415"/>
      <c r="M37" s="9"/>
    </row>
    <row r="38" spans="1:13">
      <c r="A38" s="588" t="s">
        <v>579</v>
      </c>
      <c r="B38" s="517"/>
      <c r="C38" s="518" t="s">
        <v>620</v>
      </c>
      <c r="D38" s="462" t="s">
        <v>47</v>
      </c>
      <c r="E38" s="462"/>
      <c r="F38" s="70">
        <f>F26*1.9</f>
        <v>575.43837000000042</v>
      </c>
      <c r="G38" s="590"/>
      <c r="H38" s="22"/>
      <c r="I38" s="590"/>
      <c r="J38" s="23"/>
      <c r="K38" s="590"/>
      <c r="L38" s="22"/>
      <c r="M38" s="23"/>
    </row>
    <row r="39" spans="1:13">
      <c r="A39" s="597"/>
      <c r="B39" s="439" t="s">
        <v>621</v>
      </c>
      <c r="C39" s="520" t="s">
        <v>620</v>
      </c>
      <c r="D39" s="515" t="s">
        <v>47</v>
      </c>
      <c r="E39" s="515">
        <v>1</v>
      </c>
      <c r="F39" s="516">
        <f>F38*E39</f>
        <v>575.43837000000042</v>
      </c>
      <c r="G39" s="80"/>
      <c r="H39" s="8"/>
      <c r="I39" s="80"/>
      <c r="J39" s="9"/>
      <c r="K39" s="415"/>
      <c r="L39" s="8"/>
      <c r="M39" s="9"/>
    </row>
    <row r="40" spans="1:13">
      <c r="A40" s="302"/>
      <c r="B40" s="441"/>
      <c r="C40" s="304" t="s">
        <v>9</v>
      </c>
      <c r="D40" s="305"/>
      <c r="E40" s="306"/>
      <c r="F40" s="306"/>
      <c r="G40" s="307"/>
      <c r="H40" s="307"/>
      <c r="I40" s="307"/>
      <c r="J40" s="307"/>
      <c r="K40" s="307"/>
      <c r="L40" s="307"/>
      <c r="M40" s="307"/>
    </row>
    <row r="41" spans="1:13">
      <c r="A41" s="308"/>
      <c r="B41" s="598"/>
      <c r="C41" s="310" t="s">
        <v>49</v>
      </c>
      <c r="D41" s="311" t="s">
        <v>851</v>
      </c>
      <c r="E41" s="312"/>
      <c r="F41" s="312"/>
      <c r="G41" s="289"/>
      <c r="H41" s="289"/>
      <c r="I41" s="289"/>
      <c r="J41" s="289"/>
      <c r="K41" s="289"/>
      <c r="L41" s="289"/>
      <c r="M41" s="289"/>
    </row>
    <row r="42" spans="1:13">
      <c r="A42" s="308"/>
      <c r="B42" s="365"/>
      <c r="C42" s="313" t="s">
        <v>9</v>
      </c>
      <c r="D42" s="314"/>
      <c r="E42" s="364"/>
      <c r="F42" s="364"/>
      <c r="G42" s="291"/>
      <c r="H42" s="291"/>
      <c r="I42" s="291"/>
      <c r="J42" s="291"/>
      <c r="K42" s="291"/>
      <c r="L42" s="291"/>
      <c r="M42" s="291"/>
    </row>
    <row r="43" spans="1:13">
      <c r="A43" s="308"/>
      <c r="B43" s="365"/>
      <c r="C43" s="315" t="s">
        <v>50</v>
      </c>
      <c r="D43" s="316" t="s">
        <v>851</v>
      </c>
      <c r="E43" s="312"/>
      <c r="F43" s="312"/>
      <c r="G43" s="289"/>
      <c r="H43" s="289"/>
      <c r="I43" s="289"/>
      <c r="J43" s="289"/>
      <c r="K43" s="289"/>
      <c r="L43" s="289"/>
      <c r="M43" s="289"/>
    </row>
    <row r="44" spans="1:13">
      <c r="A44" s="308"/>
      <c r="B44" s="365"/>
      <c r="C44" s="313" t="s">
        <v>9</v>
      </c>
      <c r="D44" s="314"/>
      <c r="E44" s="364"/>
      <c r="F44" s="364"/>
      <c r="G44" s="291"/>
      <c r="H44" s="291"/>
      <c r="I44" s="291"/>
      <c r="J44" s="291"/>
      <c r="K44" s="291"/>
      <c r="L44" s="291"/>
      <c r="M44" s="291"/>
    </row>
    <row r="45" spans="1:13">
      <c r="A45" s="308"/>
      <c r="B45" s="365"/>
      <c r="C45" s="315" t="s">
        <v>51</v>
      </c>
      <c r="D45" s="311" t="s">
        <v>851</v>
      </c>
      <c r="E45" s="312"/>
      <c r="F45" s="312"/>
      <c r="G45" s="289"/>
      <c r="H45" s="289"/>
      <c r="I45" s="289"/>
      <c r="J45" s="289"/>
      <c r="K45" s="289"/>
      <c r="L45" s="289"/>
      <c r="M45" s="289"/>
    </row>
    <row r="46" spans="1:13">
      <c r="A46" s="308"/>
      <c r="B46" s="365"/>
      <c r="C46" s="313" t="s">
        <v>52</v>
      </c>
      <c r="D46" s="364"/>
      <c r="E46" s="364"/>
      <c r="F46" s="364"/>
      <c r="G46" s="291"/>
      <c r="H46" s="291"/>
      <c r="I46" s="291"/>
      <c r="J46" s="291"/>
      <c r="K46" s="291"/>
      <c r="L46" s="291"/>
      <c r="M46" s="291"/>
    </row>
  </sheetData>
  <sheetProtection password="CA9C" sheet="1" objects="1" scenarios="1"/>
  <protectedRanges>
    <protectedRange sqref="D41:M47" name="Range2"/>
    <protectedRange sqref="G8:M46" name="Range1"/>
  </protectedRanges>
  <mergeCells count="13">
    <mergeCell ref="A1:M1"/>
    <mergeCell ref="A2:F2"/>
    <mergeCell ref="A3:M3"/>
    <mergeCell ref="A4:M4"/>
    <mergeCell ref="G5:H5"/>
    <mergeCell ref="I5:J5"/>
    <mergeCell ref="K5:L5"/>
    <mergeCell ref="A5:A6"/>
    <mergeCell ref="B5:B6"/>
    <mergeCell ref="C5:C6"/>
    <mergeCell ref="D5:D6"/>
    <mergeCell ref="E5:E6"/>
    <mergeCell ref="F5:F6"/>
  </mergeCells>
  <conditionalFormatting sqref="B30">
    <cfRule type="cellIs" dxfId="137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0" orientation="landscape" horizontalDpi="4294967293" verticalDpi="4294967293" r:id="rId1"/>
  <rowBreaks count="1" manualBreakCount="1">
    <brk id="37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view="pageBreakPreview" topLeftCell="A13" zoomScaleNormal="100" zoomScaleSheetLayoutView="100" workbookViewId="0">
      <selection activeCell="C39" sqref="C39:D40"/>
    </sheetView>
  </sheetViews>
  <sheetFormatPr defaultRowHeight="12.75"/>
  <cols>
    <col min="1" max="1" width="5.140625" style="317" customWidth="1"/>
    <col min="2" max="2" width="10.85546875" style="318" customWidth="1"/>
    <col min="3" max="3" width="66" style="296" customWidth="1"/>
    <col min="4" max="7" width="10.7109375" style="296" customWidth="1"/>
    <col min="8" max="8" width="12.42578125" style="296" customWidth="1"/>
    <col min="9" max="11" width="10.7109375" style="296" customWidth="1"/>
    <col min="12" max="12" width="12.28515625" style="296" customWidth="1"/>
    <col min="13" max="13" width="13.5703125" style="296" customWidth="1"/>
    <col min="14" max="16384" width="9.140625" style="296"/>
  </cols>
  <sheetData>
    <row r="1" spans="1:13">
      <c r="A1" s="1111" t="e">
        <f>#REF!</f>
        <v>#REF!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</row>
    <row r="2" spans="1:13">
      <c r="A2" s="1112" t="s">
        <v>7</v>
      </c>
      <c r="B2" s="1112"/>
      <c r="C2" s="1112"/>
      <c r="D2" s="1112"/>
      <c r="E2" s="1112"/>
      <c r="F2" s="1112"/>
      <c r="G2" s="297" t="str">
        <f>'B-2.1'!B11</f>
        <v>B-2.1.3</v>
      </c>
      <c r="H2" s="297"/>
      <c r="I2" s="297"/>
      <c r="J2" s="297"/>
      <c r="K2" s="297"/>
      <c r="L2" s="297"/>
      <c r="M2" s="297"/>
    </row>
    <row r="3" spans="1:13">
      <c r="A3" s="1113" t="str">
        <f>'B-2.1'!C11</f>
        <v>წყალსადენის გამანაწილებელი ქსელის მოწყობა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</row>
    <row r="4" spans="1:13">
      <c r="A4" s="1114"/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</row>
    <row r="5" spans="1:13">
      <c r="A5" s="1091" t="s">
        <v>19</v>
      </c>
      <c r="B5" s="1118" t="s">
        <v>20</v>
      </c>
      <c r="C5" s="1116" t="s">
        <v>21</v>
      </c>
      <c r="D5" s="1116" t="s">
        <v>22</v>
      </c>
      <c r="E5" s="1116" t="s">
        <v>23</v>
      </c>
      <c r="F5" s="1116" t="s">
        <v>24</v>
      </c>
      <c r="G5" s="1115" t="s">
        <v>25</v>
      </c>
      <c r="H5" s="1115"/>
      <c r="I5" s="1115" t="s">
        <v>26</v>
      </c>
      <c r="J5" s="1115"/>
      <c r="K5" s="1116" t="s">
        <v>27</v>
      </c>
      <c r="L5" s="1117"/>
      <c r="M5" s="298" t="s">
        <v>5</v>
      </c>
    </row>
    <row r="6" spans="1:13">
      <c r="A6" s="1091"/>
      <c r="B6" s="1118"/>
      <c r="C6" s="1116"/>
      <c r="D6" s="1116"/>
      <c r="E6" s="1116"/>
      <c r="F6" s="1116"/>
      <c r="G6" s="998" t="s">
        <v>28</v>
      </c>
      <c r="H6" s="299" t="s">
        <v>9</v>
      </c>
      <c r="I6" s="998" t="s">
        <v>28</v>
      </c>
      <c r="J6" s="299" t="s">
        <v>9</v>
      </c>
      <c r="K6" s="998" t="s">
        <v>28</v>
      </c>
      <c r="L6" s="300" t="s">
        <v>9</v>
      </c>
      <c r="M6" s="301" t="s">
        <v>29</v>
      </c>
    </row>
    <row r="7" spans="1:13">
      <c r="A7" s="992">
        <v>1</v>
      </c>
      <c r="B7" s="1000">
        <v>2</v>
      </c>
      <c r="C7" s="999">
        <v>3</v>
      </c>
      <c r="D7" s="999">
        <v>4</v>
      </c>
      <c r="E7" s="999">
        <v>5</v>
      </c>
      <c r="F7" s="999">
        <v>6</v>
      </c>
      <c r="G7" s="999">
        <v>7</v>
      </c>
      <c r="H7" s="999">
        <v>8</v>
      </c>
      <c r="I7" s="999">
        <v>9</v>
      </c>
      <c r="J7" s="999">
        <v>10</v>
      </c>
      <c r="K7" s="999">
        <v>11</v>
      </c>
      <c r="L7" s="999">
        <v>12</v>
      </c>
      <c r="M7" s="999">
        <v>13</v>
      </c>
    </row>
    <row r="8" spans="1:13" ht="28.5">
      <c r="A8" s="1015">
        <v>1</v>
      </c>
      <c r="B8" s="1016" t="s">
        <v>445</v>
      </c>
      <c r="C8" s="1017" t="s">
        <v>616</v>
      </c>
      <c r="D8" s="1018" t="s">
        <v>91</v>
      </c>
      <c r="E8" s="1018"/>
      <c r="F8" s="1019">
        <f>420+338+85</f>
        <v>843</v>
      </c>
      <c r="G8" s="1018"/>
      <c r="H8" s="1020"/>
      <c r="I8" s="1018"/>
      <c r="J8" s="1018"/>
      <c r="K8" s="1018"/>
      <c r="L8" s="1021"/>
      <c r="M8" s="1020"/>
    </row>
    <row r="9" spans="1:13" ht="15">
      <c r="A9" s="1022"/>
      <c r="B9" s="1023"/>
      <c r="C9" s="1024" t="s">
        <v>86</v>
      </c>
      <c r="D9" s="469" t="s">
        <v>13</v>
      </c>
      <c r="E9" s="469">
        <f>403/1000</f>
        <v>0.40300000000000002</v>
      </c>
      <c r="F9" s="601">
        <f>E9*F8</f>
        <v>339.72900000000004</v>
      </c>
      <c r="G9" s="1025"/>
      <c r="H9" s="1025"/>
      <c r="I9" s="469"/>
      <c r="J9" s="469"/>
      <c r="K9" s="1025"/>
      <c r="L9" s="1025"/>
      <c r="M9" s="601"/>
    </row>
    <row r="10" spans="1:13" ht="15">
      <c r="A10" s="1022"/>
      <c r="B10" s="1023"/>
      <c r="C10" s="1024" t="s">
        <v>97</v>
      </c>
      <c r="D10" s="469" t="s">
        <v>109</v>
      </c>
      <c r="E10" s="469">
        <f>105/1000</f>
        <v>0.105</v>
      </c>
      <c r="F10" s="601">
        <f>E10*F8</f>
        <v>88.515000000000001</v>
      </c>
      <c r="G10" s="469"/>
      <c r="H10" s="601"/>
      <c r="I10" s="469"/>
      <c r="J10" s="1025"/>
      <c r="K10" s="469"/>
      <c r="L10" s="601"/>
      <c r="M10" s="601"/>
    </row>
    <row r="11" spans="1:13" ht="15">
      <c r="A11" s="1022"/>
      <c r="B11" s="1026" t="s">
        <v>838</v>
      </c>
      <c r="C11" s="1027" t="s">
        <v>450</v>
      </c>
      <c r="D11" s="469" t="s">
        <v>91</v>
      </c>
      <c r="E11" s="469">
        <v>0.999</v>
      </c>
      <c r="F11" s="601">
        <f>E11*F8</f>
        <v>842.15700000000004</v>
      </c>
      <c r="G11" s="1028"/>
      <c r="H11" s="601"/>
      <c r="I11" s="469"/>
      <c r="J11" s="1025"/>
      <c r="K11" s="469"/>
      <c r="L11" s="1025"/>
      <c r="M11" s="601"/>
    </row>
    <row r="12" spans="1:13" ht="15">
      <c r="A12" s="1022"/>
      <c r="B12" s="1023"/>
      <c r="C12" s="1024" t="s">
        <v>104</v>
      </c>
      <c r="D12" s="469" t="s">
        <v>109</v>
      </c>
      <c r="E12" s="469">
        <f>97.3/1000</f>
        <v>9.7299999999999998E-2</v>
      </c>
      <c r="F12" s="601">
        <f>E12*F8</f>
        <v>82.023899999999998</v>
      </c>
      <c r="G12" s="469"/>
      <c r="H12" s="601"/>
      <c r="I12" s="469"/>
      <c r="J12" s="1025"/>
      <c r="K12" s="469"/>
      <c r="L12" s="1025"/>
      <c r="M12" s="601"/>
    </row>
    <row r="13" spans="1:13" ht="15">
      <c r="A13" s="1015">
        <v>2</v>
      </c>
      <c r="B13" s="1016" t="s">
        <v>446</v>
      </c>
      <c r="C13" s="571" t="s">
        <v>417</v>
      </c>
      <c r="D13" s="1018" t="s">
        <v>91</v>
      </c>
      <c r="E13" s="1018"/>
      <c r="F13" s="1019">
        <f>F8</f>
        <v>843</v>
      </c>
      <c r="G13" s="1018"/>
      <c r="H13" s="1020"/>
      <c r="I13" s="1018"/>
      <c r="J13" s="1018"/>
      <c r="K13" s="1018"/>
      <c r="L13" s="1021"/>
      <c r="M13" s="1020"/>
    </row>
    <row r="14" spans="1:13" ht="15">
      <c r="A14" s="1022"/>
      <c r="B14" s="1023"/>
      <c r="C14" s="1024" t="s">
        <v>86</v>
      </c>
      <c r="D14" s="469" t="s">
        <v>13</v>
      </c>
      <c r="E14" s="469">
        <f>97.9/1000</f>
        <v>9.7900000000000001E-2</v>
      </c>
      <c r="F14" s="601">
        <f>E14*F13</f>
        <v>82.529700000000005</v>
      </c>
      <c r="G14" s="1025"/>
      <c r="H14" s="1025"/>
      <c r="I14" s="469"/>
      <c r="J14" s="469"/>
      <c r="K14" s="1025"/>
      <c r="L14" s="1025"/>
      <c r="M14" s="601"/>
    </row>
    <row r="15" spans="1:13" ht="15">
      <c r="A15" s="1022"/>
      <c r="B15" s="468" t="s">
        <v>623</v>
      </c>
      <c r="C15" s="1024" t="s">
        <v>90</v>
      </c>
      <c r="D15" s="469" t="s">
        <v>15</v>
      </c>
      <c r="E15" s="469">
        <f>1910/1000</f>
        <v>1.91</v>
      </c>
      <c r="F15" s="601">
        <f>F13*E15</f>
        <v>1610.1299999999999</v>
      </c>
      <c r="G15" s="601"/>
      <c r="H15" s="601"/>
      <c r="I15" s="469"/>
      <c r="J15" s="1025"/>
      <c r="K15" s="469"/>
      <c r="L15" s="469"/>
      <c r="M15" s="601"/>
    </row>
    <row r="16" spans="1:13" ht="15">
      <c r="A16" s="1022"/>
      <c r="B16" s="1026" t="s">
        <v>78</v>
      </c>
      <c r="C16" s="1024" t="s">
        <v>104</v>
      </c>
      <c r="D16" s="469" t="s">
        <v>109</v>
      </c>
      <c r="E16" s="469">
        <f>3.19/1000</f>
        <v>3.1900000000000001E-3</v>
      </c>
      <c r="F16" s="601">
        <f>E16*F13</f>
        <v>2.6891700000000003</v>
      </c>
      <c r="G16" s="469"/>
      <c r="H16" s="601"/>
      <c r="I16" s="469"/>
      <c r="J16" s="1025"/>
      <c r="K16" s="469"/>
      <c r="L16" s="1025"/>
      <c r="M16" s="601"/>
    </row>
    <row r="17" spans="1:13" ht="27">
      <c r="A17" s="1015">
        <v>3</v>
      </c>
      <c r="B17" s="1016" t="s">
        <v>447</v>
      </c>
      <c r="C17" s="1029" t="s">
        <v>451</v>
      </c>
      <c r="D17" s="1018" t="s">
        <v>169</v>
      </c>
      <c r="E17" s="1018"/>
      <c r="F17" s="1020">
        <f>F8*0.159*3.14</f>
        <v>420.87618000000003</v>
      </c>
      <c r="G17" s="1018"/>
      <c r="H17" s="1020"/>
      <c r="I17" s="1018"/>
      <c r="J17" s="1018"/>
      <c r="K17" s="1018"/>
      <c r="L17" s="1021"/>
      <c r="M17" s="1020"/>
    </row>
    <row r="18" spans="1:13" ht="15">
      <c r="A18" s="1022"/>
      <c r="B18" s="1023"/>
      <c r="C18" s="1024" t="s">
        <v>86</v>
      </c>
      <c r="D18" s="469" t="s">
        <v>13</v>
      </c>
      <c r="E18" s="469">
        <f>28.6/100</f>
        <v>0.28600000000000003</v>
      </c>
      <c r="F18" s="601">
        <f>E18*F17</f>
        <v>120.37058748000003</v>
      </c>
      <c r="G18" s="1025"/>
      <c r="H18" s="1025"/>
      <c r="I18" s="469"/>
      <c r="J18" s="601"/>
      <c r="K18" s="1025"/>
      <c r="L18" s="1025"/>
      <c r="M18" s="601"/>
    </row>
    <row r="19" spans="1:13" ht="15">
      <c r="A19" s="1022"/>
      <c r="B19" s="1030" t="s">
        <v>448</v>
      </c>
      <c r="C19" s="1024" t="s">
        <v>449</v>
      </c>
      <c r="D19" s="469" t="s">
        <v>110</v>
      </c>
      <c r="E19" s="469">
        <f>7/100</f>
        <v>7.0000000000000007E-2</v>
      </c>
      <c r="F19" s="601">
        <f>E19*F17</f>
        <v>29.461332600000006</v>
      </c>
      <c r="G19" s="469"/>
      <c r="H19" s="601"/>
      <c r="I19" s="469"/>
      <c r="J19" s="1025"/>
      <c r="K19" s="469"/>
      <c r="L19" s="469"/>
      <c r="M19" s="601"/>
    </row>
    <row r="20" spans="1:13" ht="15">
      <c r="A20" s="1022"/>
      <c r="B20" s="1030"/>
      <c r="C20" s="1024" t="s">
        <v>104</v>
      </c>
      <c r="D20" s="469" t="s">
        <v>109</v>
      </c>
      <c r="E20" s="469">
        <f>0.3/100</f>
        <v>3.0000000000000001E-3</v>
      </c>
      <c r="F20" s="601">
        <f>E20*F17</f>
        <v>1.2626285400000001</v>
      </c>
      <c r="G20" s="469"/>
      <c r="H20" s="601"/>
      <c r="I20" s="469"/>
      <c r="J20" s="1025"/>
      <c r="K20" s="469"/>
      <c r="L20" s="1025"/>
      <c r="M20" s="601"/>
    </row>
    <row r="21" spans="1:13" ht="25.5">
      <c r="A21" s="588" t="s">
        <v>609</v>
      </c>
      <c r="B21" s="517" t="s">
        <v>606</v>
      </c>
      <c r="C21" s="461" t="s">
        <v>840</v>
      </c>
      <c r="D21" s="462" t="s">
        <v>91</v>
      </c>
      <c r="E21" s="462"/>
      <c r="F21" s="70">
        <f>280+10+30+1164+10+328+10+48+10+10+10+274+10+554+10+218+10+984</f>
        <v>3970</v>
      </c>
      <c r="G21" s="590"/>
      <c r="H21" s="22"/>
      <c r="I21" s="590"/>
      <c r="J21" s="23"/>
      <c r="K21" s="590"/>
      <c r="L21" s="22"/>
      <c r="M21" s="70"/>
    </row>
    <row r="22" spans="1:13" ht="13.5">
      <c r="A22" s="992"/>
      <c r="B22" s="1000"/>
      <c r="C22" s="13" t="s">
        <v>86</v>
      </c>
      <c r="D22" s="10" t="s">
        <v>13</v>
      </c>
      <c r="E22" s="10">
        <f>119/1000</f>
        <v>0.11899999999999999</v>
      </c>
      <c r="F22" s="9">
        <f>E22*F21</f>
        <v>472.43</v>
      </c>
      <c r="G22" s="9"/>
      <c r="H22" s="9"/>
      <c r="I22" s="9"/>
      <c r="J22" s="9"/>
      <c r="K22" s="9"/>
      <c r="L22" s="9"/>
      <c r="M22" s="601"/>
    </row>
    <row r="23" spans="1:13" ht="13.5">
      <c r="A23" s="992"/>
      <c r="B23" s="1014"/>
      <c r="C23" s="13" t="s">
        <v>87</v>
      </c>
      <c r="D23" s="11" t="s">
        <v>16</v>
      </c>
      <c r="E23" s="10">
        <f>67.5/1000</f>
        <v>6.7500000000000004E-2</v>
      </c>
      <c r="F23" s="8">
        <f>E23*F21</f>
        <v>267.97500000000002</v>
      </c>
      <c r="G23" s="8"/>
      <c r="H23" s="8"/>
      <c r="I23" s="8"/>
      <c r="J23" s="8"/>
      <c r="K23" s="8"/>
      <c r="L23" s="415"/>
      <c r="M23" s="601"/>
    </row>
    <row r="24" spans="1:13" ht="13.5">
      <c r="A24" s="588"/>
      <c r="B24" s="465" t="s">
        <v>452</v>
      </c>
      <c r="C24" s="466" t="s">
        <v>841</v>
      </c>
      <c r="D24" s="11" t="s">
        <v>91</v>
      </c>
      <c r="E24" s="515">
        <f>1010/1000</f>
        <v>1.01</v>
      </c>
      <c r="F24" s="516">
        <f>E24*F21</f>
        <v>4009.7</v>
      </c>
      <c r="G24" s="80"/>
      <c r="H24" s="8"/>
      <c r="I24" s="80"/>
      <c r="J24" s="9"/>
      <c r="K24" s="80"/>
      <c r="L24" s="8"/>
      <c r="M24" s="601"/>
    </row>
    <row r="25" spans="1:13" ht="13.5">
      <c r="A25" s="588"/>
      <c r="B25" s="517"/>
      <c r="C25" s="13" t="s">
        <v>89</v>
      </c>
      <c r="D25" s="11" t="s">
        <v>16</v>
      </c>
      <c r="E25" s="515">
        <f>2.16/1000</f>
        <v>2.16E-3</v>
      </c>
      <c r="F25" s="516">
        <f>E25*F21</f>
        <v>8.5752000000000006</v>
      </c>
      <c r="G25" s="80"/>
      <c r="H25" s="8"/>
      <c r="I25" s="80"/>
      <c r="J25" s="9"/>
      <c r="K25" s="80"/>
      <c r="L25" s="8"/>
      <c r="M25" s="601"/>
    </row>
    <row r="26" spans="1:13">
      <c r="A26" s="588" t="s">
        <v>610</v>
      </c>
      <c r="B26" s="517" t="s">
        <v>607</v>
      </c>
      <c r="C26" s="72" t="s">
        <v>842</v>
      </c>
      <c r="D26" s="84" t="s">
        <v>91</v>
      </c>
      <c r="E26" s="462"/>
      <c r="F26" s="70">
        <f>F21</f>
        <v>3970</v>
      </c>
      <c r="G26" s="590"/>
      <c r="H26" s="22"/>
      <c r="I26" s="590"/>
      <c r="J26" s="23"/>
      <c r="K26" s="590"/>
      <c r="L26" s="22"/>
      <c r="M26" s="70"/>
    </row>
    <row r="27" spans="1:13" ht="13.5">
      <c r="A27" s="588"/>
      <c r="B27" s="517"/>
      <c r="C27" s="13" t="s">
        <v>86</v>
      </c>
      <c r="D27" s="10" t="s">
        <v>13</v>
      </c>
      <c r="E27" s="515">
        <f>56.7/1000</f>
        <v>5.67E-2</v>
      </c>
      <c r="F27" s="516">
        <f>F26*E27</f>
        <v>225.09899999999999</v>
      </c>
      <c r="G27" s="80"/>
      <c r="H27" s="8"/>
      <c r="I27" s="9"/>
      <c r="J27" s="9"/>
      <c r="K27" s="80"/>
      <c r="L27" s="8"/>
      <c r="M27" s="601"/>
    </row>
    <row r="28" spans="1:13" ht="15">
      <c r="A28" s="588"/>
      <c r="B28" s="468" t="s">
        <v>623</v>
      </c>
      <c r="C28" s="466" t="s">
        <v>90</v>
      </c>
      <c r="D28" s="11" t="s">
        <v>15</v>
      </c>
      <c r="E28" s="515">
        <f>94/1000</f>
        <v>9.4E-2</v>
      </c>
      <c r="F28" s="516">
        <f>F26*E28</f>
        <v>373.18</v>
      </c>
      <c r="G28" s="470"/>
      <c r="H28" s="8"/>
      <c r="I28" s="80"/>
      <c r="J28" s="9"/>
      <c r="K28" s="80"/>
      <c r="L28" s="8"/>
      <c r="M28" s="601"/>
    </row>
    <row r="29" spans="1:13" ht="13.5">
      <c r="A29" s="588"/>
      <c r="B29" s="517"/>
      <c r="C29" s="13" t="s">
        <v>89</v>
      </c>
      <c r="D29" s="11" t="s">
        <v>16</v>
      </c>
      <c r="E29" s="515">
        <f>0.16/1000</f>
        <v>1.6000000000000001E-4</v>
      </c>
      <c r="F29" s="516">
        <f>F26*E29</f>
        <v>0.6352000000000001</v>
      </c>
      <c r="G29" s="80"/>
      <c r="H29" s="8"/>
      <c r="I29" s="80"/>
      <c r="J29" s="9"/>
      <c r="K29" s="80"/>
      <c r="L29" s="8"/>
      <c r="M29" s="601"/>
    </row>
    <row r="30" spans="1:13">
      <c r="A30" s="302"/>
      <c r="B30" s="303"/>
      <c r="C30" s="304" t="s">
        <v>9</v>
      </c>
      <c r="D30" s="305"/>
      <c r="E30" s="306"/>
      <c r="F30" s="306"/>
      <c r="G30" s="307"/>
      <c r="H30" s="307"/>
      <c r="I30" s="307"/>
      <c r="J30" s="307"/>
      <c r="K30" s="307"/>
      <c r="L30" s="307"/>
      <c r="M30" s="307"/>
    </row>
    <row r="31" spans="1:13">
      <c r="A31" s="308"/>
      <c r="B31" s="309"/>
      <c r="C31" s="310" t="s">
        <v>49</v>
      </c>
      <c r="D31" s="311" t="s">
        <v>851</v>
      </c>
      <c r="E31" s="312"/>
      <c r="F31" s="312"/>
      <c r="G31" s="289"/>
      <c r="H31" s="289"/>
      <c r="I31" s="289"/>
      <c r="J31" s="289"/>
      <c r="K31" s="289"/>
      <c r="L31" s="289"/>
      <c r="M31" s="289"/>
    </row>
    <row r="32" spans="1:13">
      <c r="A32" s="308"/>
      <c r="B32" s="1000"/>
      <c r="C32" s="313" t="s">
        <v>9</v>
      </c>
      <c r="D32" s="314"/>
      <c r="E32" s="999"/>
      <c r="F32" s="999"/>
      <c r="G32" s="291"/>
      <c r="H32" s="291"/>
      <c r="I32" s="291"/>
      <c r="J32" s="291"/>
      <c r="K32" s="291"/>
      <c r="L32" s="291"/>
      <c r="M32" s="291"/>
    </row>
    <row r="33" spans="1:13">
      <c r="A33" s="308"/>
      <c r="B33" s="1000"/>
      <c r="C33" s="315" t="s">
        <v>50</v>
      </c>
      <c r="D33" s="316" t="s">
        <v>851</v>
      </c>
      <c r="E33" s="312"/>
      <c r="F33" s="312"/>
      <c r="G33" s="289"/>
      <c r="H33" s="289"/>
      <c r="I33" s="289"/>
      <c r="J33" s="289"/>
      <c r="K33" s="289"/>
      <c r="L33" s="289"/>
      <c r="M33" s="289"/>
    </row>
    <row r="34" spans="1:13">
      <c r="A34" s="308"/>
      <c r="B34" s="1000"/>
      <c r="C34" s="313" t="s">
        <v>9</v>
      </c>
      <c r="D34" s="314"/>
      <c r="E34" s="999"/>
      <c r="F34" s="999"/>
      <c r="G34" s="291"/>
      <c r="H34" s="291"/>
      <c r="I34" s="291"/>
      <c r="J34" s="291"/>
      <c r="K34" s="291"/>
      <c r="L34" s="291"/>
      <c r="M34" s="291"/>
    </row>
    <row r="35" spans="1:13">
      <c r="A35" s="308"/>
      <c r="B35" s="1000"/>
      <c r="C35" s="315" t="s">
        <v>51</v>
      </c>
      <c r="D35" s="311" t="s">
        <v>851</v>
      </c>
      <c r="E35" s="312"/>
      <c r="F35" s="312"/>
      <c r="G35" s="289"/>
      <c r="H35" s="289"/>
      <c r="I35" s="289"/>
      <c r="J35" s="289"/>
      <c r="K35" s="289"/>
      <c r="L35" s="289"/>
      <c r="M35" s="289"/>
    </row>
    <row r="36" spans="1:13">
      <c r="A36" s="308"/>
      <c r="B36" s="1000"/>
      <c r="C36" s="313" t="s">
        <v>52</v>
      </c>
      <c r="D36" s="999"/>
      <c r="E36" s="999"/>
      <c r="F36" s="999"/>
      <c r="G36" s="291"/>
      <c r="H36" s="291"/>
      <c r="I36" s="291"/>
      <c r="J36" s="291"/>
      <c r="K36" s="291"/>
      <c r="L36" s="291"/>
      <c r="M36" s="291"/>
    </row>
  </sheetData>
  <sheetProtection password="CA9C" sheet="1" objects="1" scenarios="1"/>
  <protectedRanges>
    <protectedRange sqref="D31:I36" name="Range2"/>
    <protectedRange sqref="G8:M36" name="Range1"/>
  </protectedRanges>
  <mergeCells count="13">
    <mergeCell ref="A1:M1"/>
    <mergeCell ref="A2:F2"/>
    <mergeCell ref="A3:M3"/>
    <mergeCell ref="A4:M4"/>
    <mergeCell ref="G5:H5"/>
    <mergeCell ref="I5:J5"/>
    <mergeCell ref="K5:L5"/>
    <mergeCell ref="A5:A6"/>
    <mergeCell ref="B5:B6"/>
    <mergeCell ref="C5:C6"/>
    <mergeCell ref="D5:D6"/>
    <mergeCell ref="E5:E6"/>
    <mergeCell ref="F5:F6"/>
  </mergeCells>
  <conditionalFormatting sqref="B8">
    <cfRule type="cellIs" dxfId="136" priority="48" stopIfTrue="1" operator="equal">
      <formula>8223.307275</formula>
    </cfRule>
  </conditionalFormatting>
  <conditionalFormatting sqref="B13">
    <cfRule type="cellIs" dxfId="135" priority="47" stopIfTrue="1" operator="equal">
      <formula>8223.307275</formula>
    </cfRule>
  </conditionalFormatting>
  <conditionalFormatting sqref="D8:M8 D9:L12">
    <cfRule type="cellIs" dxfId="134" priority="45" stopIfTrue="1" operator="equal">
      <formula>8223.307275</formula>
    </cfRule>
  </conditionalFormatting>
  <conditionalFormatting sqref="M9:M12">
    <cfRule type="cellIs" dxfId="133" priority="44" stopIfTrue="1" operator="equal">
      <formula>8223.307275</formula>
    </cfRule>
  </conditionalFormatting>
  <conditionalFormatting sqref="B17">
    <cfRule type="cellIs" dxfId="132" priority="46" stopIfTrue="1" operator="equal">
      <formula>8223.307275</formula>
    </cfRule>
  </conditionalFormatting>
  <conditionalFormatting sqref="C8:C12">
    <cfRule type="cellIs" dxfId="131" priority="51" stopIfTrue="1" operator="equal">
      <formula>8223.307275</formula>
    </cfRule>
  </conditionalFormatting>
  <conditionalFormatting sqref="C14:C16">
    <cfRule type="cellIs" dxfId="130" priority="50" stopIfTrue="1" operator="equal">
      <formula>8223.307275</formula>
    </cfRule>
  </conditionalFormatting>
  <conditionalFormatting sqref="C17:C20">
    <cfRule type="cellIs" dxfId="129" priority="49" stopIfTrue="1" operator="equal">
      <formula>8223.307275</formula>
    </cfRule>
  </conditionalFormatting>
  <conditionalFormatting sqref="D13:M13 D14:I14 D15:G16 I15:L16 K14:L14">
    <cfRule type="cellIs" dxfId="128" priority="43" stopIfTrue="1" operator="equal">
      <formula>8223.307275</formula>
    </cfRule>
  </conditionalFormatting>
  <conditionalFormatting sqref="D17:M17 D18:I18 D20:G20 E19:G19 I19:L20 K18:L18">
    <cfRule type="cellIs" dxfId="127" priority="42" stopIfTrue="1" operator="equal">
      <formula>8223.307275</formula>
    </cfRule>
  </conditionalFormatting>
  <conditionalFormatting sqref="M14:M16">
    <cfRule type="cellIs" dxfId="126" priority="41" stopIfTrue="1" operator="equal">
      <formula>8223.307275</formula>
    </cfRule>
  </conditionalFormatting>
  <conditionalFormatting sqref="M18:M20">
    <cfRule type="cellIs" dxfId="125" priority="40" stopIfTrue="1" operator="equal">
      <formula>8223.307275</formula>
    </cfRule>
  </conditionalFormatting>
  <conditionalFormatting sqref="D19">
    <cfRule type="cellIs" dxfId="124" priority="27" stopIfTrue="1" operator="equal">
      <formula>8223.307275</formula>
    </cfRule>
  </conditionalFormatting>
  <conditionalFormatting sqref="H15:H16">
    <cfRule type="cellIs" dxfId="123" priority="25" stopIfTrue="1" operator="equal">
      <formula>8223.307275</formula>
    </cfRule>
  </conditionalFormatting>
  <conditionalFormatting sqref="H19:H20">
    <cfRule type="cellIs" dxfId="122" priority="24" stopIfTrue="1" operator="equal">
      <formula>8223.307275</formula>
    </cfRule>
  </conditionalFormatting>
  <conditionalFormatting sqref="J14">
    <cfRule type="cellIs" dxfId="121" priority="22" stopIfTrue="1" operator="equal">
      <formula>8223.307275</formula>
    </cfRule>
  </conditionalFormatting>
  <conditionalFormatting sqref="J18">
    <cfRule type="cellIs" dxfId="120" priority="21" stopIfTrue="1" operator="equal">
      <formula>8223.307275</formula>
    </cfRule>
  </conditionalFormatting>
  <conditionalFormatting sqref="M22:M25">
    <cfRule type="cellIs" dxfId="119" priority="2" stopIfTrue="1" operator="equal">
      <formula>8223.307275</formula>
    </cfRule>
  </conditionalFormatting>
  <conditionalFormatting sqref="M27:M29">
    <cfRule type="cellIs" dxfId="118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9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3"/>
  <sheetViews>
    <sheetView view="pageBreakPreview" zoomScaleNormal="100" zoomScaleSheetLayoutView="100" workbookViewId="0">
      <selection activeCell="T65" sqref="T65"/>
    </sheetView>
  </sheetViews>
  <sheetFormatPr defaultRowHeight="12.75"/>
  <cols>
    <col min="1" max="1" width="5.85546875" style="24" customWidth="1"/>
    <col min="2" max="2" width="8.7109375" style="24" customWidth="1"/>
    <col min="3" max="3" width="63.140625" style="24" customWidth="1"/>
    <col min="4" max="4" width="4.42578125" style="24" customWidth="1"/>
    <col min="5" max="9" width="12.42578125" style="24" customWidth="1"/>
    <col min="10" max="10" width="12.5703125" style="24" customWidth="1"/>
    <col min="11" max="16384" width="9.140625" style="24"/>
  </cols>
  <sheetData>
    <row r="1" spans="1:13">
      <c r="B1" s="1042" t="e">
        <f>#REF!</f>
        <v>#REF!</v>
      </c>
      <c r="C1" s="1042"/>
      <c r="D1" s="1042"/>
      <c r="E1" s="1042"/>
      <c r="F1" s="1042"/>
      <c r="G1" s="1042"/>
      <c r="H1" s="1042"/>
      <c r="I1" s="1042"/>
      <c r="J1" s="61"/>
    </row>
    <row r="2" spans="1:13">
      <c r="B2" s="1043" t="s">
        <v>54</v>
      </c>
      <c r="C2" s="1043"/>
      <c r="D2" s="1043"/>
      <c r="E2" s="1043"/>
      <c r="F2" s="25" t="str">
        <f>'B-2'!B10</f>
        <v>B-2.2</v>
      </c>
      <c r="G2" s="25"/>
      <c r="H2" s="25"/>
      <c r="I2" s="25"/>
      <c r="J2" s="25"/>
    </row>
    <row r="3" spans="1:13">
      <c r="B3" s="1126" t="str">
        <f>'B-2'!C10</f>
        <v>სარეგულაციო და სათვალთვალო ჭები</v>
      </c>
      <c r="C3" s="1126"/>
      <c r="D3" s="1126"/>
      <c r="E3" s="1126"/>
      <c r="F3" s="1126"/>
      <c r="G3" s="1126"/>
      <c r="H3" s="1126"/>
      <c r="I3" s="1126"/>
    </row>
    <row r="4" spans="1:13">
      <c r="B4" s="62"/>
      <c r="C4" s="62"/>
      <c r="D4" s="62"/>
      <c r="E4" s="62"/>
      <c r="F4" s="62"/>
      <c r="G4" s="62"/>
      <c r="H4" s="62"/>
      <c r="I4" s="62"/>
    </row>
    <row r="5" spans="1:13">
      <c r="B5" s="27"/>
      <c r="C5" s="28"/>
      <c r="D5" s="28"/>
      <c r="E5" s="28"/>
      <c r="F5" s="28"/>
      <c r="G5" s="1044"/>
      <c r="H5" s="1044"/>
      <c r="I5" s="1044"/>
      <c r="J5" s="1044"/>
    </row>
    <row r="6" spans="1:13" ht="15.75" customHeight="1">
      <c r="A6" s="1127" t="s">
        <v>7</v>
      </c>
      <c r="B6" s="1127"/>
      <c r="C6" s="1128" t="s">
        <v>0</v>
      </c>
      <c r="D6" s="1129"/>
      <c r="E6" s="1120" t="s">
        <v>8</v>
      </c>
      <c r="F6" s="1132"/>
      <c r="G6" s="1132"/>
      <c r="H6" s="1132"/>
      <c r="I6" s="1121"/>
      <c r="J6" s="1119" t="s">
        <v>6</v>
      </c>
    </row>
    <row r="7" spans="1:13" ht="25.5">
      <c r="A7" s="1127"/>
      <c r="B7" s="1127"/>
      <c r="C7" s="1130"/>
      <c r="D7" s="1131"/>
      <c r="E7" s="341" t="s">
        <v>1</v>
      </c>
      <c r="F7" s="341" t="s">
        <v>2</v>
      </c>
      <c r="G7" s="341" t="s">
        <v>3</v>
      </c>
      <c r="H7" s="341" t="s">
        <v>4</v>
      </c>
      <c r="I7" s="341" t="s">
        <v>5</v>
      </c>
      <c r="J7" s="1133"/>
    </row>
    <row r="8" spans="1:13">
      <c r="A8" s="1119">
        <v>1</v>
      </c>
      <c r="B8" s="1119"/>
      <c r="C8" s="1120">
        <v>2</v>
      </c>
      <c r="D8" s="1121"/>
      <c r="E8" s="341">
        <v>3</v>
      </c>
      <c r="F8" s="341">
        <v>4</v>
      </c>
      <c r="G8" s="341">
        <v>5</v>
      </c>
      <c r="H8" s="341">
        <v>6</v>
      </c>
      <c r="I8" s="341">
        <v>7</v>
      </c>
      <c r="J8" s="341">
        <v>8</v>
      </c>
      <c r="K8" s="292"/>
      <c r="L8" s="292"/>
      <c r="M8" s="292"/>
    </row>
    <row r="9" spans="1:13">
      <c r="A9" s="321">
        <v>1</v>
      </c>
      <c r="B9" s="341" t="s">
        <v>424</v>
      </c>
      <c r="C9" s="342" t="s">
        <v>453</v>
      </c>
      <c r="D9" s="343"/>
      <c r="E9" s="344">
        <f>'B-2.2.1.'!H10</f>
        <v>0</v>
      </c>
      <c r="F9" s="341"/>
      <c r="G9" s="341"/>
      <c r="H9" s="341"/>
      <c r="I9" s="344">
        <f>E9+F9+G9+H9</f>
        <v>0</v>
      </c>
      <c r="J9" s="341"/>
      <c r="K9" s="292"/>
      <c r="L9" s="292"/>
      <c r="M9" s="292"/>
    </row>
    <row r="10" spans="1:13">
      <c r="A10" s="321">
        <v>2</v>
      </c>
      <c r="B10" s="1008" t="s">
        <v>425</v>
      </c>
      <c r="C10" s="342" t="s">
        <v>117</v>
      </c>
      <c r="D10" s="343"/>
      <c r="E10" s="344">
        <f>'B-2.2.2'!H9</f>
        <v>0</v>
      </c>
      <c r="F10" s="341"/>
      <c r="G10" s="341"/>
      <c r="H10" s="341"/>
      <c r="I10" s="344">
        <f>E10+F10+G10+H10</f>
        <v>0</v>
      </c>
      <c r="J10" s="341"/>
      <c r="K10" s="292"/>
      <c r="L10" s="292"/>
      <c r="M10" s="292"/>
    </row>
    <row r="11" spans="1:13">
      <c r="A11" s="321">
        <v>3</v>
      </c>
      <c r="B11" s="1008" t="s">
        <v>426</v>
      </c>
      <c r="C11" s="342" t="s">
        <v>136</v>
      </c>
      <c r="D11" s="343"/>
      <c r="E11" s="344">
        <f>'B-2.2.3'!H11</f>
        <v>0</v>
      </c>
      <c r="F11" s="341"/>
      <c r="G11" s="341"/>
      <c r="H11" s="341"/>
      <c r="I11" s="344">
        <f>E11+F11+G11+H11</f>
        <v>0</v>
      </c>
      <c r="J11" s="341"/>
      <c r="K11" s="292"/>
      <c r="L11" s="292"/>
      <c r="M11" s="292"/>
    </row>
    <row r="12" spans="1:13" s="35" customFormat="1">
      <c r="A12" s="1122"/>
      <c r="B12" s="1123"/>
      <c r="C12" s="1124" t="s">
        <v>9</v>
      </c>
      <c r="D12" s="1125"/>
      <c r="E12" s="345"/>
      <c r="F12" s="345"/>
      <c r="G12" s="345"/>
      <c r="H12" s="345"/>
      <c r="I12" s="346">
        <f>SUM(I10:I11)</f>
        <v>0</v>
      </c>
      <c r="J12" s="345"/>
      <c r="K12" s="293"/>
      <c r="L12" s="293"/>
      <c r="M12" s="293"/>
    </row>
    <row r="13" spans="1:13">
      <c r="A13" s="327"/>
      <c r="B13" s="347"/>
      <c r="C13" s="348"/>
      <c r="D13" s="348"/>
      <c r="E13" s="349"/>
      <c r="F13" s="349"/>
      <c r="G13" s="349"/>
      <c r="H13" s="349"/>
      <c r="I13" s="349"/>
      <c r="J13" s="350"/>
      <c r="K13" s="292"/>
      <c r="L13" s="292"/>
      <c r="M13" s="292"/>
    </row>
    <row r="14" spans="1:13">
      <c r="A14" s="327"/>
      <c r="B14" s="351"/>
      <c r="C14" s="352"/>
      <c r="D14" s="352"/>
      <c r="E14" s="352"/>
      <c r="F14" s="352"/>
      <c r="G14" s="352"/>
      <c r="H14" s="352"/>
      <c r="I14" s="352"/>
      <c r="J14" s="352"/>
      <c r="K14" s="292"/>
      <c r="L14" s="292"/>
      <c r="M14" s="292"/>
    </row>
    <row r="15" spans="1:13">
      <c r="A15" s="327"/>
      <c r="B15" s="352"/>
      <c r="C15" s="353" t="e">
        <f>#REF!</f>
        <v>#REF!</v>
      </c>
      <c r="D15" s="353"/>
      <c r="E15" s="352"/>
      <c r="F15" s="352"/>
      <c r="G15" s="352"/>
      <c r="H15" s="352"/>
      <c r="I15" s="352"/>
      <c r="J15" s="352"/>
      <c r="K15" s="292"/>
      <c r="L15" s="292"/>
      <c r="M15" s="292"/>
    </row>
    <row r="16" spans="1:13">
      <c r="A16" s="327"/>
      <c r="B16" s="352"/>
      <c r="C16" s="353" t="e">
        <f>#REF!</f>
        <v>#REF!</v>
      </c>
      <c r="D16" s="353"/>
      <c r="E16" s="352"/>
      <c r="F16" s="352"/>
      <c r="G16" s="354" t="e">
        <f>#REF!</f>
        <v>#REF!</v>
      </c>
      <c r="H16" s="354"/>
      <c r="I16" s="354"/>
      <c r="J16" s="352"/>
      <c r="K16" s="292"/>
      <c r="L16" s="292"/>
      <c r="M16" s="292"/>
    </row>
    <row r="17" spans="1:13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</row>
    <row r="18" spans="1:13">
      <c r="A18" s="292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</row>
    <row r="19" spans="1:13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</row>
    <row r="20" spans="1:13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</row>
    <row r="21" spans="1:13">
      <c r="A21" s="292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</row>
    <row r="22" spans="1:13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</row>
    <row r="23" spans="1:13">
      <c r="F23" s="121"/>
    </row>
  </sheetData>
  <mergeCells count="12">
    <mergeCell ref="A8:B8"/>
    <mergeCell ref="C8:D8"/>
    <mergeCell ref="A12:B12"/>
    <mergeCell ref="C12:D12"/>
    <mergeCell ref="B1:I1"/>
    <mergeCell ref="B2:E2"/>
    <mergeCell ref="B3:I3"/>
    <mergeCell ref="G5:J5"/>
    <mergeCell ref="A6:B7"/>
    <mergeCell ref="C6:D7"/>
    <mergeCell ref="E6:I6"/>
    <mergeCell ref="J6:J7"/>
  </mergeCells>
  <phoneticPr fontId="66" type="noConversion"/>
  <printOptions horizontalCentered="1"/>
  <pageMargins left="0.11811023622047245" right="0.11811023622047245" top="0.55118110236220474" bottom="0.15748031496062992" header="0.31496062992125984" footer="0.31496062992125984"/>
  <pageSetup paperSize="9" scale="92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6"/>
  <sheetViews>
    <sheetView view="pageBreakPreview" zoomScaleNormal="100" zoomScaleSheetLayoutView="100" workbookViewId="0">
      <selection activeCell="T65" sqref="T65"/>
    </sheetView>
  </sheetViews>
  <sheetFormatPr defaultRowHeight="12.75"/>
  <cols>
    <col min="1" max="1" width="5.85546875" style="24" customWidth="1"/>
    <col min="2" max="2" width="10.85546875" style="24" customWidth="1"/>
    <col min="3" max="3" width="75.28515625" style="24" customWidth="1"/>
    <col min="4" max="8" width="12.42578125" style="24" customWidth="1"/>
    <col min="9" max="9" width="12.5703125" style="24" customWidth="1"/>
    <col min="10" max="16384" width="9.140625" style="24"/>
  </cols>
  <sheetData>
    <row r="1" spans="1:13">
      <c r="B1" s="1135" t="e">
        <f>#REF!</f>
        <v>#REF!</v>
      </c>
      <c r="C1" s="1135"/>
      <c r="D1" s="1135"/>
      <c r="E1" s="1135"/>
      <c r="F1" s="1135"/>
      <c r="G1" s="1135"/>
      <c r="H1" s="1135"/>
      <c r="I1" s="215"/>
    </row>
    <row r="2" spans="1:13">
      <c r="B2" s="1136" t="s">
        <v>54</v>
      </c>
      <c r="C2" s="1136"/>
      <c r="D2" s="1136"/>
      <c r="E2" s="216" t="str">
        <f>'B-2.2'!B9</f>
        <v>B-2.2.1</v>
      </c>
      <c r="F2" s="216"/>
      <c r="G2" s="216"/>
      <c r="H2" s="216"/>
      <c r="I2" s="216"/>
    </row>
    <row r="3" spans="1:13">
      <c r="B3" s="1126" t="str">
        <f>'B-2.2'!C9</f>
        <v>სათვალთვალო და სარეგულაციო ჭა D=1.0 მ H=1.75 მ</v>
      </c>
      <c r="C3" s="1126"/>
      <c r="D3" s="1126"/>
      <c r="E3" s="1126"/>
      <c r="F3" s="1126"/>
      <c r="G3" s="1126"/>
      <c r="H3" s="1126"/>
    </row>
    <row r="4" spans="1:13">
      <c r="B4" s="211"/>
      <c r="C4" s="211"/>
      <c r="D4" s="211"/>
      <c r="E4" s="211"/>
      <c r="F4" s="211"/>
      <c r="G4" s="211"/>
      <c r="H4" s="211"/>
    </row>
    <row r="5" spans="1:13">
      <c r="B5" s="217"/>
      <c r="C5" s="218"/>
      <c r="D5" s="218"/>
      <c r="E5" s="218"/>
      <c r="F5" s="1137"/>
      <c r="G5" s="1137"/>
      <c r="H5" s="1137"/>
      <c r="I5" s="1137"/>
    </row>
    <row r="6" spans="1:13">
      <c r="A6" s="1138"/>
      <c r="B6" s="1138"/>
      <c r="C6" s="1139" t="s">
        <v>0</v>
      </c>
      <c r="D6" s="1141" t="s">
        <v>8</v>
      </c>
      <c r="E6" s="1142"/>
      <c r="F6" s="1142"/>
      <c r="G6" s="1142"/>
      <c r="H6" s="1143"/>
      <c r="I6" s="1134" t="s">
        <v>6</v>
      </c>
    </row>
    <row r="7" spans="1:13" ht="25.5">
      <c r="A7" s="1138"/>
      <c r="B7" s="1138"/>
      <c r="C7" s="1140"/>
      <c r="D7" s="319" t="s">
        <v>1</v>
      </c>
      <c r="E7" s="319" t="s">
        <v>2</v>
      </c>
      <c r="F7" s="319" t="s">
        <v>3</v>
      </c>
      <c r="G7" s="319" t="s">
        <v>4</v>
      </c>
      <c r="H7" s="319" t="s">
        <v>5</v>
      </c>
      <c r="I7" s="1144"/>
    </row>
    <row r="8" spans="1:13">
      <c r="A8" s="1134">
        <v>1</v>
      </c>
      <c r="B8" s="1134"/>
      <c r="C8" s="320">
        <v>2</v>
      </c>
      <c r="D8" s="319">
        <v>3</v>
      </c>
      <c r="E8" s="319">
        <v>4</v>
      </c>
      <c r="F8" s="367">
        <v>5</v>
      </c>
      <c r="G8" s="367">
        <v>6</v>
      </c>
      <c r="H8" s="319">
        <v>7</v>
      </c>
      <c r="I8" s="319">
        <v>8</v>
      </c>
      <c r="J8" s="292"/>
      <c r="K8" s="292"/>
      <c r="L8" s="292"/>
      <c r="M8" s="292"/>
    </row>
    <row r="9" spans="1:13">
      <c r="A9" s="321">
        <v>1</v>
      </c>
      <c r="B9" s="319" t="s">
        <v>427</v>
      </c>
      <c r="C9" s="322" t="s">
        <v>454</v>
      </c>
      <c r="D9" s="323">
        <f>'B-2.2.1.1'!I13</f>
        <v>0</v>
      </c>
      <c r="E9" s="319"/>
      <c r="F9" s="319"/>
      <c r="G9" s="319"/>
      <c r="H9" s="323">
        <f t="shared" ref="H9" si="0">D9+E9+F9+G9</f>
        <v>0</v>
      </c>
      <c r="I9" s="319"/>
      <c r="J9" s="292"/>
      <c r="K9" s="292"/>
      <c r="L9" s="292"/>
      <c r="M9" s="292"/>
    </row>
    <row r="10" spans="1:13" s="35" customFormat="1">
      <c r="A10" s="1122"/>
      <c r="B10" s="1123"/>
      <c r="C10" s="324" t="s">
        <v>9</v>
      </c>
      <c r="D10" s="325"/>
      <c r="E10" s="325"/>
      <c r="F10" s="325"/>
      <c r="G10" s="325"/>
      <c r="H10" s="326">
        <f>SUM(H9:H9)</f>
        <v>0</v>
      </c>
      <c r="I10" s="325"/>
      <c r="J10" s="293"/>
      <c r="K10" s="293"/>
      <c r="L10" s="293"/>
      <c r="M10" s="293"/>
    </row>
    <row r="11" spans="1:13">
      <c r="A11" s="327"/>
      <c r="B11" s="328"/>
      <c r="C11" s="329"/>
      <c r="D11" s="330"/>
      <c r="E11" s="330"/>
      <c r="F11" s="331"/>
      <c r="G11" s="332"/>
      <c r="H11" s="333"/>
      <c r="I11" s="334"/>
      <c r="J11" s="292"/>
      <c r="K11" s="292"/>
      <c r="L11" s="292"/>
      <c r="M11" s="292"/>
    </row>
    <row r="12" spans="1:13">
      <c r="A12" s="327"/>
      <c r="B12" s="327"/>
      <c r="C12" s="335"/>
      <c r="D12" s="335"/>
      <c r="E12" s="335"/>
      <c r="F12" s="335"/>
      <c r="G12" s="335"/>
      <c r="H12" s="335"/>
      <c r="I12" s="335"/>
      <c r="J12" s="292"/>
      <c r="K12" s="292"/>
      <c r="L12" s="292"/>
      <c r="M12" s="292"/>
    </row>
    <row r="13" spans="1:13">
      <c r="A13" s="327"/>
      <c r="B13" s="335"/>
      <c r="C13" s="336" t="e">
        <f>#REF!</f>
        <v>#REF!</v>
      </c>
      <c r="D13" s="335"/>
      <c r="E13" s="335"/>
      <c r="F13" s="335"/>
      <c r="G13" s="335"/>
      <c r="H13" s="335"/>
      <c r="I13" s="335"/>
      <c r="J13" s="292"/>
      <c r="K13" s="292"/>
      <c r="L13" s="292"/>
      <c r="M13" s="292"/>
    </row>
    <row r="14" spans="1:13">
      <c r="A14" s="327"/>
      <c r="B14" s="335"/>
      <c r="C14" s="336" t="e">
        <f>#REF!</f>
        <v>#REF!</v>
      </c>
      <c r="D14" s="335"/>
      <c r="E14" s="335"/>
      <c r="F14" s="335" t="e">
        <f>#REF!</f>
        <v>#REF!</v>
      </c>
      <c r="G14" s="335"/>
      <c r="H14" s="335"/>
      <c r="I14" s="335"/>
      <c r="J14" s="292"/>
      <c r="K14" s="292"/>
      <c r="L14" s="292"/>
      <c r="M14" s="292"/>
    </row>
    <row r="15" spans="1:13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</row>
    <row r="16" spans="1:13">
      <c r="A16" s="292"/>
      <c r="B16" s="294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</row>
    <row r="17" spans="1:13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</row>
    <row r="18" spans="1:13">
      <c r="A18" s="292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</row>
    <row r="19" spans="1:13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</row>
    <row r="20" spans="1:13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</row>
    <row r="21" spans="1:13">
      <c r="A21" s="292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</row>
    <row r="22" spans="1:13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</row>
    <row r="23" spans="1:13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</row>
    <row r="24" spans="1:13">
      <c r="A24" s="292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</row>
    <row r="25" spans="1:13">
      <c r="A25" s="292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</row>
    <row r="26" spans="1:13">
      <c r="F26" s="295"/>
    </row>
  </sheetData>
  <mergeCells count="10">
    <mergeCell ref="A8:B8"/>
    <mergeCell ref="A10:B10"/>
    <mergeCell ref="B1:H1"/>
    <mergeCell ref="B2:D2"/>
    <mergeCell ref="B3:H3"/>
    <mergeCell ref="F5:I5"/>
    <mergeCell ref="A6:B7"/>
    <mergeCell ref="C6:C7"/>
    <mergeCell ref="D6:H6"/>
    <mergeCell ref="I6:I7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7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view="pageBreakPreview" topLeftCell="A10" zoomScaleNormal="100" zoomScaleSheetLayoutView="100" workbookViewId="0">
      <selection activeCell="A42" sqref="A42:XFD42"/>
    </sheetView>
  </sheetViews>
  <sheetFormatPr defaultRowHeight="12.75"/>
  <cols>
    <col min="1" max="1" width="5.85546875" style="24" customWidth="1"/>
    <col min="2" max="2" width="13.140625" style="24" customWidth="1"/>
    <col min="3" max="3" width="55" style="24" customWidth="1"/>
    <col min="4" max="4" width="6" style="24" customWidth="1"/>
    <col min="5" max="9" width="13.7109375" style="24" customWidth="1"/>
    <col min="10" max="10" width="12.5703125" style="24" customWidth="1"/>
    <col min="11" max="16384" width="9.140625" style="24"/>
  </cols>
  <sheetData>
    <row r="1" spans="1:10">
      <c r="B1" s="1135" t="e">
        <f>#REF!</f>
        <v>#REF!</v>
      </c>
      <c r="C1" s="1135"/>
      <c r="D1" s="1135"/>
      <c r="E1" s="1135"/>
      <c r="F1" s="1135"/>
      <c r="G1" s="1135"/>
      <c r="H1" s="1135"/>
      <c r="I1" s="1135"/>
      <c r="J1" s="215"/>
    </row>
    <row r="2" spans="1:10">
      <c r="B2" s="1136" t="s">
        <v>54</v>
      </c>
      <c r="C2" s="1136"/>
      <c r="D2" s="1136"/>
      <c r="E2" s="1136"/>
      <c r="F2" s="216" t="str">
        <f>'B-2.2.1.'!B9</f>
        <v>B-2.2.1.1</v>
      </c>
      <c r="G2" s="216"/>
      <c r="H2" s="216"/>
      <c r="I2" s="216"/>
      <c r="J2" s="216"/>
    </row>
    <row r="3" spans="1:10">
      <c r="B3" s="1057" t="str">
        <f>'B-2.2.1.'!C9</f>
        <v>სათვალთვალო და სარეგულაციო ჭა D=1.0 მ H=1.75 მ გრუნტის გზაზე</v>
      </c>
      <c r="C3" s="1057"/>
      <c r="D3" s="1057"/>
      <c r="E3" s="1057"/>
      <c r="F3" s="1057"/>
      <c r="G3" s="1057"/>
      <c r="H3" s="1057"/>
      <c r="I3" s="1057"/>
    </row>
    <row r="4" spans="1:10">
      <c r="B4" s="211"/>
      <c r="C4" s="211"/>
      <c r="D4" s="211"/>
      <c r="E4" s="211"/>
      <c r="F4" s="211"/>
      <c r="G4" s="211"/>
      <c r="H4" s="211"/>
      <c r="I4" s="211"/>
    </row>
    <row r="5" spans="1:10">
      <c r="B5" s="217"/>
      <c r="C5" s="218"/>
      <c r="D5" s="218"/>
      <c r="E5" s="218"/>
      <c r="F5" s="218"/>
      <c r="G5" s="1137"/>
      <c r="H5" s="1137"/>
      <c r="I5" s="1137"/>
      <c r="J5" s="1137"/>
    </row>
    <row r="6" spans="1:10" ht="15.75" customHeight="1">
      <c r="A6" s="1150" t="s">
        <v>7</v>
      </c>
      <c r="B6" s="1150"/>
      <c r="C6" s="1151" t="s">
        <v>0</v>
      </c>
      <c r="D6" s="1152"/>
      <c r="E6" s="1146" t="s">
        <v>8</v>
      </c>
      <c r="F6" s="1155"/>
      <c r="G6" s="1155"/>
      <c r="H6" s="1155"/>
      <c r="I6" s="1147"/>
      <c r="J6" s="1145" t="s">
        <v>6</v>
      </c>
    </row>
    <row r="7" spans="1:10" ht="25.5">
      <c r="A7" s="1150"/>
      <c r="B7" s="1150"/>
      <c r="C7" s="1153"/>
      <c r="D7" s="1154"/>
      <c r="E7" s="219" t="s">
        <v>1</v>
      </c>
      <c r="F7" s="219" t="s">
        <v>2</v>
      </c>
      <c r="G7" s="219" t="s">
        <v>3</v>
      </c>
      <c r="H7" s="219" t="s">
        <v>4</v>
      </c>
      <c r="I7" s="219" t="s">
        <v>5</v>
      </c>
      <c r="J7" s="1156"/>
    </row>
    <row r="8" spans="1:10">
      <c r="A8" s="1145">
        <v>1</v>
      </c>
      <c r="B8" s="1145"/>
      <c r="C8" s="1146">
        <v>2</v>
      </c>
      <c r="D8" s="1147"/>
      <c r="E8" s="219">
        <v>3</v>
      </c>
      <c r="F8" s="219">
        <v>4</v>
      </c>
      <c r="G8" s="219">
        <v>5</v>
      </c>
      <c r="H8" s="219">
        <v>6</v>
      </c>
      <c r="I8" s="219">
        <v>7</v>
      </c>
      <c r="J8" s="219">
        <v>8</v>
      </c>
    </row>
    <row r="9" spans="1:10">
      <c r="A9" s="63">
        <v>1</v>
      </c>
      <c r="B9" s="219" t="s">
        <v>428</v>
      </c>
      <c r="C9" s="228" t="s">
        <v>32</v>
      </c>
      <c r="D9" s="229"/>
      <c r="E9" s="221">
        <f>'B-2.2.1.1.1.'!M36</f>
        <v>0</v>
      </c>
      <c r="F9" s="219"/>
      <c r="G9" s="219"/>
      <c r="H9" s="219"/>
      <c r="I9" s="221">
        <f>E9+F9+G9+H9</f>
        <v>0</v>
      </c>
      <c r="J9" s="219"/>
    </row>
    <row r="10" spans="1:10">
      <c r="A10" s="64">
        <v>2</v>
      </c>
      <c r="B10" s="219" t="s">
        <v>429</v>
      </c>
      <c r="C10" s="220" t="s">
        <v>455</v>
      </c>
      <c r="D10" s="229"/>
      <c r="E10" s="221">
        <f>'B-2.2.1.1.2.'!M41</f>
        <v>0</v>
      </c>
      <c r="F10" s="219"/>
      <c r="G10" s="219"/>
      <c r="H10" s="219"/>
      <c r="I10" s="221">
        <f>E10+F10+G10+H10</f>
        <v>0</v>
      </c>
      <c r="J10" s="219"/>
    </row>
    <row r="11" spans="1:10" s="35" customFormat="1">
      <c r="A11" s="87"/>
      <c r="B11" s="222"/>
      <c r="C11" s="230" t="s">
        <v>9</v>
      </c>
      <c r="D11" s="231"/>
      <c r="E11" s="222"/>
      <c r="F11" s="222"/>
      <c r="G11" s="222"/>
      <c r="H11" s="222"/>
      <c r="I11" s="223">
        <f>SUM(I9:I10)</f>
        <v>0</v>
      </c>
      <c r="J11" s="222"/>
    </row>
    <row r="12" spans="1:10">
      <c r="A12" s="64"/>
      <c r="B12" s="232"/>
      <c r="C12" s="220" t="s">
        <v>118</v>
      </c>
      <c r="D12" s="229"/>
      <c r="E12" s="219"/>
      <c r="F12" s="219"/>
      <c r="G12" s="219"/>
      <c r="H12" s="219"/>
      <c r="I12" s="221">
        <v>10</v>
      </c>
      <c r="J12" s="219"/>
    </row>
    <row r="13" spans="1:10" s="35" customFormat="1">
      <c r="A13" s="1049"/>
      <c r="B13" s="1050"/>
      <c r="C13" s="1148" t="s">
        <v>52</v>
      </c>
      <c r="D13" s="1149"/>
      <c r="E13" s="222"/>
      <c r="F13" s="222"/>
      <c r="G13" s="222"/>
      <c r="H13" s="222"/>
      <c r="I13" s="223">
        <f>I11*I12</f>
        <v>0</v>
      </c>
      <c r="J13" s="222"/>
    </row>
    <row r="14" spans="1:10">
      <c r="B14" s="217"/>
      <c r="C14" s="233"/>
      <c r="D14" s="233"/>
      <c r="E14" s="234"/>
      <c r="F14" s="234"/>
      <c r="G14" s="234"/>
      <c r="H14" s="234"/>
      <c r="I14" s="234"/>
      <c r="J14" s="224"/>
    </row>
    <row r="15" spans="1:10">
      <c r="B15" s="225"/>
      <c r="C15" s="226"/>
      <c r="D15" s="226"/>
      <c r="E15" s="226"/>
      <c r="F15" s="226"/>
      <c r="G15" s="226"/>
      <c r="H15" s="226"/>
      <c r="I15" s="226"/>
      <c r="J15" s="226"/>
    </row>
    <row r="16" spans="1:10">
      <c r="B16" s="226"/>
      <c r="C16" s="227" t="e">
        <f>#REF!</f>
        <v>#REF!</v>
      </c>
      <c r="D16" s="227"/>
      <c r="E16" s="226"/>
      <c r="F16" s="226"/>
      <c r="G16" s="226"/>
      <c r="H16" s="226"/>
      <c r="I16" s="226"/>
      <c r="J16" s="226"/>
    </row>
    <row r="17" spans="2:10">
      <c r="B17" s="226"/>
      <c r="C17" s="227" t="e">
        <f>#REF!</f>
        <v>#REF!</v>
      </c>
      <c r="D17" s="227"/>
      <c r="E17" s="226"/>
      <c r="F17" s="226"/>
      <c r="G17" s="226" t="e">
        <f>#REF!</f>
        <v>#REF!</v>
      </c>
      <c r="H17" s="226"/>
      <c r="I17" s="226"/>
      <c r="J17" s="226"/>
    </row>
  </sheetData>
  <mergeCells count="12">
    <mergeCell ref="A8:B8"/>
    <mergeCell ref="C8:D8"/>
    <mergeCell ref="A13:B13"/>
    <mergeCell ref="C13:D13"/>
    <mergeCell ref="B1:I1"/>
    <mergeCell ref="B2:E2"/>
    <mergeCell ref="B3:I3"/>
    <mergeCell ref="G5:J5"/>
    <mergeCell ref="A6:B7"/>
    <mergeCell ref="C6:D7"/>
    <mergeCell ref="E6:I6"/>
    <mergeCell ref="J6:J7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SheetLayoutView="100" workbookViewId="0">
      <selection activeCell="T65" sqref="T65"/>
    </sheetView>
  </sheetViews>
  <sheetFormatPr defaultRowHeight="12.75"/>
  <cols>
    <col min="1" max="1" width="5.85546875" style="24" customWidth="1"/>
    <col min="2" max="2" width="8" style="24" customWidth="1"/>
    <col min="3" max="3" width="52.7109375" style="24" customWidth="1"/>
    <col min="4" max="4" width="6" style="24" customWidth="1"/>
    <col min="5" max="5" width="14.42578125" style="24" customWidth="1"/>
    <col min="6" max="9" width="15.85546875" style="24" customWidth="1"/>
    <col min="10" max="10" width="12.5703125" style="24" customWidth="1"/>
    <col min="11" max="11" width="9.5703125" style="24" bestFit="1" customWidth="1"/>
    <col min="12" max="16384" width="9.140625" style="24"/>
  </cols>
  <sheetData>
    <row r="1" spans="1:11">
      <c r="A1" s="1042" t="e">
        <f>#REF!</f>
        <v>#REF!</v>
      </c>
      <c r="B1" s="1042"/>
      <c r="C1" s="1042"/>
      <c r="D1" s="1042"/>
      <c r="E1" s="1042"/>
      <c r="F1" s="1042"/>
      <c r="G1" s="1042"/>
      <c r="H1" s="1042"/>
      <c r="I1" s="1042"/>
      <c r="J1" s="1042"/>
    </row>
    <row r="2" spans="1:11">
      <c r="B2" s="1043" t="s">
        <v>53</v>
      </c>
      <c r="C2" s="1043"/>
      <c r="D2" s="1043"/>
      <c r="E2" s="1043"/>
      <c r="F2" s="25" t="str">
        <f>B!B8</f>
        <v>B-1</v>
      </c>
      <c r="G2" s="25"/>
      <c r="H2" s="25"/>
      <c r="I2" s="25"/>
      <c r="J2" s="25"/>
    </row>
    <row r="3" spans="1:11">
      <c r="A3" s="1057" t="str">
        <f>B!C8</f>
        <v>წყალმიმღები სათავე კვანძის მოწყობა</v>
      </c>
      <c r="B3" s="1057"/>
      <c r="C3" s="1057"/>
      <c r="D3" s="1057"/>
      <c r="E3" s="1057"/>
      <c r="F3" s="1057"/>
      <c r="G3" s="1057"/>
      <c r="H3" s="1057"/>
      <c r="I3" s="1057"/>
      <c r="J3" s="1057"/>
    </row>
    <row r="4" spans="1:11">
      <c r="B4" s="26"/>
      <c r="C4" s="26"/>
      <c r="D4" s="26"/>
      <c r="E4" s="26"/>
      <c r="F4" s="26"/>
      <c r="G4" s="26"/>
      <c r="H4" s="26"/>
      <c r="I4" s="1043"/>
      <c r="J4" s="1043"/>
    </row>
    <row r="5" spans="1:11">
      <c r="B5" s="27"/>
      <c r="C5" s="120"/>
      <c r="D5" s="120"/>
      <c r="E5" s="120"/>
      <c r="F5" s="120"/>
      <c r="G5" s="1044"/>
      <c r="H5" s="1044"/>
      <c r="I5" s="1044"/>
      <c r="J5" s="1044"/>
    </row>
    <row r="6" spans="1:11" ht="15.75" customHeight="1">
      <c r="A6" s="1032" t="s">
        <v>7</v>
      </c>
      <c r="B6" s="1032"/>
      <c r="C6" s="1033" t="s">
        <v>0</v>
      </c>
      <c r="D6" s="1034"/>
      <c r="E6" s="1037" t="s">
        <v>8</v>
      </c>
      <c r="F6" s="1038"/>
      <c r="G6" s="1038"/>
      <c r="H6" s="1038"/>
      <c r="I6" s="1039"/>
      <c r="J6" s="1040" t="s">
        <v>6</v>
      </c>
    </row>
    <row r="7" spans="1:11" ht="25.5">
      <c r="A7" s="1032"/>
      <c r="B7" s="1032"/>
      <c r="C7" s="1035"/>
      <c r="D7" s="1036"/>
      <c r="E7" s="118" t="s">
        <v>1</v>
      </c>
      <c r="F7" s="118" t="s">
        <v>2</v>
      </c>
      <c r="G7" s="118" t="s">
        <v>3</v>
      </c>
      <c r="H7" s="118" t="s">
        <v>4</v>
      </c>
      <c r="I7" s="118" t="s">
        <v>5</v>
      </c>
      <c r="J7" s="1041"/>
    </row>
    <row r="8" spans="1:11">
      <c r="A8" s="1040">
        <v>1</v>
      </c>
      <c r="B8" s="1040"/>
      <c r="C8" s="1037">
        <v>2</v>
      </c>
      <c r="D8" s="1039"/>
      <c r="E8" s="118">
        <v>3</v>
      </c>
      <c r="F8" s="118">
        <v>4</v>
      </c>
      <c r="G8" s="118">
        <v>5</v>
      </c>
      <c r="H8" s="118">
        <v>6</v>
      </c>
      <c r="I8" s="118">
        <v>7</v>
      </c>
      <c r="J8" s="118">
        <v>8</v>
      </c>
    </row>
    <row r="9" spans="1:11">
      <c r="A9" s="29">
        <v>1</v>
      </c>
      <c r="B9" s="118" t="s">
        <v>12</v>
      </c>
      <c r="C9" s="30" t="s">
        <v>747</v>
      </c>
      <c r="D9" s="31"/>
      <c r="E9" s="2">
        <f>'B-1.1'!H13</f>
        <v>0</v>
      </c>
      <c r="F9" s="118"/>
      <c r="G9" s="118"/>
      <c r="H9" s="118"/>
      <c r="I9" s="2">
        <f>E9+F9+G9+H9</f>
        <v>0</v>
      </c>
      <c r="J9" s="118"/>
      <c r="K9" s="121"/>
    </row>
    <row r="10" spans="1:11" ht="15">
      <c r="A10" s="29">
        <v>2</v>
      </c>
      <c r="B10" s="991" t="s">
        <v>748</v>
      </c>
      <c r="C10" s="373" t="s">
        <v>798</v>
      </c>
      <c r="D10" s="31"/>
      <c r="E10" s="2">
        <f>'B-1.2'!H13</f>
        <v>0</v>
      </c>
      <c r="F10" s="337"/>
      <c r="G10" s="337"/>
      <c r="H10" s="337"/>
      <c r="I10" s="2">
        <f t="shared" ref="I10" si="0">E10+F10+G10+H10</f>
        <v>0</v>
      </c>
      <c r="J10" s="337"/>
      <c r="K10" s="121"/>
    </row>
    <row r="11" spans="1:11">
      <c r="A11" s="64"/>
      <c r="B11" s="119"/>
      <c r="C11" s="30" t="s">
        <v>9</v>
      </c>
      <c r="D11" s="31"/>
      <c r="E11" s="2"/>
      <c r="F11" s="118"/>
      <c r="G11" s="118"/>
      <c r="H11" s="118"/>
      <c r="I11" s="2">
        <f>SUM(I9:I10)</f>
        <v>0</v>
      </c>
      <c r="J11" s="118"/>
      <c r="K11" s="121"/>
    </row>
    <row r="12" spans="1:11">
      <c r="A12" s="369"/>
      <c r="B12" s="369"/>
      <c r="C12" s="370"/>
      <c r="D12" s="370"/>
      <c r="E12" s="371"/>
      <c r="F12" s="371"/>
      <c r="G12" s="371"/>
      <c r="H12" s="371"/>
      <c r="I12" s="372"/>
      <c r="J12" s="371"/>
      <c r="K12" s="121"/>
    </row>
    <row r="13" spans="1:11">
      <c r="A13" s="369"/>
      <c r="B13" s="369"/>
      <c r="C13" s="370"/>
      <c r="D13" s="370"/>
      <c r="E13" s="371"/>
      <c r="F13" s="371"/>
      <c r="G13" s="371"/>
      <c r="H13" s="371"/>
      <c r="I13" s="372"/>
      <c r="J13" s="371"/>
      <c r="K13" s="121"/>
    </row>
    <row r="14" spans="1:11">
      <c r="A14" s="369"/>
      <c r="B14" s="369"/>
      <c r="C14" s="370"/>
      <c r="D14" s="370"/>
      <c r="E14" s="371"/>
      <c r="F14" s="371"/>
      <c r="G14" s="371"/>
      <c r="H14" s="371"/>
      <c r="I14" s="372"/>
      <c r="J14" s="371"/>
      <c r="K14" s="121"/>
    </row>
    <row r="15" spans="1:11">
      <c r="A15" s="369"/>
      <c r="B15" s="369"/>
      <c r="C15" s="370"/>
      <c r="D15" s="370"/>
      <c r="E15" s="371"/>
      <c r="F15" s="371"/>
      <c r="G15" s="371"/>
      <c r="H15" s="371"/>
      <c r="I15" s="372"/>
      <c r="J15" s="371"/>
      <c r="K15" s="121"/>
    </row>
    <row r="16" spans="1:11">
      <c r="A16" s="369"/>
      <c r="B16" s="369"/>
      <c r="C16" s="370"/>
      <c r="D16" s="370"/>
      <c r="E16" s="371"/>
      <c r="F16" s="371"/>
      <c r="G16" s="371"/>
      <c r="H16" s="371"/>
      <c r="I16" s="372"/>
      <c r="J16" s="371"/>
      <c r="K16" s="121"/>
    </row>
    <row r="17" spans="2:10">
      <c r="B17" s="27"/>
      <c r="C17" s="59"/>
      <c r="D17" s="59"/>
      <c r="E17" s="60"/>
      <c r="F17" s="60"/>
      <c r="G17" s="60"/>
      <c r="H17" s="60"/>
      <c r="I17" s="60"/>
      <c r="J17" s="51"/>
    </row>
    <row r="18" spans="2:10">
      <c r="B18" s="53"/>
      <c r="C18" s="54"/>
      <c r="D18" s="54"/>
      <c r="E18" s="54"/>
      <c r="F18" s="54"/>
      <c r="G18" s="54"/>
      <c r="H18" s="54"/>
      <c r="I18" s="54"/>
      <c r="J18" s="54"/>
    </row>
    <row r="19" spans="2:10">
      <c r="B19" s="54"/>
      <c r="C19" s="122" t="e">
        <f>#REF!</f>
        <v>#REF!</v>
      </c>
      <c r="D19" s="55"/>
      <c r="E19" s="54"/>
      <c r="F19" s="54"/>
      <c r="G19" s="54"/>
      <c r="H19" s="54"/>
      <c r="I19" s="54"/>
      <c r="J19" s="54"/>
    </row>
    <row r="20" spans="2:10">
      <c r="B20" s="54"/>
      <c r="C20" s="122" t="e">
        <f>#REF!</f>
        <v>#REF!</v>
      </c>
      <c r="D20" s="55"/>
      <c r="E20" s="54" t="e">
        <f>#REF!</f>
        <v>#REF!</v>
      </c>
      <c r="F20" s="54"/>
      <c r="G20" s="56"/>
      <c r="H20" s="56"/>
      <c r="I20" s="56"/>
      <c r="J20" s="54"/>
    </row>
    <row r="23" spans="2:10">
      <c r="D23" s="24" t="s">
        <v>587</v>
      </c>
    </row>
  </sheetData>
  <mergeCells count="11">
    <mergeCell ref="A8:B8"/>
    <mergeCell ref="C8:D8"/>
    <mergeCell ref="A1:J1"/>
    <mergeCell ref="B2:E2"/>
    <mergeCell ref="A3:J3"/>
    <mergeCell ref="I4:J4"/>
    <mergeCell ref="G5:J5"/>
    <mergeCell ref="A6:B7"/>
    <mergeCell ref="C6:D7"/>
    <mergeCell ref="E6:I6"/>
    <mergeCell ref="J6:J7"/>
  </mergeCells>
  <phoneticPr fontId="66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86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view="pageBreakPreview" topLeftCell="A8" zoomScaleNormal="100" zoomScaleSheetLayoutView="100" workbookViewId="0">
      <selection activeCell="O19" sqref="O19"/>
    </sheetView>
  </sheetViews>
  <sheetFormatPr defaultRowHeight="15"/>
  <cols>
    <col min="1" max="1" width="5" style="16" customWidth="1"/>
    <col min="2" max="2" width="10.7109375" style="16" customWidth="1"/>
    <col min="3" max="3" width="63.28515625" style="17" customWidth="1"/>
    <col min="4" max="6" width="10.7109375" style="17" customWidth="1"/>
    <col min="7" max="7" width="14.42578125" style="17" customWidth="1"/>
    <col min="8" max="13" width="10.7109375" style="17" customWidth="1"/>
    <col min="14" max="16384" width="9.140625" style="17"/>
  </cols>
  <sheetData>
    <row r="1" spans="1:13">
      <c r="A1" s="1157" t="e">
        <f>#REF!</f>
        <v>#REF!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</row>
    <row r="2" spans="1:13">
      <c r="A2" s="1158" t="s">
        <v>7</v>
      </c>
      <c r="B2" s="1158"/>
      <c r="C2" s="1158"/>
      <c r="D2" s="1158"/>
      <c r="E2" s="1158"/>
      <c r="F2" s="1158"/>
      <c r="G2" s="290" t="str">
        <f>'B-2.2.1.1'!B9</f>
        <v>B-2.2.1.1.1</v>
      </c>
      <c r="H2" s="290"/>
      <c r="I2" s="290"/>
      <c r="J2" s="290"/>
      <c r="K2" s="290"/>
      <c r="L2" s="290"/>
      <c r="M2" s="290"/>
    </row>
    <row r="3" spans="1:13">
      <c r="A3" s="1159" t="str">
        <f>'B-2.2.1.1'!C9</f>
        <v>მიწის სამუშაოები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</row>
    <row r="4" spans="1:13">
      <c r="A4" s="1160"/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</row>
    <row r="5" spans="1:13">
      <c r="A5" s="1081" t="s">
        <v>19</v>
      </c>
      <c r="B5" s="1081" t="s">
        <v>20</v>
      </c>
      <c r="C5" s="1109" t="s">
        <v>21</v>
      </c>
      <c r="D5" s="1109" t="s">
        <v>22</v>
      </c>
      <c r="E5" s="1109" t="s">
        <v>23</v>
      </c>
      <c r="F5" s="1109" t="s">
        <v>24</v>
      </c>
      <c r="G5" s="1108" t="s">
        <v>25</v>
      </c>
      <c r="H5" s="1108"/>
      <c r="I5" s="1108" t="s">
        <v>26</v>
      </c>
      <c r="J5" s="1108"/>
      <c r="K5" s="1109" t="s">
        <v>27</v>
      </c>
      <c r="L5" s="1102"/>
      <c r="M5" s="66" t="s">
        <v>5</v>
      </c>
    </row>
    <row r="6" spans="1:13">
      <c r="A6" s="1081"/>
      <c r="B6" s="1081"/>
      <c r="C6" s="1109"/>
      <c r="D6" s="1109"/>
      <c r="E6" s="1109"/>
      <c r="F6" s="1109"/>
      <c r="G6" s="361" t="s">
        <v>28</v>
      </c>
      <c r="H6" s="46" t="s">
        <v>9</v>
      </c>
      <c r="I6" s="361" t="s">
        <v>28</v>
      </c>
      <c r="J6" s="46" t="s">
        <v>9</v>
      </c>
      <c r="K6" s="361" t="s">
        <v>28</v>
      </c>
      <c r="L6" s="67" t="s">
        <v>9</v>
      </c>
      <c r="M6" s="68" t="s">
        <v>29</v>
      </c>
    </row>
    <row r="7" spans="1:13">
      <c r="A7" s="359">
        <v>1</v>
      </c>
      <c r="B7" s="359">
        <v>2</v>
      </c>
      <c r="C7" s="362">
        <v>3</v>
      </c>
      <c r="D7" s="362">
        <v>4</v>
      </c>
      <c r="E7" s="362">
        <v>5</v>
      </c>
      <c r="F7" s="362">
        <v>6</v>
      </c>
      <c r="G7" s="362">
        <v>7</v>
      </c>
      <c r="H7" s="362">
        <v>8</v>
      </c>
      <c r="I7" s="362">
        <v>9</v>
      </c>
      <c r="J7" s="362">
        <v>10</v>
      </c>
      <c r="K7" s="362">
        <v>11</v>
      </c>
      <c r="L7" s="362">
        <v>12</v>
      </c>
      <c r="M7" s="362">
        <v>13</v>
      </c>
    </row>
    <row r="8" spans="1:13" ht="25.5">
      <c r="A8" s="74" t="s">
        <v>67</v>
      </c>
      <c r="B8" s="69" t="s">
        <v>81</v>
      </c>
      <c r="C8" s="513" t="s">
        <v>80</v>
      </c>
      <c r="D8" s="462" t="s">
        <v>44</v>
      </c>
      <c r="E8" s="462"/>
      <c r="F8" s="70">
        <f>7.68*0.4</f>
        <v>3.0720000000000001</v>
      </c>
      <c r="G8" s="80"/>
      <c r="H8" s="8"/>
      <c r="I8" s="80"/>
      <c r="J8" s="9"/>
      <c r="K8" s="80"/>
      <c r="L8" s="8"/>
      <c r="M8" s="70"/>
    </row>
    <row r="9" spans="1:13">
      <c r="A9" s="359"/>
      <c r="B9" s="362"/>
      <c r="C9" s="514" t="s">
        <v>36</v>
      </c>
      <c r="D9" s="515" t="s">
        <v>63</v>
      </c>
      <c r="E9" s="10">
        <f>16.5/1000</f>
        <v>1.6500000000000001E-2</v>
      </c>
      <c r="F9" s="9">
        <f>F8*E9</f>
        <v>5.0688000000000004E-2</v>
      </c>
      <c r="G9" s="9"/>
      <c r="H9" s="9"/>
      <c r="I9" s="9"/>
      <c r="J9" s="9"/>
      <c r="K9" s="9"/>
      <c r="L9" s="9"/>
      <c r="M9" s="9"/>
    </row>
    <row r="10" spans="1:13">
      <c r="A10" s="359"/>
      <c r="B10" s="366" t="s">
        <v>615</v>
      </c>
      <c r="C10" s="514" t="s">
        <v>56</v>
      </c>
      <c r="D10" s="515" t="s">
        <v>64</v>
      </c>
      <c r="E10" s="10">
        <f>37/1000</f>
        <v>3.6999999999999998E-2</v>
      </c>
      <c r="F10" s="8">
        <f>F8*E10</f>
        <v>0.113664</v>
      </c>
      <c r="G10" s="8"/>
      <c r="H10" s="8"/>
      <c r="I10" s="8"/>
      <c r="J10" s="8"/>
      <c r="K10" s="415"/>
      <c r="L10" s="415"/>
      <c r="M10" s="9"/>
    </row>
    <row r="11" spans="1:13" ht="34.5" customHeight="1">
      <c r="A11" s="74"/>
      <c r="B11" s="69" t="s">
        <v>34</v>
      </c>
      <c r="C11" s="513" t="s">
        <v>79</v>
      </c>
      <c r="D11" s="462" t="s">
        <v>44</v>
      </c>
      <c r="E11" s="462"/>
      <c r="F11" s="70">
        <f>F8*3%</f>
        <v>9.2159999999999992E-2</v>
      </c>
      <c r="G11" s="80"/>
      <c r="H11" s="8"/>
      <c r="I11" s="80"/>
      <c r="J11" s="9"/>
      <c r="K11" s="80"/>
      <c r="L11" s="8"/>
      <c r="M11" s="70"/>
    </row>
    <row r="12" spans="1:13">
      <c r="A12" s="74"/>
      <c r="B12" s="69"/>
      <c r="C12" s="514" t="s">
        <v>36</v>
      </c>
      <c r="D12" s="515" t="s">
        <v>63</v>
      </c>
      <c r="E12" s="515">
        <f>206/100</f>
        <v>2.06</v>
      </c>
      <c r="F12" s="516">
        <f>F11*E12</f>
        <v>0.18984959999999998</v>
      </c>
      <c r="G12" s="80"/>
      <c r="H12" s="8"/>
      <c r="I12" s="80"/>
      <c r="J12" s="9"/>
      <c r="K12" s="80"/>
      <c r="L12" s="8"/>
      <c r="M12" s="516"/>
    </row>
    <row r="13" spans="1:13" ht="25.5">
      <c r="A13" s="74" t="s">
        <v>68</v>
      </c>
      <c r="B13" s="69" t="s">
        <v>82</v>
      </c>
      <c r="C13" s="513" t="s">
        <v>55</v>
      </c>
      <c r="D13" s="462" t="s">
        <v>44</v>
      </c>
      <c r="E13" s="462"/>
      <c r="F13" s="70">
        <f>7.68*0.6</f>
        <v>4.6079999999999997</v>
      </c>
      <c r="G13" s="80"/>
      <c r="H13" s="8"/>
      <c r="I13" s="80"/>
      <c r="J13" s="9"/>
      <c r="K13" s="80"/>
      <c r="L13" s="8"/>
      <c r="M13" s="70"/>
    </row>
    <row r="14" spans="1:13">
      <c r="A14" s="74"/>
      <c r="B14" s="69"/>
      <c r="C14" s="514" t="s">
        <v>36</v>
      </c>
      <c r="D14" s="515" t="s">
        <v>63</v>
      </c>
      <c r="E14" s="515">
        <f>21.5/1000</f>
        <v>2.1499999999999998E-2</v>
      </c>
      <c r="F14" s="516">
        <f>F13*E14</f>
        <v>9.907199999999998E-2</v>
      </c>
      <c r="G14" s="9"/>
      <c r="H14" s="9"/>
      <c r="I14" s="9"/>
      <c r="J14" s="9"/>
      <c r="K14" s="9"/>
      <c r="L14" s="9"/>
      <c r="M14" s="9"/>
    </row>
    <row r="15" spans="1:13">
      <c r="A15" s="74"/>
      <c r="B15" s="366" t="s">
        <v>615</v>
      </c>
      <c r="C15" s="514" t="s">
        <v>56</v>
      </c>
      <c r="D15" s="515" t="s">
        <v>64</v>
      </c>
      <c r="E15" s="515">
        <f>48.2/1000</f>
        <v>4.82E-2</v>
      </c>
      <c r="F15" s="516">
        <f>F13*E15</f>
        <v>0.22210559999999999</v>
      </c>
      <c r="G15" s="8"/>
      <c r="H15" s="8"/>
      <c r="I15" s="8"/>
      <c r="J15" s="8"/>
      <c r="K15" s="415"/>
      <c r="L15" s="415"/>
      <c r="M15" s="9"/>
    </row>
    <row r="16" spans="1:13">
      <c r="A16" s="74" t="s">
        <v>69</v>
      </c>
      <c r="B16" s="69" t="s">
        <v>78</v>
      </c>
      <c r="C16" s="513" t="s">
        <v>57</v>
      </c>
      <c r="D16" s="462" t="s">
        <v>44</v>
      </c>
      <c r="E16" s="462"/>
      <c r="F16" s="70">
        <f>F13*3%</f>
        <v>0.13823999999999997</v>
      </c>
      <c r="G16" s="80"/>
      <c r="H16" s="8"/>
      <c r="I16" s="80"/>
      <c r="J16" s="9"/>
      <c r="K16" s="80"/>
      <c r="L16" s="8"/>
      <c r="M16" s="70"/>
    </row>
    <row r="17" spans="1:13">
      <c r="A17" s="74"/>
      <c r="B17" s="69"/>
      <c r="C17" s="514" t="s">
        <v>36</v>
      </c>
      <c r="D17" s="515" t="s">
        <v>63</v>
      </c>
      <c r="E17" s="515">
        <f>299/100</f>
        <v>2.99</v>
      </c>
      <c r="F17" s="516">
        <f>E17*F16</f>
        <v>0.41333759999999997</v>
      </c>
      <c r="G17" s="80"/>
      <c r="H17" s="8"/>
      <c r="I17" s="80"/>
      <c r="J17" s="9"/>
      <c r="K17" s="80"/>
      <c r="L17" s="8"/>
      <c r="M17" s="516"/>
    </row>
    <row r="18" spans="1:13">
      <c r="A18" s="74" t="s">
        <v>70</v>
      </c>
      <c r="B18" s="69" t="s">
        <v>83</v>
      </c>
      <c r="C18" s="513" t="s">
        <v>58</v>
      </c>
      <c r="D18" s="462" t="s">
        <v>44</v>
      </c>
      <c r="E18" s="462"/>
      <c r="F18" s="70">
        <f>F8+F11+F13+F16-F23</f>
        <v>2.8903999999999996</v>
      </c>
      <c r="G18" s="80"/>
      <c r="H18" s="8"/>
      <c r="I18" s="80"/>
      <c r="J18" s="9"/>
      <c r="K18" s="80"/>
      <c r="L18" s="8"/>
      <c r="M18" s="70"/>
    </row>
    <row r="19" spans="1:13">
      <c r="A19" s="74"/>
      <c r="B19" s="69"/>
      <c r="C19" s="514" t="s">
        <v>30</v>
      </c>
      <c r="D19" s="515" t="s">
        <v>63</v>
      </c>
      <c r="E19" s="515">
        <f>27/1000</f>
        <v>2.7E-2</v>
      </c>
      <c r="F19" s="516">
        <f>F18*E19</f>
        <v>7.8040799999999994E-2</v>
      </c>
      <c r="G19" s="80"/>
      <c r="H19" s="8"/>
      <c r="I19" s="80"/>
      <c r="J19" s="9"/>
      <c r="K19" s="80"/>
      <c r="L19" s="8"/>
      <c r="M19" s="9"/>
    </row>
    <row r="20" spans="1:13">
      <c r="A20" s="74"/>
      <c r="B20" s="366" t="s">
        <v>615</v>
      </c>
      <c r="C20" s="514" t="s">
        <v>59</v>
      </c>
      <c r="D20" s="515" t="s">
        <v>65</v>
      </c>
      <c r="E20" s="515">
        <f>60.5/1000</f>
        <v>6.0499999999999998E-2</v>
      </c>
      <c r="F20" s="516">
        <f>F18*E20</f>
        <v>0.17486919999999997</v>
      </c>
      <c r="G20" s="80"/>
      <c r="H20" s="8"/>
      <c r="I20" s="80"/>
      <c r="J20" s="9"/>
      <c r="K20" s="415"/>
      <c r="L20" s="415"/>
      <c r="M20" s="9"/>
    </row>
    <row r="21" spans="1:13">
      <c r="A21" s="74"/>
      <c r="B21" s="69"/>
      <c r="C21" s="514" t="s">
        <v>31</v>
      </c>
      <c r="D21" s="515" t="s">
        <v>16</v>
      </c>
      <c r="E21" s="515">
        <f>2.21/1000</f>
        <v>2.2100000000000002E-3</v>
      </c>
      <c r="F21" s="516">
        <f>F18*E21</f>
        <v>6.3877839999999996E-3</v>
      </c>
      <c r="G21" s="80"/>
      <c r="H21" s="8"/>
      <c r="I21" s="80"/>
      <c r="J21" s="9"/>
      <c r="K21" s="80"/>
      <c r="L21" s="415"/>
      <c r="M21" s="9"/>
    </row>
    <row r="22" spans="1:13">
      <c r="A22" s="74"/>
      <c r="B22" s="412" t="s">
        <v>618</v>
      </c>
      <c r="C22" s="514" t="s">
        <v>33</v>
      </c>
      <c r="D22" s="515" t="s">
        <v>44</v>
      </c>
      <c r="E22" s="515">
        <f>0.06/1000</f>
        <v>5.9999999999999995E-5</v>
      </c>
      <c r="F22" s="516">
        <f>F18*E22</f>
        <v>1.7342399999999996E-4</v>
      </c>
      <c r="G22" s="413"/>
      <c r="H22" s="8"/>
      <c r="I22" s="80"/>
      <c r="J22" s="9"/>
      <c r="K22" s="80"/>
      <c r="L22" s="8"/>
      <c r="M22" s="289"/>
    </row>
    <row r="23" spans="1:13" ht="25.5">
      <c r="A23" s="69">
        <v>5</v>
      </c>
      <c r="B23" s="362" t="s">
        <v>17</v>
      </c>
      <c r="C23" s="513" t="s">
        <v>60</v>
      </c>
      <c r="D23" s="462" t="s">
        <v>375</v>
      </c>
      <c r="E23" s="462"/>
      <c r="F23" s="70">
        <v>5.0199999999999996</v>
      </c>
      <c r="G23" s="289"/>
      <c r="H23" s="289"/>
      <c r="I23" s="289"/>
      <c r="J23" s="289"/>
      <c r="K23" s="289"/>
      <c r="L23" s="289"/>
      <c r="M23" s="291"/>
    </row>
    <row r="24" spans="1:13">
      <c r="A24" s="356"/>
      <c r="B24" s="312" t="s">
        <v>622</v>
      </c>
      <c r="C24" s="73" t="s">
        <v>35</v>
      </c>
      <c r="D24" s="10" t="s">
        <v>13</v>
      </c>
      <c r="E24" s="10">
        <f>9.21/1000</f>
        <v>9.2100000000000012E-3</v>
      </c>
      <c r="F24" s="9">
        <f>F23*E24</f>
        <v>4.6234200000000003E-2</v>
      </c>
      <c r="G24" s="289"/>
      <c r="H24" s="289"/>
      <c r="I24" s="289"/>
      <c r="J24" s="289"/>
      <c r="K24" s="289"/>
      <c r="L24" s="415"/>
      <c r="M24" s="289"/>
    </row>
    <row r="25" spans="1:13">
      <c r="A25" s="74" t="s">
        <v>72</v>
      </c>
      <c r="B25" s="69" t="s">
        <v>85</v>
      </c>
      <c r="C25" s="513" t="s">
        <v>62</v>
      </c>
      <c r="D25" s="462" t="s">
        <v>44</v>
      </c>
      <c r="E25" s="462"/>
      <c r="F25" s="70">
        <f>F23</f>
        <v>5.0199999999999996</v>
      </c>
      <c r="G25" s="590"/>
      <c r="H25" s="22"/>
      <c r="I25" s="590"/>
      <c r="J25" s="23"/>
      <c r="K25" s="590"/>
      <c r="L25" s="22"/>
      <c r="M25" s="70"/>
    </row>
    <row r="26" spans="1:13">
      <c r="A26" s="74"/>
      <c r="B26" s="69"/>
      <c r="C26" s="514" t="s">
        <v>36</v>
      </c>
      <c r="D26" s="515" t="s">
        <v>63</v>
      </c>
      <c r="E26" s="515">
        <f>13.4/100</f>
        <v>0.13400000000000001</v>
      </c>
      <c r="F26" s="516">
        <f>E26*F25</f>
        <v>0.67267999999999994</v>
      </c>
      <c r="G26" s="80"/>
      <c r="H26" s="8"/>
      <c r="I26" s="80"/>
      <c r="J26" s="9"/>
      <c r="K26" s="80"/>
      <c r="L26" s="8"/>
      <c r="M26" s="9"/>
    </row>
    <row r="27" spans="1:13" ht="25.5">
      <c r="A27" s="74"/>
      <c r="B27" s="362" t="s">
        <v>459</v>
      </c>
      <c r="C27" s="514" t="s">
        <v>111</v>
      </c>
      <c r="D27" s="515" t="s">
        <v>66</v>
      </c>
      <c r="E27" s="515">
        <f>13/100</f>
        <v>0.13</v>
      </c>
      <c r="F27" s="516">
        <f>F25*E27</f>
        <v>0.65259999999999996</v>
      </c>
      <c r="G27" s="80"/>
      <c r="H27" s="8"/>
      <c r="I27" s="80"/>
      <c r="J27" s="9"/>
      <c r="K27" s="9"/>
      <c r="L27" s="415"/>
      <c r="M27" s="9"/>
    </row>
    <row r="28" spans="1:13">
      <c r="A28" s="74" t="s">
        <v>84</v>
      </c>
      <c r="B28" s="517"/>
      <c r="C28" s="518" t="s">
        <v>620</v>
      </c>
      <c r="D28" s="462" t="s">
        <v>47</v>
      </c>
      <c r="E28" s="462"/>
      <c r="F28" s="70">
        <f>F18*1.9</f>
        <v>5.4917599999999993</v>
      </c>
      <c r="G28" s="80"/>
      <c r="H28" s="8"/>
      <c r="I28" s="80"/>
      <c r="J28" s="9"/>
      <c r="K28" s="80"/>
      <c r="L28" s="8"/>
      <c r="M28" s="291"/>
    </row>
    <row r="29" spans="1:13">
      <c r="A29" s="519"/>
      <c r="B29" s="439" t="s">
        <v>621</v>
      </c>
      <c r="C29" s="520" t="s">
        <v>620</v>
      </c>
      <c r="D29" s="515" t="s">
        <v>47</v>
      </c>
      <c r="E29" s="515">
        <v>1</v>
      </c>
      <c r="F29" s="516">
        <f>F28*E29</f>
        <v>5.4917599999999993</v>
      </c>
      <c r="G29" s="80"/>
      <c r="H29" s="8"/>
      <c r="I29" s="80"/>
      <c r="J29" s="9"/>
      <c r="K29" s="415"/>
      <c r="L29" s="8"/>
      <c r="M29" s="289"/>
    </row>
    <row r="30" spans="1:13">
      <c r="A30" s="81"/>
      <c r="B30" s="15"/>
      <c r="C30" s="75" t="s">
        <v>9</v>
      </c>
      <c r="D30" s="76"/>
      <c r="E30" s="77"/>
      <c r="F30" s="77"/>
      <c r="G30" s="78"/>
      <c r="H30" s="78"/>
      <c r="I30" s="78"/>
      <c r="J30" s="78"/>
      <c r="K30" s="78"/>
      <c r="L30" s="78"/>
      <c r="M30" s="78"/>
    </row>
    <row r="31" spans="1:13">
      <c r="A31" s="71"/>
      <c r="B31" s="14"/>
      <c r="C31" s="4" t="s">
        <v>49</v>
      </c>
      <c r="D31" s="82" t="s">
        <v>851</v>
      </c>
      <c r="E31" s="356"/>
      <c r="F31" s="356"/>
      <c r="G31" s="2"/>
      <c r="H31" s="2"/>
      <c r="I31" s="2"/>
      <c r="J31" s="2"/>
      <c r="K31" s="2"/>
      <c r="L31" s="2"/>
      <c r="M31" s="2"/>
    </row>
    <row r="32" spans="1:13">
      <c r="A32" s="71"/>
      <c r="B32" s="359"/>
      <c r="C32" s="355" t="s">
        <v>9</v>
      </c>
      <c r="D32" s="5"/>
      <c r="E32" s="362"/>
      <c r="F32" s="362"/>
      <c r="G32" s="34"/>
      <c r="H32" s="34"/>
      <c r="I32" s="34"/>
      <c r="J32" s="34"/>
      <c r="K32" s="34"/>
      <c r="L32" s="34"/>
      <c r="M32" s="34"/>
    </row>
    <row r="33" spans="1:13">
      <c r="A33" s="71"/>
      <c r="B33" s="359"/>
      <c r="C33" s="6" t="s">
        <v>50</v>
      </c>
      <c r="D33" s="83" t="s">
        <v>851</v>
      </c>
      <c r="E33" s="356"/>
      <c r="F33" s="356"/>
      <c r="G33" s="2"/>
      <c r="H33" s="2"/>
      <c r="I33" s="2"/>
      <c r="J33" s="2"/>
      <c r="K33" s="2"/>
      <c r="L33" s="2"/>
      <c r="M33" s="2"/>
    </row>
    <row r="34" spans="1:13">
      <c r="A34" s="71"/>
      <c r="B34" s="359"/>
      <c r="C34" s="355" t="s">
        <v>9</v>
      </c>
      <c r="D34" s="5"/>
      <c r="E34" s="362"/>
      <c r="F34" s="362"/>
      <c r="G34" s="34"/>
      <c r="H34" s="34"/>
      <c r="I34" s="34"/>
      <c r="J34" s="34"/>
      <c r="K34" s="34"/>
      <c r="L34" s="34"/>
      <c r="M34" s="34"/>
    </row>
    <row r="35" spans="1:13">
      <c r="A35" s="71"/>
      <c r="B35" s="359"/>
      <c r="C35" s="6" t="s">
        <v>51</v>
      </c>
      <c r="D35" s="82" t="s">
        <v>851</v>
      </c>
      <c r="E35" s="356"/>
      <c r="F35" s="356"/>
      <c r="G35" s="2"/>
      <c r="H35" s="2"/>
      <c r="I35" s="2"/>
      <c r="J35" s="2"/>
      <c r="K35" s="2"/>
      <c r="L35" s="2"/>
      <c r="M35" s="2"/>
    </row>
    <row r="36" spans="1:13">
      <c r="A36" s="71"/>
      <c r="B36" s="359"/>
      <c r="C36" s="355" t="s">
        <v>52</v>
      </c>
      <c r="D36" s="362"/>
      <c r="E36" s="362"/>
      <c r="F36" s="362"/>
      <c r="G36" s="34"/>
      <c r="H36" s="34"/>
      <c r="I36" s="34"/>
      <c r="J36" s="34"/>
      <c r="K36" s="34"/>
      <c r="L36" s="34"/>
      <c r="M36" s="34"/>
    </row>
  </sheetData>
  <sheetProtection password="CA9C" sheet="1" objects="1" scenarios="1"/>
  <protectedRanges>
    <protectedRange sqref="G8:M38" name="Range2"/>
    <protectedRange sqref="D30:M35" name="Range1"/>
  </protectedRanges>
  <autoFilter ref="A7:M36"/>
  <mergeCells count="13">
    <mergeCell ref="G5:H5"/>
    <mergeCell ref="I5:J5"/>
    <mergeCell ref="K5:L5"/>
    <mergeCell ref="A1:M1"/>
    <mergeCell ref="A2:F2"/>
    <mergeCell ref="A3:M3"/>
    <mergeCell ref="A4:M4"/>
    <mergeCell ref="A5:A6"/>
    <mergeCell ref="B5:B6"/>
    <mergeCell ref="C5:C6"/>
    <mergeCell ref="D5:D6"/>
    <mergeCell ref="E5:E6"/>
    <mergeCell ref="F5:F6"/>
  </mergeCells>
  <conditionalFormatting sqref="B22">
    <cfRule type="cellIs" dxfId="117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5"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1"/>
  <sheetViews>
    <sheetView view="pageBreakPreview" topLeftCell="A13" zoomScaleNormal="100" zoomScaleSheetLayoutView="100" workbookViewId="0">
      <selection activeCell="D35" sqref="D35:M41"/>
    </sheetView>
  </sheetViews>
  <sheetFormatPr defaultRowHeight="12.75"/>
  <cols>
    <col min="1" max="1" width="4.42578125" style="79" customWidth="1"/>
    <col min="2" max="2" width="11" style="79" customWidth="1"/>
    <col min="3" max="3" width="54.140625" style="53" customWidth="1"/>
    <col min="4" max="6" width="10.7109375" style="53" customWidth="1"/>
    <col min="7" max="7" width="11.7109375" style="53" customWidth="1"/>
    <col min="8" max="13" width="10.7109375" style="53" customWidth="1"/>
    <col min="14" max="16384" width="9.140625" style="53"/>
  </cols>
  <sheetData>
    <row r="1" spans="1:13">
      <c r="A1" s="1157" t="e">
        <f>#REF!</f>
        <v>#REF!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</row>
    <row r="2" spans="1:13">
      <c r="A2" s="1158" t="s">
        <v>7</v>
      </c>
      <c r="B2" s="1158"/>
      <c r="C2" s="1158"/>
      <c r="D2" s="1158"/>
      <c r="E2" s="1158"/>
      <c r="F2" s="1158"/>
      <c r="G2" s="290" t="str">
        <f>'B-2.2.1.1'!B10</f>
        <v>B-2.2.1.1.2</v>
      </c>
      <c r="H2" s="290"/>
      <c r="I2" s="290"/>
      <c r="J2" s="290"/>
      <c r="K2" s="290"/>
      <c r="L2" s="290"/>
      <c r="M2" s="290"/>
    </row>
    <row r="3" spans="1:13">
      <c r="A3" s="1159" t="str">
        <f>'B-2.2.1.1'!C10</f>
        <v>სათვალთვალო და საერგულაციო ჭა D=1.0 მ H=1.75 მ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</row>
    <row r="4" spans="1:13">
      <c r="A4" s="1160"/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</row>
    <row r="5" spans="1:13">
      <c r="A5" s="1081" t="s">
        <v>19</v>
      </c>
      <c r="B5" s="1081" t="s">
        <v>20</v>
      </c>
      <c r="C5" s="1109" t="s">
        <v>21</v>
      </c>
      <c r="D5" s="1109" t="s">
        <v>22</v>
      </c>
      <c r="E5" s="1109" t="s">
        <v>23</v>
      </c>
      <c r="F5" s="1109" t="s">
        <v>24</v>
      </c>
      <c r="G5" s="1108" t="s">
        <v>25</v>
      </c>
      <c r="H5" s="1108"/>
      <c r="I5" s="1108" t="s">
        <v>26</v>
      </c>
      <c r="J5" s="1108"/>
      <c r="K5" s="1109" t="s">
        <v>27</v>
      </c>
      <c r="L5" s="1102"/>
      <c r="M5" s="66" t="s">
        <v>5</v>
      </c>
    </row>
    <row r="6" spans="1:13">
      <c r="A6" s="1081"/>
      <c r="B6" s="1081"/>
      <c r="C6" s="1109"/>
      <c r="D6" s="1109"/>
      <c r="E6" s="1109"/>
      <c r="F6" s="1109"/>
      <c r="G6" s="361" t="s">
        <v>28</v>
      </c>
      <c r="H6" s="46" t="s">
        <v>9</v>
      </c>
      <c r="I6" s="361" t="s">
        <v>28</v>
      </c>
      <c r="J6" s="46" t="s">
        <v>9</v>
      </c>
      <c r="K6" s="361" t="s">
        <v>28</v>
      </c>
      <c r="L6" s="67" t="s">
        <v>9</v>
      </c>
      <c r="M6" s="68" t="s">
        <v>29</v>
      </c>
    </row>
    <row r="7" spans="1:13">
      <c r="A7" s="359">
        <v>1</v>
      </c>
      <c r="B7" s="359">
        <v>2</v>
      </c>
      <c r="C7" s="362">
        <v>3</v>
      </c>
      <c r="D7" s="362">
        <v>4</v>
      </c>
      <c r="E7" s="362">
        <v>5</v>
      </c>
      <c r="F7" s="362">
        <v>6</v>
      </c>
      <c r="G7" s="362">
        <v>7</v>
      </c>
      <c r="H7" s="362">
        <v>8</v>
      </c>
      <c r="I7" s="362">
        <v>9</v>
      </c>
      <c r="J7" s="362">
        <v>10</v>
      </c>
      <c r="K7" s="362">
        <v>11</v>
      </c>
      <c r="L7" s="362">
        <v>12</v>
      </c>
      <c r="M7" s="362">
        <v>13</v>
      </c>
    </row>
    <row r="8" spans="1:13">
      <c r="A8" s="11">
        <v>1</v>
      </c>
      <c r="B8" s="19" t="s">
        <v>195</v>
      </c>
      <c r="C8" s="461" t="s">
        <v>94</v>
      </c>
      <c r="D8" s="19" t="s">
        <v>15</v>
      </c>
      <c r="E8" s="19"/>
      <c r="F8" s="22">
        <v>0.38</v>
      </c>
      <c r="G8" s="9"/>
      <c r="H8" s="9"/>
      <c r="I8" s="9"/>
      <c r="J8" s="9"/>
      <c r="K8" s="9"/>
      <c r="L8" s="9"/>
      <c r="M8" s="70"/>
    </row>
    <row r="9" spans="1:13">
      <c r="A9" s="19"/>
      <c r="B9" s="19"/>
      <c r="C9" s="13" t="s">
        <v>86</v>
      </c>
      <c r="D9" s="10" t="s">
        <v>13</v>
      </c>
      <c r="E9" s="10">
        <v>0.89</v>
      </c>
      <c r="F9" s="9">
        <f>E9*F8</f>
        <v>0.3382</v>
      </c>
      <c r="G9" s="9"/>
      <c r="H9" s="9"/>
      <c r="I9" s="9"/>
      <c r="J9" s="9"/>
      <c r="K9" s="9"/>
      <c r="L9" s="9"/>
      <c r="M9" s="9"/>
    </row>
    <row r="10" spans="1:13">
      <c r="A10" s="599"/>
      <c r="B10" s="600"/>
      <c r="C10" s="73" t="s">
        <v>97</v>
      </c>
      <c r="D10" s="10" t="s">
        <v>16</v>
      </c>
      <c r="E10" s="11">
        <v>0.37</v>
      </c>
      <c r="F10" s="8">
        <f>E10*F8</f>
        <v>0.1406</v>
      </c>
      <c r="G10" s="8"/>
      <c r="H10" s="8"/>
      <c r="I10" s="8"/>
      <c r="J10" s="8"/>
      <c r="K10" s="8"/>
      <c r="L10" s="9"/>
      <c r="M10" s="9"/>
    </row>
    <row r="11" spans="1:13">
      <c r="A11" s="19"/>
      <c r="B11" s="412" t="s">
        <v>618</v>
      </c>
      <c r="C11" s="13" t="s">
        <v>95</v>
      </c>
      <c r="D11" s="10" t="s">
        <v>15</v>
      </c>
      <c r="E11" s="356">
        <f>115/100</f>
        <v>1.1499999999999999</v>
      </c>
      <c r="F11" s="9">
        <f>F8*E11</f>
        <v>0.43699999999999994</v>
      </c>
      <c r="G11" s="413"/>
      <c r="H11" s="9"/>
      <c r="I11" s="9"/>
      <c r="J11" s="9"/>
      <c r="K11" s="9"/>
      <c r="L11" s="9"/>
      <c r="M11" s="9"/>
    </row>
    <row r="12" spans="1:13" ht="15">
      <c r="A12" s="599"/>
      <c r="B12" s="468" t="s">
        <v>623</v>
      </c>
      <c r="C12" s="13" t="s">
        <v>90</v>
      </c>
      <c r="D12" s="10" t="s">
        <v>15</v>
      </c>
      <c r="E12" s="9">
        <v>0.02</v>
      </c>
      <c r="F12" s="12">
        <f>F8*E12</f>
        <v>7.6E-3</v>
      </c>
      <c r="G12" s="601"/>
      <c r="H12" s="9"/>
      <c r="I12" s="9"/>
      <c r="J12" s="9"/>
      <c r="K12" s="9"/>
      <c r="L12" s="9"/>
      <c r="M12" s="9"/>
    </row>
    <row r="13" spans="1:13" ht="38.25">
      <c r="A13" s="11">
        <v>2</v>
      </c>
      <c r="B13" s="91" t="s">
        <v>120</v>
      </c>
      <c r="C13" s="600" t="s">
        <v>376</v>
      </c>
      <c r="D13" s="19" t="s">
        <v>375</v>
      </c>
      <c r="E13" s="11"/>
      <c r="F13" s="22">
        <f>(3.14*0.6*0.6*1*F16)+(3.14*0.6*0.6*0.5*F17)+(1.2*1.2*0.22*F18)+(1.2*1.2*0.15*F19)</f>
        <v>2.2283999999999997</v>
      </c>
      <c r="G13" s="8"/>
      <c r="H13" s="8"/>
      <c r="I13" s="8"/>
      <c r="J13" s="8"/>
      <c r="K13" s="8"/>
      <c r="L13" s="8"/>
      <c r="M13" s="70"/>
    </row>
    <row r="14" spans="1:13">
      <c r="A14" s="602"/>
      <c r="B14" s="600"/>
      <c r="C14" s="73" t="s">
        <v>96</v>
      </c>
      <c r="D14" s="10" t="s">
        <v>13</v>
      </c>
      <c r="E14" s="9">
        <f>92/10</f>
        <v>9.1999999999999993</v>
      </c>
      <c r="F14" s="9">
        <f>E14*F13</f>
        <v>20.501279999999994</v>
      </c>
      <c r="G14" s="8"/>
      <c r="H14" s="8"/>
      <c r="I14" s="9"/>
      <c r="J14" s="9"/>
      <c r="K14" s="8"/>
      <c r="L14" s="8"/>
      <c r="M14" s="9"/>
    </row>
    <row r="15" spans="1:13">
      <c r="A15" s="599"/>
      <c r="B15" s="600"/>
      <c r="C15" s="73" t="s">
        <v>97</v>
      </c>
      <c r="D15" s="10" t="s">
        <v>16</v>
      </c>
      <c r="E15" s="11">
        <f>25.3/10</f>
        <v>2.5300000000000002</v>
      </c>
      <c r="F15" s="8">
        <f>E15*F13</f>
        <v>5.6378519999999996</v>
      </c>
      <c r="G15" s="8"/>
      <c r="H15" s="8"/>
      <c r="I15" s="8"/>
      <c r="J15" s="8"/>
      <c r="K15" s="8"/>
      <c r="L15" s="9"/>
      <c r="M15" s="9"/>
    </row>
    <row r="16" spans="1:13">
      <c r="A16" s="602"/>
      <c r="B16" s="19" t="s">
        <v>635</v>
      </c>
      <c r="C16" s="73" t="s">
        <v>633</v>
      </c>
      <c r="D16" s="10" t="s">
        <v>98</v>
      </c>
      <c r="E16" s="9"/>
      <c r="F16" s="9">
        <v>1</v>
      </c>
      <c r="G16" s="574"/>
      <c r="H16" s="574"/>
      <c r="I16" s="575"/>
      <c r="J16" s="575"/>
      <c r="K16" s="574"/>
      <c r="L16" s="574"/>
      <c r="M16" s="9"/>
    </row>
    <row r="17" spans="1:13">
      <c r="A17" s="602"/>
      <c r="B17" s="19" t="s">
        <v>636</v>
      </c>
      <c r="C17" s="73" t="s">
        <v>634</v>
      </c>
      <c r="D17" s="10" t="s">
        <v>98</v>
      </c>
      <c r="E17" s="9"/>
      <c r="F17" s="9">
        <v>1</v>
      </c>
      <c r="G17" s="574"/>
      <c r="H17" s="574"/>
      <c r="I17" s="575"/>
      <c r="J17" s="575"/>
      <c r="K17" s="574"/>
      <c r="L17" s="574"/>
      <c r="M17" s="9"/>
    </row>
    <row r="18" spans="1:13">
      <c r="A18" s="602"/>
      <c r="B18" s="19" t="s">
        <v>637</v>
      </c>
      <c r="C18" s="73" t="s">
        <v>196</v>
      </c>
      <c r="D18" s="10" t="s">
        <v>98</v>
      </c>
      <c r="E18" s="9"/>
      <c r="F18" s="9">
        <v>1</v>
      </c>
      <c r="G18" s="574"/>
      <c r="H18" s="574"/>
      <c r="I18" s="575"/>
      <c r="J18" s="575"/>
      <c r="K18" s="574"/>
      <c r="L18" s="574"/>
      <c r="M18" s="9"/>
    </row>
    <row r="19" spans="1:13">
      <c r="A19" s="602"/>
      <c r="B19" s="19" t="s">
        <v>638</v>
      </c>
      <c r="C19" s="73" t="s">
        <v>99</v>
      </c>
      <c r="D19" s="10" t="s">
        <v>98</v>
      </c>
      <c r="E19" s="9"/>
      <c r="F19" s="9">
        <v>1</v>
      </c>
      <c r="G19" s="574"/>
      <c r="H19" s="574"/>
      <c r="I19" s="575"/>
      <c r="J19" s="575"/>
      <c r="K19" s="574"/>
      <c r="L19" s="574"/>
      <c r="M19" s="9"/>
    </row>
    <row r="20" spans="1:13">
      <c r="A20" s="602"/>
      <c r="B20" s="19" t="s">
        <v>628</v>
      </c>
      <c r="C20" s="73" t="s">
        <v>105</v>
      </c>
      <c r="D20" s="10" t="s">
        <v>15</v>
      </c>
      <c r="E20" s="12">
        <f>4.13/10</f>
        <v>0.41299999999999998</v>
      </c>
      <c r="F20" s="9">
        <f>F13*E20</f>
        <v>0.92032919999999985</v>
      </c>
      <c r="G20" s="574"/>
      <c r="H20" s="574"/>
      <c r="I20" s="575"/>
      <c r="J20" s="575"/>
      <c r="K20" s="574"/>
      <c r="L20" s="574"/>
      <c r="M20" s="9"/>
    </row>
    <row r="21" spans="1:13">
      <c r="A21" s="602"/>
      <c r="B21" s="600"/>
      <c r="C21" s="603" t="s">
        <v>104</v>
      </c>
      <c r="D21" s="10" t="s">
        <v>16</v>
      </c>
      <c r="E21" s="9">
        <f>58.7/10</f>
        <v>5.87</v>
      </c>
      <c r="F21" s="9">
        <f>E21*F13</f>
        <v>13.080707999999998</v>
      </c>
      <c r="G21" s="8"/>
      <c r="H21" s="574"/>
      <c r="I21" s="575"/>
      <c r="J21" s="575"/>
      <c r="K21" s="574"/>
      <c r="L21" s="574"/>
      <c r="M21" s="9"/>
    </row>
    <row r="22" spans="1:13" ht="25.5">
      <c r="A22" s="602">
        <v>3</v>
      </c>
      <c r="B22" s="19" t="s">
        <v>106</v>
      </c>
      <c r="C22" s="600" t="s">
        <v>100</v>
      </c>
      <c r="D22" s="19" t="s">
        <v>378</v>
      </c>
      <c r="E22" s="11"/>
      <c r="F22" s="22">
        <f>(3.14*1.2*1*F16)+(3.14*1.2*0.5*F17)+(1.2*0.22*4*F18)+(1.2*0.15*4*F19)</f>
        <v>7.427999999999999</v>
      </c>
      <c r="G22" s="8"/>
      <c r="H22" s="8"/>
      <c r="I22" s="8"/>
      <c r="J22" s="8"/>
      <c r="K22" s="8"/>
      <c r="L22" s="8"/>
      <c r="M22" s="70"/>
    </row>
    <row r="23" spans="1:13">
      <c r="A23" s="602"/>
      <c r="B23" s="600"/>
      <c r="C23" s="73" t="s">
        <v>101</v>
      </c>
      <c r="D23" s="11" t="s">
        <v>102</v>
      </c>
      <c r="E23" s="604">
        <f>56.4/100</f>
        <v>0.56399999999999995</v>
      </c>
      <c r="F23" s="8">
        <f>E23*F22</f>
        <v>4.1893919999999989</v>
      </c>
      <c r="G23" s="8"/>
      <c r="H23" s="8"/>
      <c r="I23" s="9"/>
      <c r="J23" s="9"/>
      <c r="K23" s="8"/>
      <c r="L23" s="8"/>
      <c r="M23" s="9"/>
    </row>
    <row r="24" spans="1:13">
      <c r="A24" s="602"/>
      <c r="B24" s="600"/>
      <c r="C24" s="73" t="s">
        <v>97</v>
      </c>
      <c r="D24" s="11" t="s">
        <v>16</v>
      </c>
      <c r="E24" s="604">
        <f>4.09/100</f>
        <v>4.0899999999999999E-2</v>
      </c>
      <c r="F24" s="8">
        <f>F22*E24</f>
        <v>0.30380519999999994</v>
      </c>
      <c r="G24" s="8"/>
      <c r="H24" s="8"/>
      <c r="I24" s="8"/>
      <c r="J24" s="8"/>
      <c r="K24" s="8"/>
      <c r="L24" s="8"/>
      <c r="M24" s="9"/>
    </row>
    <row r="25" spans="1:13">
      <c r="A25" s="602"/>
      <c r="B25" s="19" t="s">
        <v>629</v>
      </c>
      <c r="C25" s="73" t="s">
        <v>456</v>
      </c>
      <c r="D25" s="11" t="s">
        <v>103</v>
      </c>
      <c r="E25" s="605">
        <f>0.45/100</f>
        <v>4.5000000000000005E-3</v>
      </c>
      <c r="F25" s="606">
        <f>E25*F22</f>
        <v>3.3425999999999997E-2</v>
      </c>
      <c r="G25" s="8"/>
      <c r="H25" s="8"/>
      <c r="I25" s="8"/>
      <c r="J25" s="8"/>
      <c r="K25" s="8"/>
      <c r="L25" s="8"/>
      <c r="M25" s="9"/>
    </row>
    <row r="26" spans="1:13" ht="25.5">
      <c r="A26" s="602"/>
      <c r="B26" s="19" t="s">
        <v>630</v>
      </c>
      <c r="C26" s="73" t="s">
        <v>253</v>
      </c>
      <c r="D26" s="11" t="s">
        <v>15</v>
      </c>
      <c r="E26" s="605">
        <f>0.75/100</f>
        <v>7.4999999999999997E-3</v>
      </c>
      <c r="F26" s="606">
        <f>F22*E26</f>
        <v>5.5709999999999989E-2</v>
      </c>
      <c r="G26" s="8"/>
      <c r="H26" s="8"/>
      <c r="I26" s="8"/>
      <c r="J26" s="8"/>
      <c r="K26" s="8"/>
      <c r="L26" s="8"/>
      <c r="M26" s="9"/>
    </row>
    <row r="27" spans="1:13">
      <c r="A27" s="602"/>
      <c r="B27" s="19"/>
      <c r="C27" s="607" t="s">
        <v>45</v>
      </c>
      <c r="D27" s="11" t="s">
        <v>16</v>
      </c>
      <c r="E27" s="605">
        <f>26.5/100</f>
        <v>0.26500000000000001</v>
      </c>
      <c r="F27" s="94">
        <f>E27*F22</f>
        <v>1.9684199999999998</v>
      </c>
      <c r="G27" s="8"/>
      <c r="H27" s="8"/>
      <c r="I27" s="8"/>
      <c r="J27" s="8"/>
      <c r="K27" s="8"/>
      <c r="L27" s="8"/>
      <c r="M27" s="9"/>
    </row>
    <row r="28" spans="1:13">
      <c r="A28" s="74" t="s">
        <v>70</v>
      </c>
      <c r="B28" s="608" t="s">
        <v>108</v>
      </c>
      <c r="C28" s="609" t="s">
        <v>461</v>
      </c>
      <c r="D28" s="610" t="s">
        <v>98</v>
      </c>
      <c r="E28" s="611"/>
      <c r="F28" s="612">
        <v>3</v>
      </c>
      <c r="G28" s="80"/>
      <c r="H28" s="8"/>
      <c r="I28" s="80"/>
      <c r="J28" s="9"/>
      <c r="K28" s="80"/>
      <c r="L28" s="8"/>
      <c r="M28" s="70"/>
    </row>
    <row r="29" spans="1:13">
      <c r="A29" s="74"/>
      <c r="B29" s="613"/>
      <c r="C29" s="103" t="s">
        <v>86</v>
      </c>
      <c r="D29" s="614" t="s">
        <v>13</v>
      </c>
      <c r="E29" s="614">
        <v>2.69</v>
      </c>
      <c r="F29" s="614">
        <f>F28*E29</f>
        <v>8.07</v>
      </c>
      <c r="G29" s="80"/>
      <c r="H29" s="8"/>
      <c r="I29" s="80"/>
      <c r="J29" s="9"/>
      <c r="K29" s="80"/>
      <c r="L29" s="8"/>
      <c r="M29" s="9"/>
    </row>
    <row r="30" spans="1:13">
      <c r="A30" s="74"/>
      <c r="B30" s="613"/>
      <c r="C30" s="73" t="s">
        <v>97</v>
      </c>
      <c r="D30" s="614" t="s">
        <v>109</v>
      </c>
      <c r="E30" s="614">
        <v>0.01</v>
      </c>
      <c r="F30" s="614">
        <f>E30*F28</f>
        <v>0.03</v>
      </c>
      <c r="G30" s="80"/>
      <c r="H30" s="8"/>
      <c r="I30" s="80"/>
      <c r="J30" s="9"/>
      <c r="K30" s="80"/>
      <c r="L30" s="8"/>
      <c r="M30" s="9"/>
    </row>
    <row r="31" spans="1:13">
      <c r="A31" s="74"/>
      <c r="B31" s="608" t="s">
        <v>631</v>
      </c>
      <c r="C31" s="103" t="s">
        <v>255</v>
      </c>
      <c r="D31" s="614" t="s">
        <v>110</v>
      </c>
      <c r="E31" s="614">
        <v>0.3</v>
      </c>
      <c r="F31" s="614">
        <f>F28*E31</f>
        <v>0.89999999999999991</v>
      </c>
      <c r="G31" s="80"/>
      <c r="H31" s="8"/>
      <c r="I31" s="80"/>
      <c r="J31" s="9"/>
      <c r="K31" s="80"/>
      <c r="L31" s="8"/>
      <c r="M31" s="9"/>
    </row>
    <row r="32" spans="1:13">
      <c r="A32" s="74"/>
      <c r="B32" s="608" t="s">
        <v>632</v>
      </c>
      <c r="C32" s="103" t="s">
        <v>256</v>
      </c>
      <c r="D32" s="614" t="s">
        <v>110</v>
      </c>
      <c r="E32" s="614">
        <v>2.25</v>
      </c>
      <c r="F32" s="614">
        <f>F28*E32</f>
        <v>6.75</v>
      </c>
      <c r="G32" s="80"/>
      <c r="H32" s="8"/>
      <c r="I32" s="80"/>
      <c r="J32" s="9"/>
      <c r="K32" s="80"/>
      <c r="L32" s="8"/>
      <c r="M32" s="9"/>
    </row>
    <row r="33" spans="1:13">
      <c r="A33" s="74"/>
      <c r="B33" s="613"/>
      <c r="C33" s="103" t="s">
        <v>460</v>
      </c>
      <c r="D33" s="614" t="s">
        <v>98</v>
      </c>
      <c r="E33" s="614">
        <v>1</v>
      </c>
      <c r="F33" s="614">
        <f>E33*F28</f>
        <v>3</v>
      </c>
      <c r="G33" s="80"/>
      <c r="H33" s="8"/>
      <c r="I33" s="80"/>
      <c r="J33" s="9"/>
      <c r="K33" s="80"/>
      <c r="L33" s="8"/>
      <c r="M33" s="9"/>
    </row>
    <row r="34" spans="1:13">
      <c r="A34" s="74"/>
      <c r="B34" s="613"/>
      <c r="C34" s="603" t="s">
        <v>104</v>
      </c>
      <c r="D34" s="615" t="s">
        <v>109</v>
      </c>
      <c r="E34" s="614">
        <v>7.3</v>
      </c>
      <c r="F34" s="614">
        <f>E34*F28</f>
        <v>21.9</v>
      </c>
      <c r="G34" s="80"/>
      <c r="H34" s="8"/>
      <c r="I34" s="80"/>
      <c r="J34" s="9"/>
      <c r="K34" s="80"/>
      <c r="L34" s="8"/>
      <c r="M34" s="9"/>
    </row>
    <row r="35" spans="1:13">
      <c r="A35" s="81"/>
      <c r="B35" s="15"/>
      <c r="C35" s="75" t="s">
        <v>9</v>
      </c>
      <c r="D35" s="76"/>
      <c r="E35" s="77"/>
      <c r="F35" s="77"/>
      <c r="G35" s="78"/>
      <c r="H35" s="78"/>
      <c r="I35" s="78"/>
      <c r="J35" s="78"/>
      <c r="K35" s="78"/>
      <c r="L35" s="78"/>
      <c r="M35" s="78"/>
    </row>
    <row r="36" spans="1:13">
      <c r="A36" s="71"/>
      <c r="B36" s="14"/>
      <c r="C36" s="4" t="s">
        <v>49</v>
      </c>
      <c r="D36" s="82" t="s">
        <v>851</v>
      </c>
      <c r="E36" s="356"/>
      <c r="F36" s="356"/>
      <c r="G36" s="2"/>
      <c r="H36" s="2"/>
      <c r="I36" s="2"/>
      <c r="J36" s="2"/>
      <c r="K36" s="2"/>
      <c r="L36" s="2"/>
      <c r="M36" s="2"/>
    </row>
    <row r="37" spans="1:13">
      <c r="A37" s="71"/>
      <c r="B37" s="359"/>
      <c r="C37" s="355" t="s">
        <v>9</v>
      </c>
      <c r="D37" s="5"/>
      <c r="E37" s="362"/>
      <c r="F37" s="362"/>
      <c r="G37" s="34"/>
      <c r="H37" s="34"/>
      <c r="I37" s="34"/>
      <c r="J37" s="34"/>
      <c r="K37" s="34"/>
      <c r="L37" s="34"/>
      <c r="M37" s="34"/>
    </row>
    <row r="38" spans="1:13">
      <c r="A38" s="71"/>
      <c r="B38" s="359"/>
      <c r="C38" s="6" t="s">
        <v>50</v>
      </c>
      <c r="D38" s="83" t="s">
        <v>851</v>
      </c>
      <c r="E38" s="356"/>
      <c r="F38" s="356"/>
      <c r="G38" s="2"/>
      <c r="H38" s="2"/>
      <c r="I38" s="2"/>
      <c r="J38" s="2"/>
      <c r="K38" s="2"/>
      <c r="L38" s="2"/>
      <c r="M38" s="2"/>
    </row>
    <row r="39" spans="1:13">
      <c r="A39" s="71"/>
      <c r="B39" s="359"/>
      <c r="C39" s="355" t="s">
        <v>9</v>
      </c>
      <c r="D39" s="5"/>
      <c r="E39" s="362"/>
      <c r="F39" s="362"/>
      <c r="G39" s="34"/>
      <c r="H39" s="34"/>
      <c r="I39" s="34"/>
      <c r="J39" s="34"/>
      <c r="K39" s="34"/>
      <c r="L39" s="34"/>
      <c r="M39" s="34"/>
    </row>
    <row r="40" spans="1:13">
      <c r="A40" s="71"/>
      <c r="B40" s="359"/>
      <c r="C40" s="6" t="s">
        <v>51</v>
      </c>
      <c r="D40" s="82" t="s">
        <v>851</v>
      </c>
      <c r="E40" s="356"/>
      <c r="F40" s="356"/>
      <c r="G40" s="2"/>
      <c r="H40" s="2"/>
      <c r="I40" s="2"/>
      <c r="J40" s="2"/>
      <c r="K40" s="2"/>
      <c r="L40" s="2"/>
      <c r="M40" s="2"/>
    </row>
    <row r="41" spans="1:13">
      <c r="A41" s="71"/>
      <c r="B41" s="359"/>
      <c r="C41" s="355" t="s">
        <v>52</v>
      </c>
      <c r="D41" s="362"/>
      <c r="E41" s="362"/>
      <c r="F41" s="362"/>
      <c r="G41" s="34"/>
      <c r="H41" s="34"/>
      <c r="I41" s="34"/>
      <c r="J41" s="34"/>
      <c r="K41" s="34"/>
      <c r="L41" s="34"/>
      <c r="M41" s="34"/>
    </row>
  </sheetData>
  <sheetProtection password="CA9C" sheet="1" objects="1" scenarios="1"/>
  <protectedRanges>
    <protectedRange sqref="D35:M41" name="Range2"/>
    <protectedRange sqref="G8:M41" name="Range1"/>
  </protectedRanges>
  <mergeCells count="13">
    <mergeCell ref="G5:H5"/>
    <mergeCell ref="I5:J5"/>
    <mergeCell ref="K5:L5"/>
    <mergeCell ref="A1:M1"/>
    <mergeCell ref="A2:F2"/>
    <mergeCell ref="A3:M3"/>
    <mergeCell ref="A4:M4"/>
    <mergeCell ref="A5:A6"/>
    <mergeCell ref="B5:B6"/>
    <mergeCell ref="C5:C6"/>
    <mergeCell ref="D5:D6"/>
    <mergeCell ref="E5:E6"/>
    <mergeCell ref="F5:F6"/>
  </mergeCells>
  <conditionalFormatting sqref="C28:C29 C34">
    <cfRule type="cellIs" dxfId="116" priority="15" stopIfTrue="1" operator="equal">
      <formula>8223.307275</formula>
    </cfRule>
  </conditionalFormatting>
  <conditionalFormatting sqref="C31:C33">
    <cfRule type="cellIs" dxfId="115" priority="14" stopIfTrue="1" operator="equal">
      <formula>8223.307275</formula>
    </cfRule>
  </conditionalFormatting>
  <conditionalFormatting sqref="B28">
    <cfRule type="cellIs" dxfId="114" priority="13" stopIfTrue="1" operator="equal">
      <formula>8223.307275</formula>
    </cfRule>
  </conditionalFormatting>
  <conditionalFormatting sqref="D28:D30 D34">
    <cfRule type="cellIs" dxfId="113" priority="12" stopIfTrue="1" operator="equal">
      <formula>8223.307275</formula>
    </cfRule>
  </conditionalFormatting>
  <conditionalFormatting sqref="D31:D33">
    <cfRule type="cellIs" dxfId="112" priority="11" stopIfTrue="1" operator="equal">
      <formula>8223.307275</formula>
    </cfRule>
  </conditionalFormatting>
  <conditionalFormatting sqref="F28:F30 F34">
    <cfRule type="cellIs" dxfId="111" priority="8" stopIfTrue="1" operator="equal">
      <formula>8223.307275</formula>
    </cfRule>
  </conditionalFormatting>
  <conditionalFormatting sqref="C21">
    <cfRule type="cellIs" dxfId="110" priority="10" stopIfTrue="1" operator="equal">
      <formula>8223.307275</formula>
    </cfRule>
  </conditionalFormatting>
  <conditionalFormatting sqref="E31:E33">
    <cfRule type="cellIs" dxfId="109" priority="5" stopIfTrue="1" operator="equal">
      <formula>8223.307275</formula>
    </cfRule>
  </conditionalFormatting>
  <conditionalFormatting sqref="E28:E30 E34">
    <cfRule type="cellIs" dxfId="108" priority="7" stopIfTrue="1" operator="equal">
      <formula>8223.307275</formula>
    </cfRule>
  </conditionalFormatting>
  <conditionalFormatting sqref="F31:F33">
    <cfRule type="cellIs" dxfId="107" priority="6" stopIfTrue="1" operator="equal">
      <formula>8223.307275</formula>
    </cfRule>
  </conditionalFormatting>
  <conditionalFormatting sqref="E23:E27">
    <cfRule type="cellIs" dxfId="106" priority="4" stopIfTrue="1" operator="equal">
      <formula>8223.307275</formula>
    </cfRule>
  </conditionalFormatting>
  <conditionalFormatting sqref="G12">
    <cfRule type="cellIs" dxfId="105" priority="2" stopIfTrue="1" operator="equal">
      <formula>8223.307275</formula>
    </cfRule>
  </conditionalFormatting>
  <conditionalFormatting sqref="B11">
    <cfRule type="cellIs" dxfId="104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1"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"/>
  <sheetViews>
    <sheetView view="pageBreakPreview" zoomScaleNormal="100" zoomScaleSheetLayoutView="100" workbookViewId="0">
      <selection activeCell="T65" sqref="T65"/>
    </sheetView>
  </sheetViews>
  <sheetFormatPr defaultRowHeight="12.75"/>
  <cols>
    <col min="1" max="1" width="5.85546875" style="24" customWidth="1"/>
    <col min="2" max="2" width="10.85546875" style="24" customWidth="1"/>
    <col min="3" max="3" width="75.28515625" style="24" customWidth="1"/>
    <col min="4" max="8" width="12.42578125" style="24" customWidth="1"/>
    <col min="9" max="9" width="12.5703125" style="24" customWidth="1"/>
    <col min="10" max="16384" width="9.140625" style="24"/>
  </cols>
  <sheetData>
    <row r="1" spans="1:9">
      <c r="B1" s="1042" t="e">
        <f>#REF!</f>
        <v>#REF!</v>
      </c>
      <c r="C1" s="1042"/>
      <c r="D1" s="1042"/>
      <c r="E1" s="1042"/>
      <c r="F1" s="1042"/>
      <c r="G1" s="1042"/>
      <c r="H1" s="1042"/>
      <c r="I1" s="61"/>
    </row>
    <row r="2" spans="1:9">
      <c r="B2" s="1043" t="s">
        <v>54</v>
      </c>
      <c r="C2" s="1043"/>
      <c r="D2" s="1043"/>
      <c r="E2" s="25" t="str">
        <f>'B-2.2'!B10</f>
        <v>B-2.2.2</v>
      </c>
      <c r="F2" s="25"/>
      <c r="G2" s="25"/>
      <c r="H2" s="25"/>
      <c r="I2" s="25"/>
    </row>
    <row r="3" spans="1:9">
      <c r="B3" s="1126" t="str">
        <f>'B-2.2'!C10</f>
        <v>სათვალთვალო და სარეგულაციო ჭა D=2.0 მ H=1.75 მ</v>
      </c>
      <c r="C3" s="1126"/>
      <c r="D3" s="1126"/>
      <c r="E3" s="1126"/>
      <c r="F3" s="1126"/>
      <c r="G3" s="1126"/>
      <c r="H3" s="1126"/>
    </row>
    <row r="4" spans="1:9">
      <c r="B4" s="27"/>
      <c r="C4" s="28"/>
      <c r="D4" s="28"/>
      <c r="E4" s="28"/>
      <c r="F4" s="1044"/>
      <c r="G4" s="1044"/>
      <c r="H4" s="1044"/>
      <c r="I4" s="1044"/>
    </row>
    <row r="5" spans="1:9">
      <c r="A5" s="1032" t="s">
        <v>7</v>
      </c>
      <c r="B5" s="1032"/>
      <c r="C5" s="1033" t="s">
        <v>0</v>
      </c>
      <c r="D5" s="1037" t="s">
        <v>8</v>
      </c>
      <c r="E5" s="1038"/>
      <c r="F5" s="1038"/>
      <c r="G5" s="1038"/>
      <c r="H5" s="1039"/>
      <c r="I5" s="1040" t="s">
        <v>6</v>
      </c>
    </row>
    <row r="6" spans="1:9" ht="25.5">
      <c r="A6" s="1032"/>
      <c r="B6" s="1032"/>
      <c r="C6" s="1035"/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1041"/>
    </row>
    <row r="7" spans="1:9">
      <c r="A7" s="1040">
        <v>1</v>
      </c>
      <c r="B7" s="1040"/>
      <c r="C7" s="85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9">
      <c r="A8" s="29">
        <v>1</v>
      </c>
      <c r="B8" s="7" t="s">
        <v>430</v>
      </c>
      <c r="C8" s="30" t="s">
        <v>119</v>
      </c>
      <c r="D8" s="2">
        <f>'B-2.2.2.1'!I13</f>
        <v>0</v>
      </c>
      <c r="E8" s="7"/>
      <c r="F8" s="7"/>
      <c r="G8" s="7"/>
      <c r="H8" s="2">
        <f t="shared" ref="H8" si="0">D8+E8+F8+G8</f>
        <v>0</v>
      </c>
      <c r="I8" s="7"/>
    </row>
    <row r="9" spans="1:9" s="35" customFormat="1">
      <c r="A9" s="1049"/>
      <c r="B9" s="1050"/>
      <c r="C9" s="86" t="s">
        <v>9</v>
      </c>
      <c r="D9" s="33"/>
      <c r="E9" s="33"/>
      <c r="F9" s="33"/>
      <c r="G9" s="33"/>
      <c r="H9" s="34">
        <f>SUM(H8:H8)</f>
        <v>0</v>
      </c>
      <c r="I9" s="33"/>
    </row>
    <row r="10" spans="1:9">
      <c r="B10" s="27"/>
      <c r="C10" s="59"/>
      <c r="D10" s="60"/>
      <c r="E10" s="60"/>
      <c r="F10" s="60"/>
      <c r="G10" s="60"/>
      <c r="H10" s="60"/>
      <c r="I10" s="51"/>
    </row>
    <row r="11" spans="1:9">
      <c r="B11" s="53"/>
      <c r="C11" s="54"/>
      <c r="D11" s="54"/>
      <c r="E11" s="54"/>
      <c r="F11" s="54"/>
      <c r="G11" s="54"/>
      <c r="H11" s="54"/>
      <c r="I11" s="54"/>
    </row>
    <row r="12" spans="1:9">
      <c r="B12" s="54"/>
      <c r="C12" s="55" t="e">
        <f>#REF!</f>
        <v>#REF!</v>
      </c>
      <c r="D12" s="54"/>
      <c r="E12" s="54"/>
      <c r="F12" s="54"/>
      <c r="G12" s="54"/>
      <c r="H12" s="54"/>
      <c r="I12" s="54"/>
    </row>
    <row r="13" spans="1:9">
      <c r="B13" s="54"/>
      <c r="C13" s="55" t="e">
        <f>#REF!</f>
        <v>#REF!</v>
      </c>
      <c r="D13" s="54"/>
      <c r="E13" s="54"/>
      <c r="F13" s="56" t="e">
        <f>#REF!</f>
        <v>#REF!</v>
      </c>
      <c r="G13" s="56"/>
      <c r="H13" s="56"/>
      <c r="I13" s="54"/>
    </row>
  </sheetData>
  <mergeCells count="10">
    <mergeCell ref="A7:B7"/>
    <mergeCell ref="A9:B9"/>
    <mergeCell ref="B1:H1"/>
    <mergeCell ref="B2:D2"/>
    <mergeCell ref="B3:H3"/>
    <mergeCell ref="F4:I4"/>
    <mergeCell ref="A5:B6"/>
    <mergeCell ref="C5:C6"/>
    <mergeCell ref="D5:H5"/>
    <mergeCell ref="I5:I6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7"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view="pageBreakPreview" zoomScaleNormal="100" zoomScaleSheetLayoutView="100" workbookViewId="0">
      <selection activeCell="T65" sqref="T65"/>
    </sheetView>
  </sheetViews>
  <sheetFormatPr defaultRowHeight="12.75"/>
  <cols>
    <col min="1" max="1" width="5.85546875" style="24" customWidth="1"/>
    <col min="2" max="2" width="12.28515625" style="24" customWidth="1"/>
    <col min="3" max="3" width="55" style="24" customWidth="1"/>
    <col min="4" max="4" width="6" style="24" customWidth="1"/>
    <col min="5" max="9" width="13.7109375" style="24" customWidth="1"/>
    <col min="10" max="10" width="12.5703125" style="24" customWidth="1"/>
    <col min="11" max="16384" width="9.140625" style="24"/>
  </cols>
  <sheetData>
    <row r="1" spans="1:10">
      <c r="B1" s="1042" t="e">
        <f>#REF!</f>
        <v>#REF!</v>
      </c>
      <c r="C1" s="1042"/>
      <c r="D1" s="1042"/>
      <c r="E1" s="1042"/>
      <c r="F1" s="1042"/>
      <c r="G1" s="1042"/>
      <c r="H1" s="1042"/>
      <c r="I1" s="1042"/>
      <c r="J1" s="61"/>
    </row>
    <row r="2" spans="1:10">
      <c r="B2" s="1043" t="s">
        <v>54</v>
      </c>
      <c r="C2" s="1043"/>
      <c r="D2" s="1043"/>
      <c r="E2" s="1043"/>
      <c r="F2" s="25" t="str">
        <f>'B-2.2.2'!B8</f>
        <v>B-2.2.3.1</v>
      </c>
      <c r="G2" s="25"/>
      <c r="H2" s="25"/>
      <c r="I2" s="25"/>
      <c r="J2" s="25"/>
    </row>
    <row r="3" spans="1:10">
      <c r="B3" s="1057" t="str">
        <f>'B-2.2.2'!C8</f>
        <v>სათვალთვალო და სარეგულაციო ჭა D=2.0 მ H=1.75 მ გრუნტის გზაზე</v>
      </c>
      <c r="C3" s="1057"/>
      <c r="D3" s="1057"/>
      <c r="E3" s="1057"/>
      <c r="F3" s="1057"/>
      <c r="G3" s="1057"/>
      <c r="H3" s="1057"/>
      <c r="I3" s="1057"/>
    </row>
    <row r="4" spans="1:10">
      <c r="B4" s="62"/>
      <c r="C4" s="62"/>
      <c r="D4" s="62"/>
      <c r="E4" s="62"/>
      <c r="F4" s="62"/>
      <c r="G4" s="62"/>
      <c r="H4" s="62"/>
      <c r="I4" s="62"/>
    </row>
    <row r="5" spans="1:10">
      <c r="B5" s="27"/>
      <c r="C5" s="28"/>
      <c r="D5" s="28"/>
      <c r="E5" s="28"/>
      <c r="F5" s="28"/>
      <c r="G5" s="1044"/>
      <c r="H5" s="1044"/>
      <c r="I5" s="1044"/>
      <c r="J5" s="1044"/>
    </row>
    <row r="6" spans="1:10" ht="15.75" customHeight="1">
      <c r="A6" s="1032" t="s">
        <v>7</v>
      </c>
      <c r="B6" s="1032"/>
      <c r="C6" s="1033" t="s">
        <v>0</v>
      </c>
      <c r="D6" s="1034"/>
      <c r="E6" s="1037" t="s">
        <v>8</v>
      </c>
      <c r="F6" s="1038"/>
      <c r="G6" s="1038"/>
      <c r="H6" s="1038"/>
      <c r="I6" s="1039"/>
      <c r="J6" s="1040" t="s">
        <v>6</v>
      </c>
    </row>
    <row r="7" spans="1:10" ht="25.5">
      <c r="A7" s="1032"/>
      <c r="B7" s="1032"/>
      <c r="C7" s="1035"/>
      <c r="D7" s="1036"/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1041"/>
    </row>
    <row r="8" spans="1:10">
      <c r="A8" s="1040">
        <v>1</v>
      </c>
      <c r="B8" s="1040"/>
      <c r="C8" s="1037">
        <v>2</v>
      </c>
      <c r="D8" s="1039"/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</row>
    <row r="9" spans="1:10">
      <c r="A9" s="63">
        <v>1</v>
      </c>
      <c r="B9" s="7" t="s">
        <v>457</v>
      </c>
      <c r="C9" s="32" t="s">
        <v>32</v>
      </c>
      <c r="D9" s="31"/>
      <c r="E9" s="2">
        <f>'B-2.2.2.1.1'!M36</f>
        <v>0</v>
      </c>
      <c r="F9" s="7"/>
      <c r="G9" s="7"/>
      <c r="H9" s="7"/>
      <c r="I9" s="2">
        <f>E9+F9+G9+H9</f>
        <v>0</v>
      </c>
      <c r="J9" s="7"/>
    </row>
    <row r="10" spans="1:10">
      <c r="A10" s="64">
        <v>2</v>
      </c>
      <c r="B10" s="210" t="s">
        <v>458</v>
      </c>
      <c r="C10" s="30" t="s">
        <v>122</v>
      </c>
      <c r="D10" s="31"/>
      <c r="E10" s="2">
        <f>'B-2.2.2.1.2'!M41</f>
        <v>0</v>
      </c>
      <c r="F10" s="7"/>
      <c r="G10" s="7"/>
      <c r="H10" s="7"/>
      <c r="I10" s="2">
        <f>E10+F10+G10+H10</f>
        <v>0</v>
      </c>
      <c r="J10" s="7"/>
    </row>
    <row r="11" spans="1:10" s="35" customFormat="1">
      <c r="A11" s="87" t="s">
        <v>586</v>
      </c>
      <c r="B11" s="33"/>
      <c r="C11" s="88" t="s">
        <v>9</v>
      </c>
      <c r="D11" s="89"/>
      <c r="E11" s="33"/>
      <c r="F11" s="33"/>
      <c r="G11" s="33"/>
      <c r="H11" s="33"/>
      <c r="I11" s="34">
        <f>SUM(I9:I10)</f>
        <v>0</v>
      </c>
      <c r="J11" s="33"/>
    </row>
    <row r="12" spans="1:10">
      <c r="A12" s="64"/>
      <c r="B12" s="90"/>
      <c r="C12" s="30" t="s">
        <v>118</v>
      </c>
      <c r="D12" s="31"/>
      <c r="E12" s="7"/>
      <c r="F12" s="7"/>
      <c r="G12" s="7"/>
      <c r="H12" s="7"/>
      <c r="I12" s="2">
        <v>1</v>
      </c>
      <c r="J12" s="7"/>
    </row>
    <row r="13" spans="1:10" s="35" customFormat="1">
      <c r="A13" s="1049"/>
      <c r="B13" s="1050"/>
      <c r="C13" s="1051" t="s">
        <v>52</v>
      </c>
      <c r="D13" s="1052"/>
      <c r="E13" s="33"/>
      <c r="F13" s="33"/>
      <c r="G13" s="33"/>
      <c r="H13" s="33"/>
      <c r="I13" s="34">
        <f>I11*I12</f>
        <v>0</v>
      </c>
      <c r="J13" s="33"/>
    </row>
    <row r="14" spans="1:10">
      <c r="B14" s="27"/>
      <c r="C14" s="59"/>
      <c r="D14" s="59"/>
      <c r="E14" s="60"/>
      <c r="F14" s="60"/>
      <c r="G14" s="60"/>
      <c r="H14" s="60"/>
      <c r="I14" s="60"/>
      <c r="J14" s="51"/>
    </row>
    <row r="15" spans="1:10">
      <c r="B15" s="53"/>
      <c r="C15" s="54"/>
      <c r="D15" s="54"/>
      <c r="E15" s="54"/>
      <c r="F15" s="54"/>
      <c r="G15" s="54"/>
      <c r="H15" s="54"/>
      <c r="I15" s="54"/>
      <c r="J15" s="54"/>
    </row>
    <row r="16" spans="1:10">
      <c r="B16" s="54"/>
      <c r="C16" s="55" t="e">
        <f>#REF!</f>
        <v>#REF!</v>
      </c>
      <c r="D16" s="55"/>
      <c r="E16" s="54"/>
      <c r="F16" s="54"/>
      <c r="G16" s="54"/>
      <c r="H16" s="54"/>
      <c r="I16" s="54"/>
      <c r="J16" s="54"/>
    </row>
    <row r="17" spans="2:10">
      <c r="B17" s="54"/>
      <c r="C17" s="55" t="e">
        <f>#REF!</f>
        <v>#REF!</v>
      </c>
      <c r="D17" s="55"/>
      <c r="E17" s="54"/>
      <c r="F17" s="54"/>
      <c r="G17" s="56" t="e">
        <f>#REF!</f>
        <v>#REF!</v>
      </c>
      <c r="H17" s="56"/>
      <c r="I17" s="56"/>
      <c r="J17" s="54"/>
    </row>
  </sheetData>
  <mergeCells count="12">
    <mergeCell ref="A8:B8"/>
    <mergeCell ref="C8:D8"/>
    <mergeCell ref="A13:B13"/>
    <mergeCell ref="C13:D13"/>
    <mergeCell ref="B1:I1"/>
    <mergeCell ref="B2:E2"/>
    <mergeCell ref="B3:I3"/>
    <mergeCell ref="G5:J5"/>
    <mergeCell ref="A6:B7"/>
    <mergeCell ref="C6:D7"/>
    <mergeCell ref="E6:I6"/>
    <mergeCell ref="J6:J7"/>
  </mergeCells>
  <phoneticPr fontId="66" type="noConversion"/>
  <printOptions horizontalCentered="1"/>
  <pageMargins left="0.11811023622047245" right="0.11811023622047245" top="0.55118110236220474" bottom="0.15748031496062992" header="0.31496062992125984" footer="0.31496062992125984"/>
  <pageSetup paperSize="9" scale="90"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view="pageBreakPreview" zoomScaleNormal="100" zoomScaleSheetLayoutView="100" workbookViewId="0">
      <selection activeCell="G8" sqref="G8:M35"/>
    </sheetView>
  </sheetViews>
  <sheetFormatPr defaultRowHeight="12.75"/>
  <cols>
    <col min="1" max="1" width="5" style="79" customWidth="1"/>
    <col min="2" max="2" width="10.7109375" style="79" customWidth="1"/>
    <col min="3" max="3" width="57.28515625" style="53" customWidth="1"/>
    <col min="4" max="5" width="10.7109375" style="53" customWidth="1"/>
    <col min="6" max="6" width="12.28515625" style="53" customWidth="1"/>
    <col min="7" max="7" width="10.140625" style="53" customWidth="1"/>
    <col min="8" max="13" width="10.7109375" style="53" customWidth="1"/>
    <col min="14" max="16384" width="9.140625" style="53"/>
  </cols>
  <sheetData>
    <row r="1" spans="1:13">
      <c r="A1" s="1105" t="e">
        <f>#REF!</f>
        <v>#REF!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</row>
    <row r="2" spans="1:13">
      <c r="A2" s="1110" t="s">
        <v>7</v>
      </c>
      <c r="B2" s="1110"/>
      <c r="C2" s="1110"/>
      <c r="D2" s="1110"/>
      <c r="E2" s="1110"/>
      <c r="F2" s="1110"/>
      <c r="G2" s="65" t="str">
        <f>'B-2.2.2.1'!B9</f>
        <v>B-2.2.3.1.1</v>
      </c>
      <c r="H2" s="65"/>
      <c r="I2" s="65"/>
      <c r="J2" s="65"/>
      <c r="K2" s="65"/>
      <c r="L2" s="65"/>
      <c r="M2" s="65"/>
    </row>
    <row r="3" spans="1:13">
      <c r="A3" s="1106" t="str">
        <f>'B-2.2.2.1'!C9</f>
        <v>მიწის სამუშაოები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</row>
    <row r="4" spans="1:13">
      <c r="A4" s="1107"/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</row>
    <row r="5" spans="1:13">
      <c r="A5" s="1081" t="s">
        <v>19</v>
      </c>
      <c r="B5" s="1081" t="s">
        <v>20</v>
      </c>
      <c r="C5" s="1109" t="s">
        <v>21</v>
      </c>
      <c r="D5" s="1109" t="s">
        <v>22</v>
      </c>
      <c r="E5" s="1109" t="s">
        <v>23</v>
      </c>
      <c r="F5" s="1109" t="s">
        <v>24</v>
      </c>
      <c r="G5" s="1108" t="s">
        <v>25</v>
      </c>
      <c r="H5" s="1108"/>
      <c r="I5" s="1108" t="s">
        <v>26</v>
      </c>
      <c r="J5" s="1108"/>
      <c r="K5" s="1109" t="s">
        <v>27</v>
      </c>
      <c r="L5" s="1102"/>
      <c r="M5" s="66" t="s">
        <v>5</v>
      </c>
    </row>
    <row r="6" spans="1:13">
      <c r="A6" s="1081"/>
      <c r="B6" s="1081"/>
      <c r="C6" s="1109"/>
      <c r="D6" s="1109"/>
      <c r="E6" s="1109"/>
      <c r="F6" s="1109"/>
      <c r="G6" s="361" t="s">
        <v>28</v>
      </c>
      <c r="H6" s="46" t="s">
        <v>9</v>
      </c>
      <c r="I6" s="361" t="s">
        <v>28</v>
      </c>
      <c r="J6" s="46" t="s">
        <v>9</v>
      </c>
      <c r="K6" s="361" t="s">
        <v>28</v>
      </c>
      <c r="L6" s="67" t="s">
        <v>9</v>
      </c>
      <c r="M6" s="68" t="s">
        <v>29</v>
      </c>
    </row>
    <row r="7" spans="1:13">
      <c r="A7" s="359">
        <v>1</v>
      </c>
      <c r="B7" s="359">
        <v>2</v>
      </c>
      <c r="C7" s="362">
        <v>3</v>
      </c>
      <c r="D7" s="362">
        <v>4</v>
      </c>
      <c r="E7" s="362">
        <v>5</v>
      </c>
      <c r="F7" s="362">
        <v>6</v>
      </c>
      <c r="G7" s="362">
        <v>7</v>
      </c>
      <c r="H7" s="362">
        <v>8</v>
      </c>
      <c r="I7" s="362">
        <v>9</v>
      </c>
      <c r="J7" s="362">
        <v>10</v>
      </c>
      <c r="K7" s="362">
        <v>11</v>
      </c>
      <c r="L7" s="362">
        <v>12</v>
      </c>
      <c r="M7" s="362">
        <v>13</v>
      </c>
    </row>
    <row r="8" spans="1:13" ht="25.5">
      <c r="A8" s="74" t="s">
        <v>67</v>
      </c>
      <c r="B8" s="616" t="s">
        <v>81</v>
      </c>
      <c r="C8" s="513" t="s">
        <v>194</v>
      </c>
      <c r="D8" s="515" t="s">
        <v>44</v>
      </c>
      <c r="E8" s="462"/>
      <c r="F8" s="70">
        <f>26.84*0.421</f>
        <v>11.29964</v>
      </c>
      <c r="G8" s="80"/>
      <c r="H8" s="8"/>
      <c r="I8" s="80"/>
      <c r="J8" s="9"/>
      <c r="K8" s="80"/>
      <c r="L8" s="8"/>
      <c r="M8" s="70"/>
    </row>
    <row r="9" spans="1:13">
      <c r="A9" s="359"/>
      <c r="B9" s="18"/>
      <c r="C9" s="514" t="s">
        <v>36</v>
      </c>
      <c r="D9" s="515" t="s">
        <v>63</v>
      </c>
      <c r="E9" s="10">
        <f>11.4/1000</f>
        <v>1.14E-2</v>
      </c>
      <c r="F9" s="9">
        <f>F8*E9</f>
        <v>0.12881589600000001</v>
      </c>
      <c r="G9" s="9"/>
      <c r="H9" s="9"/>
      <c r="I9" s="9"/>
      <c r="J9" s="9"/>
      <c r="K9" s="9"/>
      <c r="L9" s="9"/>
      <c r="M9" s="9"/>
    </row>
    <row r="10" spans="1:13">
      <c r="A10" s="359"/>
      <c r="B10" s="366" t="s">
        <v>615</v>
      </c>
      <c r="C10" s="514" t="s">
        <v>56</v>
      </c>
      <c r="D10" s="515" t="s">
        <v>64</v>
      </c>
      <c r="E10" s="10">
        <f>50.9/1000</f>
        <v>5.0900000000000001E-2</v>
      </c>
      <c r="F10" s="8">
        <f>F8*E10</f>
        <v>0.57515167600000006</v>
      </c>
      <c r="G10" s="8"/>
      <c r="H10" s="8"/>
      <c r="I10" s="8"/>
      <c r="J10" s="8"/>
      <c r="K10" s="415"/>
      <c r="L10" s="415"/>
      <c r="M10" s="9"/>
    </row>
    <row r="11" spans="1:13">
      <c r="A11" s="74" t="s">
        <v>68</v>
      </c>
      <c r="B11" s="616" t="s">
        <v>34</v>
      </c>
      <c r="C11" s="513" t="s">
        <v>79</v>
      </c>
      <c r="D11" s="515" t="s">
        <v>44</v>
      </c>
      <c r="E11" s="462"/>
      <c r="F11" s="70">
        <f>F8*3%</f>
        <v>0.33898919999999999</v>
      </c>
      <c r="G11" s="80"/>
      <c r="H11" s="8"/>
      <c r="I11" s="80"/>
      <c r="J11" s="9"/>
      <c r="K11" s="80"/>
      <c r="L11" s="8"/>
      <c r="M11" s="70"/>
    </row>
    <row r="12" spans="1:13">
      <c r="A12" s="74"/>
      <c r="B12" s="616"/>
      <c r="C12" s="514" t="s">
        <v>36</v>
      </c>
      <c r="D12" s="515" t="s">
        <v>63</v>
      </c>
      <c r="E12" s="515">
        <f>206/100</f>
        <v>2.06</v>
      </c>
      <c r="F12" s="516">
        <f>F11*E12</f>
        <v>0.69831775200000001</v>
      </c>
      <c r="G12" s="80"/>
      <c r="H12" s="8"/>
      <c r="I12" s="80"/>
      <c r="J12" s="9"/>
      <c r="K12" s="80"/>
      <c r="L12" s="8"/>
      <c r="M12" s="516"/>
    </row>
    <row r="13" spans="1:13" ht="25.5">
      <c r="A13" s="74" t="s">
        <v>69</v>
      </c>
      <c r="B13" s="616" t="s">
        <v>82</v>
      </c>
      <c r="C13" s="513" t="s">
        <v>55</v>
      </c>
      <c r="D13" s="515" t="s">
        <v>44</v>
      </c>
      <c r="E13" s="462"/>
      <c r="F13" s="70">
        <f>26.84*0.55</f>
        <v>14.762</v>
      </c>
      <c r="G13" s="80"/>
      <c r="H13" s="8"/>
      <c r="I13" s="80"/>
      <c r="J13" s="9"/>
      <c r="K13" s="80"/>
      <c r="L13" s="8"/>
      <c r="M13" s="70"/>
    </row>
    <row r="14" spans="1:13">
      <c r="A14" s="74"/>
      <c r="B14" s="616"/>
      <c r="C14" s="514" t="s">
        <v>36</v>
      </c>
      <c r="D14" s="515" t="s">
        <v>63</v>
      </c>
      <c r="E14" s="515">
        <f>21.5/1000</f>
        <v>2.1499999999999998E-2</v>
      </c>
      <c r="F14" s="516">
        <f>F13*E14</f>
        <v>0.31738299999999997</v>
      </c>
      <c r="G14" s="9"/>
      <c r="H14" s="9"/>
      <c r="I14" s="9"/>
      <c r="J14" s="9"/>
      <c r="K14" s="9"/>
      <c r="L14" s="9"/>
      <c r="M14" s="9"/>
    </row>
    <row r="15" spans="1:13">
      <c r="A15" s="74"/>
      <c r="B15" s="366" t="s">
        <v>615</v>
      </c>
      <c r="C15" s="514" t="s">
        <v>56</v>
      </c>
      <c r="D15" s="515" t="s">
        <v>64</v>
      </c>
      <c r="E15" s="515">
        <f>48.2/1000</f>
        <v>4.82E-2</v>
      </c>
      <c r="F15" s="516">
        <f>F13*E15</f>
        <v>0.71152840000000006</v>
      </c>
      <c r="G15" s="8"/>
      <c r="H15" s="8"/>
      <c r="I15" s="8"/>
      <c r="J15" s="8"/>
      <c r="K15" s="415"/>
      <c r="L15" s="415"/>
      <c r="M15" s="9"/>
    </row>
    <row r="16" spans="1:13">
      <c r="A16" s="74" t="s">
        <v>70</v>
      </c>
      <c r="B16" s="616" t="s">
        <v>78</v>
      </c>
      <c r="C16" s="513" t="s">
        <v>57</v>
      </c>
      <c r="D16" s="515" t="s">
        <v>44</v>
      </c>
      <c r="E16" s="462"/>
      <c r="F16" s="70">
        <f>F13*3%</f>
        <v>0.44285999999999998</v>
      </c>
      <c r="G16" s="80"/>
      <c r="H16" s="8"/>
      <c r="I16" s="80"/>
      <c r="J16" s="9"/>
      <c r="K16" s="80"/>
      <c r="L16" s="8"/>
      <c r="M16" s="70"/>
    </row>
    <row r="17" spans="1:13">
      <c r="A17" s="74"/>
      <c r="B17" s="616"/>
      <c r="C17" s="514" t="s">
        <v>36</v>
      </c>
      <c r="D17" s="515" t="s">
        <v>63</v>
      </c>
      <c r="E17" s="515">
        <f>299/100</f>
        <v>2.99</v>
      </c>
      <c r="F17" s="516">
        <f>E17*F16</f>
        <v>1.3241514000000001</v>
      </c>
      <c r="G17" s="80"/>
      <c r="H17" s="8"/>
      <c r="I17" s="80"/>
      <c r="J17" s="9"/>
      <c r="K17" s="80"/>
      <c r="L17" s="8"/>
      <c r="M17" s="516"/>
    </row>
    <row r="18" spans="1:13">
      <c r="A18" s="74" t="s">
        <v>71</v>
      </c>
      <c r="B18" s="616" t="s">
        <v>83</v>
      </c>
      <c r="C18" s="513" t="s">
        <v>58</v>
      </c>
      <c r="D18" s="515" t="s">
        <v>44</v>
      </c>
      <c r="E18" s="515"/>
      <c r="F18" s="70">
        <f>F8+F11+F13+F16</f>
        <v>26.8434892</v>
      </c>
      <c r="G18" s="80"/>
      <c r="H18" s="8"/>
      <c r="I18" s="80"/>
      <c r="J18" s="9"/>
      <c r="K18" s="80"/>
      <c r="L18" s="8"/>
      <c r="M18" s="70"/>
    </row>
    <row r="19" spans="1:13">
      <c r="A19" s="74"/>
      <c r="B19" s="616"/>
      <c r="C19" s="514" t="s">
        <v>30</v>
      </c>
      <c r="D19" s="515" t="s">
        <v>587</v>
      </c>
      <c r="E19" s="515">
        <f>27/1000</f>
        <v>2.7E-2</v>
      </c>
      <c r="F19" s="516">
        <f>F18*E19</f>
        <v>0.72477420839999995</v>
      </c>
      <c r="G19" s="80"/>
      <c r="H19" s="8"/>
      <c r="I19" s="80"/>
      <c r="J19" s="9"/>
      <c r="K19" s="80"/>
      <c r="L19" s="8"/>
      <c r="M19" s="9"/>
    </row>
    <row r="20" spans="1:13">
      <c r="A20" s="74"/>
      <c r="B20" s="366" t="s">
        <v>615</v>
      </c>
      <c r="C20" s="514" t="s">
        <v>59</v>
      </c>
      <c r="D20" s="515" t="s">
        <v>65</v>
      </c>
      <c r="E20" s="515">
        <f>60.5/1000</f>
        <v>6.0499999999999998E-2</v>
      </c>
      <c r="F20" s="516">
        <f>F18*E20</f>
        <v>1.6240310966</v>
      </c>
      <c r="G20" s="80"/>
      <c r="H20" s="8"/>
      <c r="I20" s="80"/>
      <c r="J20" s="9"/>
      <c r="K20" s="415"/>
      <c r="L20" s="415"/>
      <c r="M20" s="9"/>
    </row>
    <row r="21" spans="1:13">
      <c r="A21" s="74"/>
      <c r="B21" s="616"/>
      <c r="C21" s="514" t="s">
        <v>31</v>
      </c>
      <c r="D21" s="515" t="s">
        <v>16</v>
      </c>
      <c r="E21" s="515">
        <f>2.21/1000</f>
        <v>2.2100000000000002E-3</v>
      </c>
      <c r="F21" s="516">
        <f>F18*E21</f>
        <v>5.9324111132000007E-2</v>
      </c>
      <c r="G21" s="80"/>
      <c r="H21" s="8"/>
      <c r="I21" s="80"/>
      <c r="J21" s="9"/>
      <c r="K21" s="80"/>
      <c r="L21" s="415"/>
      <c r="M21" s="9"/>
    </row>
    <row r="22" spans="1:13">
      <c r="A22" s="74"/>
      <c r="B22" s="617" t="s">
        <v>443</v>
      </c>
      <c r="C22" s="514" t="s">
        <v>33</v>
      </c>
      <c r="D22" s="515" t="s">
        <v>44</v>
      </c>
      <c r="E22" s="515">
        <f>0.06/1000</f>
        <v>5.9999999999999995E-5</v>
      </c>
      <c r="F22" s="516">
        <f>F18*E22</f>
        <v>1.6106093519999999E-3</v>
      </c>
      <c r="G22" s="413"/>
      <c r="H22" s="8"/>
      <c r="I22" s="80"/>
      <c r="J22" s="9"/>
      <c r="K22" s="80"/>
      <c r="L22" s="8"/>
      <c r="M22" s="2"/>
    </row>
    <row r="23" spans="1:13" ht="25.5">
      <c r="A23" s="69">
        <v>6</v>
      </c>
      <c r="B23" s="362" t="s">
        <v>17</v>
      </c>
      <c r="C23" s="513" t="s">
        <v>60</v>
      </c>
      <c r="D23" s="462" t="s">
        <v>375</v>
      </c>
      <c r="E23" s="462"/>
      <c r="F23" s="70">
        <v>18.29</v>
      </c>
      <c r="G23" s="2"/>
      <c r="H23" s="2"/>
      <c r="I23" s="2"/>
      <c r="J23" s="2"/>
      <c r="K23" s="2"/>
      <c r="L23" s="2"/>
      <c r="M23" s="34"/>
    </row>
    <row r="24" spans="1:13">
      <c r="A24" s="356"/>
      <c r="B24" s="312" t="s">
        <v>622</v>
      </c>
      <c r="C24" s="73" t="s">
        <v>35</v>
      </c>
      <c r="D24" s="10" t="s">
        <v>13</v>
      </c>
      <c r="E24" s="10">
        <f>9.21/1000</f>
        <v>9.2100000000000012E-3</v>
      </c>
      <c r="F24" s="9">
        <f>F23*E24</f>
        <v>0.16845090000000001</v>
      </c>
      <c r="G24" s="2"/>
      <c r="H24" s="2"/>
      <c r="I24" s="2"/>
      <c r="J24" s="2"/>
      <c r="K24" s="289"/>
      <c r="L24" s="415"/>
      <c r="M24" s="2"/>
    </row>
    <row r="25" spans="1:13">
      <c r="A25" s="74" t="s">
        <v>84</v>
      </c>
      <c r="B25" s="616" t="s">
        <v>85</v>
      </c>
      <c r="C25" s="513" t="s">
        <v>540</v>
      </c>
      <c r="D25" s="462" t="s">
        <v>44</v>
      </c>
      <c r="E25" s="462"/>
      <c r="F25" s="70">
        <f>F23</f>
        <v>18.29</v>
      </c>
      <c r="G25" s="590"/>
      <c r="H25" s="22"/>
      <c r="I25" s="590"/>
      <c r="J25" s="23"/>
      <c r="K25" s="590"/>
      <c r="L25" s="22"/>
      <c r="M25" s="70"/>
    </row>
    <row r="26" spans="1:13">
      <c r="A26" s="74"/>
      <c r="B26" s="616"/>
      <c r="C26" s="514" t="s">
        <v>36</v>
      </c>
      <c r="D26" s="515" t="s">
        <v>63</v>
      </c>
      <c r="E26" s="515">
        <f>13.4/100</f>
        <v>0.13400000000000001</v>
      </c>
      <c r="F26" s="516">
        <f>E26*F25</f>
        <v>2.45086</v>
      </c>
      <c r="G26" s="80"/>
      <c r="H26" s="8"/>
      <c r="I26" s="80"/>
      <c r="J26" s="9"/>
      <c r="K26" s="80"/>
      <c r="L26" s="8"/>
      <c r="M26" s="9"/>
    </row>
    <row r="27" spans="1:13" ht="25.5">
      <c r="A27" s="74"/>
      <c r="B27" s="362" t="s">
        <v>459</v>
      </c>
      <c r="C27" s="514" t="s">
        <v>111</v>
      </c>
      <c r="D27" s="515" t="s">
        <v>66</v>
      </c>
      <c r="E27" s="515">
        <f>13/100</f>
        <v>0.13</v>
      </c>
      <c r="F27" s="516">
        <f>F25*E27</f>
        <v>2.3776999999999999</v>
      </c>
      <c r="G27" s="80"/>
      <c r="H27" s="8"/>
      <c r="I27" s="80"/>
      <c r="J27" s="9"/>
      <c r="K27" s="9"/>
      <c r="L27" s="415"/>
      <c r="M27" s="9"/>
    </row>
    <row r="28" spans="1:13">
      <c r="A28" s="74" t="s">
        <v>73</v>
      </c>
      <c r="B28" s="517"/>
      <c r="C28" s="518" t="s">
        <v>620</v>
      </c>
      <c r="D28" s="515" t="s">
        <v>47</v>
      </c>
      <c r="E28" s="515"/>
      <c r="F28" s="70">
        <f>F18*1.9</f>
        <v>51.002629479999996</v>
      </c>
      <c r="G28" s="80"/>
      <c r="H28" s="8"/>
      <c r="I28" s="80"/>
      <c r="J28" s="9"/>
      <c r="K28" s="80"/>
      <c r="L28" s="8"/>
      <c r="M28" s="34"/>
    </row>
    <row r="29" spans="1:13">
      <c r="A29" s="519"/>
      <c r="B29" s="439" t="s">
        <v>621</v>
      </c>
      <c r="C29" s="520" t="s">
        <v>620</v>
      </c>
      <c r="D29" s="515" t="s">
        <v>47</v>
      </c>
      <c r="E29" s="515">
        <v>1</v>
      </c>
      <c r="F29" s="516">
        <f>F28*E29</f>
        <v>51.002629479999996</v>
      </c>
      <c r="G29" s="80"/>
      <c r="H29" s="8"/>
      <c r="I29" s="80"/>
      <c r="J29" s="9"/>
      <c r="K29" s="415"/>
      <c r="L29" s="8"/>
      <c r="M29" s="2"/>
    </row>
    <row r="30" spans="1:13">
      <c r="A30" s="81"/>
      <c r="B30" s="15"/>
      <c r="C30" s="75" t="s">
        <v>9</v>
      </c>
      <c r="D30" s="76"/>
      <c r="E30" s="77"/>
      <c r="F30" s="77"/>
      <c r="G30" s="78"/>
      <c r="H30" s="78"/>
      <c r="I30" s="78"/>
      <c r="J30" s="78"/>
      <c r="K30" s="78"/>
      <c r="L30" s="78"/>
      <c r="M30" s="78"/>
    </row>
    <row r="31" spans="1:13">
      <c r="A31" s="71"/>
      <c r="B31" s="14"/>
      <c r="C31" s="4" t="s">
        <v>49</v>
      </c>
      <c r="D31" s="82" t="s">
        <v>851</v>
      </c>
      <c r="E31" s="356"/>
      <c r="F31" s="356"/>
      <c r="G31" s="2"/>
      <c r="H31" s="2"/>
      <c r="I31" s="2"/>
      <c r="J31" s="2"/>
      <c r="K31" s="2"/>
      <c r="L31" s="2"/>
      <c r="M31" s="2"/>
    </row>
    <row r="32" spans="1:13">
      <c r="A32" s="71"/>
      <c r="B32" s="359"/>
      <c r="C32" s="355" t="s">
        <v>9</v>
      </c>
      <c r="D32" s="5"/>
      <c r="E32" s="362"/>
      <c r="F32" s="362"/>
      <c r="G32" s="34"/>
      <c r="H32" s="34"/>
      <c r="I32" s="34"/>
      <c r="J32" s="34"/>
      <c r="K32" s="34"/>
      <c r="L32" s="34"/>
      <c r="M32" s="34"/>
    </row>
    <row r="33" spans="1:13">
      <c r="A33" s="71"/>
      <c r="B33" s="359"/>
      <c r="C33" s="6" t="s">
        <v>50</v>
      </c>
      <c r="D33" s="83" t="s">
        <v>851</v>
      </c>
      <c r="E33" s="356"/>
      <c r="F33" s="356"/>
      <c r="G33" s="2"/>
      <c r="H33" s="2"/>
      <c r="I33" s="2"/>
      <c r="J33" s="2"/>
      <c r="K33" s="2"/>
      <c r="L33" s="2"/>
      <c r="M33" s="2"/>
    </row>
    <row r="34" spans="1:13">
      <c r="A34" s="71"/>
      <c r="B34" s="359"/>
      <c r="C34" s="355" t="s">
        <v>9</v>
      </c>
      <c r="D34" s="5"/>
      <c r="E34" s="362"/>
      <c r="F34" s="362"/>
      <c r="G34" s="34"/>
      <c r="H34" s="34"/>
      <c r="I34" s="34"/>
      <c r="J34" s="34"/>
      <c r="K34" s="34"/>
      <c r="L34" s="34"/>
      <c r="M34" s="34"/>
    </row>
    <row r="35" spans="1:13">
      <c r="A35" s="71"/>
      <c r="B35" s="359"/>
      <c r="C35" s="6" t="s">
        <v>51</v>
      </c>
      <c r="D35" s="82" t="s">
        <v>851</v>
      </c>
      <c r="E35" s="356"/>
      <c r="F35" s="356"/>
      <c r="G35" s="2"/>
      <c r="H35" s="2"/>
      <c r="I35" s="2"/>
      <c r="J35" s="2"/>
      <c r="K35" s="2"/>
      <c r="L35" s="2"/>
      <c r="M35" s="2"/>
    </row>
    <row r="36" spans="1:13">
      <c r="A36" s="71"/>
      <c r="B36" s="359"/>
      <c r="C36" s="355" t="s">
        <v>52</v>
      </c>
      <c r="D36" s="362"/>
      <c r="E36" s="362"/>
      <c r="F36" s="362"/>
      <c r="G36" s="34"/>
      <c r="H36" s="34"/>
      <c r="I36" s="34"/>
      <c r="J36" s="34"/>
      <c r="K36" s="34"/>
      <c r="L36" s="34"/>
      <c r="M36" s="34"/>
    </row>
  </sheetData>
  <sheetProtection password="CA9C" sheet="1" objects="1" scenarios="1"/>
  <protectedRanges>
    <protectedRange sqref="G8:M35" name="Range3"/>
    <protectedRange sqref="G8:M36" name="Range1"/>
    <protectedRange sqref="D31:M36" name="Range2"/>
  </protectedRanges>
  <mergeCells count="13">
    <mergeCell ref="A1:M1"/>
    <mergeCell ref="A2:F2"/>
    <mergeCell ref="A3:M3"/>
    <mergeCell ref="A4:M4"/>
    <mergeCell ref="G5:H5"/>
    <mergeCell ref="I5:J5"/>
    <mergeCell ref="K5:L5"/>
    <mergeCell ref="A5:A6"/>
    <mergeCell ref="B5:B6"/>
    <mergeCell ref="C5:C6"/>
    <mergeCell ref="D5:D6"/>
    <mergeCell ref="E5:E6"/>
    <mergeCell ref="F5:F6"/>
  </mergeCells>
  <conditionalFormatting sqref="B22">
    <cfRule type="cellIs" dxfId="103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9"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view="pageBreakPreview" topLeftCell="A7" zoomScaleNormal="100" zoomScaleSheetLayoutView="100" workbookViewId="0">
      <selection activeCell="D35" sqref="D35:J41"/>
    </sheetView>
  </sheetViews>
  <sheetFormatPr defaultRowHeight="12.75"/>
  <cols>
    <col min="1" max="1" width="4.5703125" style="79" customWidth="1"/>
    <col min="2" max="2" width="10.85546875" style="79" customWidth="1"/>
    <col min="3" max="3" width="54.140625" style="53" customWidth="1"/>
    <col min="4" max="6" width="10.7109375" style="53" customWidth="1"/>
    <col min="7" max="7" width="10.140625" style="53" customWidth="1"/>
    <col min="8" max="13" width="10.7109375" style="53" customWidth="1"/>
    <col min="14" max="16384" width="9.140625" style="53"/>
  </cols>
  <sheetData>
    <row r="1" spans="1:13">
      <c r="A1" s="1105" t="e">
        <f>#REF!</f>
        <v>#REF!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</row>
    <row r="2" spans="1:13">
      <c r="A2" s="1110" t="s">
        <v>7</v>
      </c>
      <c r="B2" s="1110"/>
      <c r="C2" s="1110"/>
      <c r="D2" s="1110"/>
      <c r="E2" s="1110"/>
      <c r="F2" s="1110"/>
      <c r="G2" s="65" t="str">
        <f>'B-2.2.2.1'!B10</f>
        <v>B-2.2.3.1.2</v>
      </c>
      <c r="H2" s="65"/>
      <c r="I2" s="65"/>
      <c r="J2" s="65"/>
      <c r="K2" s="65"/>
      <c r="L2" s="65"/>
      <c r="M2" s="65"/>
    </row>
    <row r="3" spans="1:13">
      <c r="A3" s="1106" t="str">
        <f>'B-2.2.2.1'!C10</f>
        <v>სათვალთვალო და საერგულაციო ჭა D=2.0 მ H=1.75 მ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</row>
    <row r="4" spans="1:13">
      <c r="A4" s="1107"/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</row>
    <row r="5" spans="1:13">
      <c r="A5" s="1081" t="s">
        <v>19</v>
      </c>
      <c r="B5" s="1081" t="s">
        <v>20</v>
      </c>
      <c r="C5" s="1109" t="s">
        <v>21</v>
      </c>
      <c r="D5" s="1109" t="s">
        <v>22</v>
      </c>
      <c r="E5" s="1109" t="s">
        <v>23</v>
      </c>
      <c r="F5" s="1109" t="s">
        <v>24</v>
      </c>
      <c r="G5" s="1108" t="s">
        <v>25</v>
      </c>
      <c r="H5" s="1108"/>
      <c r="I5" s="1108" t="s">
        <v>26</v>
      </c>
      <c r="J5" s="1108"/>
      <c r="K5" s="1109" t="s">
        <v>27</v>
      </c>
      <c r="L5" s="1102"/>
      <c r="M5" s="66" t="s">
        <v>5</v>
      </c>
    </row>
    <row r="6" spans="1:13">
      <c r="A6" s="1081"/>
      <c r="B6" s="1081"/>
      <c r="C6" s="1109"/>
      <c r="D6" s="1109"/>
      <c r="E6" s="1109"/>
      <c r="F6" s="1109"/>
      <c r="G6" s="361" t="s">
        <v>28</v>
      </c>
      <c r="H6" s="46" t="s">
        <v>9</v>
      </c>
      <c r="I6" s="361" t="s">
        <v>28</v>
      </c>
      <c r="J6" s="46" t="s">
        <v>9</v>
      </c>
      <c r="K6" s="361" t="s">
        <v>28</v>
      </c>
      <c r="L6" s="67" t="s">
        <v>9</v>
      </c>
      <c r="M6" s="68" t="s">
        <v>29</v>
      </c>
    </row>
    <row r="7" spans="1:13">
      <c r="A7" s="359">
        <v>1</v>
      </c>
      <c r="B7" s="359">
        <v>2</v>
      </c>
      <c r="C7" s="362">
        <v>3</v>
      </c>
      <c r="D7" s="362">
        <v>4</v>
      </c>
      <c r="E7" s="362">
        <v>5</v>
      </c>
      <c r="F7" s="362">
        <v>6</v>
      </c>
      <c r="G7" s="362">
        <v>7</v>
      </c>
      <c r="H7" s="362">
        <v>8</v>
      </c>
      <c r="I7" s="362">
        <v>9</v>
      </c>
      <c r="J7" s="362">
        <v>10</v>
      </c>
      <c r="K7" s="362">
        <v>11</v>
      </c>
      <c r="L7" s="362">
        <v>12</v>
      </c>
      <c r="M7" s="362">
        <v>13</v>
      </c>
    </row>
    <row r="8" spans="1:13">
      <c r="A8" s="19">
        <v>1</v>
      </c>
      <c r="B8" s="620" t="s">
        <v>195</v>
      </c>
      <c r="C8" s="461" t="s">
        <v>94</v>
      </c>
      <c r="D8" s="19" t="s">
        <v>15</v>
      </c>
      <c r="E8" s="19"/>
      <c r="F8" s="22">
        <v>1.02</v>
      </c>
      <c r="G8" s="23"/>
      <c r="H8" s="23"/>
      <c r="I8" s="23"/>
      <c r="J8" s="23"/>
      <c r="K8" s="23"/>
      <c r="L8" s="23"/>
      <c r="M8" s="70"/>
    </row>
    <row r="9" spans="1:13">
      <c r="A9" s="19"/>
      <c r="B9" s="618"/>
      <c r="C9" s="13" t="s">
        <v>86</v>
      </c>
      <c r="D9" s="10" t="s">
        <v>13</v>
      </c>
      <c r="E9" s="10">
        <v>0.89</v>
      </c>
      <c r="F9" s="9">
        <f>E9*F8</f>
        <v>0.90780000000000005</v>
      </c>
      <c r="G9" s="9"/>
      <c r="H9" s="9"/>
      <c r="I9" s="9"/>
      <c r="J9" s="9"/>
      <c r="K9" s="9"/>
      <c r="L9" s="9"/>
      <c r="M9" s="9"/>
    </row>
    <row r="10" spans="1:13">
      <c r="A10" s="599"/>
      <c r="B10" s="619"/>
      <c r="C10" s="73" t="s">
        <v>97</v>
      </c>
      <c r="D10" s="10" t="s">
        <v>16</v>
      </c>
      <c r="E10" s="11">
        <v>0.37</v>
      </c>
      <c r="F10" s="8">
        <f>E10*F8</f>
        <v>0.37740000000000001</v>
      </c>
      <c r="G10" s="8"/>
      <c r="H10" s="8"/>
      <c r="I10" s="8"/>
      <c r="J10" s="8"/>
      <c r="K10" s="8"/>
      <c r="L10" s="9"/>
      <c r="M10" s="9"/>
    </row>
    <row r="11" spans="1:13">
      <c r="A11" s="19"/>
      <c r="B11" s="412" t="s">
        <v>618</v>
      </c>
      <c r="C11" s="13" t="s">
        <v>95</v>
      </c>
      <c r="D11" s="10" t="s">
        <v>15</v>
      </c>
      <c r="E11" s="356">
        <f>126/100</f>
        <v>1.26</v>
      </c>
      <c r="F11" s="9">
        <f>F8*E11</f>
        <v>1.2852000000000001</v>
      </c>
      <c r="G11" s="413"/>
      <c r="H11" s="9"/>
      <c r="I11" s="9"/>
      <c r="J11" s="9"/>
      <c r="K11" s="9"/>
      <c r="L11" s="9"/>
      <c r="M11" s="9"/>
    </row>
    <row r="12" spans="1:13" ht="15">
      <c r="A12" s="599"/>
      <c r="B12" s="468" t="s">
        <v>623</v>
      </c>
      <c r="C12" s="13" t="s">
        <v>90</v>
      </c>
      <c r="D12" s="10" t="s">
        <v>15</v>
      </c>
      <c r="E12" s="10">
        <v>0</v>
      </c>
      <c r="F12" s="12">
        <f>F8*E12</f>
        <v>0</v>
      </c>
      <c r="G12" s="601"/>
      <c r="H12" s="9"/>
      <c r="I12" s="9"/>
      <c r="J12" s="9"/>
      <c r="K12" s="9"/>
      <c r="L12" s="9"/>
      <c r="M12" s="9"/>
    </row>
    <row r="13" spans="1:13" ht="38.25">
      <c r="A13" s="19">
        <v>2</v>
      </c>
      <c r="B13" s="618" t="s">
        <v>120</v>
      </c>
      <c r="C13" s="600" t="s">
        <v>380</v>
      </c>
      <c r="D13" s="19" t="s">
        <v>375</v>
      </c>
      <c r="E13" s="19"/>
      <c r="F13" s="22">
        <v>6.9231000000000007</v>
      </c>
      <c r="G13" s="22"/>
      <c r="H13" s="22"/>
      <c r="I13" s="22"/>
      <c r="J13" s="22"/>
      <c r="K13" s="22"/>
      <c r="L13" s="22"/>
      <c r="M13" s="70"/>
    </row>
    <row r="14" spans="1:13">
      <c r="A14" s="92"/>
      <c r="B14" s="618"/>
      <c r="C14" s="73" t="s">
        <v>96</v>
      </c>
      <c r="D14" s="10" t="s">
        <v>13</v>
      </c>
      <c r="E14" s="9">
        <f>69.6/10</f>
        <v>6.9599999999999991</v>
      </c>
      <c r="F14" s="9">
        <f>E14*F13</f>
        <v>48.184775999999999</v>
      </c>
      <c r="G14" s="8"/>
      <c r="H14" s="8"/>
      <c r="I14" s="9"/>
      <c r="J14" s="9"/>
      <c r="K14" s="8"/>
      <c r="L14" s="8"/>
      <c r="M14" s="9"/>
    </row>
    <row r="15" spans="1:13">
      <c r="A15" s="599"/>
      <c r="B15" s="618"/>
      <c r="C15" s="73" t="s">
        <v>97</v>
      </c>
      <c r="D15" s="10" t="s">
        <v>16</v>
      </c>
      <c r="E15" s="11">
        <f>24.6/10</f>
        <v>2.46</v>
      </c>
      <c r="F15" s="8">
        <f>E15*F13</f>
        <v>17.030826000000001</v>
      </c>
      <c r="G15" s="8"/>
      <c r="H15" s="8"/>
      <c r="I15" s="8"/>
      <c r="J15" s="8"/>
      <c r="K15" s="8"/>
      <c r="L15" s="9"/>
      <c r="M15" s="9"/>
    </row>
    <row r="16" spans="1:13">
      <c r="A16" s="92"/>
      <c r="B16" s="19" t="s">
        <v>639</v>
      </c>
      <c r="C16" s="73" t="s">
        <v>381</v>
      </c>
      <c r="D16" s="10" t="s">
        <v>98</v>
      </c>
      <c r="E16" s="9"/>
      <c r="F16" s="9">
        <v>1</v>
      </c>
      <c r="G16" s="574"/>
      <c r="H16" s="574"/>
      <c r="I16" s="575"/>
      <c r="J16" s="575"/>
      <c r="K16" s="574"/>
      <c r="L16" s="574"/>
      <c r="M16" s="9"/>
    </row>
    <row r="17" spans="1:13">
      <c r="A17" s="92"/>
      <c r="B17" s="19" t="s">
        <v>625</v>
      </c>
      <c r="C17" s="73" t="s">
        <v>382</v>
      </c>
      <c r="D17" s="10" t="s">
        <v>98</v>
      </c>
      <c r="E17" s="9"/>
      <c r="F17" s="9">
        <v>1</v>
      </c>
      <c r="G17" s="574"/>
      <c r="H17" s="574"/>
      <c r="I17" s="575"/>
      <c r="J17" s="575"/>
      <c r="K17" s="574"/>
      <c r="L17" s="574"/>
      <c r="M17" s="9"/>
    </row>
    <row r="18" spans="1:13">
      <c r="A18" s="92"/>
      <c r="B18" s="19" t="s">
        <v>640</v>
      </c>
      <c r="C18" s="73" t="s">
        <v>196</v>
      </c>
      <c r="D18" s="10" t="s">
        <v>98</v>
      </c>
      <c r="E18" s="9"/>
      <c r="F18" s="9">
        <v>1</v>
      </c>
      <c r="G18" s="574"/>
      <c r="H18" s="574"/>
      <c r="I18" s="575"/>
      <c r="J18" s="575"/>
      <c r="K18" s="574"/>
      <c r="L18" s="574"/>
      <c r="M18" s="9"/>
    </row>
    <row r="19" spans="1:13">
      <c r="A19" s="92"/>
      <c r="B19" s="19" t="s">
        <v>641</v>
      </c>
      <c r="C19" s="73" t="s">
        <v>99</v>
      </c>
      <c r="D19" s="10" t="s">
        <v>587</v>
      </c>
      <c r="E19" s="9"/>
      <c r="F19" s="9">
        <v>1</v>
      </c>
      <c r="G19" s="574"/>
      <c r="H19" s="574"/>
      <c r="I19" s="575"/>
      <c r="J19" s="575"/>
      <c r="K19" s="574"/>
      <c r="L19" s="574"/>
      <c r="M19" s="9"/>
    </row>
    <row r="20" spans="1:13">
      <c r="A20" s="92"/>
      <c r="B20" s="19" t="s">
        <v>628</v>
      </c>
      <c r="C20" s="73" t="s">
        <v>105</v>
      </c>
      <c r="D20" s="10" t="s">
        <v>15</v>
      </c>
      <c r="E20" s="9">
        <f>1.24/10</f>
        <v>0.124</v>
      </c>
      <c r="F20" s="9">
        <f>F18*E20</f>
        <v>0.124</v>
      </c>
      <c r="G20" s="574"/>
      <c r="H20" s="574"/>
      <c r="I20" s="575"/>
      <c r="J20" s="575"/>
      <c r="K20" s="574"/>
      <c r="L20" s="574"/>
      <c r="M20" s="9"/>
    </row>
    <row r="21" spans="1:13">
      <c r="A21" s="92"/>
      <c r="B21" s="618"/>
      <c r="C21" s="93" t="s">
        <v>104</v>
      </c>
      <c r="D21" s="10" t="s">
        <v>16</v>
      </c>
      <c r="E21" s="9">
        <f>48.4/10</f>
        <v>4.84</v>
      </c>
      <c r="F21" s="9">
        <f>E21*F13</f>
        <v>33.507804</v>
      </c>
      <c r="G21" s="8"/>
      <c r="H21" s="574"/>
      <c r="I21" s="575"/>
      <c r="J21" s="575"/>
      <c r="K21" s="574"/>
      <c r="L21" s="574"/>
      <c r="M21" s="9"/>
    </row>
    <row r="22" spans="1:13" ht="25.5">
      <c r="A22" s="106">
        <v>3</v>
      </c>
      <c r="B22" s="618" t="s">
        <v>106</v>
      </c>
      <c r="C22" s="600" t="s">
        <v>100</v>
      </c>
      <c r="D22" s="19" t="s">
        <v>378</v>
      </c>
      <c r="E22" s="19"/>
      <c r="F22" s="22">
        <v>10.362000000000002</v>
      </c>
      <c r="G22" s="22"/>
      <c r="H22" s="22"/>
      <c r="I22" s="22"/>
      <c r="J22" s="22"/>
      <c r="K22" s="22"/>
      <c r="L22" s="22"/>
      <c r="M22" s="70"/>
    </row>
    <row r="23" spans="1:13">
      <c r="A23" s="92"/>
      <c r="B23" s="619"/>
      <c r="C23" s="73" t="s">
        <v>101</v>
      </c>
      <c r="D23" s="11" t="s">
        <v>102</v>
      </c>
      <c r="E23" s="604">
        <f>56.4/100</f>
        <v>0.56399999999999995</v>
      </c>
      <c r="F23" s="8">
        <f>E23*F22</f>
        <v>5.8441680000000007</v>
      </c>
      <c r="G23" s="8"/>
      <c r="H23" s="8"/>
      <c r="I23" s="9"/>
      <c r="J23" s="9"/>
      <c r="K23" s="8"/>
      <c r="L23" s="8"/>
      <c r="M23" s="9"/>
    </row>
    <row r="24" spans="1:13">
      <c r="A24" s="92"/>
      <c r="B24" s="619"/>
      <c r="C24" s="73" t="s">
        <v>97</v>
      </c>
      <c r="D24" s="11" t="s">
        <v>16</v>
      </c>
      <c r="E24" s="604">
        <f>4.09/100</f>
        <v>4.0899999999999999E-2</v>
      </c>
      <c r="F24" s="8">
        <f>F22*E24</f>
        <v>0.42380580000000007</v>
      </c>
      <c r="G24" s="8"/>
      <c r="H24" s="8"/>
      <c r="I24" s="8"/>
      <c r="J24" s="8"/>
      <c r="K24" s="8"/>
      <c r="L24" s="8"/>
      <c r="M24" s="9"/>
    </row>
    <row r="25" spans="1:13">
      <c r="A25" s="92"/>
      <c r="B25" s="19" t="s">
        <v>629</v>
      </c>
      <c r="C25" s="73" t="s">
        <v>121</v>
      </c>
      <c r="D25" s="11" t="s">
        <v>103</v>
      </c>
      <c r="E25" s="605">
        <f>0.45/100</f>
        <v>4.5000000000000005E-3</v>
      </c>
      <c r="F25" s="606">
        <f>E25*F22</f>
        <v>4.6629000000000011E-2</v>
      </c>
      <c r="G25" s="8"/>
      <c r="H25" s="8"/>
      <c r="I25" s="8"/>
      <c r="J25" s="8"/>
      <c r="K25" s="8"/>
      <c r="L25" s="8"/>
      <c r="M25" s="9"/>
    </row>
    <row r="26" spans="1:13" ht="25.5">
      <c r="A26" s="92"/>
      <c r="B26" s="19" t="s">
        <v>630</v>
      </c>
      <c r="C26" s="73" t="s">
        <v>253</v>
      </c>
      <c r="D26" s="11" t="s">
        <v>15</v>
      </c>
      <c r="E26" s="605">
        <v>1E-3</v>
      </c>
      <c r="F26" s="606">
        <f>0.75/100</f>
        <v>7.4999999999999997E-3</v>
      </c>
      <c r="G26" s="8"/>
      <c r="H26" s="8"/>
      <c r="I26" s="8"/>
      <c r="J26" s="8"/>
      <c r="K26" s="8"/>
      <c r="L26" s="8"/>
      <c r="M26" s="9"/>
    </row>
    <row r="27" spans="1:13">
      <c r="A27" s="92"/>
      <c r="B27" s="618"/>
      <c r="C27" s="607" t="s">
        <v>45</v>
      </c>
      <c r="D27" s="11" t="s">
        <v>16</v>
      </c>
      <c r="E27" s="605">
        <f>26.5/100</f>
        <v>0.26500000000000001</v>
      </c>
      <c r="F27" s="94">
        <f>E27*F22</f>
        <v>2.7459300000000004</v>
      </c>
      <c r="G27" s="8"/>
      <c r="H27" s="8"/>
      <c r="I27" s="8"/>
      <c r="J27" s="8"/>
      <c r="K27" s="8"/>
      <c r="L27" s="8"/>
      <c r="M27" s="9"/>
    </row>
    <row r="28" spans="1:13">
      <c r="A28" s="588" t="s">
        <v>70</v>
      </c>
      <c r="B28" s="95" t="s">
        <v>108</v>
      </c>
      <c r="C28" s="96" t="s">
        <v>107</v>
      </c>
      <c r="D28" s="97" t="s">
        <v>98</v>
      </c>
      <c r="E28" s="621"/>
      <c r="F28" s="98">
        <v>4</v>
      </c>
      <c r="G28" s="590"/>
      <c r="H28" s="22"/>
      <c r="I28" s="590"/>
      <c r="J28" s="23"/>
      <c r="K28" s="590"/>
      <c r="L28" s="22"/>
      <c r="M28" s="70"/>
    </row>
    <row r="29" spans="1:13">
      <c r="A29" s="74"/>
      <c r="B29" s="99"/>
      <c r="C29" s="100" t="s">
        <v>86</v>
      </c>
      <c r="D29" s="101" t="s">
        <v>13</v>
      </c>
      <c r="E29" s="102">
        <v>2.69</v>
      </c>
      <c r="F29" s="102">
        <f>F28*E29</f>
        <v>10.76</v>
      </c>
      <c r="G29" s="80"/>
      <c r="H29" s="8"/>
      <c r="I29" s="80"/>
      <c r="J29" s="9"/>
      <c r="K29" s="80"/>
      <c r="L29" s="8"/>
      <c r="M29" s="9"/>
    </row>
    <row r="30" spans="1:13">
      <c r="A30" s="74"/>
      <c r="B30" s="99"/>
      <c r="C30" s="73" t="s">
        <v>97</v>
      </c>
      <c r="D30" s="101" t="s">
        <v>109</v>
      </c>
      <c r="E30" s="102">
        <v>0.01</v>
      </c>
      <c r="F30" s="102">
        <f>E30*F28</f>
        <v>0.04</v>
      </c>
      <c r="G30" s="80"/>
      <c r="H30" s="8"/>
      <c r="I30" s="80"/>
      <c r="J30" s="9"/>
      <c r="K30" s="80"/>
      <c r="L30" s="8"/>
      <c r="M30" s="9"/>
    </row>
    <row r="31" spans="1:13">
      <c r="A31" s="74"/>
      <c r="B31" s="608" t="s">
        <v>631</v>
      </c>
      <c r="C31" s="103" t="s">
        <v>255</v>
      </c>
      <c r="D31" s="101" t="s">
        <v>110</v>
      </c>
      <c r="E31" s="102">
        <v>2.19</v>
      </c>
      <c r="F31" s="102">
        <f>F28*E31</f>
        <v>8.76</v>
      </c>
      <c r="G31" s="80"/>
      <c r="H31" s="8"/>
      <c r="I31" s="80"/>
      <c r="J31" s="9"/>
      <c r="K31" s="80"/>
      <c r="L31" s="8"/>
      <c r="M31" s="9"/>
    </row>
    <row r="32" spans="1:13">
      <c r="A32" s="74"/>
      <c r="B32" s="608" t="s">
        <v>632</v>
      </c>
      <c r="C32" s="103" t="s">
        <v>256</v>
      </c>
      <c r="D32" s="101" t="s">
        <v>110</v>
      </c>
      <c r="E32" s="102">
        <v>2.25</v>
      </c>
      <c r="F32" s="102">
        <f>F28*E32</f>
        <v>9</v>
      </c>
      <c r="G32" s="80"/>
      <c r="H32" s="8"/>
      <c r="I32" s="80"/>
      <c r="J32" s="9"/>
      <c r="K32" s="80"/>
      <c r="L32" s="8"/>
      <c r="M32" s="9"/>
    </row>
    <row r="33" spans="1:13">
      <c r="A33" s="74"/>
      <c r="B33" s="104"/>
      <c r="C33" s="103" t="s">
        <v>379</v>
      </c>
      <c r="D33" s="101" t="s">
        <v>98</v>
      </c>
      <c r="E33" s="102">
        <v>1</v>
      </c>
      <c r="F33" s="102">
        <f>E33*F28</f>
        <v>4</v>
      </c>
      <c r="G33" s="80"/>
      <c r="H33" s="8"/>
      <c r="I33" s="80"/>
      <c r="J33" s="9"/>
      <c r="K33" s="80"/>
      <c r="L33" s="8"/>
      <c r="M33" s="9"/>
    </row>
    <row r="34" spans="1:13">
      <c r="A34" s="74"/>
      <c r="B34" s="99"/>
      <c r="C34" s="93" t="s">
        <v>104</v>
      </c>
      <c r="D34" s="105" t="s">
        <v>109</v>
      </c>
      <c r="E34" s="102">
        <v>7.3</v>
      </c>
      <c r="F34" s="102">
        <f>E34*F28</f>
        <v>29.2</v>
      </c>
      <c r="G34" s="80"/>
      <c r="H34" s="8"/>
      <c r="I34" s="80"/>
      <c r="J34" s="9"/>
      <c r="K34" s="80"/>
      <c r="L34" s="8"/>
      <c r="M34" s="9"/>
    </row>
    <row r="35" spans="1:13">
      <c r="A35" s="81"/>
      <c r="B35" s="15"/>
      <c r="C35" s="75" t="s">
        <v>9</v>
      </c>
      <c r="D35" s="76"/>
      <c r="E35" s="77"/>
      <c r="F35" s="77"/>
      <c r="G35" s="78"/>
      <c r="H35" s="78"/>
      <c r="I35" s="78"/>
      <c r="J35" s="78"/>
      <c r="K35" s="78"/>
      <c r="L35" s="78"/>
      <c r="M35" s="78"/>
    </row>
    <row r="36" spans="1:13">
      <c r="A36" s="71"/>
      <c r="B36" s="14"/>
      <c r="C36" s="4" t="s">
        <v>49</v>
      </c>
      <c r="D36" s="82" t="s">
        <v>851</v>
      </c>
      <c r="E36" s="356"/>
      <c r="F36" s="356"/>
      <c r="G36" s="2"/>
      <c r="H36" s="2"/>
      <c r="I36" s="2"/>
      <c r="J36" s="2"/>
      <c r="K36" s="2"/>
      <c r="L36" s="2"/>
      <c r="M36" s="2"/>
    </row>
    <row r="37" spans="1:13">
      <c r="A37" s="71"/>
      <c r="B37" s="359"/>
      <c r="C37" s="355" t="s">
        <v>9</v>
      </c>
      <c r="D37" s="5"/>
      <c r="E37" s="362"/>
      <c r="F37" s="362"/>
      <c r="G37" s="34"/>
      <c r="H37" s="34"/>
      <c r="I37" s="34"/>
      <c r="J37" s="34"/>
      <c r="K37" s="34"/>
      <c r="L37" s="34"/>
      <c r="M37" s="34"/>
    </row>
    <row r="38" spans="1:13">
      <c r="A38" s="71"/>
      <c r="B38" s="359"/>
      <c r="C38" s="6" t="s">
        <v>50</v>
      </c>
      <c r="D38" s="83" t="s">
        <v>851</v>
      </c>
      <c r="E38" s="356"/>
      <c r="F38" s="356"/>
      <c r="G38" s="2"/>
      <c r="H38" s="2"/>
      <c r="I38" s="2"/>
      <c r="J38" s="2"/>
      <c r="K38" s="2"/>
      <c r="L38" s="2"/>
      <c r="M38" s="2"/>
    </row>
    <row r="39" spans="1:13">
      <c r="A39" s="71"/>
      <c r="B39" s="359"/>
      <c r="C39" s="355" t="s">
        <v>9</v>
      </c>
      <c r="D39" s="5"/>
      <c r="E39" s="362"/>
      <c r="F39" s="362"/>
      <c r="G39" s="34"/>
      <c r="H39" s="34"/>
      <c r="I39" s="34"/>
      <c r="J39" s="34"/>
      <c r="K39" s="34"/>
      <c r="L39" s="34"/>
      <c r="M39" s="34"/>
    </row>
    <row r="40" spans="1:13">
      <c r="A40" s="71"/>
      <c r="B40" s="359"/>
      <c r="C40" s="6" t="s">
        <v>51</v>
      </c>
      <c r="D40" s="82" t="s">
        <v>851</v>
      </c>
      <c r="E40" s="356"/>
      <c r="F40" s="356"/>
      <c r="G40" s="2"/>
      <c r="H40" s="2"/>
      <c r="I40" s="2"/>
      <c r="J40" s="2"/>
      <c r="K40" s="2"/>
      <c r="L40" s="2"/>
      <c r="M40" s="2"/>
    </row>
    <row r="41" spans="1:13">
      <c r="A41" s="71"/>
      <c r="B41" s="359"/>
      <c r="C41" s="355" t="s">
        <v>52</v>
      </c>
      <c r="D41" s="362"/>
      <c r="E41" s="362"/>
      <c r="F41" s="362"/>
      <c r="G41" s="34"/>
      <c r="H41" s="34"/>
      <c r="I41" s="34"/>
      <c r="J41" s="34"/>
      <c r="K41" s="34"/>
      <c r="L41" s="34"/>
      <c r="M41" s="34"/>
    </row>
    <row r="44" spans="1:13">
      <c r="C44" s="53" t="e">
        <f>#REF!</f>
        <v>#REF!</v>
      </c>
    </row>
    <row r="45" spans="1:13">
      <c r="C45" s="53" t="e">
        <f>#REF!</f>
        <v>#REF!</v>
      </c>
      <c r="D45" s="53" t="e">
        <f>#REF!</f>
        <v>#REF!</v>
      </c>
    </row>
  </sheetData>
  <sheetProtection password="CA9C" sheet="1" objects="1" scenarios="1"/>
  <protectedRanges>
    <protectedRange sqref="D35:J41" name="Range2"/>
    <protectedRange sqref="G8:M41" name="Range1"/>
  </protectedRanges>
  <mergeCells count="13">
    <mergeCell ref="A1:M1"/>
    <mergeCell ref="A2:F2"/>
    <mergeCell ref="A3:M3"/>
    <mergeCell ref="A4:M4"/>
    <mergeCell ref="G5:H5"/>
    <mergeCell ref="I5:J5"/>
    <mergeCell ref="K5:L5"/>
    <mergeCell ref="A5:A6"/>
    <mergeCell ref="B5:B6"/>
    <mergeCell ref="C5:C6"/>
    <mergeCell ref="D5:D6"/>
    <mergeCell ref="E5:E6"/>
    <mergeCell ref="F5:F6"/>
  </mergeCells>
  <conditionalFormatting sqref="C28:C29 C34">
    <cfRule type="cellIs" dxfId="102" priority="15" stopIfTrue="1" operator="equal">
      <formula>8223.307275</formula>
    </cfRule>
  </conditionalFormatting>
  <conditionalFormatting sqref="C31:C33">
    <cfRule type="cellIs" dxfId="101" priority="14" stopIfTrue="1" operator="equal">
      <formula>8223.307275</formula>
    </cfRule>
  </conditionalFormatting>
  <conditionalFormatting sqref="B28">
    <cfRule type="cellIs" dxfId="100" priority="13" stopIfTrue="1" operator="equal">
      <formula>8223.307275</formula>
    </cfRule>
  </conditionalFormatting>
  <conditionalFormatting sqref="F28:F30 F34">
    <cfRule type="cellIs" dxfId="99" priority="12" stopIfTrue="1" operator="equal">
      <formula>8223.307275</formula>
    </cfRule>
  </conditionalFormatting>
  <conditionalFormatting sqref="D28:E30 D34:E34">
    <cfRule type="cellIs" dxfId="98" priority="11" stopIfTrue="1" operator="equal">
      <formula>8223.307275</formula>
    </cfRule>
  </conditionalFormatting>
  <conditionalFormatting sqref="D31:E33">
    <cfRule type="cellIs" dxfId="97" priority="9" stopIfTrue="1" operator="equal">
      <formula>8223.307275</formula>
    </cfRule>
  </conditionalFormatting>
  <conditionalFormatting sqref="F31:F33">
    <cfRule type="cellIs" dxfId="96" priority="10" stopIfTrue="1" operator="equal">
      <formula>8223.307275</formula>
    </cfRule>
  </conditionalFormatting>
  <conditionalFormatting sqref="C21">
    <cfRule type="cellIs" dxfId="95" priority="8" stopIfTrue="1" operator="equal">
      <formula>8223.307275</formula>
    </cfRule>
  </conditionalFormatting>
  <conditionalFormatting sqref="E23:E27">
    <cfRule type="cellIs" dxfId="94" priority="6" stopIfTrue="1" operator="equal">
      <formula>8223.307275</formula>
    </cfRule>
  </conditionalFormatting>
  <conditionalFormatting sqref="B11">
    <cfRule type="cellIs" dxfId="93" priority="1" stopIfTrue="1" operator="equal">
      <formula>8223.307275</formula>
    </cfRule>
  </conditionalFormatting>
  <conditionalFormatting sqref="G12">
    <cfRule type="cellIs" dxfId="92" priority="2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1"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view="pageBreakPreview" zoomScaleNormal="100" zoomScaleSheetLayoutView="100" workbookViewId="0">
      <selection activeCell="T65" sqref="T65"/>
    </sheetView>
  </sheetViews>
  <sheetFormatPr defaultRowHeight="12.75"/>
  <cols>
    <col min="1" max="1" width="5.85546875" style="24" customWidth="1"/>
    <col min="2" max="2" width="10.85546875" style="24" customWidth="1"/>
    <col min="3" max="3" width="75.28515625" style="24" customWidth="1"/>
    <col min="4" max="8" width="12.42578125" style="24" customWidth="1"/>
    <col min="9" max="9" width="12.5703125" style="24" customWidth="1"/>
    <col min="10" max="16384" width="9.140625" style="24"/>
  </cols>
  <sheetData>
    <row r="1" spans="1:9">
      <c r="B1" s="1042" t="e">
        <f>#REF!</f>
        <v>#REF!</v>
      </c>
      <c r="C1" s="1042"/>
      <c r="D1" s="1042"/>
      <c r="E1" s="1042"/>
      <c r="F1" s="1042"/>
      <c r="G1" s="1042"/>
      <c r="H1" s="1042"/>
      <c r="I1" s="61"/>
    </row>
    <row r="2" spans="1:9">
      <c r="B2" s="1043" t="s">
        <v>54</v>
      </c>
      <c r="C2" s="1043"/>
      <c r="D2" s="1043"/>
      <c r="E2" s="25" t="str">
        <f>'B-2.2'!B11</f>
        <v>B-2.2.3</v>
      </c>
      <c r="F2" s="25"/>
      <c r="G2" s="25"/>
      <c r="H2" s="25"/>
      <c r="I2" s="25"/>
    </row>
    <row r="3" spans="1:9">
      <c r="B3" s="1126" t="str">
        <f>'B-2.2'!C11</f>
        <v>სათვალთვალო და სარეგულაციო ჭის არმატურა და კვანძები</v>
      </c>
      <c r="C3" s="1126"/>
      <c r="D3" s="1126"/>
      <c r="E3" s="1126"/>
      <c r="F3" s="1126"/>
      <c r="G3" s="1126"/>
      <c r="H3" s="1126"/>
    </row>
    <row r="4" spans="1:9">
      <c r="B4" s="62"/>
      <c r="C4" s="62"/>
      <c r="D4" s="62"/>
      <c r="E4" s="62"/>
      <c r="F4" s="62"/>
      <c r="G4" s="62"/>
      <c r="H4" s="62"/>
    </row>
    <row r="5" spans="1:9">
      <c r="B5" s="27"/>
      <c r="C5" s="28"/>
      <c r="D5" s="28"/>
      <c r="E5" s="28"/>
      <c r="F5" s="1044"/>
      <c r="G5" s="1044"/>
      <c r="H5" s="1044"/>
      <c r="I5" s="1044"/>
    </row>
    <row r="6" spans="1:9">
      <c r="A6" s="1032" t="s">
        <v>7</v>
      </c>
      <c r="B6" s="1032"/>
      <c r="C6" s="1033" t="s">
        <v>0</v>
      </c>
      <c r="D6" s="1037" t="s">
        <v>8</v>
      </c>
      <c r="E6" s="1038"/>
      <c r="F6" s="1038"/>
      <c r="G6" s="1038"/>
      <c r="H6" s="1039"/>
      <c r="I6" s="1040" t="s">
        <v>6</v>
      </c>
    </row>
    <row r="7" spans="1:9" ht="25.5">
      <c r="A7" s="1032"/>
      <c r="B7" s="1032"/>
      <c r="C7" s="1035"/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  <c r="I7" s="1041"/>
    </row>
    <row r="8" spans="1:9">
      <c r="A8" s="1040">
        <v>1</v>
      </c>
      <c r="B8" s="1040"/>
      <c r="C8" s="85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</row>
    <row r="9" spans="1:9">
      <c r="A9" s="29">
        <v>1</v>
      </c>
      <c r="B9" s="7" t="s">
        <v>430</v>
      </c>
      <c r="C9" s="30" t="s">
        <v>123</v>
      </c>
      <c r="D9" s="2">
        <f>'B-2.2.3.1'!M32</f>
        <v>0</v>
      </c>
      <c r="E9" s="7"/>
      <c r="F9" s="7"/>
      <c r="G9" s="7"/>
      <c r="H9" s="2">
        <f t="shared" ref="H9:H10" si="0">D9+E9+F9+G9</f>
        <v>0</v>
      </c>
      <c r="I9" s="7"/>
    </row>
    <row r="10" spans="1:9">
      <c r="A10" s="29">
        <v>2</v>
      </c>
      <c r="B10" s="1003" t="s">
        <v>843</v>
      </c>
      <c r="C10" s="30" t="s">
        <v>135</v>
      </c>
      <c r="D10" s="2">
        <f>'B-2.2.3.2'!M45</f>
        <v>0</v>
      </c>
      <c r="E10" s="7"/>
      <c r="F10" s="7"/>
      <c r="G10" s="7"/>
      <c r="H10" s="2">
        <f t="shared" si="0"/>
        <v>0</v>
      </c>
      <c r="I10" s="7"/>
    </row>
    <row r="11" spans="1:9" s="35" customFormat="1">
      <c r="A11" s="1049"/>
      <c r="B11" s="1050"/>
      <c r="C11" s="86" t="s">
        <v>9</v>
      </c>
      <c r="D11" s="33"/>
      <c r="E11" s="33"/>
      <c r="F11" s="33"/>
      <c r="G11" s="33"/>
      <c r="H11" s="34">
        <f>SUM(H9:H10)</f>
        <v>0</v>
      </c>
      <c r="I11" s="33"/>
    </row>
    <row r="12" spans="1:9">
      <c r="B12" s="27"/>
      <c r="C12" s="59"/>
      <c r="D12" s="60"/>
      <c r="E12" s="60"/>
      <c r="F12" s="60"/>
      <c r="G12" s="60"/>
      <c r="H12" s="60"/>
      <c r="I12" s="51"/>
    </row>
    <row r="13" spans="1:9">
      <c r="B13" s="53"/>
      <c r="C13" s="54"/>
      <c r="D13" s="54"/>
      <c r="E13" s="54"/>
      <c r="F13" s="54"/>
      <c r="G13" s="54"/>
      <c r="H13" s="54"/>
      <c r="I13" s="54"/>
    </row>
    <row r="14" spans="1:9">
      <c r="B14" s="54"/>
      <c r="C14" s="55" t="e">
        <f>#REF!</f>
        <v>#REF!</v>
      </c>
      <c r="D14" s="54"/>
      <c r="E14" s="54"/>
      <c r="F14" s="54"/>
      <c r="G14" s="54"/>
      <c r="H14" s="54"/>
      <c r="I14" s="54"/>
    </row>
    <row r="15" spans="1:9">
      <c r="B15" s="54"/>
      <c r="C15" s="55" t="e">
        <f>#REF!</f>
        <v>#REF!</v>
      </c>
      <c r="D15" s="54"/>
      <c r="E15" s="54"/>
      <c r="F15" s="56" t="e">
        <f>#REF!</f>
        <v>#REF!</v>
      </c>
      <c r="G15" s="56"/>
      <c r="H15" s="56"/>
      <c r="I15" s="54"/>
    </row>
  </sheetData>
  <mergeCells count="10">
    <mergeCell ref="A8:B8"/>
    <mergeCell ref="A11:B11"/>
    <mergeCell ref="B1:H1"/>
    <mergeCell ref="B2:D2"/>
    <mergeCell ref="B3:H3"/>
    <mergeCell ref="F5:I5"/>
    <mergeCell ref="A6:B7"/>
    <mergeCell ref="C6:C7"/>
    <mergeCell ref="D6:H6"/>
    <mergeCell ref="I6:I7"/>
  </mergeCells>
  <phoneticPr fontId="66" type="noConversion"/>
  <printOptions horizontalCentered="1"/>
  <pageMargins left="0.11811023622047245" right="0.11811023622047245" top="0.55118110236220474" bottom="0.15748031496062992" header="0.31496062992125984" footer="0.31496062992125984"/>
  <pageSetup paperSize="9" scale="87"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Normal="100" zoomScaleSheetLayoutView="100" workbookViewId="0">
      <selection activeCell="D27" sqref="D27:K33"/>
    </sheetView>
  </sheetViews>
  <sheetFormatPr defaultRowHeight="12.75"/>
  <cols>
    <col min="1" max="1" width="4.85546875" style="79" customWidth="1"/>
    <col min="2" max="2" width="14.5703125" style="79" customWidth="1"/>
    <col min="3" max="3" width="54.140625" style="53" customWidth="1"/>
    <col min="4" max="6" width="10.7109375" style="53" customWidth="1"/>
    <col min="7" max="7" width="11.28515625" style="53" customWidth="1"/>
    <col min="8" max="13" width="10.7109375" style="53" customWidth="1"/>
    <col min="14" max="16384" width="9.140625" style="53"/>
  </cols>
  <sheetData>
    <row r="1" spans="1:13">
      <c r="A1" s="1105" t="e">
        <f>#REF!</f>
        <v>#REF!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</row>
    <row r="2" spans="1:13">
      <c r="A2" s="1110" t="s">
        <v>7</v>
      </c>
      <c r="B2" s="1110"/>
      <c r="C2" s="1110"/>
      <c r="D2" s="1110"/>
      <c r="E2" s="1110"/>
      <c r="F2" s="1110"/>
      <c r="G2" s="65" t="str">
        <f>'B-2.2.3'!B9</f>
        <v>B-2.2.3.1</v>
      </c>
      <c r="H2" s="65"/>
      <c r="I2" s="65"/>
      <c r="J2" s="65"/>
      <c r="K2" s="65"/>
      <c r="L2" s="65"/>
      <c r="M2" s="65"/>
    </row>
    <row r="3" spans="1:13">
      <c r="A3" s="1106" t="str">
        <f>'B-2.2.3'!C9</f>
        <v>ურდულები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</row>
    <row r="4" spans="1:13">
      <c r="A4" s="1107"/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</row>
    <row r="5" spans="1:13">
      <c r="A5" s="1081" t="s">
        <v>19</v>
      </c>
      <c r="B5" s="1081" t="s">
        <v>20</v>
      </c>
      <c r="C5" s="1109" t="s">
        <v>21</v>
      </c>
      <c r="D5" s="1109" t="s">
        <v>22</v>
      </c>
      <c r="E5" s="1109" t="s">
        <v>23</v>
      </c>
      <c r="F5" s="1109" t="s">
        <v>24</v>
      </c>
      <c r="G5" s="1108" t="s">
        <v>25</v>
      </c>
      <c r="H5" s="1108"/>
      <c r="I5" s="1108" t="s">
        <v>26</v>
      </c>
      <c r="J5" s="1108"/>
      <c r="K5" s="1109" t="s">
        <v>27</v>
      </c>
      <c r="L5" s="1102"/>
      <c r="M5" s="66" t="s">
        <v>5</v>
      </c>
    </row>
    <row r="6" spans="1:13">
      <c r="A6" s="1081"/>
      <c r="B6" s="1081"/>
      <c r="C6" s="1109"/>
      <c r="D6" s="1109"/>
      <c r="E6" s="1109"/>
      <c r="F6" s="1109"/>
      <c r="G6" s="361" t="s">
        <v>28</v>
      </c>
      <c r="H6" s="46" t="s">
        <v>9</v>
      </c>
      <c r="I6" s="361" t="s">
        <v>28</v>
      </c>
      <c r="J6" s="46" t="s">
        <v>9</v>
      </c>
      <c r="K6" s="361" t="s">
        <v>28</v>
      </c>
      <c r="L6" s="67" t="s">
        <v>9</v>
      </c>
      <c r="M6" s="68" t="s">
        <v>29</v>
      </c>
    </row>
    <row r="7" spans="1:13">
      <c r="A7" s="359">
        <v>1</v>
      </c>
      <c r="B7" s="359">
        <v>2</v>
      </c>
      <c r="C7" s="362">
        <v>3</v>
      </c>
      <c r="D7" s="362">
        <v>4</v>
      </c>
      <c r="E7" s="362">
        <v>5</v>
      </c>
      <c r="F7" s="362">
        <v>6</v>
      </c>
      <c r="G7" s="362">
        <v>7</v>
      </c>
      <c r="H7" s="362">
        <v>8</v>
      </c>
      <c r="I7" s="362">
        <v>9</v>
      </c>
      <c r="J7" s="362">
        <v>10</v>
      </c>
      <c r="K7" s="362">
        <v>11</v>
      </c>
      <c r="L7" s="362">
        <v>12</v>
      </c>
      <c r="M7" s="362">
        <v>13</v>
      </c>
    </row>
    <row r="8" spans="1:13">
      <c r="A8" s="106">
        <v>6</v>
      </c>
      <c r="B8" s="91" t="s">
        <v>127</v>
      </c>
      <c r="C8" s="72" t="s">
        <v>126</v>
      </c>
      <c r="D8" s="19" t="s">
        <v>98</v>
      </c>
      <c r="E8" s="19"/>
      <c r="F8" s="22">
        <v>16</v>
      </c>
      <c r="G8" s="23"/>
      <c r="H8" s="107"/>
      <c r="I8" s="107"/>
      <c r="J8" s="107"/>
      <c r="K8" s="107"/>
      <c r="L8" s="107"/>
      <c r="M8" s="107"/>
    </row>
    <row r="9" spans="1:13">
      <c r="A9" s="92"/>
      <c r="B9" s="108"/>
      <c r="C9" s="21" t="s">
        <v>124</v>
      </c>
      <c r="D9" s="20" t="s">
        <v>102</v>
      </c>
      <c r="E9" s="11">
        <v>1.7</v>
      </c>
      <c r="F9" s="109">
        <f>F8*E9</f>
        <v>27.2</v>
      </c>
      <c r="G9" s="110"/>
      <c r="H9" s="111"/>
      <c r="I9" s="109"/>
      <c r="J9" s="109"/>
      <c r="K9" s="109"/>
      <c r="L9" s="109"/>
      <c r="M9" s="109"/>
    </row>
    <row r="10" spans="1:13">
      <c r="A10" s="92"/>
      <c r="B10" s="112"/>
      <c r="C10" s="21" t="s">
        <v>125</v>
      </c>
      <c r="D10" s="20" t="s">
        <v>16</v>
      </c>
      <c r="E10" s="11">
        <v>0.06</v>
      </c>
      <c r="F10" s="109">
        <f>F8*E10</f>
        <v>0.96</v>
      </c>
      <c r="G10" s="109"/>
      <c r="H10" s="109"/>
      <c r="I10" s="109"/>
      <c r="J10" s="109"/>
      <c r="K10" s="109"/>
      <c r="L10" s="109"/>
      <c r="M10" s="109"/>
    </row>
    <row r="11" spans="1:13">
      <c r="A11" s="92"/>
      <c r="B11" s="112"/>
      <c r="C11" s="11" t="s">
        <v>88</v>
      </c>
      <c r="D11" s="20"/>
      <c r="E11" s="11"/>
      <c r="F11" s="109"/>
      <c r="G11" s="109"/>
      <c r="H11" s="109"/>
      <c r="I11" s="109"/>
      <c r="J11" s="109"/>
      <c r="K11" s="109"/>
      <c r="L11" s="109"/>
      <c r="M11" s="109"/>
    </row>
    <row r="12" spans="1:13">
      <c r="A12" s="92"/>
      <c r="B12" s="288" t="s">
        <v>811</v>
      </c>
      <c r="C12" s="21" t="s">
        <v>383</v>
      </c>
      <c r="D12" s="20" t="s">
        <v>98</v>
      </c>
      <c r="E12" s="11"/>
      <c r="F12" s="109">
        <f>F8</f>
        <v>16</v>
      </c>
      <c r="G12" s="109"/>
      <c r="H12" s="109"/>
      <c r="I12" s="109"/>
      <c r="J12" s="109"/>
      <c r="K12" s="109"/>
      <c r="L12" s="109"/>
      <c r="M12" s="109"/>
    </row>
    <row r="13" spans="1:13">
      <c r="A13" s="92"/>
      <c r="B13" s="112"/>
      <c r="C13" s="21" t="s">
        <v>89</v>
      </c>
      <c r="D13" s="20" t="s">
        <v>16</v>
      </c>
      <c r="E13" s="11">
        <v>0.88</v>
      </c>
      <c r="F13" s="109">
        <f>F8*E13</f>
        <v>14.08</v>
      </c>
      <c r="G13" s="109"/>
      <c r="H13" s="109"/>
      <c r="I13" s="109"/>
      <c r="J13" s="109"/>
      <c r="K13" s="109"/>
      <c r="L13" s="109"/>
      <c r="M13" s="109"/>
    </row>
    <row r="14" spans="1:13">
      <c r="A14" s="106">
        <v>6</v>
      </c>
      <c r="B14" s="91" t="s">
        <v>127</v>
      </c>
      <c r="C14" s="72" t="s">
        <v>847</v>
      </c>
      <c r="D14" s="19" t="s">
        <v>98</v>
      </c>
      <c r="E14" s="19"/>
      <c r="F14" s="22">
        <v>3</v>
      </c>
      <c r="G14" s="23"/>
      <c r="H14" s="107"/>
      <c r="I14" s="107"/>
      <c r="J14" s="107"/>
      <c r="K14" s="107"/>
      <c r="L14" s="107"/>
      <c r="M14" s="107"/>
    </row>
    <row r="15" spans="1:13">
      <c r="A15" s="92"/>
      <c r="B15" s="108"/>
      <c r="C15" s="21" t="s">
        <v>124</v>
      </c>
      <c r="D15" s="20" t="s">
        <v>102</v>
      </c>
      <c r="E15" s="11">
        <v>1.7</v>
      </c>
      <c r="F15" s="109">
        <f>F14*E15</f>
        <v>5.0999999999999996</v>
      </c>
      <c r="G15" s="110"/>
      <c r="H15" s="111"/>
      <c r="I15" s="109"/>
      <c r="J15" s="109"/>
      <c r="K15" s="109"/>
      <c r="L15" s="109"/>
      <c r="M15" s="109"/>
    </row>
    <row r="16" spans="1:13">
      <c r="A16" s="92"/>
      <c r="B16" s="112"/>
      <c r="C16" s="21" t="s">
        <v>125</v>
      </c>
      <c r="D16" s="20" t="s">
        <v>16</v>
      </c>
      <c r="E16" s="11">
        <v>0.06</v>
      </c>
      <c r="F16" s="109">
        <f>F14*E16</f>
        <v>0.18</v>
      </c>
      <c r="G16" s="109"/>
      <c r="H16" s="109"/>
      <c r="I16" s="109"/>
      <c r="J16" s="109"/>
      <c r="K16" s="109"/>
      <c r="L16" s="109"/>
      <c r="M16" s="109"/>
    </row>
    <row r="17" spans="1:13">
      <c r="A17" s="92"/>
      <c r="B17" s="112"/>
      <c r="C17" s="11" t="s">
        <v>88</v>
      </c>
      <c r="D17" s="20"/>
      <c r="E17" s="11"/>
      <c r="F17" s="109"/>
      <c r="G17" s="109"/>
      <c r="H17" s="109"/>
      <c r="I17" s="109"/>
      <c r="J17" s="109"/>
      <c r="K17" s="109"/>
      <c r="L17" s="109"/>
      <c r="M17" s="109"/>
    </row>
    <row r="18" spans="1:13">
      <c r="A18" s="92"/>
      <c r="B18" s="288" t="s">
        <v>811</v>
      </c>
      <c r="C18" s="21" t="s">
        <v>848</v>
      </c>
      <c r="D18" s="20" t="s">
        <v>98</v>
      </c>
      <c r="E18" s="11"/>
      <c r="F18" s="109">
        <f>F14</f>
        <v>3</v>
      </c>
      <c r="G18" s="109"/>
      <c r="H18" s="109"/>
      <c r="I18" s="109"/>
      <c r="J18" s="109"/>
      <c r="K18" s="109"/>
      <c r="L18" s="109"/>
      <c r="M18" s="109"/>
    </row>
    <row r="19" spans="1:13">
      <c r="A19" s="92"/>
      <c r="B19" s="112"/>
      <c r="C19" s="21" t="s">
        <v>89</v>
      </c>
      <c r="D19" s="20" t="s">
        <v>16</v>
      </c>
      <c r="E19" s="11">
        <v>0.88</v>
      </c>
      <c r="F19" s="109">
        <f>F14*E19</f>
        <v>2.64</v>
      </c>
      <c r="G19" s="109"/>
      <c r="H19" s="109"/>
      <c r="I19" s="109"/>
      <c r="J19" s="109"/>
      <c r="K19" s="109"/>
      <c r="L19" s="109"/>
      <c r="M19" s="109"/>
    </row>
    <row r="20" spans="1:13">
      <c r="A20" s="106">
        <v>6</v>
      </c>
      <c r="B20" s="91" t="s">
        <v>127</v>
      </c>
      <c r="C20" s="72" t="s">
        <v>849</v>
      </c>
      <c r="D20" s="19" t="s">
        <v>98</v>
      </c>
      <c r="E20" s="19"/>
      <c r="F20" s="22">
        <v>1</v>
      </c>
      <c r="G20" s="23"/>
      <c r="H20" s="107"/>
      <c r="I20" s="107"/>
      <c r="J20" s="107"/>
      <c r="K20" s="107"/>
      <c r="L20" s="107"/>
      <c r="M20" s="107"/>
    </row>
    <row r="21" spans="1:13">
      <c r="A21" s="92"/>
      <c r="B21" s="108"/>
      <c r="C21" s="21" t="s">
        <v>124</v>
      </c>
      <c r="D21" s="20" t="s">
        <v>102</v>
      </c>
      <c r="E21" s="11">
        <v>1.7</v>
      </c>
      <c r="F21" s="109">
        <f>F20*E21</f>
        <v>1.7</v>
      </c>
      <c r="G21" s="110"/>
      <c r="H21" s="111"/>
      <c r="I21" s="109"/>
      <c r="J21" s="109"/>
      <c r="K21" s="109"/>
      <c r="L21" s="109"/>
      <c r="M21" s="109"/>
    </row>
    <row r="22" spans="1:13">
      <c r="A22" s="92"/>
      <c r="B22" s="112"/>
      <c r="C22" s="21" t="s">
        <v>125</v>
      </c>
      <c r="D22" s="20" t="s">
        <v>16</v>
      </c>
      <c r="E22" s="11">
        <v>0.06</v>
      </c>
      <c r="F22" s="109">
        <f>F20*E22</f>
        <v>0.06</v>
      </c>
      <c r="G22" s="109"/>
      <c r="H22" s="109"/>
      <c r="I22" s="109"/>
      <c r="J22" s="109"/>
      <c r="K22" s="109"/>
      <c r="L22" s="109"/>
      <c r="M22" s="109"/>
    </row>
    <row r="23" spans="1:13">
      <c r="A23" s="92"/>
      <c r="B23" s="112"/>
      <c r="C23" s="11" t="s">
        <v>88</v>
      </c>
      <c r="D23" s="20"/>
      <c r="E23" s="11"/>
      <c r="F23" s="109"/>
      <c r="G23" s="109"/>
      <c r="H23" s="109"/>
      <c r="I23" s="109"/>
      <c r="J23" s="109"/>
      <c r="K23" s="109"/>
      <c r="L23" s="109"/>
      <c r="M23" s="109"/>
    </row>
    <row r="24" spans="1:13">
      <c r="A24" s="92"/>
      <c r="B24" s="288" t="s">
        <v>811</v>
      </c>
      <c r="C24" s="21" t="s">
        <v>850</v>
      </c>
      <c r="D24" s="20" t="s">
        <v>98</v>
      </c>
      <c r="E24" s="11"/>
      <c r="F24" s="109">
        <f>F20</f>
        <v>1</v>
      </c>
      <c r="G24" s="109"/>
      <c r="H24" s="109"/>
      <c r="I24" s="109"/>
      <c r="J24" s="109"/>
      <c r="K24" s="109"/>
      <c r="L24" s="109"/>
      <c r="M24" s="109"/>
    </row>
    <row r="25" spans="1:13">
      <c r="A25" s="92"/>
      <c r="B25" s="112"/>
      <c r="C25" s="21" t="s">
        <v>89</v>
      </c>
      <c r="D25" s="20" t="s">
        <v>16</v>
      </c>
      <c r="E25" s="11">
        <v>0.88</v>
      </c>
      <c r="F25" s="109">
        <f>F20*E25</f>
        <v>0.88</v>
      </c>
      <c r="G25" s="109"/>
      <c r="H25" s="109"/>
      <c r="I25" s="109"/>
      <c r="J25" s="109"/>
      <c r="K25" s="109"/>
      <c r="L25" s="109"/>
      <c r="M25" s="109"/>
    </row>
    <row r="26" spans="1:13">
      <c r="A26" s="81"/>
      <c r="B26" s="15"/>
      <c r="C26" s="75" t="s">
        <v>9</v>
      </c>
      <c r="D26" s="76"/>
      <c r="E26" s="77"/>
      <c r="F26" s="77"/>
      <c r="G26" s="78"/>
      <c r="H26" s="78"/>
      <c r="I26" s="78"/>
      <c r="J26" s="78"/>
      <c r="K26" s="78"/>
      <c r="L26" s="78"/>
      <c r="M26" s="78"/>
    </row>
    <row r="27" spans="1:13">
      <c r="A27" s="71"/>
      <c r="B27" s="14"/>
      <c r="C27" s="4" t="s">
        <v>49</v>
      </c>
      <c r="D27" s="82" t="s">
        <v>851</v>
      </c>
      <c r="E27" s="356"/>
      <c r="F27" s="356"/>
      <c r="G27" s="2"/>
      <c r="H27" s="2"/>
      <c r="I27" s="2"/>
      <c r="J27" s="2"/>
      <c r="K27" s="2"/>
      <c r="L27" s="2"/>
      <c r="M27" s="2"/>
    </row>
    <row r="28" spans="1:13">
      <c r="A28" s="71"/>
      <c r="B28" s="359"/>
      <c r="C28" s="355" t="s">
        <v>9</v>
      </c>
      <c r="D28" s="5"/>
      <c r="E28" s="362"/>
      <c r="F28" s="362"/>
      <c r="G28" s="34"/>
      <c r="H28" s="34"/>
      <c r="I28" s="34"/>
      <c r="J28" s="34"/>
      <c r="K28" s="34"/>
      <c r="L28" s="34"/>
      <c r="M28" s="34"/>
    </row>
    <row r="29" spans="1:13">
      <c r="A29" s="71"/>
      <c r="B29" s="359"/>
      <c r="C29" s="6" t="s">
        <v>50</v>
      </c>
      <c r="D29" s="83" t="s">
        <v>851</v>
      </c>
      <c r="E29" s="356"/>
      <c r="F29" s="356"/>
      <c r="G29" s="2"/>
      <c r="H29" s="2"/>
      <c r="I29" s="2"/>
      <c r="J29" s="2"/>
      <c r="K29" s="2"/>
      <c r="L29" s="2"/>
      <c r="M29" s="2"/>
    </row>
    <row r="30" spans="1:13">
      <c r="A30" s="71"/>
      <c r="B30" s="359"/>
      <c r="C30" s="355" t="s">
        <v>9</v>
      </c>
      <c r="D30" s="5"/>
      <c r="E30" s="362"/>
      <c r="F30" s="362"/>
      <c r="G30" s="34"/>
      <c r="H30" s="34"/>
      <c r="I30" s="34"/>
      <c r="J30" s="34"/>
      <c r="K30" s="34"/>
      <c r="L30" s="34"/>
      <c r="M30" s="34"/>
    </row>
    <row r="31" spans="1:13">
      <c r="A31" s="71"/>
      <c r="B31" s="359"/>
      <c r="C31" s="6" t="s">
        <v>51</v>
      </c>
      <c r="D31" s="82" t="s">
        <v>851</v>
      </c>
      <c r="E31" s="356"/>
      <c r="F31" s="356"/>
      <c r="G31" s="2"/>
      <c r="H31" s="2"/>
      <c r="I31" s="2"/>
      <c r="J31" s="2"/>
      <c r="K31" s="2"/>
      <c r="L31" s="2"/>
      <c r="M31" s="2"/>
    </row>
    <row r="32" spans="1:13">
      <c r="A32" s="71"/>
      <c r="B32" s="359"/>
      <c r="C32" s="355" t="s">
        <v>52</v>
      </c>
      <c r="D32" s="362"/>
      <c r="E32" s="362"/>
      <c r="F32" s="362"/>
      <c r="G32" s="34"/>
      <c r="H32" s="34"/>
      <c r="I32" s="34"/>
      <c r="J32" s="34"/>
      <c r="K32" s="34"/>
      <c r="L32" s="34"/>
      <c r="M32" s="34"/>
    </row>
  </sheetData>
  <sheetProtection password="CA9C" sheet="1" objects="1" scenarios="1"/>
  <protectedRanges>
    <protectedRange sqref="D27:K33" name="Range2"/>
    <protectedRange sqref="G8:M32" name="Range1"/>
  </protectedRanges>
  <mergeCells count="13">
    <mergeCell ref="A1:M1"/>
    <mergeCell ref="A2:F2"/>
    <mergeCell ref="A3:M3"/>
    <mergeCell ref="A4:M4"/>
    <mergeCell ref="G5:H5"/>
    <mergeCell ref="I5:J5"/>
    <mergeCell ref="K5:L5"/>
    <mergeCell ref="A5:A6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9"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view="pageBreakPreview" topLeftCell="A19" zoomScaleNormal="100" zoomScaleSheetLayoutView="100" workbookViewId="0">
      <selection activeCell="D40" sqref="D40:K45"/>
    </sheetView>
  </sheetViews>
  <sheetFormatPr defaultRowHeight="12.75"/>
  <cols>
    <col min="1" max="1" width="4.85546875" style="79" customWidth="1"/>
    <col min="2" max="2" width="10.42578125" style="79" customWidth="1"/>
    <col min="3" max="3" width="55.140625" style="53" customWidth="1"/>
    <col min="4" max="13" width="10.140625" style="53" customWidth="1"/>
    <col min="14" max="16384" width="9.140625" style="53"/>
  </cols>
  <sheetData>
    <row r="1" spans="1:13">
      <c r="A1" s="1105" t="e">
        <f>#REF!</f>
        <v>#REF!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</row>
    <row r="2" spans="1:13">
      <c r="A2" s="1110" t="s">
        <v>7</v>
      </c>
      <c r="B2" s="1110"/>
      <c r="C2" s="1110"/>
      <c r="D2" s="1110"/>
      <c r="E2" s="1110"/>
      <c r="F2" s="1110"/>
      <c r="G2" s="65" t="str">
        <f>'B-2.2.3'!B10</f>
        <v>B-2.2.3.2</v>
      </c>
      <c r="H2" s="65"/>
      <c r="I2" s="65"/>
      <c r="J2" s="65"/>
      <c r="K2" s="65"/>
      <c r="L2" s="65"/>
      <c r="M2" s="65"/>
    </row>
    <row r="3" spans="1:13">
      <c r="A3" s="1106" t="str">
        <f>'B-2.2.3'!C10</f>
        <v>წყალსადენის არმატურა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</row>
    <row r="4" spans="1:13">
      <c r="A4" s="1107"/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</row>
    <row r="5" spans="1:13">
      <c r="A5" s="1081" t="s">
        <v>19</v>
      </c>
      <c r="B5" s="1081" t="s">
        <v>20</v>
      </c>
      <c r="C5" s="1109" t="s">
        <v>21</v>
      </c>
      <c r="D5" s="1109" t="s">
        <v>22</v>
      </c>
      <c r="E5" s="1109" t="s">
        <v>23</v>
      </c>
      <c r="F5" s="1109" t="s">
        <v>24</v>
      </c>
      <c r="G5" s="1108" t="s">
        <v>25</v>
      </c>
      <c r="H5" s="1108"/>
      <c r="I5" s="1108" t="s">
        <v>26</v>
      </c>
      <c r="J5" s="1108"/>
      <c r="K5" s="1109" t="s">
        <v>27</v>
      </c>
      <c r="L5" s="1102"/>
      <c r="M5" s="66" t="s">
        <v>5</v>
      </c>
    </row>
    <row r="6" spans="1:13">
      <c r="A6" s="1081"/>
      <c r="B6" s="1081"/>
      <c r="C6" s="1109"/>
      <c r="D6" s="1109"/>
      <c r="E6" s="1109"/>
      <c r="F6" s="1109"/>
      <c r="G6" s="361" t="s">
        <v>28</v>
      </c>
      <c r="H6" s="46" t="s">
        <v>9</v>
      </c>
      <c r="I6" s="361" t="s">
        <v>28</v>
      </c>
      <c r="J6" s="46" t="s">
        <v>9</v>
      </c>
      <c r="K6" s="361" t="s">
        <v>28</v>
      </c>
      <c r="L6" s="67" t="s">
        <v>9</v>
      </c>
      <c r="M6" s="68" t="s">
        <v>29</v>
      </c>
    </row>
    <row r="7" spans="1:13">
      <c r="A7" s="359">
        <v>1</v>
      </c>
      <c r="B7" s="359">
        <v>2</v>
      </c>
      <c r="C7" s="362">
        <v>3</v>
      </c>
      <c r="D7" s="362">
        <v>4</v>
      </c>
      <c r="E7" s="362">
        <v>5</v>
      </c>
      <c r="F7" s="362">
        <v>6</v>
      </c>
      <c r="G7" s="362">
        <v>7</v>
      </c>
      <c r="H7" s="362">
        <v>8</v>
      </c>
      <c r="I7" s="362">
        <v>9</v>
      </c>
      <c r="J7" s="362">
        <v>10</v>
      </c>
      <c r="K7" s="362">
        <v>11</v>
      </c>
      <c r="L7" s="362">
        <v>12</v>
      </c>
      <c r="M7" s="362">
        <v>13</v>
      </c>
    </row>
    <row r="8" spans="1:13">
      <c r="A8" s="19">
        <v>2</v>
      </c>
      <c r="B8" s="91" t="s">
        <v>129</v>
      </c>
      <c r="C8" s="72" t="s">
        <v>388</v>
      </c>
      <c r="D8" s="84" t="s">
        <v>98</v>
      </c>
      <c r="E8" s="84"/>
      <c r="F8" s="113">
        <f>SUM(F12:F13)</f>
        <v>13</v>
      </c>
      <c r="G8" s="23"/>
      <c r="H8" s="23"/>
      <c r="I8" s="23"/>
      <c r="J8" s="23"/>
      <c r="K8" s="23"/>
      <c r="L8" s="23"/>
      <c r="M8" s="23"/>
    </row>
    <row r="9" spans="1:13">
      <c r="A9" s="19"/>
      <c r="B9" s="11" t="s">
        <v>130</v>
      </c>
      <c r="C9" s="21" t="s">
        <v>124</v>
      </c>
      <c r="D9" s="10" t="s">
        <v>13</v>
      </c>
      <c r="E9" s="10">
        <f>5.84/10</f>
        <v>0.58399999999999996</v>
      </c>
      <c r="F9" s="9">
        <f>F8*E9</f>
        <v>7.5919999999999996</v>
      </c>
      <c r="G9" s="9"/>
      <c r="H9" s="9"/>
      <c r="I9" s="9"/>
      <c r="J9" s="9"/>
      <c r="K9" s="9"/>
      <c r="L9" s="9"/>
      <c r="M9" s="9"/>
    </row>
    <row r="10" spans="1:13">
      <c r="A10" s="19"/>
      <c r="B10" s="11"/>
      <c r="C10" s="21" t="s">
        <v>125</v>
      </c>
      <c r="D10" s="11" t="s">
        <v>16</v>
      </c>
      <c r="E10" s="10">
        <f>2.27/10</f>
        <v>0.22700000000000001</v>
      </c>
      <c r="F10" s="12">
        <f>E10*F8</f>
        <v>2.9510000000000001</v>
      </c>
      <c r="G10" s="9"/>
      <c r="H10" s="9"/>
      <c r="I10" s="9"/>
      <c r="J10" s="9"/>
      <c r="K10" s="9"/>
      <c r="L10" s="9"/>
      <c r="M10" s="9"/>
    </row>
    <row r="11" spans="1:13">
      <c r="A11" s="106"/>
      <c r="B11" s="114"/>
      <c r="C11" s="11" t="s">
        <v>88</v>
      </c>
      <c r="D11" s="11"/>
      <c r="E11" s="11"/>
      <c r="F11" s="8"/>
      <c r="G11" s="8"/>
      <c r="H11" s="8"/>
      <c r="I11" s="9"/>
      <c r="J11" s="8"/>
      <c r="K11" s="8"/>
      <c r="L11" s="8"/>
      <c r="M11" s="9"/>
    </row>
    <row r="12" spans="1:13">
      <c r="A12" s="106"/>
      <c r="B12" s="115" t="s">
        <v>814</v>
      </c>
      <c r="C12" s="116" t="s">
        <v>812</v>
      </c>
      <c r="D12" s="11" t="s">
        <v>131</v>
      </c>
      <c r="E12" s="11"/>
      <c r="F12" s="622">
        <v>11</v>
      </c>
      <c r="G12" s="8"/>
      <c r="H12" s="8"/>
      <c r="I12" s="9"/>
      <c r="J12" s="8"/>
      <c r="K12" s="8"/>
      <c r="L12" s="8"/>
      <c r="M12" s="9"/>
    </row>
    <row r="13" spans="1:13">
      <c r="A13" s="106"/>
      <c r="B13" s="115" t="s">
        <v>815</v>
      </c>
      <c r="C13" s="116" t="s">
        <v>813</v>
      </c>
      <c r="D13" s="11" t="s">
        <v>131</v>
      </c>
      <c r="E13" s="11"/>
      <c r="F13" s="622">
        <v>2</v>
      </c>
      <c r="G13" s="8"/>
      <c r="H13" s="8"/>
      <c r="I13" s="9"/>
      <c r="J13" s="8"/>
      <c r="K13" s="8"/>
      <c r="L13" s="8"/>
      <c r="M13" s="9"/>
    </row>
    <row r="14" spans="1:13">
      <c r="A14" s="106"/>
      <c r="B14" s="115"/>
      <c r="C14" s="13" t="s">
        <v>45</v>
      </c>
      <c r="D14" s="11" t="s">
        <v>16</v>
      </c>
      <c r="E14" s="11">
        <f>0.24/10</f>
        <v>2.4E-2</v>
      </c>
      <c r="F14" s="94">
        <f>E14*F8</f>
        <v>0.312</v>
      </c>
      <c r="G14" s="8"/>
      <c r="H14" s="8"/>
      <c r="I14" s="9"/>
      <c r="J14" s="8"/>
      <c r="K14" s="8"/>
      <c r="L14" s="8"/>
      <c r="M14" s="9"/>
    </row>
    <row r="15" spans="1:13" ht="27.75">
      <c r="A15" s="19">
        <v>4</v>
      </c>
      <c r="B15" s="91" t="s">
        <v>128</v>
      </c>
      <c r="C15" s="72" t="s">
        <v>384</v>
      </c>
      <c r="D15" s="84" t="s">
        <v>98</v>
      </c>
      <c r="E15" s="84"/>
      <c r="F15" s="113">
        <f>SUM(F19:F19)</f>
        <v>21</v>
      </c>
      <c r="G15" s="23"/>
      <c r="H15" s="23"/>
      <c r="I15" s="23"/>
      <c r="J15" s="23"/>
      <c r="K15" s="23"/>
      <c r="L15" s="23"/>
      <c r="M15" s="23"/>
    </row>
    <row r="16" spans="1:13">
      <c r="A16" s="19"/>
      <c r="B16" s="11" t="s">
        <v>130</v>
      </c>
      <c r="C16" s="21" t="s">
        <v>124</v>
      </c>
      <c r="D16" s="10" t="s">
        <v>13</v>
      </c>
      <c r="E16" s="10">
        <f>3.89/10</f>
        <v>0.38900000000000001</v>
      </c>
      <c r="F16" s="9">
        <f>F15*E16</f>
        <v>8.1690000000000005</v>
      </c>
      <c r="G16" s="9"/>
      <c r="H16" s="9"/>
      <c r="I16" s="9"/>
      <c r="J16" s="9"/>
      <c r="K16" s="9"/>
      <c r="L16" s="9"/>
      <c r="M16" s="9"/>
    </row>
    <row r="17" spans="1:13">
      <c r="A17" s="19"/>
      <c r="B17" s="11"/>
      <c r="C17" s="21" t="s">
        <v>125</v>
      </c>
      <c r="D17" s="11" t="s">
        <v>16</v>
      </c>
      <c r="E17" s="10">
        <f>1.51/10</f>
        <v>0.151</v>
      </c>
      <c r="F17" s="12">
        <f>E17*F15</f>
        <v>3.1709999999999998</v>
      </c>
      <c r="G17" s="9"/>
      <c r="H17" s="9"/>
      <c r="I17" s="9"/>
      <c r="J17" s="9"/>
      <c r="K17" s="9"/>
      <c r="L17" s="9"/>
      <c r="M17" s="9"/>
    </row>
    <row r="18" spans="1:13">
      <c r="A18" s="106"/>
      <c r="B18" s="114"/>
      <c r="C18" s="11" t="s">
        <v>88</v>
      </c>
      <c r="D18" s="11"/>
      <c r="E18" s="11"/>
      <c r="F18" s="8"/>
      <c r="G18" s="8"/>
      <c r="H18" s="8"/>
      <c r="I18" s="9"/>
      <c r="J18" s="8"/>
      <c r="K18" s="8"/>
      <c r="L18" s="8"/>
      <c r="M18" s="9"/>
    </row>
    <row r="19" spans="1:13" ht="15">
      <c r="A19" s="106"/>
      <c r="B19" s="115" t="s">
        <v>816</v>
      </c>
      <c r="C19" s="116" t="s">
        <v>844</v>
      </c>
      <c r="D19" s="11" t="s">
        <v>131</v>
      </c>
      <c r="E19" s="11"/>
      <c r="F19" s="622">
        <v>21</v>
      </c>
      <c r="G19" s="8"/>
      <c r="H19" s="8"/>
      <c r="I19" s="9"/>
      <c r="J19" s="8"/>
      <c r="K19" s="8"/>
      <c r="L19" s="8"/>
      <c r="M19" s="9"/>
    </row>
    <row r="20" spans="1:13">
      <c r="A20" s="106"/>
      <c r="B20" s="114"/>
      <c r="C20" s="13" t="s">
        <v>45</v>
      </c>
      <c r="D20" s="11" t="s">
        <v>16</v>
      </c>
      <c r="E20" s="11">
        <f>0.24/10</f>
        <v>2.4E-2</v>
      </c>
      <c r="F20" s="94">
        <f>E20*F15</f>
        <v>0.504</v>
      </c>
      <c r="G20" s="8"/>
      <c r="H20" s="8"/>
      <c r="I20" s="9"/>
      <c r="J20" s="8"/>
      <c r="K20" s="8"/>
      <c r="L20" s="8"/>
      <c r="M20" s="9"/>
    </row>
    <row r="21" spans="1:13" ht="25.5">
      <c r="A21" s="19">
        <v>6</v>
      </c>
      <c r="B21" s="91" t="s">
        <v>128</v>
      </c>
      <c r="C21" s="72" t="s">
        <v>132</v>
      </c>
      <c r="D21" s="84" t="s">
        <v>98</v>
      </c>
      <c r="E21" s="84"/>
      <c r="F21" s="113">
        <f>SUM(F25:F25)</f>
        <v>77</v>
      </c>
      <c r="G21" s="23"/>
      <c r="H21" s="23"/>
      <c r="I21" s="23"/>
      <c r="J21" s="23"/>
      <c r="K21" s="23"/>
      <c r="L21" s="23"/>
      <c r="M21" s="23"/>
    </row>
    <row r="22" spans="1:13">
      <c r="A22" s="19"/>
      <c r="B22" s="11" t="s">
        <v>130</v>
      </c>
      <c r="C22" s="21" t="s">
        <v>124</v>
      </c>
      <c r="D22" s="10" t="s">
        <v>13</v>
      </c>
      <c r="E22" s="10">
        <f>3.89/10</f>
        <v>0.38900000000000001</v>
      </c>
      <c r="F22" s="9">
        <f>F21*E22</f>
        <v>29.952999999999999</v>
      </c>
      <c r="G22" s="9"/>
      <c r="H22" s="9"/>
      <c r="I22" s="9"/>
      <c r="J22" s="9"/>
      <c r="K22" s="9"/>
      <c r="L22" s="9"/>
      <c r="M22" s="9"/>
    </row>
    <row r="23" spans="1:13">
      <c r="A23" s="19"/>
      <c r="B23" s="11"/>
      <c r="C23" s="21" t="s">
        <v>125</v>
      </c>
      <c r="D23" s="11" t="s">
        <v>16</v>
      </c>
      <c r="E23" s="10">
        <f>1.51/10</f>
        <v>0.151</v>
      </c>
      <c r="F23" s="12">
        <f>E23*F21</f>
        <v>11.626999999999999</v>
      </c>
      <c r="G23" s="9"/>
      <c r="H23" s="9"/>
      <c r="I23" s="9"/>
      <c r="J23" s="9"/>
      <c r="K23" s="9"/>
      <c r="L23" s="9"/>
      <c r="M23" s="9"/>
    </row>
    <row r="24" spans="1:13">
      <c r="A24" s="106"/>
      <c r="B24" s="114"/>
      <c r="C24" s="11" t="s">
        <v>88</v>
      </c>
      <c r="D24" s="11"/>
      <c r="E24" s="11"/>
      <c r="F24" s="8"/>
      <c r="G24" s="8"/>
      <c r="H24" s="8"/>
      <c r="I24" s="9"/>
      <c r="J24" s="8"/>
      <c r="K24" s="8"/>
      <c r="L24" s="8"/>
      <c r="M24" s="9"/>
    </row>
    <row r="25" spans="1:13">
      <c r="A25" s="106"/>
      <c r="B25" s="115" t="s">
        <v>816</v>
      </c>
      <c r="C25" s="116" t="s">
        <v>385</v>
      </c>
      <c r="D25" s="11" t="s">
        <v>131</v>
      </c>
      <c r="E25" s="11"/>
      <c r="F25" s="622">
        <v>77</v>
      </c>
      <c r="G25" s="8"/>
      <c r="H25" s="8"/>
      <c r="I25" s="9"/>
      <c r="J25" s="8"/>
      <c r="K25" s="8"/>
      <c r="L25" s="8"/>
      <c r="M25" s="9"/>
    </row>
    <row r="26" spans="1:13">
      <c r="A26" s="106"/>
      <c r="B26" s="114"/>
      <c r="C26" s="13" t="s">
        <v>45</v>
      </c>
      <c r="D26" s="11" t="s">
        <v>16</v>
      </c>
      <c r="E26" s="11">
        <f>0.24/10</f>
        <v>2.4E-2</v>
      </c>
      <c r="F26" s="94">
        <f>E26*F21</f>
        <v>1.8480000000000001</v>
      </c>
      <c r="G26" s="8"/>
      <c r="H26" s="8"/>
      <c r="I26" s="9"/>
      <c r="J26" s="8"/>
      <c r="K26" s="8"/>
      <c r="L26" s="8"/>
      <c r="M26" s="9"/>
    </row>
    <row r="27" spans="1:13" ht="25.5">
      <c r="A27" s="19">
        <v>7</v>
      </c>
      <c r="B27" s="91" t="s">
        <v>128</v>
      </c>
      <c r="C27" s="72" t="s">
        <v>137</v>
      </c>
      <c r="D27" s="84" t="s">
        <v>98</v>
      </c>
      <c r="E27" s="84"/>
      <c r="F27" s="113">
        <f>SUM(F31:F31)</f>
        <v>77</v>
      </c>
      <c r="G27" s="23"/>
      <c r="H27" s="23"/>
      <c r="I27" s="23"/>
      <c r="J27" s="23"/>
      <c r="K27" s="23"/>
      <c r="L27" s="23"/>
      <c r="M27" s="23"/>
    </row>
    <row r="28" spans="1:13">
      <c r="A28" s="19"/>
      <c r="B28" s="11" t="s">
        <v>130</v>
      </c>
      <c r="C28" s="21" t="s">
        <v>124</v>
      </c>
      <c r="D28" s="10" t="s">
        <v>13</v>
      </c>
      <c r="E28" s="10">
        <f>3.89/10</f>
        <v>0.38900000000000001</v>
      </c>
      <c r="F28" s="9">
        <f>F27*E28</f>
        <v>29.952999999999999</v>
      </c>
      <c r="G28" s="9"/>
      <c r="H28" s="9"/>
      <c r="I28" s="9"/>
      <c r="J28" s="9"/>
      <c r="K28" s="9"/>
      <c r="L28" s="9"/>
      <c r="M28" s="9"/>
    </row>
    <row r="29" spans="1:13">
      <c r="A29" s="19"/>
      <c r="B29" s="11"/>
      <c r="C29" s="21" t="s">
        <v>125</v>
      </c>
      <c r="D29" s="11" t="s">
        <v>16</v>
      </c>
      <c r="E29" s="10">
        <f>1.51/10</f>
        <v>0.151</v>
      </c>
      <c r="F29" s="12">
        <f>E29*F27</f>
        <v>11.626999999999999</v>
      </c>
      <c r="G29" s="9"/>
      <c r="H29" s="9"/>
      <c r="I29" s="9"/>
      <c r="J29" s="9"/>
      <c r="K29" s="9"/>
      <c r="L29" s="9"/>
      <c r="M29" s="9"/>
    </row>
    <row r="30" spans="1:13">
      <c r="A30" s="106"/>
      <c r="B30" s="114"/>
      <c r="C30" s="11" t="s">
        <v>88</v>
      </c>
      <c r="D30" s="11"/>
      <c r="E30" s="11"/>
      <c r="F30" s="8"/>
      <c r="G30" s="8"/>
      <c r="H30" s="8"/>
      <c r="I30" s="9"/>
      <c r="J30" s="8"/>
      <c r="K30" s="8"/>
      <c r="L30" s="8"/>
      <c r="M30" s="9"/>
    </row>
    <row r="31" spans="1:13">
      <c r="A31" s="106"/>
      <c r="B31" s="115" t="s">
        <v>816</v>
      </c>
      <c r="C31" s="116" t="s">
        <v>386</v>
      </c>
      <c r="D31" s="11" t="s">
        <v>131</v>
      </c>
      <c r="E31" s="11"/>
      <c r="F31" s="622">
        <v>77</v>
      </c>
      <c r="G31" s="8"/>
      <c r="H31" s="8"/>
      <c r="I31" s="9"/>
      <c r="J31" s="8"/>
      <c r="K31" s="8"/>
      <c r="L31" s="8"/>
      <c r="M31" s="9"/>
    </row>
    <row r="32" spans="1:13">
      <c r="A32" s="106"/>
      <c r="B32" s="114"/>
      <c r="C32" s="13" t="s">
        <v>45</v>
      </c>
      <c r="D32" s="11" t="s">
        <v>16</v>
      </c>
      <c r="E32" s="11">
        <f>0.24/10</f>
        <v>2.4E-2</v>
      </c>
      <c r="F32" s="94">
        <f>E32*F27</f>
        <v>1.8480000000000001</v>
      </c>
      <c r="G32" s="8"/>
      <c r="H32" s="8"/>
      <c r="I32" s="9"/>
      <c r="J32" s="8"/>
      <c r="K32" s="8"/>
      <c r="L32" s="8"/>
      <c r="M32" s="9"/>
    </row>
    <row r="33" spans="1:13" ht="25.5">
      <c r="A33" s="19">
        <v>8</v>
      </c>
      <c r="B33" s="91" t="s">
        <v>134</v>
      </c>
      <c r="C33" s="72" t="s">
        <v>133</v>
      </c>
      <c r="D33" s="84" t="s">
        <v>98</v>
      </c>
      <c r="E33" s="84"/>
      <c r="F33" s="113">
        <f>SUM(F37:F37)</f>
        <v>105</v>
      </c>
      <c r="G33" s="23"/>
      <c r="H33" s="23"/>
      <c r="I33" s="23"/>
      <c r="J33" s="23"/>
      <c r="K33" s="23"/>
      <c r="L33" s="23"/>
      <c r="M33" s="23"/>
    </row>
    <row r="34" spans="1:13">
      <c r="A34" s="19"/>
      <c r="B34" s="11" t="s">
        <v>130</v>
      </c>
      <c r="C34" s="21" t="s">
        <v>124</v>
      </c>
      <c r="D34" s="10" t="s">
        <v>13</v>
      </c>
      <c r="E34" s="10">
        <v>0.71</v>
      </c>
      <c r="F34" s="9">
        <f>F33*E34</f>
        <v>74.55</v>
      </c>
      <c r="G34" s="9"/>
      <c r="H34" s="9"/>
      <c r="I34" s="9"/>
      <c r="J34" s="9"/>
      <c r="K34" s="9"/>
      <c r="L34" s="9"/>
      <c r="M34" s="9"/>
    </row>
    <row r="35" spans="1:13">
      <c r="A35" s="19"/>
      <c r="B35" s="11"/>
      <c r="C35" s="21" t="s">
        <v>125</v>
      </c>
      <c r="D35" s="11" t="s">
        <v>16</v>
      </c>
      <c r="E35" s="10">
        <v>0.44</v>
      </c>
      <c r="F35" s="12">
        <f>E35*F33</f>
        <v>46.2</v>
      </c>
      <c r="G35" s="9"/>
      <c r="H35" s="9"/>
      <c r="I35" s="9"/>
      <c r="J35" s="9"/>
      <c r="K35" s="9"/>
      <c r="L35" s="9"/>
      <c r="M35" s="9"/>
    </row>
    <row r="36" spans="1:13">
      <c r="A36" s="106"/>
      <c r="B36" s="114"/>
      <c r="C36" s="11" t="s">
        <v>88</v>
      </c>
      <c r="D36" s="11"/>
      <c r="E36" s="11"/>
      <c r="F36" s="8"/>
      <c r="G36" s="8"/>
      <c r="H36" s="8"/>
      <c r="I36" s="9"/>
      <c r="J36" s="8"/>
      <c r="K36" s="8"/>
      <c r="L36" s="8"/>
      <c r="M36" s="9"/>
    </row>
    <row r="37" spans="1:13">
      <c r="A37" s="106"/>
      <c r="B37" s="115" t="s">
        <v>816</v>
      </c>
      <c r="C37" s="116" t="s">
        <v>387</v>
      </c>
      <c r="D37" s="11" t="s">
        <v>131</v>
      </c>
      <c r="E37" s="11"/>
      <c r="F37" s="622">
        <f>77+28</f>
        <v>105</v>
      </c>
      <c r="G37" s="8"/>
      <c r="H37" s="8"/>
      <c r="I37" s="9"/>
      <c r="J37" s="8"/>
      <c r="K37" s="8"/>
      <c r="L37" s="8"/>
      <c r="M37" s="9"/>
    </row>
    <row r="38" spans="1:13">
      <c r="A38" s="106"/>
      <c r="B38" s="114"/>
      <c r="C38" s="13" t="s">
        <v>45</v>
      </c>
      <c r="D38" s="11" t="s">
        <v>16</v>
      </c>
      <c r="E38" s="11">
        <v>0.05</v>
      </c>
      <c r="F38" s="94">
        <f>E38*F33</f>
        <v>5.25</v>
      </c>
      <c r="G38" s="8"/>
      <c r="H38" s="8"/>
      <c r="I38" s="9"/>
      <c r="J38" s="8"/>
      <c r="K38" s="8"/>
      <c r="L38" s="8"/>
      <c r="M38" s="9"/>
    </row>
    <row r="39" spans="1:13">
      <c r="A39" s="81"/>
      <c r="B39" s="15"/>
      <c r="C39" s="75" t="s">
        <v>9</v>
      </c>
      <c r="D39" s="76"/>
      <c r="E39" s="77"/>
      <c r="F39" s="77"/>
      <c r="G39" s="78"/>
      <c r="H39" s="78"/>
      <c r="I39" s="78"/>
      <c r="J39" s="78"/>
      <c r="K39" s="78"/>
      <c r="L39" s="78"/>
      <c r="M39" s="78"/>
    </row>
    <row r="40" spans="1:13">
      <c r="A40" s="71"/>
      <c r="B40" s="14"/>
      <c r="C40" s="4" t="s">
        <v>49</v>
      </c>
      <c r="D40" s="82" t="s">
        <v>851</v>
      </c>
      <c r="E40" s="356"/>
      <c r="F40" s="356"/>
      <c r="G40" s="2"/>
      <c r="H40" s="2"/>
      <c r="I40" s="2"/>
      <c r="J40" s="2"/>
      <c r="K40" s="2"/>
      <c r="L40" s="2"/>
      <c r="M40" s="2"/>
    </row>
    <row r="41" spans="1:13">
      <c r="A41" s="71"/>
      <c r="B41" s="359"/>
      <c r="C41" s="355" t="s">
        <v>9</v>
      </c>
      <c r="D41" s="5"/>
      <c r="E41" s="362"/>
      <c r="F41" s="362"/>
      <c r="G41" s="34"/>
      <c r="H41" s="34"/>
      <c r="I41" s="34"/>
      <c r="J41" s="34"/>
      <c r="K41" s="34"/>
      <c r="L41" s="34"/>
      <c r="M41" s="34"/>
    </row>
    <row r="42" spans="1:13">
      <c r="A42" s="71"/>
      <c r="B42" s="359"/>
      <c r="C42" s="6" t="s">
        <v>50</v>
      </c>
      <c r="D42" s="83" t="s">
        <v>851</v>
      </c>
      <c r="E42" s="356"/>
      <c r="F42" s="356"/>
      <c r="G42" s="2"/>
      <c r="H42" s="2"/>
      <c r="I42" s="2"/>
      <c r="J42" s="2"/>
      <c r="K42" s="2"/>
      <c r="L42" s="2"/>
      <c r="M42" s="2"/>
    </row>
    <row r="43" spans="1:13">
      <c r="A43" s="71"/>
      <c r="B43" s="359"/>
      <c r="C43" s="355" t="s">
        <v>9</v>
      </c>
      <c r="D43" s="5"/>
      <c r="E43" s="362"/>
      <c r="F43" s="362"/>
      <c r="G43" s="34"/>
      <c r="H43" s="34"/>
      <c r="I43" s="34"/>
      <c r="J43" s="34"/>
      <c r="K43" s="34"/>
      <c r="L43" s="34"/>
      <c r="M43" s="34"/>
    </row>
    <row r="44" spans="1:13">
      <c r="A44" s="71"/>
      <c r="B44" s="359"/>
      <c r="C44" s="6" t="s">
        <v>51</v>
      </c>
      <c r="D44" s="82" t="s">
        <v>851</v>
      </c>
      <c r="E44" s="356"/>
      <c r="F44" s="356"/>
      <c r="G44" s="2"/>
      <c r="H44" s="2"/>
      <c r="I44" s="2"/>
      <c r="J44" s="2"/>
      <c r="K44" s="2"/>
      <c r="L44" s="2"/>
      <c r="M44" s="2"/>
    </row>
    <row r="45" spans="1:13">
      <c r="A45" s="71"/>
      <c r="B45" s="359"/>
      <c r="C45" s="355" t="s">
        <v>52</v>
      </c>
      <c r="D45" s="362"/>
      <c r="E45" s="362"/>
      <c r="F45" s="362"/>
      <c r="G45" s="34"/>
      <c r="H45" s="34"/>
      <c r="I45" s="34"/>
      <c r="J45" s="34"/>
      <c r="K45" s="34"/>
      <c r="L45" s="34"/>
      <c r="M45" s="34"/>
    </row>
  </sheetData>
  <sheetProtection password="CA9C" sheet="1" objects="1" scenarios="1"/>
  <protectedRanges>
    <protectedRange sqref="D40:K45" name="Range2"/>
    <protectedRange sqref="G8:M46" name="Range1"/>
  </protectedRanges>
  <autoFilter ref="A7:M45"/>
  <mergeCells count="13">
    <mergeCell ref="A1:M1"/>
    <mergeCell ref="A2:F2"/>
    <mergeCell ref="A3:M3"/>
    <mergeCell ref="A4:M4"/>
    <mergeCell ref="G5:H5"/>
    <mergeCell ref="I5:J5"/>
    <mergeCell ref="K5:L5"/>
    <mergeCell ref="A5:A6"/>
    <mergeCell ref="B5:B6"/>
    <mergeCell ref="C5:C6"/>
    <mergeCell ref="D5:D6"/>
    <mergeCell ref="E5:E6"/>
    <mergeCell ref="F5:F6"/>
  </mergeCells>
  <phoneticPr fontId="66" type="noConversion"/>
  <printOptions horizontalCentered="1"/>
  <pageMargins left="0.19685039370078741" right="0.19685039370078741" top="0.59055118110236227" bottom="0.19685039370078741" header="0.31496062992125984" footer="0.31496062992125984"/>
  <pageSetup paperSize="9" scale="77"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85" zoomScaleSheetLayoutView="100" workbookViewId="0">
      <selection activeCell="T65" sqref="T65"/>
    </sheetView>
  </sheetViews>
  <sheetFormatPr defaultRowHeight="15.75"/>
  <cols>
    <col min="1" max="1" width="6.85546875" style="164" customWidth="1"/>
    <col min="2" max="2" width="11.28515625" style="164" customWidth="1"/>
    <col min="3" max="3" width="89.7109375" style="164" customWidth="1"/>
    <col min="4" max="4" width="14.28515625" style="206" customWidth="1"/>
    <col min="5" max="5" width="12.42578125" style="206" customWidth="1"/>
    <col min="6" max="6" width="16.42578125" style="207" customWidth="1"/>
    <col min="7" max="7" width="13.42578125" style="194" customWidth="1"/>
    <col min="8" max="8" width="14.85546875" style="164" customWidth="1"/>
    <col min="9" max="9" width="11.140625" style="164" customWidth="1"/>
    <col min="10" max="254" width="9.140625" style="164"/>
    <col min="255" max="255" width="3.42578125" style="164" customWidth="1"/>
    <col min="256" max="256" width="7.7109375" style="164" customWidth="1"/>
    <col min="257" max="257" width="52.28515625" style="164" customWidth="1"/>
    <col min="258" max="258" width="14.28515625" style="164" customWidth="1"/>
    <col min="259" max="259" width="12.42578125" style="164" customWidth="1"/>
    <col min="260" max="260" width="16.42578125" style="164" customWidth="1"/>
    <col min="261" max="261" width="13.42578125" style="164" customWidth="1"/>
    <col min="262" max="262" width="14.85546875" style="164" customWidth="1"/>
    <col min="263" max="263" width="11.140625" style="164" customWidth="1"/>
    <col min="264" max="264" width="13.42578125" style="164" bestFit="1" customWidth="1"/>
    <col min="265" max="265" width="10.28515625" style="164" bestFit="1" customWidth="1"/>
    <col min="266" max="510" width="9.140625" style="164"/>
    <col min="511" max="511" width="3.42578125" style="164" customWidth="1"/>
    <col min="512" max="512" width="7.7109375" style="164" customWidth="1"/>
    <col min="513" max="513" width="52.28515625" style="164" customWidth="1"/>
    <col min="514" max="514" width="14.28515625" style="164" customWidth="1"/>
    <col min="515" max="515" width="12.42578125" style="164" customWidth="1"/>
    <col min="516" max="516" width="16.42578125" style="164" customWidth="1"/>
    <col min="517" max="517" width="13.42578125" style="164" customWidth="1"/>
    <col min="518" max="518" width="14.85546875" style="164" customWidth="1"/>
    <col min="519" max="519" width="11.140625" style="164" customWidth="1"/>
    <col min="520" max="520" width="13.42578125" style="164" bestFit="1" customWidth="1"/>
    <col min="521" max="521" width="10.28515625" style="164" bestFit="1" customWidth="1"/>
    <col min="522" max="766" width="9.140625" style="164"/>
    <col min="767" max="767" width="3.42578125" style="164" customWidth="1"/>
    <col min="768" max="768" width="7.7109375" style="164" customWidth="1"/>
    <col min="769" max="769" width="52.28515625" style="164" customWidth="1"/>
    <col min="770" max="770" width="14.28515625" style="164" customWidth="1"/>
    <col min="771" max="771" width="12.42578125" style="164" customWidth="1"/>
    <col min="772" max="772" width="16.42578125" style="164" customWidth="1"/>
    <col min="773" max="773" width="13.42578125" style="164" customWidth="1"/>
    <col min="774" max="774" width="14.85546875" style="164" customWidth="1"/>
    <col min="775" max="775" width="11.140625" style="164" customWidth="1"/>
    <col min="776" max="776" width="13.42578125" style="164" bestFit="1" customWidth="1"/>
    <col min="777" max="777" width="10.28515625" style="164" bestFit="1" customWidth="1"/>
    <col min="778" max="1022" width="9.140625" style="164"/>
    <col min="1023" max="1023" width="3.42578125" style="164" customWidth="1"/>
    <col min="1024" max="1024" width="7.7109375" style="164" customWidth="1"/>
    <col min="1025" max="1025" width="52.28515625" style="164" customWidth="1"/>
    <col min="1026" max="1026" width="14.28515625" style="164" customWidth="1"/>
    <col min="1027" max="1027" width="12.42578125" style="164" customWidth="1"/>
    <col min="1028" max="1028" width="16.42578125" style="164" customWidth="1"/>
    <col min="1029" max="1029" width="13.42578125" style="164" customWidth="1"/>
    <col min="1030" max="1030" width="14.85546875" style="164" customWidth="1"/>
    <col min="1031" max="1031" width="11.140625" style="164" customWidth="1"/>
    <col min="1032" max="1032" width="13.42578125" style="164" bestFit="1" customWidth="1"/>
    <col min="1033" max="1033" width="10.28515625" style="164" bestFit="1" customWidth="1"/>
    <col min="1034" max="1278" width="9.140625" style="164"/>
    <col min="1279" max="1279" width="3.42578125" style="164" customWidth="1"/>
    <col min="1280" max="1280" width="7.7109375" style="164" customWidth="1"/>
    <col min="1281" max="1281" width="52.28515625" style="164" customWidth="1"/>
    <col min="1282" max="1282" width="14.28515625" style="164" customWidth="1"/>
    <col min="1283" max="1283" width="12.42578125" style="164" customWidth="1"/>
    <col min="1284" max="1284" width="16.42578125" style="164" customWidth="1"/>
    <col min="1285" max="1285" width="13.42578125" style="164" customWidth="1"/>
    <col min="1286" max="1286" width="14.85546875" style="164" customWidth="1"/>
    <col min="1287" max="1287" width="11.140625" style="164" customWidth="1"/>
    <col min="1288" max="1288" width="13.42578125" style="164" bestFit="1" customWidth="1"/>
    <col min="1289" max="1289" width="10.28515625" style="164" bestFit="1" customWidth="1"/>
    <col min="1290" max="1534" width="9.140625" style="164"/>
    <col min="1535" max="1535" width="3.42578125" style="164" customWidth="1"/>
    <col min="1536" max="1536" width="7.7109375" style="164" customWidth="1"/>
    <col min="1537" max="1537" width="52.28515625" style="164" customWidth="1"/>
    <col min="1538" max="1538" width="14.28515625" style="164" customWidth="1"/>
    <col min="1539" max="1539" width="12.42578125" style="164" customWidth="1"/>
    <col min="1540" max="1540" width="16.42578125" style="164" customWidth="1"/>
    <col min="1541" max="1541" width="13.42578125" style="164" customWidth="1"/>
    <col min="1542" max="1542" width="14.85546875" style="164" customWidth="1"/>
    <col min="1543" max="1543" width="11.140625" style="164" customWidth="1"/>
    <col min="1544" max="1544" width="13.42578125" style="164" bestFit="1" customWidth="1"/>
    <col min="1545" max="1545" width="10.28515625" style="164" bestFit="1" customWidth="1"/>
    <col min="1546" max="1790" width="9.140625" style="164"/>
    <col min="1791" max="1791" width="3.42578125" style="164" customWidth="1"/>
    <col min="1792" max="1792" width="7.7109375" style="164" customWidth="1"/>
    <col min="1793" max="1793" width="52.28515625" style="164" customWidth="1"/>
    <col min="1794" max="1794" width="14.28515625" style="164" customWidth="1"/>
    <col min="1795" max="1795" width="12.42578125" style="164" customWidth="1"/>
    <col min="1796" max="1796" width="16.42578125" style="164" customWidth="1"/>
    <col min="1797" max="1797" width="13.42578125" style="164" customWidth="1"/>
    <col min="1798" max="1798" width="14.85546875" style="164" customWidth="1"/>
    <col min="1799" max="1799" width="11.140625" style="164" customWidth="1"/>
    <col min="1800" max="1800" width="13.42578125" style="164" bestFit="1" customWidth="1"/>
    <col min="1801" max="1801" width="10.28515625" style="164" bestFit="1" customWidth="1"/>
    <col min="1802" max="2046" width="9.140625" style="164"/>
    <col min="2047" max="2047" width="3.42578125" style="164" customWidth="1"/>
    <col min="2048" max="2048" width="7.7109375" style="164" customWidth="1"/>
    <col min="2049" max="2049" width="52.28515625" style="164" customWidth="1"/>
    <col min="2050" max="2050" width="14.28515625" style="164" customWidth="1"/>
    <col min="2051" max="2051" width="12.42578125" style="164" customWidth="1"/>
    <col min="2052" max="2052" width="16.42578125" style="164" customWidth="1"/>
    <col min="2053" max="2053" width="13.42578125" style="164" customWidth="1"/>
    <col min="2054" max="2054" width="14.85546875" style="164" customWidth="1"/>
    <col min="2055" max="2055" width="11.140625" style="164" customWidth="1"/>
    <col min="2056" max="2056" width="13.42578125" style="164" bestFit="1" customWidth="1"/>
    <col min="2057" max="2057" width="10.28515625" style="164" bestFit="1" customWidth="1"/>
    <col min="2058" max="2302" width="9.140625" style="164"/>
    <col min="2303" max="2303" width="3.42578125" style="164" customWidth="1"/>
    <col min="2304" max="2304" width="7.7109375" style="164" customWidth="1"/>
    <col min="2305" max="2305" width="52.28515625" style="164" customWidth="1"/>
    <col min="2306" max="2306" width="14.28515625" style="164" customWidth="1"/>
    <col min="2307" max="2307" width="12.42578125" style="164" customWidth="1"/>
    <col min="2308" max="2308" width="16.42578125" style="164" customWidth="1"/>
    <col min="2309" max="2309" width="13.42578125" style="164" customWidth="1"/>
    <col min="2310" max="2310" width="14.85546875" style="164" customWidth="1"/>
    <col min="2311" max="2311" width="11.140625" style="164" customWidth="1"/>
    <col min="2312" max="2312" width="13.42578125" style="164" bestFit="1" customWidth="1"/>
    <col min="2313" max="2313" width="10.28515625" style="164" bestFit="1" customWidth="1"/>
    <col min="2314" max="2558" width="9.140625" style="164"/>
    <col min="2559" max="2559" width="3.42578125" style="164" customWidth="1"/>
    <col min="2560" max="2560" width="7.7109375" style="164" customWidth="1"/>
    <col min="2561" max="2561" width="52.28515625" style="164" customWidth="1"/>
    <col min="2562" max="2562" width="14.28515625" style="164" customWidth="1"/>
    <col min="2563" max="2563" width="12.42578125" style="164" customWidth="1"/>
    <col min="2564" max="2564" width="16.42578125" style="164" customWidth="1"/>
    <col min="2565" max="2565" width="13.42578125" style="164" customWidth="1"/>
    <col min="2566" max="2566" width="14.85546875" style="164" customWidth="1"/>
    <col min="2567" max="2567" width="11.140625" style="164" customWidth="1"/>
    <col min="2568" max="2568" width="13.42578125" style="164" bestFit="1" customWidth="1"/>
    <col min="2569" max="2569" width="10.28515625" style="164" bestFit="1" customWidth="1"/>
    <col min="2570" max="2814" width="9.140625" style="164"/>
    <col min="2815" max="2815" width="3.42578125" style="164" customWidth="1"/>
    <col min="2816" max="2816" width="7.7109375" style="164" customWidth="1"/>
    <col min="2817" max="2817" width="52.28515625" style="164" customWidth="1"/>
    <col min="2818" max="2818" width="14.28515625" style="164" customWidth="1"/>
    <col min="2819" max="2819" width="12.42578125" style="164" customWidth="1"/>
    <col min="2820" max="2820" width="16.42578125" style="164" customWidth="1"/>
    <col min="2821" max="2821" width="13.42578125" style="164" customWidth="1"/>
    <col min="2822" max="2822" width="14.85546875" style="164" customWidth="1"/>
    <col min="2823" max="2823" width="11.140625" style="164" customWidth="1"/>
    <col min="2824" max="2824" width="13.42578125" style="164" bestFit="1" customWidth="1"/>
    <col min="2825" max="2825" width="10.28515625" style="164" bestFit="1" customWidth="1"/>
    <col min="2826" max="3070" width="9.140625" style="164"/>
    <col min="3071" max="3071" width="3.42578125" style="164" customWidth="1"/>
    <col min="3072" max="3072" width="7.7109375" style="164" customWidth="1"/>
    <col min="3073" max="3073" width="52.28515625" style="164" customWidth="1"/>
    <col min="3074" max="3074" width="14.28515625" style="164" customWidth="1"/>
    <col min="3075" max="3075" width="12.42578125" style="164" customWidth="1"/>
    <col min="3076" max="3076" width="16.42578125" style="164" customWidth="1"/>
    <col min="3077" max="3077" width="13.42578125" style="164" customWidth="1"/>
    <col min="3078" max="3078" width="14.85546875" style="164" customWidth="1"/>
    <col min="3079" max="3079" width="11.140625" style="164" customWidth="1"/>
    <col min="3080" max="3080" width="13.42578125" style="164" bestFit="1" customWidth="1"/>
    <col min="3081" max="3081" width="10.28515625" style="164" bestFit="1" customWidth="1"/>
    <col min="3082" max="3326" width="9.140625" style="164"/>
    <col min="3327" max="3327" width="3.42578125" style="164" customWidth="1"/>
    <col min="3328" max="3328" width="7.7109375" style="164" customWidth="1"/>
    <col min="3329" max="3329" width="52.28515625" style="164" customWidth="1"/>
    <col min="3330" max="3330" width="14.28515625" style="164" customWidth="1"/>
    <col min="3331" max="3331" width="12.42578125" style="164" customWidth="1"/>
    <col min="3332" max="3332" width="16.42578125" style="164" customWidth="1"/>
    <col min="3333" max="3333" width="13.42578125" style="164" customWidth="1"/>
    <col min="3334" max="3334" width="14.85546875" style="164" customWidth="1"/>
    <col min="3335" max="3335" width="11.140625" style="164" customWidth="1"/>
    <col min="3336" max="3336" width="13.42578125" style="164" bestFit="1" customWidth="1"/>
    <col min="3337" max="3337" width="10.28515625" style="164" bestFit="1" customWidth="1"/>
    <col min="3338" max="3582" width="9.140625" style="164"/>
    <col min="3583" max="3583" width="3.42578125" style="164" customWidth="1"/>
    <col min="3584" max="3584" width="7.7109375" style="164" customWidth="1"/>
    <col min="3585" max="3585" width="52.28515625" style="164" customWidth="1"/>
    <col min="3586" max="3586" width="14.28515625" style="164" customWidth="1"/>
    <col min="3587" max="3587" width="12.42578125" style="164" customWidth="1"/>
    <col min="3588" max="3588" width="16.42578125" style="164" customWidth="1"/>
    <col min="3589" max="3589" width="13.42578125" style="164" customWidth="1"/>
    <col min="3590" max="3590" width="14.85546875" style="164" customWidth="1"/>
    <col min="3591" max="3591" width="11.140625" style="164" customWidth="1"/>
    <col min="3592" max="3592" width="13.42578125" style="164" bestFit="1" customWidth="1"/>
    <col min="3593" max="3593" width="10.28515625" style="164" bestFit="1" customWidth="1"/>
    <col min="3594" max="3838" width="9.140625" style="164"/>
    <col min="3839" max="3839" width="3.42578125" style="164" customWidth="1"/>
    <col min="3840" max="3840" width="7.7109375" style="164" customWidth="1"/>
    <col min="3841" max="3841" width="52.28515625" style="164" customWidth="1"/>
    <col min="3842" max="3842" width="14.28515625" style="164" customWidth="1"/>
    <col min="3843" max="3843" width="12.42578125" style="164" customWidth="1"/>
    <col min="3844" max="3844" width="16.42578125" style="164" customWidth="1"/>
    <col min="3845" max="3845" width="13.42578125" style="164" customWidth="1"/>
    <col min="3846" max="3846" width="14.85546875" style="164" customWidth="1"/>
    <col min="3847" max="3847" width="11.140625" style="164" customWidth="1"/>
    <col min="3848" max="3848" width="13.42578125" style="164" bestFit="1" customWidth="1"/>
    <col min="3849" max="3849" width="10.28515625" style="164" bestFit="1" customWidth="1"/>
    <col min="3850" max="4094" width="9.140625" style="164"/>
    <col min="4095" max="4095" width="3.42578125" style="164" customWidth="1"/>
    <col min="4096" max="4096" width="7.7109375" style="164" customWidth="1"/>
    <col min="4097" max="4097" width="52.28515625" style="164" customWidth="1"/>
    <col min="4098" max="4098" width="14.28515625" style="164" customWidth="1"/>
    <col min="4099" max="4099" width="12.42578125" style="164" customWidth="1"/>
    <col min="4100" max="4100" width="16.42578125" style="164" customWidth="1"/>
    <col min="4101" max="4101" width="13.42578125" style="164" customWidth="1"/>
    <col min="4102" max="4102" width="14.85546875" style="164" customWidth="1"/>
    <col min="4103" max="4103" width="11.140625" style="164" customWidth="1"/>
    <col min="4104" max="4104" width="13.42578125" style="164" bestFit="1" customWidth="1"/>
    <col min="4105" max="4105" width="10.28515625" style="164" bestFit="1" customWidth="1"/>
    <col min="4106" max="4350" width="9.140625" style="164"/>
    <col min="4351" max="4351" width="3.42578125" style="164" customWidth="1"/>
    <col min="4352" max="4352" width="7.7109375" style="164" customWidth="1"/>
    <col min="4353" max="4353" width="52.28515625" style="164" customWidth="1"/>
    <col min="4354" max="4354" width="14.28515625" style="164" customWidth="1"/>
    <col min="4355" max="4355" width="12.42578125" style="164" customWidth="1"/>
    <col min="4356" max="4356" width="16.42578125" style="164" customWidth="1"/>
    <col min="4357" max="4357" width="13.42578125" style="164" customWidth="1"/>
    <col min="4358" max="4358" width="14.85546875" style="164" customWidth="1"/>
    <col min="4359" max="4359" width="11.140625" style="164" customWidth="1"/>
    <col min="4360" max="4360" width="13.42578125" style="164" bestFit="1" customWidth="1"/>
    <col min="4361" max="4361" width="10.28515625" style="164" bestFit="1" customWidth="1"/>
    <col min="4362" max="4606" width="9.140625" style="164"/>
    <col min="4607" max="4607" width="3.42578125" style="164" customWidth="1"/>
    <col min="4608" max="4608" width="7.7109375" style="164" customWidth="1"/>
    <col min="4609" max="4609" width="52.28515625" style="164" customWidth="1"/>
    <col min="4610" max="4610" width="14.28515625" style="164" customWidth="1"/>
    <col min="4611" max="4611" width="12.42578125" style="164" customWidth="1"/>
    <col min="4612" max="4612" width="16.42578125" style="164" customWidth="1"/>
    <col min="4613" max="4613" width="13.42578125" style="164" customWidth="1"/>
    <col min="4614" max="4614" width="14.85546875" style="164" customWidth="1"/>
    <col min="4615" max="4615" width="11.140625" style="164" customWidth="1"/>
    <col min="4616" max="4616" width="13.42578125" style="164" bestFit="1" customWidth="1"/>
    <col min="4617" max="4617" width="10.28515625" style="164" bestFit="1" customWidth="1"/>
    <col min="4618" max="4862" width="9.140625" style="164"/>
    <col min="4863" max="4863" width="3.42578125" style="164" customWidth="1"/>
    <col min="4864" max="4864" width="7.7109375" style="164" customWidth="1"/>
    <col min="4865" max="4865" width="52.28515625" style="164" customWidth="1"/>
    <col min="4866" max="4866" width="14.28515625" style="164" customWidth="1"/>
    <col min="4867" max="4867" width="12.42578125" style="164" customWidth="1"/>
    <col min="4868" max="4868" width="16.42578125" style="164" customWidth="1"/>
    <col min="4869" max="4869" width="13.42578125" style="164" customWidth="1"/>
    <col min="4870" max="4870" width="14.85546875" style="164" customWidth="1"/>
    <col min="4871" max="4871" width="11.140625" style="164" customWidth="1"/>
    <col min="4872" max="4872" width="13.42578125" style="164" bestFit="1" customWidth="1"/>
    <col min="4873" max="4873" width="10.28515625" style="164" bestFit="1" customWidth="1"/>
    <col min="4874" max="5118" width="9.140625" style="164"/>
    <col min="5119" max="5119" width="3.42578125" style="164" customWidth="1"/>
    <col min="5120" max="5120" width="7.7109375" style="164" customWidth="1"/>
    <col min="5121" max="5121" width="52.28515625" style="164" customWidth="1"/>
    <col min="5122" max="5122" width="14.28515625" style="164" customWidth="1"/>
    <col min="5123" max="5123" width="12.42578125" style="164" customWidth="1"/>
    <col min="5124" max="5124" width="16.42578125" style="164" customWidth="1"/>
    <col min="5125" max="5125" width="13.42578125" style="164" customWidth="1"/>
    <col min="5126" max="5126" width="14.85546875" style="164" customWidth="1"/>
    <col min="5127" max="5127" width="11.140625" style="164" customWidth="1"/>
    <col min="5128" max="5128" width="13.42578125" style="164" bestFit="1" customWidth="1"/>
    <col min="5129" max="5129" width="10.28515625" style="164" bestFit="1" customWidth="1"/>
    <col min="5130" max="5374" width="9.140625" style="164"/>
    <col min="5375" max="5375" width="3.42578125" style="164" customWidth="1"/>
    <col min="5376" max="5376" width="7.7109375" style="164" customWidth="1"/>
    <col min="5377" max="5377" width="52.28515625" style="164" customWidth="1"/>
    <col min="5378" max="5378" width="14.28515625" style="164" customWidth="1"/>
    <col min="5379" max="5379" width="12.42578125" style="164" customWidth="1"/>
    <col min="5380" max="5380" width="16.42578125" style="164" customWidth="1"/>
    <col min="5381" max="5381" width="13.42578125" style="164" customWidth="1"/>
    <col min="5382" max="5382" width="14.85546875" style="164" customWidth="1"/>
    <col min="5383" max="5383" width="11.140625" style="164" customWidth="1"/>
    <col min="5384" max="5384" width="13.42578125" style="164" bestFit="1" customWidth="1"/>
    <col min="5385" max="5385" width="10.28515625" style="164" bestFit="1" customWidth="1"/>
    <col min="5386" max="5630" width="9.140625" style="164"/>
    <col min="5631" max="5631" width="3.42578125" style="164" customWidth="1"/>
    <col min="5632" max="5632" width="7.7109375" style="164" customWidth="1"/>
    <col min="5633" max="5633" width="52.28515625" style="164" customWidth="1"/>
    <col min="5634" max="5634" width="14.28515625" style="164" customWidth="1"/>
    <col min="5635" max="5635" width="12.42578125" style="164" customWidth="1"/>
    <col min="5636" max="5636" width="16.42578125" style="164" customWidth="1"/>
    <col min="5637" max="5637" width="13.42578125" style="164" customWidth="1"/>
    <col min="5638" max="5638" width="14.85546875" style="164" customWidth="1"/>
    <col min="5639" max="5639" width="11.140625" style="164" customWidth="1"/>
    <col min="5640" max="5640" width="13.42578125" style="164" bestFit="1" customWidth="1"/>
    <col min="5641" max="5641" width="10.28515625" style="164" bestFit="1" customWidth="1"/>
    <col min="5642" max="5886" width="9.140625" style="164"/>
    <col min="5887" max="5887" width="3.42578125" style="164" customWidth="1"/>
    <col min="5888" max="5888" width="7.7109375" style="164" customWidth="1"/>
    <col min="5889" max="5889" width="52.28515625" style="164" customWidth="1"/>
    <col min="5890" max="5890" width="14.28515625" style="164" customWidth="1"/>
    <col min="5891" max="5891" width="12.42578125" style="164" customWidth="1"/>
    <col min="5892" max="5892" width="16.42578125" style="164" customWidth="1"/>
    <col min="5893" max="5893" width="13.42578125" style="164" customWidth="1"/>
    <col min="5894" max="5894" width="14.85546875" style="164" customWidth="1"/>
    <col min="5895" max="5895" width="11.140625" style="164" customWidth="1"/>
    <col min="5896" max="5896" width="13.42578125" style="164" bestFit="1" customWidth="1"/>
    <col min="5897" max="5897" width="10.28515625" style="164" bestFit="1" customWidth="1"/>
    <col min="5898" max="6142" width="9.140625" style="164"/>
    <col min="6143" max="6143" width="3.42578125" style="164" customWidth="1"/>
    <col min="6144" max="6144" width="7.7109375" style="164" customWidth="1"/>
    <col min="6145" max="6145" width="52.28515625" style="164" customWidth="1"/>
    <col min="6146" max="6146" width="14.28515625" style="164" customWidth="1"/>
    <col min="6147" max="6147" width="12.42578125" style="164" customWidth="1"/>
    <col min="6148" max="6148" width="16.42578125" style="164" customWidth="1"/>
    <col min="6149" max="6149" width="13.42578125" style="164" customWidth="1"/>
    <col min="6150" max="6150" width="14.85546875" style="164" customWidth="1"/>
    <col min="6151" max="6151" width="11.140625" style="164" customWidth="1"/>
    <col min="6152" max="6152" width="13.42578125" style="164" bestFit="1" customWidth="1"/>
    <col min="6153" max="6153" width="10.28515625" style="164" bestFit="1" customWidth="1"/>
    <col min="6154" max="6398" width="9.140625" style="164"/>
    <col min="6399" max="6399" width="3.42578125" style="164" customWidth="1"/>
    <col min="6400" max="6400" width="7.7109375" style="164" customWidth="1"/>
    <col min="6401" max="6401" width="52.28515625" style="164" customWidth="1"/>
    <col min="6402" max="6402" width="14.28515625" style="164" customWidth="1"/>
    <col min="6403" max="6403" width="12.42578125" style="164" customWidth="1"/>
    <col min="6404" max="6404" width="16.42578125" style="164" customWidth="1"/>
    <col min="6405" max="6405" width="13.42578125" style="164" customWidth="1"/>
    <col min="6406" max="6406" width="14.85546875" style="164" customWidth="1"/>
    <col min="6407" max="6407" width="11.140625" style="164" customWidth="1"/>
    <col min="6408" max="6408" width="13.42578125" style="164" bestFit="1" customWidth="1"/>
    <col min="6409" max="6409" width="10.28515625" style="164" bestFit="1" customWidth="1"/>
    <col min="6410" max="6654" width="9.140625" style="164"/>
    <col min="6655" max="6655" width="3.42578125" style="164" customWidth="1"/>
    <col min="6656" max="6656" width="7.7109375" style="164" customWidth="1"/>
    <col min="6657" max="6657" width="52.28515625" style="164" customWidth="1"/>
    <col min="6658" max="6658" width="14.28515625" style="164" customWidth="1"/>
    <col min="6659" max="6659" width="12.42578125" style="164" customWidth="1"/>
    <col min="6660" max="6660" width="16.42578125" style="164" customWidth="1"/>
    <col min="6661" max="6661" width="13.42578125" style="164" customWidth="1"/>
    <col min="6662" max="6662" width="14.85546875" style="164" customWidth="1"/>
    <col min="6663" max="6663" width="11.140625" style="164" customWidth="1"/>
    <col min="6664" max="6664" width="13.42578125" style="164" bestFit="1" customWidth="1"/>
    <col min="6665" max="6665" width="10.28515625" style="164" bestFit="1" customWidth="1"/>
    <col min="6666" max="6910" width="9.140625" style="164"/>
    <col min="6911" max="6911" width="3.42578125" style="164" customWidth="1"/>
    <col min="6912" max="6912" width="7.7109375" style="164" customWidth="1"/>
    <col min="6913" max="6913" width="52.28515625" style="164" customWidth="1"/>
    <col min="6914" max="6914" width="14.28515625" style="164" customWidth="1"/>
    <col min="6915" max="6915" width="12.42578125" style="164" customWidth="1"/>
    <col min="6916" max="6916" width="16.42578125" style="164" customWidth="1"/>
    <col min="6917" max="6917" width="13.42578125" style="164" customWidth="1"/>
    <col min="6918" max="6918" width="14.85546875" style="164" customWidth="1"/>
    <col min="6919" max="6919" width="11.140625" style="164" customWidth="1"/>
    <col min="6920" max="6920" width="13.42578125" style="164" bestFit="1" customWidth="1"/>
    <col min="6921" max="6921" width="10.28515625" style="164" bestFit="1" customWidth="1"/>
    <col min="6922" max="7166" width="9.140625" style="164"/>
    <col min="7167" max="7167" width="3.42578125" style="164" customWidth="1"/>
    <col min="7168" max="7168" width="7.7109375" style="164" customWidth="1"/>
    <col min="7169" max="7169" width="52.28515625" style="164" customWidth="1"/>
    <col min="7170" max="7170" width="14.28515625" style="164" customWidth="1"/>
    <col min="7171" max="7171" width="12.42578125" style="164" customWidth="1"/>
    <col min="7172" max="7172" width="16.42578125" style="164" customWidth="1"/>
    <col min="7173" max="7173" width="13.42578125" style="164" customWidth="1"/>
    <col min="7174" max="7174" width="14.85546875" style="164" customWidth="1"/>
    <col min="7175" max="7175" width="11.140625" style="164" customWidth="1"/>
    <col min="7176" max="7176" width="13.42578125" style="164" bestFit="1" customWidth="1"/>
    <col min="7177" max="7177" width="10.28515625" style="164" bestFit="1" customWidth="1"/>
    <col min="7178" max="7422" width="9.140625" style="164"/>
    <col min="7423" max="7423" width="3.42578125" style="164" customWidth="1"/>
    <col min="7424" max="7424" width="7.7109375" style="164" customWidth="1"/>
    <col min="7425" max="7425" width="52.28515625" style="164" customWidth="1"/>
    <col min="7426" max="7426" width="14.28515625" style="164" customWidth="1"/>
    <col min="7427" max="7427" width="12.42578125" style="164" customWidth="1"/>
    <col min="7428" max="7428" width="16.42578125" style="164" customWidth="1"/>
    <col min="7429" max="7429" width="13.42578125" style="164" customWidth="1"/>
    <col min="7430" max="7430" width="14.85546875" style="164" customWidth="1"/>
    <col min="7431" max="7431" width="11.140625" style="164" customWidth="1"/>
    <col min="7432" max="7432" width="13.42578125" style="164" bestFit="1" customWidth="1"/>
    <col min="7433" max="7433" width="10.28515625" style="164" bestFit="1" customWidth="1"/>
    <col min="7434" max="7678" width="9.140625" style="164"/>
    <col min="7679" max="7679" width="3.42578125" style="164" customWidth="1"/>
    <col min="7680" max="7680" width="7.7109375" style="164" customWidth="1"/>
    <col min="7681" max="7681" width="52.28515625" style="164" customWidth="1"/>
    <col min="7682" max="7682" width="14.28515625" style="164" customWidth="1"/>
    <col min="7683" max="7683" width="12.42578125" style="164" customWidth="1"/>
    <col min="7684" max="7684" width="16.42578125" style="164" customWidth="1"/>
    <col min="7685" max="7685" width="13.42578125" style="164" customWidth="1"/>
    <col min="7686" max="7686" width="14.85546875" style="164" customWidth="1"/>
    <col min="7687" max="7687" width="11.140625" style="164" customWidth="1"/>
    <col min="7688" max="7688" width="13.42578125" style="164" bestFit="1" customWidth="1"/>
    <col min="7689" max="7689" width="10.28515625" style="164" bestFit="1" customWidth="1"/>
    <col min="7690" max="7934" width="9.140625" style="164"/>
    <col min="7935" max="7935" width="3.42578125" style="164" customWidth="1"/>
    <col min="7936" max="7936" width="7.7109375" style="164" customWidth="1"/>
    <col min="7937" max="7937" width="52.28515625" style="164" customWidth="1"/>
    <col min="7938" max="7938" width="14.28515625" style="164" customWidth="1"/>
    <col min="7939" max="7939" width="12.42578125" style="164" customWidth="1"/>
    <col min="7940" max="7940" width="16.42578125" style="164" customWidth="1"/>
    <col min="7941" max="7941" width="13.42578125" style="164" customWidth="1"/>
    <col min="7942" max="7942" width="14.85546875" style="164" customWidth="1"/>
    <col min="7943" max="7943" width="11.140625" style="164" customWidth="1"/>
    <col min="7944" max="7944" width="13.42578125" style="164" bestFit="1" customWidth="1"/>
    <col min="7945" max="7945" width="10.28515625" style="164" bestFit="1" customWidth="1"/>
    <col min="7946" max="8190" width="9.140625" style="164"/>
    <col min="8191" max="8191" width="3.42578125" style="164" customWidth="1"/>
    <col min="8192" max="8192" width="7.7109375" style="164" customWidth="1"/>
    <col min="8193" max="8193" width="52.28515625" style="164" customWidth="1"/>
    <col min="8194" max="8194" width="14.28515625" style="164" customWidth="1"/>
    <col min="8195" max="8195" width="12.42578125" style="164" customWidth="1"/>
    <col min="8196" max="8196" width="16.42578125" style="164" customWidth="1"/>
    <col min="8197" max="8197" width="13.42578125" style="164" customWidth="1"/>
    <col min="8198" max="8198" width="14.85546875" style="164" customWidth="1"/>
    <col min="8199" max="8199" width="11.140625" style="164" customWidth="1"/>
    <col min="8200" max="8200" width="13.42578125" style="164" bestFit="1" customWidth="1"/>
    <col min="8201" max="8201" width="10.28515625" style="164" bestFit="1" customWidth="1"/>
    <col min="8202" max="8446" width="9.140625" style="164"/>
    <col min="8447" max="8447" width="3.42578125" style="164" customWidth="1"/>
    <col min="8448" max="8448" width="7.7109375" style="164" customWidth="1"/>
    <col min="8449" max="8449" width="52.28515625" style="164" customWidth="1"/>
    <col min="8450" max="8450" width="14.28515625" style="164" customWidth="1"/>
    <col min="8451" max="8451" width="12.42578125" style="164" customWidth="1"/>
    <col min="8452" max="8452" width="16.42578125" style="164" customWidth="1"/>
    <col min="8453" max="8453" width="13.42578125" style="164" customWidth="1"/>
    <col min="8454" max="8454" width="14.85546875" style="164" customWidth="1"/>
    <col min="8455" max="8455" width="11.140625" style="164" customWidth="1"/>
    <col min="8456" max="8456" width="13.42578125" style="164" bestFit="1" customWidth="1"/>
    <col min="8457" max="8457" width="10.28515625" style="164" bestFit="1" customWidth="1"/>
    <col min="8458" max="8702" width="9.140625" style="164"/>
    <col min="8703" max="8703" width="3.42578125" style="164" customWidth="1"/>
    <col min="8704" max="8704" width="7.7109375" style="164" customWidth="1"/>
    <col min="8705" max="8705" width="52.28515625" style="164" customWidth="1"/>
    <col min="8706" max="8706" width="14.28515625" style="164" customWidth="1"/>
    <col min="8707" max="8707" width="12.42578125" style="164" customWidth="1"/>
    <col min="8708" max="8708" width="16.42578125" style="164" customWidth="1"/>
    <col min="8709" max="8709" width="13.42578125" style="164" customWidth="1"/>
    <col min="8710" max="8710" width="14.85546875" style="164" customWidth="1"/>
    <col min="8711" max="8711" width="11.140625" style="164" customWidth="1"/>
    <col min="8712" max="8712" width="13.42578125" style="164" bestFit="1" customWidth="1"/>
    <col min="8713" max="8713" width="10.28515625" style="164" bestFit="1" customWidth="1"/>
    <col min="8714" max="8958" width="9.140625" style="164"/>
    <col min="8959" max="8959" width="3.42578125" style="164" customWidth="1"/>
    <col min="8960" max="8960" width="7.7109375" style="164" customWidth="1"/>
    <col min="8961" max="8961" width="52.28515625" style="164" customWidth="1"/>
    <col min="8962" max="8962" width="14.28515625" style="164" customWidth="1"/>
    <col min="8963" max="8963" width="12.42578125" style="164" customWidth="1"/>
    <col min="8964" max="8964" width="16.42578125" style="164" customWidth="1"/>
    <col min="8965" max="8965" width="13.42578125" style="164" customWidth="1"/>
    <col min="8966" max="8966" width="14.85546875" style="164" customWidth="1"/>
    <col min="8967" max="8967" width="11.140625" style="164" customWidth="1"/>
    <col min="8968" max="8968" width="13.42578125" style="164" bestFit="1" customWidth="1"/>
    <col min="8969" max="8969" width="10.28515625" style="164" bestFit="1" customWidth="1"/>
    <col min="8970" max="9214" width="9.140625" style="164"/>
    <col min="9215" max="9215" width="3.42578125" style="164" customWidth="1"/>
    <col min="9216" max="9216" width="7.7109375" style="164" customWidth="1"/>
    <col min="9217" max="9217" width="52.28515625" style="164" customWidth="1"/>
    <col min="9218" max="9218" width="14.28515625" style="164" customWidth="1"/>
    <col min="9219" max="9219" width="12.42578125" style="164" customWidth="1"/>
    <col min="9220" max="9220" width="16.42578125" style="164" customWidth="1"/>
    <col min="9221" max="9221" width="13.42578125" style="164" customWidth="1"/>
    <col min="9222" max="9222" width="14.85546875" style="164" customWidth="1"/>
    <col min="9223" max="9223" width="11.140625" style="164" customWidth="1"/>
    <col min="9224" max="9224" width="13.42578125" style="164" bestFit="1" customWidth="1"/>
    <col min="9225" max="9225" width="10.28515625" style="164" bestFit="1" customWidth="1"/>
    <col min="9226" max="9470" width="9.140625" style="164"/>
    <col min="9471" max="9471" width="3.42578125" style="164" customWidth="1"/>
    <col min="9472" max="9472" width="7.7109375" style="164" customWidth="1"/>
    <col min="9473" max="9473" width="52.28515625" style="164" customWidth="1"/>
    <col min="9474" max="9474" width="14.28515625" style="164" customWidth="1"/>
    <col min="9475" max="9475" width="12.42578125" style="164" customWidth="1"/>
    <col min="9476" max="9476" width="16.42578125" style="164" customWidth="1"/>
    <col min="9477" max="9477" width="13.42578125" style="164" customWidth="1"/>
    <col min="9478" max="9478" width="14.85546875" style="164" customWidth="1"/>
    <col min="9479" max="9479" width="11.140625" style="164" customWidth="1"/>
    <col min="9480" max="9480" width="13.42578125" style="164" bestFit="1" customWidth="1"/>
    <col min="9481" max="9481" width="10.28515625" style="164" bestFit="1" customWidth="1"/>
    <col min="9482" max="9726" width="9.140625" style="164"/>
    <col min="9727" max="9727" width="3.42578125" style="164" customWidth="1"/>
    <col min="9728" max="9728" width="7.7109375" style="164" customWidth="1"/>
    <col min="9729" max="9729" width="52.28515625" style="164" customWidth="1"/>
    <col min="9730" max="9730" width="14.28515625" style="164" customWidth="1"/>
    <col min="9731" max="9731" width="12.42578125" style="164" customWidth="1"/>
    <col min="9732" max="9732" width="16.42578125" style="164" customWidth="1"/>
    <col min="9733" max="9733" width="13.42578125" style="164" customWidth="1"/>
    <col min="9734" max="9734" width="14.85546875" style="164" customWidth="1"/>
    <col min="9735" max="9735" width="11.140625" style="164" customWidth="1"/>
    <col min="9736" max="9736" width="13.42578125" style="164" bestFit="1" customWidth="1"/>
    <col min="9737" max="9737" width="10.28515625" style="164" bestFit="1" customWidth="1"/>
    <col min="9738" max="9982" width="9.140625" style="164"/>
    <col min="9983" max="9983" width="3.42578125" style="164" customWidth="1"/>
    <col min="9984" max="9984" width="7.7109375" style="164" customWidth="1"/>
    <col min="9985" max="9985" width="52.28515625" style="164" customWidth="1"/>
    <col min="9986" max="9986" width="14.28515625" style="164" customWidth="1"/>
    <col min="9987" max="9987" width="12.42578125" style="164" customWidth="1"/>
    <col min="9988" max="9988" width="16.42578125" style="164" customWidth="1"/>
    <col min="9989" max="9989" width="13.42578125" style="164" customWidth="1"/>
    <col min="9990" max="9990" width="14.85546875" style="164" customWidth="1"/>
    <col min="9991" max="9991" width="11.140625" style="164" customWidth="1"/>
    <col min="9992" max="9992" width="13.42578125" style="164" bestFit="1" customWidth="1"/>
    <col min="9993" max="9993" width="10.28515625" style="164" bestFit="1" customWidth="1"/>
    <col min="9994" max="10238" width="9.140625" style="164"/>
    <col min="10239" max="10239" width="3.42578125" style="164" customWidth="1"/>
    <col min="10240" max="10240" width="7.7109375" style="164" customWidth="1"/>
    <col min="10241" max="10241" width="52.28515625" style="164" customWidth="1"/>
    <col min="10242" max="10242" width="14.28515625" style="164" customWidth="1"/>
    <col min="10243" max="10243" width="12.42578125" style="164" customWidth="1"/>
    <col min="10244" max="10244" width="16.42578125" style="164" customWidth="1"/>
    <col min="10245" max="10245" width="13.42578125" style="164" customWidth="1"/>
    <col min="10246" max="10246" width="14.85546875" style="164" customWidth="1"/>
    <col min="10247" max="10247" width="11.140625" style="164" customWidth="1"/>
    <col min="10248" max="10248" width="13.42578125" style="164" bestFit="1" customWidth="1"/>
    <col min="10249" max="10249" width="10.28515625" style="164" bestFit="1" customWidth="1"/>
    <col min="10250" max="10494" width="9.140625" style="164"/>
    <col min="10495" max="10495" width="3.42578125" style="164" customWidth="1"/>
    <col min="10496" max="10496" width="7.7109375" style="164" customWidth="1"/>
    <col min="10497" max="10497" width="52.28515625" style="164" customWidth="1"/>
    <col min="10498" max="10498" width="14.28515625" style="164" customWidth="1"/>
    <col min="10499" max="10499" width="12.42578125" style="164" customWidth="1"/>
    <col min="10500" max="10500" width="16.42578125" style="164" customWidth="1"/>
    <col min="10501" max="10501" width="13.42578125" style="164" customWidth="1"/>
    <col min="10502" max="10502" width="14.85546875" style="164" customWidth="1"/>
    <col min="10503" max="10503" width="11.140625" style="164" customWidth="1"/>
    <col min="10504" max="10504" width="13.42578125" style="164" bestFit="1" customWidth="1"/>
    <col min="10505" max="10505" width="10.28515625" style="164" bestFit="1" customWidth="1"/>
    <col min="10506" max="10750" width="9.140625" style="164"/>
    <col min="10751" max="10751" width="3.42578125" style="164" customWidth="1"/>
    <col min="10752" max="10752" width="7.7109375" style="164" customWidth="1"/>
    <col min="10753" max="10753" width="52.28515625" style="164" customWidth="1"/>
    <col min="10754" max="10754" width="14.28515625" style="164" customWidth="1"/>
    <col min="10755" max="10755" width="12.42578125" style="164" customWidth="1"/>
    <col min="10756" max="10756" width="16.42578125" style="164" customWidth="1"/>
    <col min="10757" max="10757" width="13.42578125" style="164" customWidth="1"/>
    <col min="10758" max="10758" width="14.85546875" style="164" customWidth="1"/>
    <col min="10759" max="10759" width="11.140625" style="164" customWidth="1"/>
    <col min="10760" max="10760" width="13.42578125" style="164" bestFit="1" customWidth="1"/>
    <col min="10761" max="10761" width="10.28515625" style="164" bestFit="1" customWidth="1"/>
    <col min="10762" max="11006" width="9.140625" style="164"/>
    <col min="11007" max="11007" width="3.42578125" style="164" customWidth="1"/>
    <col min="11008" max="11008" width="7.7109375" style="164" customWidth="1"/>
    <col min="11009" max="11009" width="52.28515625" style="164" customWidth="1"/>
    <col min="11010" max="11010" width="14.28515625" style="164" customWidth="1"/>
    <col min="11011" max="11011" width="12.42578125" style="164" customWidth="1"/>
    <col min="11012" max="11012" width="16.42578125" style="164" customWidth="1"/>
    <col min="11013" max="11013" width="13.42578125" style="164" customWidth="1"/>
    <col min="11014" max="11014" width="14.85546875" style="164" customWidth="1"/>
    <col min="11015" max="11015" width="11.140625" style="164" customWidth="1"/>
    <col min="11016" max="11016" width="13.42578125" style="164" bestFit="1" customWidth="1"/>
    <col min="11017" max="11017" width="10.28515625" style="164" bestFit="1" customWidth="1"/>
    <col min="11018" max="11262" width="9.140625" style="164"/>
    <col min="11263" max="11263" width="3.42578125" style="164" customWidth="1"/>
    <col min="11264" max="11264" width="7.7109375" style="164" customWidth="1"/>
    <col min="11265" max="11265" width="52.28515625" style="164" customWidth="1"/>
    <col min="11266" max="11266" width="14.28515625" style="164" customWidth="1"/>
    <col min="11267" max="11267" width="12.42578125" style="164" customWidth="1"/>
    <col min="11268" max="11268" width="16.42578125" style="164" customWidth="1"/>
    <col min="11269" max="11269" width="13.42578125" style="164" customWidth="1"/>
    <col min="11270" max="11270" width="14.85546875" style="164" customWidth="1"/>
    <col min="11271" max="11271" width="11.140625" style="164" customWidth="1"/>
    <col min="11272" max="11272" width="13.42578125" style="164" bestFit="1" customWidth="1"/>
    <col min="11273" max="11273" width="10.28515625" style="164" bestFit="1" customWidth="1"/>
    <col min="11274" max="11518" width="9.140625" style="164"/>
    <col min="11519" max="11519" width="3.42578125" style="164" customWidth="1"/>
    <col min="11520" max="11520" width="7.7109375" style="164" customWidth="1"/>
    <col min="11521" max="11521" width="52.28515625" style="164" customWidth="1"/>
    <col min="11522" max="11522" width="14.28515625" style="164" customWidth="1"/>
    <col min="11523" max="11523" width="12.42578125" style="164" customWidth="1"/>
    <col min="11524" max="11524" width="16.42578125" style="164" customWidth="1"/>
    <col min="11525" max="11525" width="13.42578125" style="164" customWidth="1"/>
    <col min="11526" max="11526" width="14.85546875" style="164" customWidth="1"/>
    <col min="11527" max="11527" width="11.140625" style="164" customWidth="1"/>
    <col min="11528" max="11528" width="13.42578125" style="164" bestFit="1" customWidth="1"/>
    <col min="11529" max="11529" width="10.28515625" style="164" bestFit="1" customWidth="1"/>
    <col min="11530" max="11774" width="9.140625" style="164"/>
    <col min="11775" max="11775" width="3.42578125" style="164" customWidth="1"/>
    <col min="11776" max="11776" width="7.7109375" style="164" customWidth="1"/>
    <col min="11777" max="11777" width="52.28515625" style="164" customWidth="1"/>
    <col min="11778" max="11778" width="14.28515625" style="164" customWidth="1"/>
    <col min="11779" max="11779" width="12.42578125" style="164" customWidth="1"/>
    <col min="11780" max="11780" width="16.42578125" style="164" customWidth="1"/>
    <col min="11781" max="11781" width="13.42578125" style="164" customWidth="1"/>
    <col min="11782" max="11782" width="14.85546875" style="164" customWidth="1"/>
    <col min="11783" max="11783" width="11.140625" style="164" customWidth="1"/>
    <col min="11784" max="11784" width="13.42578125" style="164" bestFit="1" customWidth="1"/>
    <col min="11785" max="11785" width="10.28515625" style="164" bestFit="1" customWidth="1"/>
    <col min="11786" max="12030" width="9.140625" style="164"/>
    <col min="12031" max="12031" width="3.42578125" style="164" customWidth="1"/>
    <col min="12032" max="12032" width="7.7109375" style="164" customWidth="1"/>
    <col min="12033" max="12033" width="52.28515625" style="164" customWidth="1"/>
    <col min="12034" max="12034" width="14.28515625" style="164" customWidth="1"/>
    <col min="12035" max="12035" width="12.42578125" style="164" customWidth="1"/>
    <col min="12036" max="12036" width="16.42578125" style="164" customWidth="1"/>
    <col min="12037" max="12037" width="13.42578125" style="164" customWidth="1"/>
    <col min="12038" max="12038" width="14.85546875" style="164" customWidth="1"/>
    <col min="12039" max="12039" width="11.140625" style="164" customWidth="1"/>
    <col min="12040" max="12040" width="13.42578125" style="164" bestFit="1" customWidth="1"/>
    <col min="12041" max="12041" width="10.28515625" style="164" bestFit="1" customWidth="1"/>
    <col min="12042" max="12286" width="9.140625" style="164"/>
    <col min="12287" max="12287" width="3.42578125" style="164" customWidth="1"/>
    <col min="12288" max="12288" width="7.7109375" style="164" customWidth="1"/>
    <col min="12289" max="12289" width="52.28515625" style="164" customWidth="1"/>
    <col min="12290" max="12290" width="14.28515625" style="164" customWidth="1"/>
    <col min="12291" max="12291" width="12.42578125" style="164" customWidth="1"/>
    <col min="12292" max="12292" width="16.42578125" style="164" customWidth="1"/>
    <col min="12293" max="12293" width="13.42578125" style="164" customWidth="1"/>
    <col min="12294" max="12294" width="14.85546875" style="164" customWidth="1"/>
    <col min="12295" max="12295" width="11.140625" style="164" customWidth="1"/>
    <col min="12296" max="12296" width="13.42578125" style="164" bestFit="1" customWidth="1"/>
    <col min="12297" max="12297" width="10.28515625" style="164" bestFit="1" customWidth="1"/>
    <col min="12298" max="12542" width="9.140625" style="164"/>
    <col min="12543" max="12543" width="3.42578125" style="164" customWidth="1"/>
    <col min="12544" max="12544" width="7.7109375" style="164" customWidth="1"/>
    <col min="12545" max="12545" width="52.28515625" style="164" customWidth="1"/>
    <col min="12546" max="12546" width="14.28515625" style="164" customWidth="1"/>
    <col min="12547" max="12547" width="12.42578125" style="164" customWidth="1"/>
    <col min="12548" max="12548" width="16.42578125" style="164" customWidth="1"/>
    <col min="12549" max="12549" width="13.42578125" style="164" customWidth="1"/>
    <col min="12550" max="12550" width="14.85546875" style="164" customWidth="1"/>
    <col min="12551" max="12551" width="11.140625" style="164" customWidth="1"/>
    <col min="12552" max="12552" width="13.42578125" style="164" bestFit="1" customWidth="1"/>
    <col min="12553" max="12553" width="10.28515625" style="164" bestFit="1" customWidth="1"/>
    <col min="12554" max="12798" width="9.140625" style="164"/>
    <col min="12799" max="12799" width="3.42578125" style="164" customWidth="1"/>
    <col min="12800" max="12800" width="7.7109375" style="164" customWidth="1"/>
    <col min="12801" max="12801" width="52.28515625" style="164" customWidth="1"/>
    <col min="12802" max="12802" width="14.28515625" style="164" customWidth="1"/>
    <col min="12803" max="12803" width="12.42578125" style="164" customWidth="1"/>
    <col min="12804" max="12804" width="16.42578125" style="164" customWidth="1"/>
    <col min="12805" max="12805" width="13.42578125" style="164" customWidth="1"/>
    <col min="12806" max="12806" width="14.85546875" style="164" customWidth="1"/>
    <col min="12807" max="12807" width="11.140625" style="164" customWidth="1"/>
    <col min="12808" max="12808" width="13.42578125" style="164" bestFit="1" customWidth="1"/>
    <col min="12809" max="12809" width="10.28515625" style="164" bestFit="1" customWidth="1"/>
    <col min="12810" max="13054" width="9.140625" style="164"/>
    <col min="13055" max="13055" width="3.42578125" style="164" customWidth="1"/>
    <col min="13056" max="13056" width="7.7109375" style="164" customWidth="1"/>
    <col min="13057" max="13057" width="52.28515625" style="164" customWidth="1"/>
    <col min="13058" max="13058" width="14.28515625" style="164" customWidth="1"/>
    <col min="13059" max="13059" width="12.42578125" style="164" customWidth="1"/>
    <col min="13060" max="13060" width="16.42578125" style="164" customWidth="1"/>
    <col min="13061" max="13061" width="13.42578125" style="164" customWidth="1"/>
    <col min="13062" max="13062" width="14.85546875" style="164" customWidth="1"/>
    <col min="13063" max="13063" width="11.140625" style="164" customWidth="1"/>
    <col min="13064" max="13064" width="13.42578125" style="164" bestFit="1" customWidth="1"/>
    <col min="13065" max="13065" width="10.28515625" style="164" bestFit="1" customWidth="1"/>
    <col min="13066" max="13310" width="9.140625" style="164"/>
    <col min="13311" max="13311" width="3.42578125" style="164" customWidth="1"/>
    <col min="13312" max="13312" width="7.7109375" style="164" customWidth="1"/>
    <col min="13313" max="13313" width="52.28515625" style="164" customWidth="1"/>
    <col min="13314" max="13314" width="14.28515625" style="164" customWidth="1"/>
    <col min="13315" max="13315" width="12.42578125" style="164" customWidth="1"/>
    <col min="13316" max="13316" width="16.42578125" style="164" customWidth="1"/>
    <col min="13317" max="13317" width="13.42578125" style="164" customWidth="1"/>
    <col min="13318" max="13318" width="14.85546875" style="164" customWidth="1"/>
    <col min="13319" max="13319" width="11.140625" style="164" customWidth="1"/>
    <col min="13320" max="13320" width="13.42578125" style="164" bestFit="1" customWidth="1"/>
    <col min="13321" max="13321" width="10.28515625" style="164" bestFit="1" customWidth="1"/>
    <col min="13322" max="13566" width="9.140625" style="164"/>
    <col min="13567" max="13567" width="3.42578125" style="164" customWidth="1"/>
    <col min="13568" max="13568" width="7.7109375" style="164" customWidth="1"/>
    <col min="13569" max="13569" width="52.28515625" style="164" customWidth="1"/>
    <col min="13570" max="13570" width="14.28515625" style="164" customWidth="1"/>
    <col min="13571" max="13571" width="12.42578125" style="164" customWidth="1"/>
    <col min="13572" max="13572" width="16.42578125" style="164" customWidth="1"/>
    <col min="13573" max="13573" width="13.42578125" style="164" customWidth="1"/>
    <col min="13574" max="13574" width="14.85546875" style="164" customWidth="1"/>
    <col min="13575" max="13575" width="11.140625" style="164" customWidth="1"/>
    <col min="13576" max="13576" width="13.42578125" style="164" bestFit="1" customWidth="1"/>
    <col min="13577" max="13577" width="10.28515625" style="164" bestFit="1" customWidth="1"/>
    <col min="13578" max="13822" width="9.140625" style="164"/>
    <col min="13823" max="13823" width="3.42578125" style="164" customWidth="1"/>
    <col min="13824" max="13824" width="7.7109375" style="164" customWidth="1"/>
    <col min="13825" max="13825" width="52.28515625" style="164" customWidth="1"/>
    <col min="13826" max="13826" width="14.28515625" style="164" customWidth="1"/>
    <col min="13827" max="13827" width="12.42578125" style="164" customWidth="1"/>
    <col min="13828" max="13828" width="16.42578125" style="164" customWidth="1"/>
    <col min="13829" max="13829" width="13.42578125" style="164" customWidth="1"/>
    <col min="13830" max="13830" width="14.85546875" style="164" customWidth="1"/>
    <col min="13831" max="13831" width="11.140625" style="164" customWidth="1"/>
    <col min="13832" max="13832" width="13.42578125" style="164" bestFit="1" customWidth="1"/>
    <col min="13833" max="13833" width="10.28515625" style="164" bestFit="1" customWidth="1"/>
    <col min="13834" max="14078" width="9.140625" style="164"/>
    <col min="14079" max="14079" width="3.42578125" style="164" customWidth="1"/>
    <col min="14080" max="14080" width="7.7109375" style="164" customWidth="1"/>
    <col min="14081" max="14081" width="52.28515625" style="164" customWidth="1"/>
    <col min="14082" max="14082" width="14.28515625" style="164" customWidth="1"/>
    <col min="14083" max="14083" width="12.42578125" style="164" customWidth="1"/>
    <col min="14084" max="14084" width="16.42578125" style="164" customWidth="1"/>
    <col min="14085" max="14085" width="13.42578125" style="164" customWidth="1"/>
    <col min="14086" max="14086" width="14.85546875" style="164" customWidth="1"/>
    <col min="14087" max="14087" width="11.140625" style="164" customWidth="1"/>
    <col min="14088" max="14088" width="13.42578125" style="164" bestFit="1" customWidth="1"/>
    <col min="14089" max="14089" width="10.28515625" style="164" bestFit="1" customWidth="1"/>
    <col min="14090" max="14334" width="9.140625" style="164"/>
    <col min="14335" max="14335" width="3.42578125" style="164" customWidth="1"/>
    <col min="14336" max="14336" width="7.7109375" style="164" customWidth="1"/>
    <col min="14337" max="14337" width="52.28515625" style="164" customWidth="1"/>
    <col min="14338" max="14338" width="14.28515625" style="164" customWidth="1"/>
    <col min="14339" max="14339" width="12.42578125" style="164" customWidth="1"/>
    <col min="14340" max="14340" width="16.42578125" style="164" customWidth="1"/>
    <col min="14341" max="14341" width="13.42578125" style="164" customWidth="1"/>
    <col min="14342" max="14342" width="14.85546875" style="164" customWidth="1"/>
    <col min="14343" max="14343" width="11.140625" style="164" customWidth="1"/>
    <col min="14344" max="14344" width="13.42578125" style="164" bestFit="1" customWidth="1"/>
    <col min="14345" max="14345" width="10.28515625" style="164" bestFit="1" customWidth="1"/>
    <col min="14346" max="14590" width="9.140625" style="164"/>
    <col min="14591" max="14591" width="3.42578125" style="164" customWidth="1"/>
    <col min="14592" max="14592" width="7.7109375" style="164" customWidth="1"/>
    <col min="14593" max="14593" width="52.28515625" style="164" customWidth="1"/>
    <col min="14594" max="14594" width="14.28515625" style="164" customWidth="1"/>
    <col min="14595" max="14595" width="12.42578125" style="164" customWidth="1"/>
    <col min="14596" max="14596" width="16.42578125" style="164" customWidth="1"/>
    <col min="14597" max="14597" width="13.42578125" style="164" customWidth="1"/>
    <col min="14598" max="14598" width="14.85546875" style="164" customWidth="1"/>
    <col min="14599" max="14599" width="11.140625" style="164" customWidth="1"/>
    <col min="14600" max="14600" width="13.42578125" style="164" bestFit="1" customWidth="1"/>
    <col min="14601" max="14601" width="10.28515625" style="164" bestFit="1" customWidth="1"/>
    <col min="14602" max="14846" width="9.140625" style="164"/>
    <col min="14847" max="14847" width="3.42578125" style="164" customWidth="1"/>
    <col min="14848" max="14848" width="7.7109375" style="164" customWidth="1"/>
    <col min="14849" max="14849" width="52.28515625" style="164" customWidth="1"/>
    <col min="14850" max="14850" width="14.28515625" style="164" customWidth="1"/>
    <col min="14851" max="14851" width="12.42578125" style="164" customWidth="1"/>
    <col min="14852" max="14852" width="16.42578125" style="164" customWidth="1"/>
    <col min="14853" max="14853" width="13.42578125" style="164" customWidth="1"/>
    <col min="14854" max="14854" width="14.85546875" style="164" customWidth="1"/>
    <col min="14855" max="14855" width="11.140625" style="164" customWidth="1"/>
    <col min="14856" max="14856" width="13.42578125" style="164" bestFit="1" customWidth="1"/>
    <col min="14857" max="14857" width="10.28515625" style="164" bestFit="1" customWidth="1"/>
    <col min="14858" max="15102" width="9.140625" style="164"/>
    <col min="15103" max="15103" width="3.42578125" style="164" customWidth="1"/>
    <col min="15104" max="15104" width="7.7109375" style="164" customWidth="1"/>
    <col min="15105" max="15105" width="52.28515625" style="164" customWidth="1"/>
    <col min="15106" max="15106" width="14.28515625" style="164" customWidth="1"/>
    <col min="15107" max="15107" width="12.42578125" style="164" customWidth="1"/>
    <col min="15108" max="15108" width="16.42578125" style="164" customWidth="1"/>
    <col min="15109" max="15109" width="13.42578125" style="164" customWidth="1"/>
    <col min="15110" max="15110" width="14.85546875" style="164" customWidth="1"/>
    <col min="15111" max="15111" width="11.140625" style="164" customWidth="1"/>
    <col min="15112" max="15112" width="13.42578125" style="164" bestFit="1" customWidth="1"/>
    <col min="15113" max="15113" width="10.28515625" style="164" bestFit="1" customWidth="1"/>
    <col min="15114" max="15358" width="9.140625" style="164"/>
    <col min="15359" max="15359" width="3.42578125" style="164" customWidth="1"/>
    <col min="15360" max="15360" width="7.7109375" style="164" customWidth="1"/>
    <col min="15361" max="15361" width="52.28515625" style="164" customWidth="1"/>
    <col min="15362" max="15362" width="14.28515625" style="164" customWidth="1"/>
    <col min="15363" max="15363" width="12.42578125" style="164" customWidth="1"/>
    <col min="15364" max="15364" width="16.42578125" style="164" customWidth="1"/>
    <col min="15365" max="15365" width="13.42578125" style="164" customWidth="1"/>
    <col min="15366" max="15366" width="14.85546875" style="164" customWidth="1"/>
    <col min="15367" max="15367" width="11.140625" style="164" customWidth="1"/>
    <col min="15368" max="15368" width="13.42578125" style="164" bestFit="1" customWidth="1"/>
    <col min="15369" max="15369" width="10.28515625" style="164" bestFit="1" customWidth="1"/>
    <col min="15370" max="15614" width="9.140625" style="164"/>
    <col min="15615" max="15615" width="3.42578125" style="164" customWidth="1"/>
    <col min="15616" max="15616" width="7.7109375" style="164" customWidth="1"/>
    <col min="15617" max="15617" width="52.28515625" style="164" customWidth="1"/>
    <col min="15618" max="15618" width="14.28515625" style="164" customWidth="1"/>
    <col min="15619" max="15619" width="12.42578125" style="164" customWidth="1"/>
    <col min="15620" max="15620" width="16.42578125" style="164" customWidth="1"/>
    <col min="15621" max="15621" width="13.42578125" style="164" customWidth="1"/>
    <col min="15622" max="15622" width="14.85546875" style="164" customWidth="1"/>
    <col min="15623" max="15623" width="11.140625" style="164" customWidth="1"/>
    <col min="15624" max="15624" width="13.42578125" style="164" bestFit="1" customWidth="1"/>
    <col min="15625" max="15625" width="10.28515625" style="164" bestFit="1" customWidth="1"/>
    <col min="15626" max="15870" width="9.140625" style="164"/>
    <col min="15871" max="15871" width="3.42578125" style="164" customWidth="1"/>
    <col min="15872" max="15872" width="7.7109375" style="164" customWidth="1"/>
    <col min="15873" max="15873" width="52.28515625" style="164" customWidth="1"/>
    <col min="15874" max="15874" width="14.28515625" style="164" customWidth="1"/>
    <col min="15875" max="15875" width="12.42578125" style="164" customWidth="1"/>
    <col min="15876" max="15876" width="16.42578125" style="164" customWidth="1"/>
    <col min="15877" max="15877" width="13.42578125" style="164" customWidth="1"/>
    <col min="15878" max="15878" width="14.85546875" style="164" customWidth="1"/>
    <col min="15879" max="15879" width="11.140625" style="164" customWidth="1"/>
    <col min="15880" max="15880" width="13.42578125" style="164" bestFit="1" customWidth="1"/>
    <col min="15881" max="15881" width="10.28515625" style="164" bestFit="1" customWidth="1"/>
    <col min="15882" max="16126" width="9.140625" style="164"/>
    <col min="16127" max="16127" width="3.42578125" style="164" customWidth="1"/>
    <col min="16128" max="16128" width="7.7109375" style="164" customWidth="1"/>
    <col min="16129" max="16129" width="52.28515625" style="164" customWidth="1"/>
    <col min="16130" max="16130" width="14.28515625" style="164" customWidth="1"/>
    <col min="16131" max="16131" width="12.42578125" style="164" customWidth="1"/>
    <col min="16132" max="16132" width="16.42578125" style="164" customWidth="1"/>
    <col min="16133" max="16133" width="13.42578125" style="164" customWidth="1"/>
    <col min="16134" max="16134" width="14.85546875" style="164" customWidth="1"/>
    <col min="16135" max="16135" width="11.140625" style="164" customWidth="1"/>
    <col min="16136" max="16136" width="13.42578125" style="164" bestFit="1" customWidth="1"/>
    <col min="16137" max="16137" width="10.28515625" style="164" bestFit="1" customWidth="1"/>
    <col min="16138" max="16384" width="9.140625" style="164"/>
  </cols>
  <sheetData>
    <row r="1" spans="1:11" ht="18">
      <c r="A1" s="1164" t="e">
        <f>#REF!</f>
        <v>#REF!</v>
      </c>
      <c r="B1" s="1164"/>
      <c r="C1" s="1164"/>
      <c r="D1" s="1164"/>
      <c r="E1" s="1164"/>
      <c r="F1" s="1164"/>
      <c r="G1" s="1164"/>
      <c r="H1" s="1164"/>
      <c r="I1" s="1164"/>
    </row>
    <row r="2" spans="1:11">
      <c r="A2" s="165"/>
      <c r="B2" s="1165" t="s">
        <v>393</v>
      </c>
      <c r="C2" s="1165"/>
      <c r="D2" s="166" t="str">
        <f>B!B10</f>
        <v>B-3</v>
      </c>
      <c r="E2" s="166"/>
      <c r="F2" s="166"/>
      <c r="G2" s="166"/>
      <c r="H2" s="166"/>
      <c r="I2" s="166"/>
    </row>
    <row r="3" spans="1:11" ht="15.75" customHeight="1">
      <c r="A3" s="1166" t="str">
        <f>B!C10</f>
        <v>წყალმომარაგების რეზერვუარების სანიტარული ღობების მოწყობა</v>
      </c>
      <c r="B3" s="1166"/>
      <c r="C3" s="1166"/>
      <c r="D3" s="1166"/>
      <c r="E3" s="1166"/>
      <c r="F3" s="1166"/>
      <c r="G3" s="1166"/>
      <c r="H3" s="1166"/>
      <c r="I3" s="1166"/>
    </row>
    <row r="4" spans="1:11">
      <c r="A4" s="165"/>
      <c r="B4" s="1167"/>
      <c r="C4" s="1167"/>
      <c r="D4" s="1167"/>
      <c r="E4" s="1167"/>
      <c r="F4" s="1167"/>
      <c r="G4" s="1"/>
      <c r="H4" s="1"/>
      <c r="I4" s="1"/>
    </row>
    <row r="5" spans="1:11" ht="15.75" customHeight="1">
      <c r="A5" s="167"/>
      <c r="B5" s="167"/>
      <c r="C5" s="167"/>
      <c r="D5" s="167"/>
      <c r="E5" s="167"/>
      <c r="F5" s="167"/>
      <c r="G5" s="167"/>
      <c r="H5" s="1168"/>
      <c r="I5" s="1168"/>
    </row>
    <row r="6" spans="1:11">
      <c r="A6" s="1169" t="s">
        <v>394</v>
      </c>
      <c r="B6" s="1170"/>
      <c r="C6" s="1175" t="s">
        <v>138</v>
      </c>
      <c r="D6" s="1176" t="s">
        <v>139</v>
      </c>
      <c r="E6" s="1176"/>
      <c r="F6" s="1176"/>
      <c r="G6" s="1176"/>
      <c r="H6" s="1176"/>
      <c r="I6" s="1175" t="s">
        <v>140</v>
      </c>
    </row>
    <row r="7" spans="1:11">
      <c r="A7" s="1171"/>
      <c r="B7" s="1172"/>
      <c r="C7" s="1175"/>
      <c r="D7" s="1175" t="s">
        <v>141</v>
      </c>
      <c r="E7" s="1175" t="s">
        <v>142</v>
      </c>
      <c r="F7" s="1175" t="s">
        <v>143</v>
      </c>
      <c r="G7" s="1175" t="s">
        <v>144</v>
      </c>
      <c r="H7" s="1176" t="s">
        <v>145</v>
      </c>
      <c r="I7" s="1175"/>
    </row>
    <row r="8" spans="1:11">
      <c r="A8" s="1173"/>
      <c r="B8" s="1174"/>
      <c r="C8" s="1175"/>
      <c r="D8" s="1175"/>
      <c r="E8" s="1175"/>
      <c r="F8" s="1175"/>
      <c r="G8" s="1175"/>
      <c r="H8" s="1176"/>
      <c r="I8" s="1175"/>
    </row>
    <row r="9" spans="1:11">
      <c r="A9" s="1161">
        <v>1</v>
      </c>
      <c r="B9" s="1162"/>
      <c r="C9" s="213">
        <v>2</v>
      </c>
      <c r="D9" s="214">
        <v>3</v>
      </c>
      <c r="E9" s="213">
        <v>4</v>
      </c>
      <c r="F9" s="214">
        <v>5</v>
      </c>
      <c r="G9" s="213">
        <v>6</v>
      </c>
      <c r="H9" s="214">
        <v>7</v>
      </c>
      <c r="I9" s="213">
        <v>8</v>
      </c>
    </row>
    <row r="10" spans="1:11" s="177" customFormat="1">
      <c r="A10" s="170">
        <v>1</v>
      </c>
      <c r="B10" s="212" t="s">
        <v>395</v>
      </c>
      <c r="C10" s="172" t="s">
        <v>743</v>
      </c>
      <c r="D10" s="173">
        <f>'B-3.1'!M50</f>
        <v>0</v>
      </c>
      <c r="E10" s="174"/>
      <c r="F10" s="174"/>
      <c r="G10" s="175"/>
      <c r="H10" s="174">
        <f t="shared" ref="H10:H11" si="0">D10</f>
        <v>0</v>
      </c>
      <c r="I10" s="176"/>
    </row>
    <row r="11" spans="1:11" s="177" customFormat="1">
      <c r="A11" s="170">
        <v>2</v>
      </c>
      <c r="B11" s="1002" t="s">
        <v>397</v>
      </c>
      <c r="C11" s="172" t="s">
        <v>744</v>
      </c>
      <c r="D11" s="178">
        <f>'B-3.2'!M69</f>
        <v>0</v>
      </c>
      <c r="E11" s="174"/>
      <c r="F11" s="174"/>
      <c r="G11" s="175"/>
      <c r="H11" s="174">
        <f t="shared" si="0"/>
        <v>0</v>
      </c>
      <c r="I11" s="176"/>
    </row>
    <row r="12" spans="1:11" s="177" customFormat="1">
      <c r="A12" s="170">
        <v>3</v>
      </c>
      <c r="B12" s="1002" t="s">
        <v>845</v>
      </c>
      <c r="C12" s="172" t="s">
        <v>846</v>
      </c>
      <c r="D12" s="178">
        <f>'B-3.3'!M50</f>
        <v>0</v>
      </c>
      <c r="E12" s="174"/>
      <c r="F12" s="174"/>
      <c r="G12" s="175"/>
      <c r="H12" s="174">
        <f t="shared" ref="H12" si="1">D12</f>
        <v>0</v>
      </c>
      <c r="I12" s="176"/>
    </row>
    <row r="13" spans="1:11" s="177" customFormat="1">
      <c r="A13" s="170"/>
      <c r="B13" s="179"/>
      <c r="C13" s="172" t="s">
        <v>146</v>
      </c>
      <c r="D13" s="178"/>
      <c r="E13" s="174"/>
      <c r="F13" s="174"/>
      <c r="G13" s="175"/>
      <c r="H13" s="174">
        <f>SUM(H10:H12)</f>
        <v>0</v>
      </c>
      <c r="I13" s="176"/>
    </row>
    <row r="14" spans="1:11">
      <c r="C14" s="180"/>
      <c r="D14" s="181"/>
      <c r="E14" s="181"/>
      <c r="F14" s="182"/>
      <c r="G14" s="183"/>
      <c r="H14" s="184"/>
      <c r="I14" s="185"/>
    </row>
    <row r="15" spans="1:11" s="186" customFormat="1" ht="13.5">
      <c r="B15" s="187"/>
      <c r="C15" s="188"/>
      <c r="D15" s="1163"/>
      <c r="E15" s="1163"/>
      <c r="J15" s="187"/>
      <c r="K15" s="189"/>
    </row>
    <row r="16" spans="1:11" s="186" customFormat="1" ht="13.5">
      <c r="C16" s="188" t="e">
        <f>#REF!</f>
        <v>#REF!</v>
      </c>
      <c r="D16" s="188"/>
      <c r="E16" s="188"/>
    </row>
    <row r="17" spans="3:9" s="186" customFormat="1" ht="13.5">
      <c r="C17" s="190" t="e">
        <f>#REF!</f>
        <v>#REF!</v>
      </c>
      <c r="D17" s="1177" t="e">
        <f>#REF!</f>
        <v>#REF!</v>
      </c>
      <c r="E17" s="1177"/>
      <c r="G17" s="191"/>
      <c r="H17" s="191"/>
    </row>
    <row r="18" spans="3:9" s="187" customFormat="1" ht="13.5">
      <c r="C18" s="192"/>
      <c r="I18" s="193"/>
    </row>
    <row r="19" spans="3:9">
      <c r="D19" s="194"/>
      <c r="E19" s="164"/>
      <c r="F19" s="164"/>
      <c r="G19" s="164"/>
    </row>
    <row r="20" spans="3:9">
      <c r="D20" s="194"/>
      <c r="E20" s="164"/>
      <c r="F20" s="164"/>
      <c r="G20" s="164"/>
    </row>
    <row r="33" spans="2:8">
      <c r="D33" s="195"/>
      <c r="E33" s="196"/>
      <c r="F33" s="197"/>
      <c r="G33" s="198"/>
      <c r="H33" s="199"/>
    </row>
    <row r="34" spans="2:8">
      <c r="D34" s="200"/>
      <c r="E34" s="196"/>
      <c r="F34" s="201"/>
      <c r="G34" s="202"/>
      <c r="H34" s="203"/>
    </row>
    <row r="35" spans="2:8">
      <c r="B35" s="204"/>
      <c r="D35" s="200"/>
      <c r="E35" s="196"/>
      <c r="F35" s="201"/>
      <c r="G35" s="202"/>
      <c r="H35" s="203"/>
    </row>
    <row r="36" spans="2:8">
      <c r="D36" s="200"/>
      <c r="E36" s="196"/>
      <c r="F36" s="201"/>
      <c r="G36" s="202"/>
      <c r="H36" s="203"/>
    </row>
    <row r="37" spans="2:8">
      <c r="B37" s="204"/>
      <c r="D37" s="200"/>
      <c r="E37" s="196"/>
      <c r="F37" s="201"/>
      <c r="G37" s="202"/>
      <c r="H37" s="203"/>
    </row>
    <row r="38" spans="2:8">
      <c r="D38" s="200"/>
      <c r="E38" s="196"/>
      <c r="F38" s="201"/>
      <c r="G38" s="202"/>
      <c r="H38" s="203"/>
    </row>
    <row r="39" spans="2:8">
      <c r="D39" s="200"/>
      <c r="E39" s="196"/>
      <c r="F39" s="201"/>
      <c r="G39" s="202"/>
      <c r="H39" s="203"/>
    </row>
    <row r="40" spans="2:8">
      <c r="D40" s="200"/>
      <c r="E40" s="196"/>
      <c r="F40" s="201"/>
      <c r="G40" s="202"/>
      <c r="H40" s="203"/>
    </row>
    <row r="41" spans="2:8">
      <c r="D41" s="200"/>
      <c r="E41" s="196"/>
      <c r="F41" s="201"/>
      <c r="G41" s="202"/>
      <c r="H41" s="203"/>
    </row>
    <row r="42" spans="2:8">
      <c r="B42" s="204"/>
      <c r="D42" s="200"/>
      <c r="E42" s="196"/>
      <c r="F42" s="201"/>
      <c r="G42" s="202"/>
      <c r="H42" s="203"/>
    </row>
    <row r="43" spans="2:8">
      <c r="B43" s="204"/>
      <c r="D43" s="200"/>
      <c r="E43" s="196"/>
      <c r="F43" s="201"/>
      <c r="G43" s="202"/>
      <c r="H43" s="203"/>
    </row>
    <row r="44" spans="2:8">
      <c r="B44" s="204"/>
      <c r="D44" s="200"/>
      <c r="E44" s="196"/>
      <c r="F44" s="201"/>
      <c r="G44" s="202"/>
      <c r="H44" s="203"/>
    </row>
    <row r="45" spans="2:8">
      <c r="D45" s="200"/>
      <c r="E45" s="196"/>
      <c r="F45" s="201"/>
      <c r="G45" s="202"/>
      <c r="H45" s="203"/>
    </row>
    <row r="46" spans="2:8">
      <c r="D46" s="200"/>
      <c r="E46" s="196"/>
      <c r="F46" s="201"/>
      <c r="G46" s="202"/>
      <c r="H46" s="203"/>
    </row>
    <row r="47" spans="2:8">
      <c r="D47" s="200"/>
      <c r="E47" s="196"/>
      <c r="F47" s="201"/>
      <c r="G47" s="202"/>
      <c r="H47" s="203"/>
    </row>
    <row r="48" spans="2:8">
      <c r="B48" s="204"/>
      <c r="D48" s="200"/>
      <c r="E48" s="196"/>
      <c r="F48" s="201"/>
      <c r="G48" s="202"/>
      <c r="H48" s="203"/>
    </row>
    <row r="49" spans="2:8">
      <c r="D49" s="200"/>
      <c r="E49" s="196"/>
      <c r="F49" s="201"/>
      <c r="G49" s="202"/>
      <c r="H49" s="203"/>
    </row>
    <row r="50" spans="2:8">
      <c r="D50" s="200"/>
      <c r="E50" s="196"/>
      <c r="F50" s="201"/>
      <c r="G50" s="202"/>
      <c r="H50" s="203"/>
    </row>
    <row r="51" spans="2:8">
      <c r="D51" s="200"/>
      <c r="E51" s="196"/>
      <c r="F51" s="201"/>
      <c r="G51" s="202"/>
      <c r="H51" s="203"/>
    </row>
    <row r="52" spans="2:8">
      <c r="D52" s="200"/>
      <c r="E52" s="196"/>
      <c r="F52" s="201"/>
      <c r="G52" s="202"/>
      <c r="H52" s="203"/>
    </row>
    <row r="53" spans="2:8">
      <c r="D53" s="200"/>
      <c r="E53" s="196"/>
      <c r="F53" s="201"/>
      <c r="G53" s="202"/>
      <c r="H53" s="203"/>
    </row>
    <row r="54" spans="2:8">
      <c r="D54" s="200"/>
      <c r="E54" s="196"/>
      <c r="F54" s="201"/>
      <c r="G54" s="202"/>
      <c r="H54" s="203"/>
    </row>
    <row r="55" spans="2:8">
      <c r="B55" s="205"/>
      <c r="D55" s="200"/>
      <c r="E55" s="196"/>
      <c r="F55" s="201"/>
      <c r="G55" s="202"/>
      <c r="H55" s="203"/>
    </row>
    <row r="56" spans="2:8">
      <c r="D56" s="200"/>
      <c r="E56" s="196"/>
      <c r="F56" s="201"/>
      <c r="G56" s="202"/>
      <c r="H56" s="203"/>
    </row>
    <row r="57" spans="2:8">
      <c r="D57" s="200"/>
      <c r="E57" s="196"/>
      <c r="F57" s="201"/>
      <c r="G57" s="202"/>
      <c r="H57" s="203"/>
    </row>
    <row r="58" spans="2:8">
      <c r="D58" s="200"/>
      <c r="E58" s="196"/>
      <c r="F58" s="201"/>
      <c r="G58" s="202"/>
      <c r="H58" s="203"/>
    </row>
    <row r="59" spans="2:8">
      <c r="D59" s="200"/>
      <c r="E59" s="196"/>
      <c r="F59" s="201"/>
      <c r="G59" s="202"/>
      <c r="H59" s="203"/>
    </row>
    <row r="60" spans="2:8">
      <c r="D60" s="200"/>
      <c r="E60" s="196"/>
      <c r="F60" s="201"/>
      <c r="G60" s="202"/>
      <c r="H60" s="203"/>
    </row>
    <row r="61" spans="2:8">
      <c r="D61" s="200"/>
      <c r="E61" s="196"/>
      <c r="F61" s="201"/>
      <c r="G61" s="202"/>
      <c r="H61" s="203"/>
    </row>
  </sheetData>
  <mergeCells count="17">
    <mergeCell ref="D17:E17"/>
    <mergeCell ref="E7:E8"/>
    <mergeCell ref="F7:F8"/>
    <mergeCell ref="G7:G8"/>
    <mergeCell ref="H7:H8"/>
    <mergeCell ref="A9:B9"/>
    <mergeCell ref="D15:E15"/>
    <mergeCell ref="A1:I1"/>
    <mergeCell ref="B2:C2"/>
    <mergeCell ref="A3:I3"/>
    <mergeCell ref="B4:F4"/>
    <mergeCell ref="H5:I5"/>
    <mergeCell ref="A6:B8"/>
    <mergeCell ref="C6:C8"/>
    <mergeCell ref="D6:H6"/>
    <mergeCell ref="I6:I8"/>
    <mergeCell ref="D7:D8"/>
  </mergeCells>
  <phoneticPr fontId="66" type="noConversion"/>
  <printOptions horizontalCentered="1"/>
  <pageMargins left="0.23622047244094491" right="0.23622047244094491" top="0.62992125984251968" bottom="0.23622047244094491" header="0.31496062992125984" footer="0.31496062992125984"/>
  <pageSetup paperSize="9" scale="75" fitToHeight="0" orientation="landscape" horizontalDpi="1200" verticalDpi="12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1"/>
  <sheetViews>
    <sheetView view="pageBreakPreview" zoomScaleNormal="85" zoomScaleSheetLayoutView="100" workbookViewId="0">
      <selection activeCell="T65" sqref="T65"/>
    </sheetView>
  </sheetViews>
  <sheetFormatPr defaultRowHeight="12.75"/>
  <cols>
    <col min="1" max="1" width="6.85546875" style="123" customWidth="1"/>
    <col min="2" max="2" width="11.28515625" style="123" customWidth="1"/>
    <col min="3" max="3" width="66.5703125" style="123" customWidth="1"/>
    <col min="4" max="4" width="14.28515625" style="161" customWidth="1"/>
    <col min="5" max="5" width="12.42578125" style="161" customWidth="1"/>
    <col min="6" max="6" width="16.42578125" style="162" customWidth="1"/>
    <col min="7" max="7" width="13.42578125" style="149" customWidth="1"/>
    <col min="8" max="8" width="14.85546875" style="123" customWidth="1"/>
    <col min="9" max="9" width="11.140625" style="123" customWidth="1"/>
    <col min="10" max="251" width="9.140625" style="123"/>
    <col min="252" max="252" width="3.42578125" style="123" customWidth="1"/>
    <col min="253" max="253" width="7.7109375" style="123" customWidth="1"/>
    <col min="254" max="254" width="52.28515625" style="123" customWidth="1"/>
    <col min="255" max="255" width="14.28515625" style="123" customWidth="1"/>
    <col min="256" max="256" width="12.42578125" style="123" customWidth="1"/>
    <col min="257" max="257" width="16.42578125" style="123" customWidth="1"/>
    <col min="258" max="258" width="13.42578125" style="123" customWidth="1"/>
    <col min="259" max="259" width="14.85546875" style="123" customWidth="1"/>
    <col min="260" max="260" width="11.140625" style="123" customWidth="1"/>
    <col min="261" max="261" width="13.42578125" style="123" bestFit="1" customWidth="1"/>
    <col min="262" max="262" width="10.28515625" style="123" bestFit="1" customWidth="1"/>
    <col min="263" max="507" width="9.140625" style="123"/>
    <col min="508" max="508" width="3.42578125" style="123" customWidth="1"/>
    <col min="509" max="509" width="7.7109375" style="123" customWidth="1"/>
    <col min="510" max="510" width="52.28515625" style="123" customWidth="1"/>
    <col min="511" max="511" width="14.28515625" style="123" customWidth="1"/>
    <col min="512" max="512" width="12.42578125" style="123" customWidth="1"/>
    <col min="513" max="513" width="16.42578125" style="123" customWidth="1"/>
    <col min="514" max="514" width="13.42578125" style="123" customWidth="1"/>
    <col min="515" max="515" width="14.85546875" style="123" customWidth="1"/>
    <col min="516" max="516" width="11.140625" style="123" customWidth="1"/>
    <col min="517" max="517" width="13.42578125" style="123" bestFit="1" customWidth="1"/>
    <col min="518" max="518" width="10.28515625" style="123" bestFit="1" customWidth="1"/>
    <col min="519" max="763" width="9.140625" style="123"/>
    <col min="764" max="764" width="3.42578125" style="123" customWidth="1"/>
    <col min="765" max="765" width="7.7109375" style="123" customWidth="1"/>
    <col min="766" max="766" width="52.28515625" style="123" customWidth="1"/>
    <col min="767" max="767" width="14.28515625" style="123" customWidth="1"/>
    <col min="768" max="768" width="12.42578125" style="123" customWidth="1"/>
    <col min="769" max="769" width="16.42578125" style="123" customWidth="1"/>
    <col min="770" max="770" width="13.42578125" style="123" customWidth="1"/>
    <col min="771" max="771" width="14.85546875" style="123" customWidth="1"/>
    <col min="772" max="772" width="11.140625" style="123" customWidth="1"/>
    <col min="773" max="773" width="13.42578125" style="123" bestFit="1" customWidth="1"/>
    <col min="774" max="774" width="10.28515625" style="123" bestFit="1" customWidth="1"/>
    <col min="775" max="1019" width="9.140625" style="123"/>
    <col min="1020" max="1020" width="3.42578125" style="123" customWidth="1"/>
    <col min="1021" max="1021" width="7.7109375" style="123" customWidth="1"/>
    <col min="1022" max="1022" width="52.28515625" style="123" customWidth="1"/>
    <col min="1023" max="1023" width="14.28515625" style="123" customWidth="1"/>
    <col min="1024" max="1024" width="12.42578125" style="123" customWidth="1"/>
    <col min="1025" max="1025" width="16.42578125" style="123" customWidth="1"/>
    <col min="1026" max="1026" width="13.42578125" style="123" customWidth="1"/>
    <col min="1027" max="1027" width="14.85546875" style="123" customWidth="1"/>
    <col min="1028" max="1028" width="11.140625" style="123" customWidth="1"/>
    <col min="1029" max="1029" width="13.42578125" style="123" bestFit="1" customWidth="1"/>
    <col min="1030" max="1030" width="10.28515625" style="123" bestFit="1" customWidth="1"/>
    <col min="1031" max="1275" width="9.140625" style="123"/>
    <col min="1276" max="1276" width="3.42578125" style="123" customWidth="1"/>
    <col min="1277" max="1277" width="7.7109375" style="123" customWidth="1"/>
    <col min="1278" max="1278" width="52.28515625" style="123" customWidth="1"/>
    <col min="1279" max="1279" width="14.28515625" style="123" customWidth="1"/>
    <col min="1280" max="1280" width="12.42578125" style="123" customWidth="1"/>
    <col min="1281" max="1281" width="16.42578125" style="123" customWidth="1"/>
    <col min="1282" max="1282" width="13.42578125" style="123" customWidth="1"/>
    <col min="1283" max="1283" width="14.85546875" style="123" customWidth="1"/>
    <col min="1284" max="1284" width="11.140625" style="123" customWidth="1"/>
    <col min="1285" max="1285" width="13.42578125" style="123" bestFit="1" customWidth="1"/>
    <col min="1286" max="1286" width="10.28515625" style="123" bestFit="1" customWidth="1"/>
    <col min="1287" max="1531" width="9.140625" style="123"/>
    <col min="1532" max="1532" width="3.42578125" style="123" customWidth="1"/>
    <col min="1533" max="1533" width="7.7109375" style="123" customWidth="1"/>
    <col min="1534" max="1534" width="52.28515625" style="123" customWidth="1"/>
    <col min="1535" max="1535" width="14.28515625" style="123" customWidth="1"/>
    <col min="1536" max="1536" width="12.42578125" style="123" customWidth="1"/>
    <col min="1537" max="1537" width="16.42578125" style="123" customWidth="1"/>
    <col min="1538" max="1538" width="13.42578125" style="123" customWidth="1"/>
    <col min="1539" max="1539" width="14.85546875" style="123" customWidth="1"/>
    <col min="1540" max="1540" width="11.140625" style="123" customWidth="1"/>
    <col min="1541" max="1541" width="13.42578125" style="123" bestFit="1" customWidth="1"/>
    <col min="1542" max="1542" width="10.28515625" style="123" bestFit="1" customWidth="1"/>
    <col min="1543" max="1787" width="9.140625" style="123"/>
    <col min="1788" max="1788" width="3.42578125" style="123" customWidth="1"/>
    <col min="1789" max="1789" width="7.7109375" style="123" customWidth="1"/>
    <col min="1790" max="1790" width="52.28515625" style="123" customWidth="1"/>
    <col min="1791" max="1791" width="14.28515625" style="123" customWidth="1"/>
    <col min="1792" max="1792" width="12.42578125" style="123" customWidth="1"/>
    <col min="1793" max="1793" width="16.42578125" style="123" customWidth="1"/>
    <col min="1794" max="1794" width="13.42578125" style="123" customWidth="1"/>
    <col min="1795" max="1795" width="14.85546875" style="123" customWidth="1"/>
    <col min="1796" max="1796" width="11.140625" style="123" customWidth="1"/>
    <col min="1797" max="1797" width="13.42578125" style="123" bestFit="1" customWidth="1"/>
    <col min="1798" max="1798" width="10.28515625" style="123" bestFit="1" customWidth="1"/>
    <col min="1799" max="2043" width="9.140625" style="123"/>
    <col min="2044" max="2044" width="3.42578125" style="123" customWidth="1"/>
    <col min="2045" max="2045" width="7.7109375" style="123" customWidth="1"/>
    <col min="2046" max="2046" width="52.28515625" style="123" customWidth="1"/>
    <col min="2047" max="2047" width="14.28515625" style="123" customWidth="1"/>
    <col min="2048" max="2048" width="12.42578125" style="123" customWidth="1"/>
    <col min="2049" max="2049" width="16.42578125" style="123" customWidth="1"/>
    <col min="2050" max="2050" width="13.42578125" style="123" customWidth="1"/>
    <col min="2051" max="2051" width="14.85546875" style="123" customWidth="1"/>
    <col min="2052" max="2052" width="11.140625" style="123" customWidth="1"/>
    <col min="2053" max="2053" width="13.42578125" style="123" bestFit="1" customWidth="1"/>
    <col min="2054" max="2054" width="10.28515625" style="123" bestFit="1" customWidth="1"/>
    <col min="2055" max="2299" width="9.140625" style="123"/>
    <col min="2300" max="2300" width="3.42578125" style="123" customWidth="1"/>
    <col min="2301" max="2301" width="7.7109375" style="123" customWidth="1"/>
    <col min="2302" max="2302" width="52.28515625" style="123" customWidth="1"/>
    <col min="2303" max="2303" width="14.28515625" style="123" customWidth="1"/>
    <col min="2304" max="2304" width="12.42578125" style="123" customWidth="1"/>
    <col min="2305" max="2305" width="16.42578125" style="123" customWidth="1"/>
    <col min="2306" max="2306" width="13.42578125" style="123" customWidth="1"/>
    <col min="2307" max="2307" width="14.85546875" style="123" customWidth="1"/>
    <col min="2308" max="2308" width="11.140625" style="123" customWidth="1"/>
    <col min="2309" max="2309" width="13.42578125" style="123" bestFit="1" customWidth="1"/>
    <col min="2310" max="2310" width="10.28515625" style="123" bestFit="1" customWidth="1"/>
    <col min="2311" max="2555" width="9.140625" style="123"/>
    <col min="2556" max="2556" width="3.42578125" style="123" customWidth="1"/>
    <col min="2557" max="2557" width="7.7109375" style="123" customWidth="1"/>
    <col min="2558" max="2558" width="52.28515625" style="123" customWidth="1"/>
    <col min="2559" max="2559" width="14.28515625" style="123" customWidth="1"/>
    <col min="2560" max="2560" width="12.42578125" style="123" customWidth="1"/>
    <col min="2561" max="2561" width="16.42578125" style="123" customWidth="1"/>
    <col min="2562" max="2562" width="13.42578125" style="123" customWidth="1"/>
    <col min="2563" max="2563" width="14.85546875" style="123" customWidth="1"/>
    <col min="2564" max="2564" width="11.140625" style="123" customWidth="1"/>
    <col min="2565" max="2565" width="13.42578125" style="123" bestFit="1" customWidth="1"/>
    <col min="2566" max="2566" width="10.28515625" style="123" bestFit="1" customWidth="1"/>
    <col min="2567" max="2811" width="9.140625" style="123"/>
    <col min="2812" max="2812" width="3.42578125" style="123" customWidth="1"/>
    <col min="2813" max="2813" width="7.7109375" style="123" customWidth="1"/>
    <col min="2814" max="2814" width="52.28515625" style="123" customWidth="1"/>
    <col min="2815" max="2815" width="14.28515625" style="123" customWidth="1"/>
    <col min="2816" max="2816" width="12.42578125" style="123" customWidth="1"/>
    <col min="2817" max="2817" width="16.42578125" style="123" customWidth="1"/>
    <col min="2818" max="2818" width="13.42578125" style="123" customWidth="1"/>
    <col min="2819" max="2819" width="14.85546875" style="123" customWidth="1"/>
    <col min="2820" max="2820" width="11.140625" style="123" customWidth="1"/>
    <col min="2821" max="2821" width="13.42578125" style="123" bestFit="1" customWidth="1"/>
    <col min="2822" max="2822" width="10.28515625" style="123" bestFit="1" customWidth="1"/>
    <col min="2823" max="3067" width="9.140625" style="123"/>
    <col min="3068" max="3068" width="3.42578125" style="123" customWidth="1"/>
    <col min="3069" max="3069" width="7.7109375" style="123" customWidth="1"/>
    <col min="3070" max="3070" width="52.28515625" style="123" customWidth="1"/>
    <col min="3071" max="3071" width="14.28515625" style="123" customWidth="1"/>
    <col min="3072" max="3072" width="12.42578125" style="123" customWidth="1"/>
    <col min="3073" max="3073" width="16.42578125" style="123" customWidth="1"/>
    <col min="3074" max="3074" width="13.42578125" style="123" customWidth="1"/>
    <col min="3075" max="3075" width="14.85546875" style="123" customWidth="1"/>
    <col min="3076" max="3076" width="11.140625" style="123" customWidth="1"/>
    <col min="3077" max="3077" width="13.42578125" style="123" bestFit="1" customWidth="1"/>
    <col min="3078" max="3078" width="10.28515625" style="123" bestFit="1" customWidth="1"/>
    <col min="3079" max="3323" width="9.140625" style="123"/>
    <col min="3324" max="3324" width="3.42578125" style="123" customWidth="1"/>
    <col min="3325" max="3325" width="7.7109375" style="123" customWidth="1"/>
    <col min="3326" max="3326" width="52.28515625" style="123" customWidth="1"/>
    <col min="3327" max="3327" width="14.28515625" style="123" customWidth="1"/>
    <col min="3328" max="3328" width="12.42578125" style="123" customWidth="1"/>
    <col min="3329" max="3329" width="16.42578125" style="123" customWidth="1"/>
    <col min="3330" max="3330" width="13.42578125" style="123" customWidth="1"/>
    <col min="3331" max="3331" width="14.85546875" style="123" customWidth="1"/>
    <col min="3332" max="3332" width="11.140625" style="123" customWidth="1"/>
    <col min="3333" max="3333" width="13.42578125" style="123" bestFit="1" customWidth="1"/>
    <col min="3334" max="3334" width="10.28515625" style="123" bestFit="1" customWidth="1"/>
    <col min="3335" max="3579" width="9.140625" style="123"/>
    <col min="3580" max="3580" width="3.42578125" style="123" customWidth="1"/>
    <col min="3581" max="3581" width="7.7109375" style="123" customWidth="1"/>
    <col min="3582" max="3582" width="52.28515625" style="123" customWidth="1"/>
    <col min="3583" max="3583" width="14.28515625" style="123" customWidth="1"/>
    <col min="3584" max="3584" width="12.42578125" style="123" customWidth="1"/>
    <col min="3585" max="3585" width="16.42578125" style="123" customWidth="1"/>
    <col min="3586" max="3586" width="13.42578125" style="123" customWidth="1"/>
    <col min="3587" max="3587" width="14.85546875" style="123" customWidth="1"/>
    <col min="3588" max="3588" width="11.140625" style="123" customWidth="1"/>
    <col min="3589" max="3589" width="13.42578125" style="123" bestFit="1" customWidth="1"/>
    <col min="3590" max="3590" width="10.28515625" style="123" bestFit="1" customWidth="1"/>
    <col min="3591" max="3835" width="9.140625" style="123"/>
    <col min="3836" max="3836" width="3.42578125" style="123" customWidth="1"/>
    <col min="3837" max="3837" width="7.7109375" style="123" customWidth="1"/>
    <col min="3838" max="3838" width="52.28515625" style="123" customWidth="1"/>
    <col min="3839" max="3839" width="14.28515625" style="123" customWidth="1"/>
    <col min="3840" max="3840" width="12.42578125" style="123" customWidth="1"/>
    <col min="3841" max="3841" width="16.42578125" style="123" customWidth="1"/>
    <col min="3842" max="3842" width="13.42578125" style="123" customWidth="1"/>
    <col min="3843" max="3843" width="14.85546875" style="123" customWidth="1"/>
    <col min="3844" max="3844" width="11.140625" style="123" customWidth="1"/>
    <col min="3845" max="3845" width="13.42578125" style="123" bestFit="1" customWidth="1"/>
    <col min="3846" max="3846" width="10.28515625" style="123" bestFit="1" customWidth="1"/>
    <col min="3847" max="4091" width="9.140625" style="123"/>
    <col min="4092" max="4092" width="3.42578125" style="123" customWidth="1"/>
    <col min="4093" max="4093" width="7.7109375" style="123" customWidth="1"/>
    <col min="4094" max="4094" width="52.28515625" style="123" customWidth="1"/>
    <col min="4095" max="4095" width="14.28515625" style="123" customWidth="1"/>
    <col min="4096" max="4096" width="12.42578125" style="123" customWidth="1"/>
    <col min="4097" max="4097" width="16.42578125" style="123" customWidth="1"/>
    <col min="4098" max="4098" width="13.42578125" style="123" customWidth="1"/>
    <col min="4099" max="4099" width="14.85546875" style="123" customWidth="1"/>
    <col min="4100" max="4100" width="11.140625" style="123" customWidth="1"/>
    <col min="4101" max="4101" width="13.42578125" style="123" bestFit="1" customWidth="1"/>
    <col min="4102" max="4102" width="10.28515625" style="123" bestFit="1" customWidth="1"/>
    <col min="4103" max="4347" width="9.140625" style="123"/>
    <col min="4348" max="4348" width="3.42578125" style="123" customWidth="1"/>
    <col min="4349" max="4349" width="7.7109375" style="123" customWidth="1"/>
    <col min="4350" max="4350" width="52.28515625" style="123" customWidth="1"/>
    <col min="4351" max="4351" width="14.28515625" style="123" customWidth="1"/>
    <col min="4352" max="4352" width="12.42578125" style="123" customWidth="1"/>
    <col min="4353" max="4353" width="16.42578125" style="123" customWidth="1"/>
    <col min="4354" max="4354" width="13.42578125" style="123" customWidth="1"/>
    <col min="4355" max="4355" width="14.85546875" style="123" customWidth="1"/>
    <col min="4356" max="4356" width="11.140625" style="123" customWidth="1"/>
    <col min="4357" max="4357" width="13.42578125" style="123" bestFit="1" customWidth="1"/>
    <col min="4358" max="4358" width="10.28515625" style="123" bestFit="1" customWidth="1"/>
    <col min="4359" max="4603" width="9.140625" style="123"/>
    <col min="4604" max="4604" width="3.42578125" style="123" customWidth="1"/>
    <col min="4605" max="4605" width="7.7109375" style="123" customWidth="1"/>
    <col min="4606" max="4606" width="52.28515625" style="123" customWidth="1"/>
    <col min="4607" max="4607" width="14.28515625" style="123" customWidth="1"/>
    <col min="4608" max="4608" width="12.42578125" style="123" customWidth="1"/>
    <col min="4609" max="4609" width="16.42578125" style="123" customWidth="1"/>
    <col min="4610" max="4610" width="13.42578125" style="123" customWidth="1"/>
    <col min="4611" max="4611" width="14.85546875" style="123" customWidth="1"/>
    <col min="4612" max="4612" width="11.140625" style="123" customWidth="1"/>
    <col min="4613" max="4613" width="13.42578125" style="123" bestFit="1" customWidth="1"/>
    <col min="4614" max="4614" width="10.28515625" style="123" bestFit="1" customWidth="1"/>
    <col min="4615" max="4859" width="9.140625" style="123"/>
    <col min="4860" max="4860" width="3.42578125" style="123" customWidth="1"/>
    <col min="4861" max="4861" width="7.7109375" style="123" customWidth="1"/>
    <col min="4862" max="4862" width="52.28515625" style="123" customWidth="1"/>
    <col min="4863" max="4863" width="14.28515625" style="123" customWidth="1"/>
    <col min="4864" max="4864" width="12.42578125" style="123" customWidth="1"/>
    <col min="4865" max="4865" width="16.42578125" style="123" customWidth="1"/>
    <col min="4866" max="4866" width="13.42578125" style="123" customWidth="1"/>
    <col min="4867" max="4867" width="14.85546875" style="123" customWidth="1"/>
    <col min="4868" max="4868" width="11.140625" style="123" customWidth="1"/>
    <col min="4869" max="4869" width="13.42578125" style="123" bestFit="1" customWidth="1"/>
    <col min="4870" max="4870" width="10.28515625" style="123" bestFit="1" customWidth="1"/>
    <col min="4871" max="5115" width="9.140625" style="123"/>
    <col min="5116" max="5116" width="3.42578125" style="123" customWidth="1"/>
    <col min="5117" max="5117" width="7.7109375" style="123" customWidth="1"/>
    <col min="5118" max="5118" width="52.28515625" style="123" customWidth="1"/>
    <col min="5119" max="5119" width="14.28515625" style="123" customWidth="1"/>
    <col min="5120" max="5120" width="12.42578125" style="123" customWidth="1"/>
    <col min="5121" max="5121" width="16.42578125" style="123" customWidth="1"/>
    <col min="5122" max="5122" width="13.42578125" style="123" customWidth="1"/>
    <col min="5123" max="5123" width="14.85546875" style="123" customWidth="1"/>
    <col min="5124" max="5124" width="11.140625" style="123" customWidth="1"/>
    <col min="5125" max="5125" width="13.42578125" style="123" bestFit="1" customWidth="1"/>
    <col min="5126" max="5126" width="10.28515625" style="123" bestFit="1" customWidth="1"/>
    <col min="5127" max="5371" width="9.140625" style="123"/>
    <col min="5372" max="5372" width="3.42578125" style="123" customWidth="1"/>
    <col min="5373" max="5373" width="7.7109375" style="123" customWidth="1"/>
    <col min="5374" max="5374" width="52.28515625" style="123" customWidth="1"/>
    <col min="5375" max="5375" width="14.28515625" style="123" customWidth="1"/>
    <col min="5376" max="5376" width="12.42578125" style="123" customWidth="1"/>
    <col min="5377" max="5377" width="16.42578125" style="123" customWidth="1"/>
    <col min="5378" max="5378" width="13.42578125" style="123" customWidth="1"/>
    <col min="5379" max="5379" width="14.85546875" style="123" customWidth="1"/>
    <col min="5380" max="5380" width="11.140625" style="123" customWidth="1"/>
    <col min="5381" max="5381" width="13.42578125" style="123" bestFit="1" customWidth="1"/>
    <col min="5382" max="5382" width="10.28515625" style="123" bestFit="1" customWidth="1"/>
    <col min="5383" max="5627" width="9.140625" style="123"/>
    <col min="5628" max="5628" width="3.42578125" style="123" customWidth="1"/>
    <col min="5629" max="5629" width="7.7109375" style="123" customWidth="1"/>
    <col min="5630" max="5630" width="52.28515625" style="123" customWidth="1"/>
    <col min="5631" max="5631" width="14.28515625" style="123" customWidth="1"/>
    <col min="5632" max="5632" width="12.42578125" style="123" customWidth="1"/>
    <col min="5633" max="5633" width="16.42578125" style="123" customWidth="1"/>
    <col min="5634" max="5634" width="13.42578125" style="123" customWidth="1"/>
    <col min="5635" max="5635" width="14.85546875" style="123" customWidth="1"/>
    <col min="5636" max="5636" width="11.140625" style="123" customWidth="1"/>
    <col min="5637" max="5637" width="13.42578125" style="123" bestFit="1" customWidth="1"/>
    <col min="5638" max="5638" width="10.28515625" style="123" bestFit="1" customWidth="1"/>
    <col min="5639" max="5883" width="9.140625" style="123"/>
    <col min="5884" max="5884" width="3.42578125" style="123" customWidth="1"/>
    <col min="5885" max="5885" width="7.7109375" style="123" customWidth="1"/>
    <col min="5886" max="5886" width="52.28515625" style="123" customWidth="1"/>
    <col min="5887" max="5887" width="14.28515625" style="123" customWidth="1"/>
    <col min="5888" max="5888" width="12.42578125" style="123" customWidth="1"/>
    <col min="5889" max="5889" width="16.42578125" style="123" customWidth="1"/>
    <col min="5890" max="5890" width="13.42578125" style="123" customWidth="1"/>
    <col min="5891" max="5891" width="14.85546875" style="123" customWidth="1"/>
    <col min="5892" max="5892" width="11.140625" style="123" customWidth="1"/>
    <col min="5893" max="5893" width="13.42578125" style="123" bestFit="1" customWidth="1"/>
    <col min="5894" max="5894" width="10.28515625" style="123" bestFit="1" customWidth="1"/>
    <col min="5895" max="6139" width="9.140625" style="123"/>
    <col min="6140" max="6140" width="3.42578125" style="123" customWidth="1"/>
    <col min="6141" max="6141" width="7.7109375" style="123" customWidth="1"/>
    <col min="6142" max="6142" width="52.28515625" style="123" customWidth="1"/>
    <col min="6143" max="6143" width="14.28515625" style="123" customWidth="1"/>
    <col min="6144" max="6144" width="12.42578125" style="123" customWidth="1"/>
    <col min="6145" max="6145" width="16.42578125" style="123" customWidth="1"/>
    <col min="6146" max="6146" width="13.42578125" style="123" customWidth="1"/>
    <col min="6147" max="6147" width="14.85546875" style="123" customWidth="1"/>
    <col min="6148" max="6148" width="11.140625" style="123" customWidth="1"/>
    <col min="6149" max="6149" width="13.42578125" style="123" bestFit="1" customWidth="1"/>
    <col min="6150" max="6150" width="10.28515625" style="123" bestFit="1" customWidth="1"/>
    <col min="6151" max="6395" width="9.140625" style="123"/>
    <col min="6396" max="6396" width="3.42578125" style="123" customWidth="1"/>
    <col min="6397" max="6397" width="7.7109375" style="123" customWidth="1"/>
    <col min="6398" max="6398" width="52.28515625" style="123" customWidth="1"/>
    <col min="6399" max="6399" width="14.28515625" style="123" customWidth="1"/>
    <col min="6400" max="6400" width="12.42578125" style="123" customWidth="1"/>
    <col min="6401" max="6401" width="16.42578125" style="123" customWidth="1"/>
    <col min="6402" max="6402" width="13.42578125" style="123" customWidth="1"/>
    <col min="6403" max="6403" width="14.85546875" style="123" customWidth="1"/>
    <col min="6404" max="6404" width="11.140625" style="123" customWidth="1"/>
    <col min="6405" max="6405" width="13.42578125" style="123" bestFit="1" customWidth="1"/>
    <col min="6406" max="6406" width="10.28515625" style="123" bestFit="1" customWidth="1"/>
    <col min="6407" max="6651" width="9.140625" style="123"/>
    <col min="6652" max="6652" width="3.42578125" style="123" customWidth="1"/>
    <col min="6653" max="6653" width="7.7109375" style="123" customWidth="1"/>
    <col min="6654" max="6654" width="52.28515625" style="123" customWidth="1"/>
    <col min="6655" max="6655" width="14.28515625" style="123" customWidth="1"/>
    <col min="6656" max="6656" width="12.42578125" style="123" customWidth="1"/>
    <col min="6657" max="6657" width="16.42578125" style="123" customWidth="1"/>
    <col min="6658" max="6658" width="13.42578125" style="123" customWidth="1"/>
    <col min="6659" max="6659" width="14.85546875" style="123" customWidth="1"/>
    <col min="6660" max="6660" width="11.140625" style="123" customWidth="1"/>
    <col min="6661" max="6661" width="13.42578125" style="123" bestFit="1" customWidth="1"/>
    <col min="6662" max="6662" width="10.28515625" style="123" bestFit="1" customWidth="1"/>
    <col min="6663" max="6907" width="9.140625" style="123"/>
    <col min="6908" max="6908" width="3.42578125" style="123" customWidth="1"/>
    <col min="6909" max="6909" width="7.7109375" style="123" customWidth="1"/>
    <col min="6910" max="6910" width="52.28515625" style="123" customWidth="1"/>
    <col min="6911" max="6911" width="14.28515625" style="123" customWidth="1"/>
    <col min="6912" max="6912" width="12.42578125" style="123" customWidth="1"/>
    <col min="6913" max="6913" width="16.42578125" style="123" customWidth="1"/>
    <col min="6914" max="6914" width="13.42578125" style="123" customWidth="1"/>
    <col min="6915" max="6915" width="14.85546875" style="123" customWidth="1"/>
    <col min="6916" max="6916" width="11.140625" style="123" customWidth="1"/>
    <col min="6917" max="6917" width="13.42578125" style="123" bestFit="1" customWidth="1"/>
    <col min="6918" max="6918" width="10.28515625" style="123" bestFit="1" customWidth="1"/>
    <col min="6919" max="7163" width="9.140625" style="123"/>
    <col min="7164" max="7164" width="3.42578125" style="123" customWidth="1"/>
    <col min="7165" max="7165" width="7.7109375" style="123" customWidth="1"/>
    <col min="7166" max="7166" width="52.28515625" style="123" customWidth="1"/>
    <col min="7167" max="7167" width="14.28515625" style="123" customWidth="1"/>
    <col min="7168" max="7168" width="12.42578125" style="123" customWidth="1"/>
    <col min="7169" max="7169" width="16.42578125" style="123" customWidth="1"/>
    <col min="7170" max="7170" width="13.42578125" style="123" customWidth="1"/>
    <col min="7171" max="7171" width="14.85546875" style="123" customWidth="1"/>
    <col min="7172" max="7172" width="11.140625" style="123" customWidth="1"/>
    <col min="7173" max="7173" width="13.42578125" style="123" bestFit="1" customWidth="1"/>
    <col min="7174" max="7174" width="10.28515625" style="123" bestFit="1" customWidth="1"/>
    <col min="7175" max="7419" width="9.140625" style="123"/>
    <col min="7420" max="7420" width="3.42578125" style="123" customWidth="1"/>
    <col min="7421" max="7421" width="7.7109375" style="123" customWidth="1"/>
    <col min="7422" max="7422" width="52.28515625" style="123" customWidth="1"/>
    <col min="7423" max="7423" width="14.28515625" style="123" customWidth="1"/>
    <col min="7424" max="7424" width="12.42578125" style="123" customWidth="1"/>
    <col min="7425" max="7425" width="16.42578125" style="123" customWidth="1"/>
    <col min="7426" max="7426" width="13.42578125" style="123" customWidth="1"/>
    <col min="7427" max="7427" width="14.85546875" style="123" customWidth="1"/>
    <col min="7428" max="7428" width="11.140625" style="123" customWidth="1"/>
    <col min="7429" max="7429" width="13.42578125" style="123" bestFit="1" customWidth="1"/>
    <col min="7430" max="7430" width="10.28515625" style="123" bestFit="1" customWidth="1"/>
    <col min="7431" max="7675" width="9.140625" style="123"/>
    <col min="7676" max="7676" width="3.42578125" style="123" customWidth="1"/>
    <col min="7677" max="7677" width="7.7109375" style="123" customWidth="1"/>
    <col min="7678" max="7678" width="52.28515625" style="123" customWidth="1"/>
    <col min="7679" max="7679" width="14.28515625" style="123" customWidth="1"/>
    <col min="7680" max="7680" width="12.42578125" style="123" customWidth="1"/>
    <col min="7681" max="7681" width="16.42578125" style="123" customWidth="1"/>
    <col min="7682" max="7682" width="13.42578125" style="123" customWidth="1"/>
    <col min="7683" max="7683" width="14.85546875" style="123" customWidth="1"/>
    <col min="7684" max="7684" width="11.140625" style="123" customWidth="1"/>
    <col min="7685" max="7685" width="13.42578125" style="123" bestFit="1" customWidth="1"/>
    <col min="7686" max="7686" width="10.28515625" style="123" bestFit="1" customWidth="1"/>
    <col min="7687" max="7931" width="9.140625" style="123"/>
    <col min="7932" max="7932" width="3.42578125" style="123" customWidth="1"/>
    <col min="7933" max="7933" width="7.7109375" style="123" customWidth="1"/>
    <col min="7934" max="7934" width="52.28515625" style="123" customWidth="1"/>
    <col min="7935" max="7935" width="14.28515625" style="123" customWidth="1"/>
    <col min="7936" max="7936" width="12.42578125" style="123" customWidth="1"/>
    <col min="7937" max="7937" width="16.42578125" style="123" customWidth="1"/>
    <col min="7938" max="7938" width="13.42578125" style="123" customWidth="1"/>
    <col min="7939" max="7939" width="14.85546875" style="123" customWidth="1"/>
    <col min="7940" max="7940" width="11.140625" style="123" customWidth="1"/>
    <col min="7941" max="7941" width="13.42578125" style="123" bestFit="1" customWidth="1"/>
    <col min="7942" max="7942" width="10.28515625" style="123" bestFit="1" customWidth="1"/>
    <col min="7943" max="8187" width="9.140625" style="123"/>
    <col min="8188" max="8188" width="3.42578125" style="123" customWidth="1"/>
    <col min="8189" max="8189" width="7.7109375" style="123" customWidth="1"/>
    <col min="8190" max="8190" width="52.28515625" style="123" customWidth="1"/>
    <col min="8191" max="8191" width="14.28515625" style="123" customWidth="1"/>
    <col min="8192" max="8192" width="12.42578125" style="123" customWidth="1"/>
    <col min="8193" max="8193" width="16.42578125" style="123" customWidth="1"/>
    <col min="8194" max="8194" width="13.42578125" style="123" customWidth="1"/>
    <col min="8195" max="8195" width="14.85546875" style="123" customWidth="1"/>
    <col min="8196" max="8196" width="11.140625" style="123" customWidth="1"/>
    <col min="8197" max="8197" width="13.42578125" style="123" bestFit="1" customWidth="1"/>
    <col min="8198" max="8198" width="10.28515625" style="123" bestFit="1" customWidth="1"/>
    <col min="8199" max="8443" width="9.140625" style="123"/>
    <col min="8444" max="8444" width="3.42578125" style="123" customWidth="1"/>
    <col min="8445" max="8445" width="7.7109375" style="123" customWidth="1"/>
    <col min="8446" max="8446" width="52.28515625" style="123" customWidth="1"/>
    <col min="8447" max="8447" width="14.28515625" style="123" customWidth="1"/>
    <col min="8448" max="8448" width="12.42578125" style="123" customWidth="1"/>
    <col min="8449" max="8449" width="16.42578125" style="123" customWidth="1"/>
    <col min="8450" max="8450" width="13.42578125" style="123" customWidth="1"/>
    <col min="8451" max="8451" width="14.85546875" style="123" customWidth="1"/>
    <col min="8452" max="8452" width="11.140625" style="123" customWidth="1"/>
    <col min="8453" max="8453" width="13.42578125" style="123" bestFit="1" customWidth="1"/>
    <col min="8454" max="8454" width="10.28515625" style="123" bestFit="1" customWidth="1"/>
    <col min="8455" max="8699" width="9.140625" style="123"/>
    <col min="8700" max="8700" width="3.42578125" style="123" customWidth="1"/>
    <col min="8701" max="8701" width="7.7109375" style="123" customWidth="1"/>
    <col min="8702" max="8702" width="52.28515625" style="123" customWidth="1"/>
    <col min="8703" max="8703" width="14.28515625" style="123" customWidth="1"/>
    <col min="8704" max="8704" width="12.42578125" style="123" customWidth="1"/>
    <col min="8705" max="8705" width="16.42578125" style="123" customWidth="1"/>
    <col min="8706" max="8706" width="13.42578125" style="123" customWidth="1"/>
    <col min="8707" max="8707" width="14.85546875" style="123" customWidth="1"/>
    <col min="8708" max="8708" width="11.140625" style="123" customWidth="1"/>
    <col min="8709" max="8709" width="13.42578125" style="123" bestFit="1" customWidth="1"/>
    <col min="8710" max="8710" width="10.28515625" style="123" bestFit="1" customWidth="1"/>
    <col min="8711" max="8955" width="9.140625" style="123"/>
    <col min="8956" max="8956" width="3.42578125" style="123" customWidth="1"/>
    <col min="8957" max="8957" width="7.7109375" style="123" customWidth="1"/>
    <col min="8958" max="8958" width="52.28515625" style="123" customWidth="1"/>
    <col min="8959" max="8959" width="14.28515625" style="123" customWidth="1"/>
    <col min="8960" max="8960" width="12.42578125" style="123" customWidth="1"/>
    <col min="8961" max="8961" width="16.42578125" style="123" customWidth="1"/>
    <col min="8962" max="8962" width="13.42578125" style="123" customWidth="1"/>
    <col min="8963" max="8963" width="14.85546875" style="123" customWidth="1"/>
    <col min="8964" max="8964" width="11.140625" style="123" customWidth="1"/>
    <col min="8965" max="8965" width="13.42578125" style="123" bestFit="1" customWidth="1"/>
    <col min="8966" max="8966" width="10.28515625" style="123" bestFit="1" customWidth="1"/>
    <col min="8967" max="9211" width="9.140625" style="123"/>
    <col min="9212" max="9212" width="3.42578125" style="123" customWidth="1"/>
    <col min="9213" max="9213" width="7.7109375" style="123" customWidth="1"/>
    <col min="9214" max="9214" width="52.28515625" style="123" customWidth="1"/>
    <col min="9215" max="9215" width="14.28515625" style="123" customWidth="1"/>
    <col min="9216" max="9216" width="12.42578125" style="123" customWidth="1"/>
    <col min="9217" max="9217" width="16.42578125" style="123" customWidth="1"/>
    <col min="9218" max="9218" width="13.42578125" style="123" customWidth="1"/>
    <col min="9219" max="9219" width="14.85546875" style="123" customWidth="1"/>
    <col min="9220" max="9220" width="11.140625" style="123" customWidth="1"/>
    <col min="9221" max="9221" width="13.42578125" style="123" bestFit="1" customWidth="1"/>
    <col min="9222" max="9222" width="10.28515625" style="123" bestFit="1" customWidth="1"/>
    <col min="9223" max="9467" width="9.140625" style="123"/>
    <col min="9468" max="9468" width="3.42578125" style="123" customWidth="1"/>
    <col min="9469" max="9469" width="7.7109375" style="123" customWidth="1"/>
    <col min="9470" max="9470" width="52.28515625" style="123" customWidth="1"/>
    <col min="9471" max="9471" width="14.28515625" style="123" customWidth="1"/>
    <col min="9472" max="9472" width="12.42578125" style="123" customWidth="1"/>
    <col min="9473" max="9473" width="16.42578125" style="123" customWidth="1"/>
    <col min="9474" max="9474" width="13.42578125" style="123" customWidth="1"/>
    <col min="9475" max="9475" width="14.85546875" style="123" customWidth="1"/>
    <col min="9476" max="9476" width="11.140625" style="123" customWidth="1"/>
    <col min="9477" max="9477" width="13.42578125" style="123" bestFit="1" customWidth="1"/>
    <col min="9478" max="9478" width="10.28515625" style="123" bestFit="1" customWidth="1"/>
    <col min="9479" max="9723" width="9.140625" style="123"/>
    <col min="9724" max="9724" width="3.42578125" style="123" customWidth="1"/>
    <col min="9725" max="9725" width="7.7109375" style="123" customWidth="1"/>
    <col min="9726" max="9726" width="52.28515625" style="123" customWidth="1"/>
    <col min="9727" max="9727" width="14.28515625" style="123" customWidth="1"/>
    <col min="9728" max="9728" width="12.42578125" style="123" customWidth="1"/>
    <col min="9729" max="9729" width="16.42578125" style="123" customWidth="1"/>
    <col min="9730" max="9730" width="13.42578125" style="123" customWidth="1"/>
    <col min="9731" max="9731" width="14.85546875" style="123" customWidth="1"/>
    <col min="9732" max="9732" width="11.140625" style="123" customWidth="1"/>
    <col min="9733" max="9733" width="13.42578125" style="123" bestFit="1" customWidth="1"/>
    <col min="9734" max="9734" width="10.28515625" style="123" bestFit="1" customWidth="1"/>
    <col min="9735" max="9979" width="9.140625" style="123"/>
    <col min="9980" max="9980" width="3.42578125" style="123" customWidth="1"/>
    <col min="9981" max="9981" width="7.7109375" style="123" customWidth="1"/>
    <col min="9982" max="9982" width="52.28515625" style="123" customWidth="1"/>
    <col min="9983" max="9983" width="14.28515625" style="123" customWidth="1"/>
    <col min="9984" max="9984" width="12.42578125" style="123" customWidth="1"/>
    <col min="9985" max="9985" width="16.42578125" style="123" customWidth="1"/>
    <col min="9986" max="9986" width="13.42578125" style="123" customWidth="1"/>
    <col min="9987" max="9987" width="14.85546875" style="123" customWidth="1"/>
    <col min="9988" max="9988" width="11.140625" style="123" customWidth="1"/>
    <col min="9989" max="9989" width="13.42578125" style="123" bestFit="1" customWidth="1"/>
    <col min="9990" max="9990" width="10.28515625" style="123" bestFit="1" customWidth="1"/>
    <col min="9991" max="10235" width="9.140625" style="123"/>
    <col min="10236" max="10236" width="3.42578125" style="123" customWidth="1"/>
    <col min="10237" max="10237" width="7.7109375" style="123" customWidth="1"/>
    <col min="10238" max="10238" width="52.28515625" style="123" customWidth="1"/>
    <col min="10239" max="10239" width="14.28515625" style="123" customWidth="1"/>
    <col min="10240" max="10240" width="12.42578125" style="123" customWidth="1"/>
    <col min="10241" max="10241" width="16.42578125" style="123" customWidth="1"/>
    <col min="10242" max="10242" width="13.42578125" style="123" customWidth="1"/>
    <col min="10243" max="10243" width="14.85546875" style="123" customWidth="1"/>
    <col min="10244" max="10244" width="11.140625" style="123" customWidth="1"/>
    <col min="10245" max="10245" width="13.42578125" style="123" bestFit="1" customWidth="1"/>
    <col min="10246" max="10246" width="10.28515625" style="123" bestFit="1" customWidth="1"/>
    <col min="10247" max="10491" width="9.140625" style="123"/>
    <col min="10492" max="10492" width="3.42578125" style="123" customWidth="1"/>
    <col min="10493" max="10493" width="7.7109375" style="123" customWidth="1"/>
    <col min="10494" max="10494" width="52.28515625" style="123" customWidth="1"/>
    <col min="10495" max="10495" width="14.28515625" style="123" customWidth="1"/>
    <col min="10496" max="10496" width="12.42578125" style="123" customWidth="1"/>
    <col min="10497" max="10497" width="16.42578125" style="123" customWidth="1"/>
    <col min="10498" max="10498" width="13.42578125" style="123" customWidth="1"/>
    <col min="10499" max="10499" width="14.85546875" style="123" customWidth="1"/>
    <col min="10500" max="10500" width="11.140625" style="123" customWidth="1"/>
    <col min="10501" max="10501" width="13.42578125" style="123" bestFit="1" customWidth="1"/>
    <col min="10502" max="10502" width="10.28515625" style="123" bestFit="1" customWidth="1"/>
    <col min="10503" max="10747" width="9.140625" style="123"/>
    <col min="10748" max="10748" width="3.42578125" style="123" customWidth="1"/>
    <col min="10749" max="10749" width="7.7109375" style="123" customWidth="1"/>
    <col min="10750" max="10750" width="52.28515625" style="123" customWidth="1"/>
    <col min="10751" max="10751" width="14.28515625" style="123" customWidth="1"/>
    <col min="10752" max="10752" width="12.42578125" style="123" customWidth="1"/>
    <col min="10753" max="10753" width="16.42578125" style="123" customWidth="1"/>
    <col min="10754" max="10754" width="13.42578125" style="123" customWidth="1"/>
    <col min="10755" max="10755" width="14.85546875" style="123" customWidth="1"/>
    <col min="10756" max="10756" width="11.140625" style="123" customWidth="1"/>
    <col min="10757" max="10757" width="13.42578125" style="123" bestFit="1" customWidth="1"/>
    <col min="10758" max="10758" width="10.28515625" style="123" bestFit="1" customWidth="1"/>
    <col min="10759" max="11003" width="9.140625" style="123"/>
    <col min="11004" max="11004" width="3.42578125" style="123" customWidth="1"/>
    <col min="11005" max="11005" width="7.7109375" style="123" customWidth="1"/>
    <col min="11006" max="11006" width="52.28515625" style="123" customWidth="1"/>
    <col min="11007" max="11007" width="14.28515625" style="123" customWidth="1"/>
    <col min="11008" max="11008" width="12.42578125" style="123" customWidth="1"/>
    <col min="11009" max="11009" width="16.42578125" style="123" customWidth="1"/>
    <col min="11010" max="11010" width="13.42578125" style="123" customWidth="1"/>
    <col min="11011" max="11011" width="14.85546875" style="123" customWidth="1"/>
    <col min="11012" max="11012" width="11.140625" style="123" customWidth="1"/>
    <col min="11013" max="11013" width="13.42578125" style="123" bestFit="1" customWidth="1"/>
    <col min="11014" max="11014" width="10.28515625" style="123" bestFit="1" customWidth="1"/>
    <col min="11015" max="11259" width="9.140625" style="123"/>
    <col min="11260" max="11260" width="3.42578125" style="123" customWidth="1"/>
    <col min="11261" max="11261" width="7.7109375" style="123" customWidth="1"/>
    <col min="11262" max="11262" width="52.28515625" style="123" customWidth="1"/>
    <col min="11263" max="11263" width="14.28515625" style="123" customWidth="1"/>
    <col min="11264" max="11264" width="12.42578125" style="123" customWidth="1"/>
    <col min="11265" max="11265" width="16.42578125" style="123" customWidth="1"/>
    <col min="11266" max="11266" width="13.42578125" style="123" customWidth="1"/>
    <col min="11267" max="11267" width="14.85546875" style="123" customWidth="1"/>
    <col min="11268" max="11268" width="11.140625" style="123" customWidth="1"/>
    <col min="11269" max="11269" width="13.42578125" style="123" bestFit="1" customWidth="1"/>
    <col min="11270" max="11270" width="10.28515625" style="123" bestFit="1" customWidth="1"/>
    <col min="11271" max="11515" width="9.140625" style="123"/>
    <col min="11516" max="11516" width="3.42578125" style="123" customWidth="1"/>
    <col min="11517" max="11517" width="7.7109375" style="123" customWidth="1"/>
    <col min="11518" max="11518" width="52.28515625" style="123" customWidth="1"/>
    <col min="11519" max="11519" width="14.28515625" style="123" customWidth="1"/>
    <col min="11520" max="11520" width="12.42578125" style="123" customWidth="1"/>
    <col min="11521" max="11521" width="16.42578125" style="123" customWidth="1"/>
    <col min="11522" max="11522" width="13.42578125" style="123" customWidth="1"/>
    <col min="11523" max="11523" width="14.85546875" style="123" customWidth="1"/>
    <col min="11524" max="11524" width="11.140625" style="123" customWidth="1"/>
    <col min="11525" max="11525" width="13.42578125" style="123" bestFit="1" customWidth="1"/>
    <col min="11526" max="11526" width="10.28515625" style="123" bestFit="1" customWidth="1"/>
    <col min="11527" max="11771" width="9.140625" style="123"/>
    <col min="11772" max="11772" width="3.42578125" style="123" customWidth="1"/>
    <col min="11773" max="11773" width="7.7109375" style="123" customWidth="1"/>
    <col min="11774" max="11774" width="52.28515625" style="123" customWidth="1"/>
    <col min="11775" max="11775" width="14.28515625" style="123" customWidth="1"/>
    <col min="11776" max="11776" width="12.42578125" style="123" customWidth="1"/>
    <col min="11777" max="11777" width="16.42578125" style="123" customWidth="1"/>
    <col min="11778" max="11778" width="13.42578125" style="123" customWidth="1"/>
    <col min="11779" max="11779" width="14.85546875" style="123" customWidth="1"/>
    <col min="11780" max="11780" width="11.140625" style="123" customWidth="1"/>
    <col min="11781" max="11781" width="13.42578125" style="123" bestFit="1" customWidth="1"/>
    <col min="11782" max="11782" width="10.28515625" style="123" bestFit="1" customWidth="1"/>
    <col min="11783" max="12027" width="9.140625" style="123"/>
    <col min="12028" max="12028" width="3.42578125" style="123" customWidth="1"/>
    <col min="12029" max="12029" width="7.7109375" style="123" customWidth="1"/>
    <col min="12030" max="12030" width="52.28515625" style="123" customWidth="1"/>
    <col min="12031" max="12031" width="14.28515625" style="123" customWidth="1"/>
    <col min="12032" max="12032" width="12.42578125" style="123" customWidth="1"/>
    <col min="12033" max="12033" width="16.42578125" style="123" customWidth="1"/>
    <col min="12034" max="12034" width="13.42578125" style="123" customWidth="1"/>
    <col min="12035" max="12035" width="14.85546875" style="123" customWidth="1"/>
    <col min="12036" max="12036" width="11.140625" style="123" customWidth="1"/>
    <col min="12037" max="12037" width="13.42578125" style="123" bestFit="1" customWidth="1"/>
    <col min="12038" max="12038" width="10.28515625" style="123" bestFit="1" customWidth="1"/>
    <col min="12039" max="12283" width="9.140625" style="123"/>
    <col min="12284" max="12284" width="3.42578125" style="123" customWidth="1"/>
    <col min="12285" max="12285" width="7.7109375" style="123" customWidth="1"/>
    <col min="12286" max="12286" width="52.28515625" style="123" customWidth="1"/>
    <col min="12287" max="12287" width="14.28515625" style="123" customWidth="1"/>
    <col min="12288" max="12288" width="12.42578125" style="123" customWidth="1"/>
    <col min="12289" max="12289" width="16.42578125" style="123" customWidth="1"/>
    <col min="12290" max="12290" width="13.42578125" style="123" customWidth="1"/>
    <col min="12291" max="12291" width="14.85546875" style="123" customWidth="1"/>
    <col min="12292" max="12292" width="11.140625" style="123" customWidth="1"/>
    <col min="12293" max="12293" width="13.42578125" style="123" bestFit="1" customWidth="1"/>
    <col min="12294" max="12294" width="10.28515625" style="123" bestFit="1" customWidth="1"/>
    <col min="12295" max="12539" width="9.140625" style="123"/>
    <col min="12540" max="12540" width="3.42578125" style="123" customWidth="1"/>
    <col min="12541" max="12541" width="7.7109375" style="123" customWidth="1"/>
    <col min="12542" max="12542" width="52.28515625" style="123" customWidth="1"/>
    <col min="12543" max="12543" width="14.28515625" style="123" customWidth="1"/>
    <col min="12544" max="12544" width="12.42578125" style="123" customWidth="1"/>
    <col min="12545" max="12545" width="16.42578125" style="123" customWidth="1"/>
    <col min="12546" max="12546" width="13.42578125" style="123" customWidth="1"/>
    <col min="12547" max="12547" width="14.85546875" style="123" customWidth="1"/>
    <col min="12548" max="12548" width="11.140625" style="123" customWidth="1"/>
    <col min="12549" max="12549" width="13.42578125" style="123" bestFit="1" customWidth="1"/>
    <col min="12550" max="12550" width="10.28515625" style="123" bestFit="1" customWidth="1"/>
    <col min="12551" max="12795" width="9.140625" style="123"/>
    <col min="12796" max="12796" width="3.42578125" style="123" customWidth="1"/>
    <col min="12797" max="12797" width="7.7109375" style="123" customWidth="1"/>
    <col min="12798" max="12798" width="52.28515625" style="123" customWidth="1"/>
    <col min="12799" max="12799" width="14.28515625" style="123" customWidth="1"/>
    <col min="12800" max="12800" width="12.42578125" style="123" customWidth="1"/>
    <col min="12801" max="12801" width="16.42578125" style="123" customWidth="1"/>
    <col min="12802" max="12802" width="13.42578125" style="123" customWidth="1"/>
    <col min="12803" max="12803" width="14.85546875" style="123" customWidth="1"/>
    <col min="12804" max="12804" width="11.140625" style="123" customWidth="1"/>
    <col min="12805" max="12805" width="13.42578125" style="123" bestFit="1" customWidth="1"/>
    <col min="12806" max="12806" width="10.28515625" style="123" bestFit="1" customWidth="1"/>
    <col min="12807" max="13051" width="9.140625" style="123"/>
    <col min="13052" max="13052" width="3.42578125" style="123" customWidth="1"/>
    <col min="13053" max="13053" width="7.7109375" style="123" customWidth="1"/>
    <col min="13054" max="13054" width="52.28515625" style="123" customWidth="1"/>
    <col min="13055" max="13055" width="14.28515625" style="123" customWidth="1"/>
    <col min="13056" max="13056" width="12.42578125" style="123" customWidth="1"/>
    <col min="13057" max="13057" width="16.42578125" style="123" customWidth="1"/>
    <col min="13058" max="13058" width="13.42578125" style="123" customWidth="1"/>
    <col min="13059" max="13059" width="14.85546875" style="123" customWidth="1"/>
    <col min="13060" max="13060" width="11.140625" style="123" customWidth="1"/>
    <col min="13061" max="13061" width="13.42578125" style="123" bestFit="1" customWidth="1"/>
    <col min="13062" max="13062" width="10.28515625" style="123" bestFit="1" customWidth="1"/>
    <col min="13063" max="13307" width="9.140625" style="123"/>
    <col min="13308" max="13308" width="3.42578125" style="123" customWidth="1"/>
    <col min="13309" max="13309" width="7.7109375" style="123" customWidth="1"/>
    <col min="13310" max="13310" width="52.28515625" style="123" customWidth="1"/>
    <col min="13311" max="13311" width="14.28515625" style="123" customWidth="1"/>
    <col min="13312" max="13312" width="12.42578125" style="123" customWidth="1"/>
    <col min="13313" max="13313" width="16.42578125" style="123" customWidth="1"/>
    <col min="13314" max="13314" width="13.42578125" style="123" customWidth="1"/>
    <col min="13315" max="13315" width="14.85546875" style="123" customWidth="1"/>
    <col min="13316" max="13316" width="11.140625" style="123" customWidth="1"/>
    <col min="13317" max="13317" width="13.42578125" style="123" bestFit="1" customWidth="1"/>
    <col min="13318" max="13318" width="10.28515625" style="123" bestFit="1" customWidth="1"/>
    <col min="13319" max="13563" width="9.140625" style="123"/>
    <col min="13564" max="13564" width="3.42578125" style="123" customWidth="1"/>
    <col min="13565" max="13565" width="7.7109375" style="123" customWidth="1"/>
    <col min="13566" max="13566" width="52.28515625" style="123" customWidth="1"/>
    <col min="13567" max="13567" width="14.28515625" style="123" customWidth="1"/>
    <col min="13568" max="13568" width="12.42578125" style="123" customWidth="1"/>
    <col min="13569" max="13569" width="16.42578125" style="123" customWidth="1"/>
    <col min="13570" max="13570" width="13.42578125" style="123" customWidth="1"/>
    <col min="13571" max="13571" width="14.85546875" style="123" customWidth="1"/>
    <col min="13572" max="13572" width="11.140625" style="123" customWidth="1"/>
    <col min="13573" max="13573" width="13.42578125" style="123" bestFit="1" customWidth="1"/>
    <col min="13574" max="13574" width="10.28515625" style="123" bestFit="1" customWidth="1"/>
    <col min="13575" max="13819" width="9.140625" style="123"/>
    <col min="13820" max="13820" width="3.42578125" style="123" customWidth="1"/>
    <col min="13821" max="13821" width="7.7109375" style="123" customWidth="1"/>
    <col min="13822" max="13822" width="52.28515625" style="123" customWidth="1"/>
    <col min="13823" max="13823" width="14.28515625" style="123" customWidth="1"/>
    <col min="13824" max="13824" width="12.42578125" style="123" customWidth="1"/>
    <col min="13825" max="13825" width="16.42578125" style="123" customWidth="1"/>
    <col min="13826" max="13826" width="13.42578125" style="123" customWidth="1"/>
    <col min="13827" max="13827" width="14.85546875" style="123" customWidth="1"/>
    <col min="13828" max="13828" width="11.140625" style="123" customWidth="1"/>
    <col min="13829" max="13829" width="13.42578125" style="123" bestFit="1" customWidth="1"/>
    <col min="13830" max="13830" width="10.28515625" style="123" bestFit="1" customWidth="1"/>
    <col min="13831" max="14075" width="9.140625" style="123"/>
    <col min="14076" max="14076" width="3.42578125" style="123" customWidth="1"/>
    <col min="14077" max="14077" width="7.7109375" style="123" customWidth="1"/>
    <col min="14078" max="14078" width="52.28515625" style="123" customWidth="1"/>
    <col min="14079" max="14079" width="14.28515625" style="123" customWidth="1"/>
    <col min="14080" max="14080" width="12.42578125" style="123" customWidth="1"/>
    <col min="14081" max="14081" width="16.42578125" style="123" customWidth="1"/>
    <col min="14082" max="14082" width="13.42578125" style="123" customWidth="1"/>
    <col min="14083" max="14083" width="14.85546875" style="123" customWidth="1"/>
    <col min="14084" max="14084" width="11.140625" style="123" customWidth="1"/>
    <col min="14085" max="14085" width="13.42578125" style="123" bestFit="1" customWidth="1"/>
    <col min="14086" max="14086" width="10.28515625" style="123" bestFit="1" customWidth="1"/>
    <col min="14087" max="14331" width="9.140625" style="123"/>
    <col min="14332" max="14332" width="3.42578125" style="123" customWidth="1"/>
    <col min="14333" max="14333" width="7.7109375" style="123" customWidth="1"/>
    <col min="14334" max="14334" width="52.28515625" style="123" customWidth="1"/>
    <col min="14335" max="14335" width="14.28515625" style="123" customWidth="1"/>
    <col min="14336" max="14336" width="12.42578125" style="123" customWidth="1"/>
    <col min="14337" max="14337" width="16.42578125" style="123" customWidth="1"/>
    <col min="14338" max="14338" width="13.42578125" style="123" customWidth="1"/>
    <col min="14339" max="14339" width="14.85546875" style="123" customWidth="1"/>
    <col min="14340" max="14340" width="11.140625" style="123" customWidth="1"/>
    <col min="14341" max="14341" width="13.42578125" style="123" bestFit="1" customWidth="1"/>
    <col min="14342" max="14342" width="10.28515625" style="123" bestFit="1" customWidth="1"/>
    <col min="14343" max="14587" width="9.140625" style="123"/>
    <col min="14588" max="14588" width="3.42578125" style="123" customWidth="1"/>
    <col min="14589" max="14589" width="7.7109375" style="123" customWidth="1"/>
    <col min="14590" max="14590" width="52.28515625" style="123" customWidth="1"/>
    <col min="14591" max="14591" width="14.28515625" style="123" customWidth="1"/>
    <col min="14592" max="14592" width="12.42578125" style="123" customWidth="1"/>
    <col min="14593" max="14593" width="16.42578125" style="123" customWidth="1"/>
    <col min="14594" max="14594" width="13.42578125" style="123" customWidth="1"/>
    <col min="14595" max="14595" width="14.85546875" style="123" customWidth="1"/>
    <col min="14596" max="14596" width="11.140625" style="123" customWidth="1"/>
    <col min="14597" max="14597" width="13.42578125" style="123" bestFit="1" customWidth="1"/>
    <col min="14598" max="14598" width="10.28515625" style="123" bestFit="1" customWidth="1"/>
    <col min="14599" max="14843" width="9.140625" style="123"/>
    <col min="14844" max="14844" width="3.42578125" style="123" customWidth="1"/>
    <col min="14845" max="14845" width="7.7109375" style="123" customWidth="1"/>
    <col min="14846" max="14846" width="52.28515625" style="123" customWidth="1"/>
    <col min="14847" max="14847" width="14.28515625" style="123" customWidth="1"/>
    <col min="14848" max="14848" width="12.42578125" style="123" customWidth="1"/>
    <col min="14849" max="14849" width="16.42578125" style="123" customWidth="1"/>
    <col min="14850" max="14850" width="13.42578125" style="123" customWidth="1"/>
    <col min="14851" max="14851" width="14.85546875" style="123" customWidth="1"/>
    <col min="14852" max="14852" width="11.140625" style="123" customWidth="1"/>
    <col min="14853" max="14853" width="13.42578125" style="123" bestFit="1" customWidth="1"/>
    <col min="14854" max="14854" width="10.28515625" style="123" bestFit="1" customWidth="1"/>
    <col min="14855" max="15099" width="9.140625" style="123"/>
    <col min="15100" max="15100" width="3.42578125" style="123" customWidth="1"/>
    <col min="15101" max="15101" width="7.7109375" style="123" customWidth="1"/>
    <col min="15102" max="15102" width="52.28515625" style="123" customWidth="1"/>
    <col min="15103" max="15103" width="14.28515625" style="123" customWidth="1"/>
    <col min="15104" max="15104" width="12.42578125" style="123" customWidth="1"/>
    <col min="15105" max="15105" width="16.42578125" style="123" customWidth="1"/>
    <col min="15106" max="15106" width="13.42578125" style="123" customWidth="1"/>
    <col min="15107" max="15107" width="14.85546875" style="123" customWidth="1"/>
    <col min="15108" max="15108" width="11.140625" style="123" customWidth="1"/>
    <col min="15109" max="15109" width="13.42578125" style="123" bestFit="1" customWidth="1"/>
    <col min="15110" max="15110" width="10.28515625" style="123" bestFit="1" customWidth="1"/>
    <col min="15111" max="15355" width="9.140625" style="123"/>
    <col min="15356" max="15356" width="3.42578125" style="123" customWidth="1"/>
    <col min="15357" max="15357" width="7.7109375" style="123" customWidth="1"/>
    <col min="15358" max="15358" width="52.28515625" style="123" customWidth="1"/>
    <col min="15359" max="15359" width="14.28515625" style="123" customWidth="1"/>
    <col min="15360" max="15360" width="12.42578125" style="123" customWidth="1"/>
    <col min="15361" max="15361" width="16.42578125" style="123" customWidth="1"/>
    <col min="15362" max="15362" width="13.42578125" style="123" customWidth="1"/>
    <col min="15363" max="15363" width="14.85546875" style="123" customWidth="1"/>
    <col min="15364" max="15364" width="11.140625" style="123" customWidth="1"/>
    <col min="15365" max="15365" width="13.42578125" style="123" bestFit="1" customWidth="1"/>
    <col min="15366" max="15366" width="10.28515625" style="123" bestFit="1" customWidth="1"/>
    <col min="15367" max="15611" width="9.140625" style="123"/>
    <col min="15612" max="15612" width="3.42578125" style="123" customWidth="1"/>
    <col min="15613" max="15613" width="7.7109375" style="123" customWidth="1"/>
    <col min="15614" max="15614" width="52.28515625" style="123" customWidth="1"/>
    <col min="15615" max="15615" width="14.28515625" style="123" customWidth="1"/>
    <col min="15616" max="15616" width="12.42578125" style="123" customWidth="1"/>
    <col min="15617" max="15617" width="16.42578125" style="123" customWidth="1"/>
    <col min="15618" max="15618" width="13.42578125" style="123" customWidth="1"/>
    <col min="15619" max="15619" width="14.85546875" style="123" customWidth="1"/>
    <col min="15620" max="15620" width="11.140625" style="123" customWidth="1"/>
    <col min="15621" max="15621" width="13.42578125" style="123" bestFit="1" customWidth="1"/>
    <col min="15622" max="15622" width="10.28515625" style="123" bestFit="1" customWidth="1"/>
    <col min="15623" max="15867" width="9.140625" style="123"/>
    <col min="15868" max="15868" width="3.42578125" style="123" customWidth="1"/>
    <col min="15869" max="15869" width="7.7109375" style="123" customWidth="1"/>
    <col min="15870" max="15870" width="52.28515625" style="123" customWidth="1"/>
    <col min="15871" max="15871" width="14.28515625" style="123" customWidth="1"/>
    <col min="15872" max="15872" width="12.42578125" style="123" customWidth="1"/>
    <col min="15873" max="15873" width="16.42578125" style="123" customWidth="1"/>
    <col min="15874" max="15874" width="13.42578125" style="123" customWidth="1"/>
    <col min="15875" max="15875" width="14.85546875" style="123" customWidth="1"/>
    <col min="15876" max="15876" width="11.140625" style="123" customWidth="1"/>
    <col min="15877" max="15877" width="13.42578125" style="123" bestFit="1" customWidth="1"/>
    <col min="15878" max="15878" width="10.28515625" style="123" bestFit="1" customWidth="1"/>
    <col min="15879" max="16123" width="9.140625" style="123"/>
    <col min="16124" max="16124" width="3.42578125" style="123" customWidth="1"/>
    <col min="16125" max="16125" width="7.7109375" style="123" customWidth="1"/>
    <col min="16126" max="16126" width="52.28515625" style="123" customWidth="1"/>
    <col min="16127" max="16127" width="14.28515625" style="123" customWidth="1"/>
    <col min="16128" max="16128" width="12.42578125" style="123" customWidth="1"/>
    <col min="16129" max="16129" width="16.42578125" style="123" customWidth="1"/>
    <col min="16130" max="16130" width="13.42578125" style="123" customWidth="1"/>
    <col min="16131" max="16131" width="14.85546875" style="123" customWidth="1"/>
    <col min="16132" max="16132" width="11.140625" style="123" customWidth="1"/>
    <col min="16133" max="16133" width="13.42578125" style="123" bestFit="1" customWidth="1"/>
    <col min="16134" max="16134" width="10.28515625" style="123" bestFit="1" customWidth="1"/>
    <col min="16135" max="16384" width="9.140625" style="123"/>
  </cols>
  <sheetData>
    <row r="1" spans="1:10">
      <c r="A1" s="1063" t="e">
        <f>#REF!</f>
        <v>#REF!</v>
      </c>
      <c r="B1" s="1063"/>
      <c r="C1" s="1063"/>
      <c r="D1" s="1063"/>
      <c r="E1" s="1063"/>
      <c r="F1" s="1063"/>
      <c r="G1" s="1063"/>
      <c r="H1" s="1063"/>
      <c r="I1" s="1063"/>
    </row>
    <row r="2" spans="1:10">
      <c r="A2" s="124"/>
      <c r="B2" s="1064" t="s">
        <v>53</v>
      </c>
      <c r="C2" s="1064"/>
      <c r="D2" s="1064"/>
      <c r="E2" s="1064"/>
      <c r="F2" s="125" t="str">
        <f>'B-1'!B9</f>
        <v>B-1.1</v>
      </c>
      <c r="G2" s="125"/>
      <c r="H2" s="125"/>
      <c r="I2" s="125"/>
    </row>
    <row r="3" spans="1:10">
      <c r="A3" s="1062" t="str">
        <f>'B-1'!C9</f>
        <v>სათავე კვანძი N1 კაპტაჟი</v>
      </c>
      <c r="B3" s="1062"/>
      <c r="C3" s="1062"/>
      <c r="D3" s="1062"/>
      <c r="E3" s="1062"/>
      <c r="F3" s="1062"/>
      <c r="G3" s="1062"/>
      <c r="H3" s="1062"/>
      <c r="I3" s="1062"/>
    </row>
    <row r="4" spans="1:10" ht="15.75" customHeight="1">
      <c r="A4" s="124"/>
      <c r="B4" s="126"/>
      <c r="C4" s="126"/>
      <c r="D4" s="126"/>
      <c r="E4" s="126"/>
      <c r="F4" s="126"/>
      <c r="G4" s="126"/>
      <c r="H4" s="126"/>
      <c r="I4" s="127"/>
    </row>
    <row r="5" spans="1:10" ht="15.75" customHeight="1">
      <c r="A5" s="128"/>
      <c r="B5" s="128"/>
      <c r="C5" s="128"/>
      <c r="D5" s="128"/>
      <c r="E5" s="128"/>
      <c r="F5" s="128"/>
      <c r="G5" s="128"/>
      <c r="H5" s="1065"/>
      <c r="I5" s="1065"/>
    </row>
    <row r="6" spans="1:10">
      <c r="A6" s="1066" t="s">
        <v>389</v>
      </c>
      <c r="B6" s="1067"/>
      <c r="C6" s="1058" t="s">
        <v>138</v>
      </c>
      <c r="D6" s="1059" t="s">
        <v>139</v>
      </c>
      <c r="E6" s="1059"/>
      <c r="F6" s="1059"/>
      <c r="G6" s="1059"/>
      <c r="H6" s="1059"/>
      <c r="I6" s="1058" t="s">
        <v>140</v>
      </c>
    </row>
    <row r="7" spans="1:10">
      <c r="A7" s="1068"/>
      <c r="B7" s="1069"/>
      <c r="C7" s="1058"/>
      <c r="D7" s="1058" t="s">
        <v>141</v>
      </c>
      <c r="E7" s="1058" t="s">
        <v>142</v>
      </c>
      <c r="F7" s="1058" t="s">
        <v>143</v>
      </c>
      <c r="G7" s="1058" t="s">
        <v>144</v>
      </c>
      <c r="H7" s="1059" t="s">
        <v>145</v>
      </c>
      <c r="I7" s="1058"/>
    </row>
    <row r="8" spans="1:10">
      <c r="A8" s="1070"/>
      <c r="B8" s="1071"/>
      <c r="C8" s="1058"/>
      <c r="D8" s="1058"/>
      <c r="E8" s="1058"/>
      <c r="F8" s="1058"/>
      <c r="G8" s="1058"/>
      <c r="H8" s="1059"/>
      <c r="I8" s="1058"/>
    </row>
    <row r="9" spans="1:10">
      <c r="A9" s="1060">
        <v>1</v>
      </c>
      <c r="B9" s="1061"/>
      <c r="C9" s="129">
        <v>2</v>
      </c>
      <c r="D9" s="130">
        <v>3</v>
      </c>
      <c r="E9" s="129">
        <v>4</v>
      </c>
      <c r="F9" s="130">
        <v>5</v>
      </c>
      <c r="G9" s="129">
        <v>6</v>
      </c>
      <c r="H9" s="130">
        <v>7</v>
      </c>
      <c r="I9" s="129">
        <v>8</v>
      </c>
    </row>
    <row r="10" spans="1:10">
      <c r="A10" s="129">
        <v>1</v>
      </c>
      <c r="B10" s="131" t="s">
        <v>113</v>
      </c>
      <c r="C10" s="132" t="s">
        <v>749</v>
      </c>
      <c r="D10" s="133">
        <f>'B-1.1.1'!M20</f>
        <v>0</v>
      </c>
      <c r="E10" s="134"/>
      <c r="F10" s="134"/>
      <c r="G10" s="135"/>
      <c r="H10" s="134">
        <f t="shared" ref="H10:H12" si="0">D10</f>
        <v>0</v>
      </c>
      <c r="I10" s="136"/>
    </row>
    <row r="11" spans="1:10">
      <c r="A11" s="129">
        <v>2</v>
      </c>
      <c r="B11" s="131" t="s">
        <v>114</v>
      </c>
      <c r="C11" s="132" t="s">
        <v>750</v>
      </c>
      <c r="D11" s="133">
        <f>'B-1.1.2'!M62</f>
        <v>0</v>
      </c>
      <c r="E11" s="134"/>
      <c r="F11" s="134"/>
      <c r="G11" s="135"/>
      <c r="H11" s="134">
        <f t="shared" si="0"/>
        <v>0</v>
      </c>
      <c r="I11" s="136"/>
    </row>
    <row r="12" spans="1:10">
      <c r="A12" s="129">
        <v>3</v>
      </c>
      <c r="B12" s="131" t="s">
        <v>115</v>
      </c>
      <c r="C12" s="132" t="s">
        <v>751</v>
      </c>
      <c r="D12" s="133">
        <f>'B-1.1.3'!M52</f>
        <v>0</v>
      </c>
      <c r="E12" s="134"/>
      <c r="F12" s="134"/>
      <c r="G12" s="135"/>
      <c r="H12" s="134">
        <f t="shared" si="0"/>
        <v>0</v>
      </c>
      <c r="I12" s="136"/>
    </row>
    <row r="13" spans="1:10">
      <c r="A13" s="129"/>
      <c r="B13" s="137"/>
      <c r="C13" s="132" t="s">
        <v>146</v>
      </c>
      <c r="D13" s="133"/>
      <c r="E13" s="134"/>
      <c r="F13" s="134"/>
      <c r="G13" s="135"/>
      <c r="H13" s="134">
        <f>SUM(H10:H12)</f>
        <v>0</v>
      </c>
      <c r="I13" s="136"/>
    </row>
    <row r="14" spans="1:10">
      <c r="C14" s="138"/>
      <c r="D14" s="139"/>
      <c r="E14" s="139"/>
      <c r="F14" s="140"/>
      <c r="G14" s="141"/>
      <c r="H14" s="142"/>
      <c r="I14" s="143"/>
    </row>
    <row r="15" spans="1:10" s="144" customFormat="1">
      <c r="B15" s="145"/>
      <c r="J15" s="145"/>
    </row>
    <row r="16" spans="1:10" s="144" customFormat="1">
      <c r="C16" s="146" t="e">
        <f>#REF!</f>
        <v>#REF!</v>
      </c>
    </row>
    <row r="17" spans="3:9" s="144" customFormat="1">
      <c r="C17" s="146" t="e">
        <f>#REF!</f>
        <v>#REF!</v>
      </c>
      <c r="D17" s="144" t="e">
        <f>#REF!</f>
        <v>#REF!</v>
      </c>
      <c r="G17" s="147"/>
      <c r="H17" s="147"/>
    </row>
    <row r="18" spans="3:9" s="145" customFormat="1">
      <c r="I18" s="148"/>
    </row>
    <row r="19" spans="3:9">
      <c r="D19" s="149"/>
      <c r="E19" s="123"/>
      <c r="F19" s="123"/>
      <c r="G19" s="123"/>
    </row>
    <row r="20" spans="3:9">
      <c r="D20" s="149"/>
      <c r="E20" s="123"/>
      <c r="F20" s="123"/>
      <c r="G20" s="123"/>
    </row>
    <row r="33" spans="2:8">
      <c r="D33" s="150"/>
      <c r="E33" s="151"/>
      <c r="F33" s="152"/>
      <c r="G33" s="153"/>
      <c r="H33" s="154"/>
    </row>
    <row r="34" spans="2:8">
      <c r="D34" s="155"/>
      <c r="E34" s="151"/>
      <c r="F34" s="156"/>
      <c r="G34" s="157"/>
      <c r="H34" s="158"/>
    </row>
    <row r="35" spans="2:8">
      <c r="B35" s="159"/>
      <c r="D35" s="155"/>
      <c r="E35" s="151"/>
      <c r="F35" s="156"/>
      <c r="G35" s="157"/>
      <c r="H35" s="158"/>
    </row>
    <row r="36" spans="2:8">
      <c r="D36" s="155"/>
      <c r="E36" s="151"/>
      <c r="F36" s="156"/>
      <c r="G36" s="157"/>
      <c r="H36" s="158"/>
    </row>
    <row r="37" spans="2:8">
      <c r="B37" s="159"/>
      <c r="D37" s="155"/>
      <c r="E37" s="151"/>
      <c r="F37" s="156"/>
      <c r="G37" s="157"/>
      <c r="H37" s="158"/>
    </row>
    <row r="38" spans="2:8">
      <c r="D38" s="155"/>
      <c r="E38" s="151"/>
      <c r="F38" s="156"/>
      <c r="G38" s="157"/>
      <c r="H38" s="158"/>
    </row>
    <row r="39" spans="2:8">
      <c r="D39" s="155"/>
      <c r="E39" s="151"/>
      <c r="F39" s="156"/>
      <c r="G39" s="157"/>
      <c r="H39" s="158"/>
    </row>
    <row r="40" spans="2:8">
      <c r="D40" s="155"/>
      <c r="E40" s="151"/>
      <c r="F40" s="156"/>
      <c r="G40" s="157"/>
      <c r="H40" s="158"/>
    </row>
    <row r="41" spans="2:8">
      <c r="D41" s="155"/>
      <c r="E41" s="151"/>
      <c r="F41" s="156"/>
      <c r="G41" s="157"/>
      <c r="H41" s="158"/>
    </row>
    <row r="42" spans="2:8">
      <c r="B42" s="159"/>
      <c r="D42" s="155"/>
      <c r="E42" s="151"/>
      <c r="F42" s="156"/>
      <c r="G42" s="157"/>
      <c r="H42" s="158"/>
    </row>
    <row r="43" spans="2:8">
      <c r="B43" s="159"/>
      <c r="D43" s="155"/>
      <c r="E43" s="151"/>
      <c r="F43" s="156"/>
      <c r="G43" s="157"/>
      <c r="H43" s="158"/>
    </row>
    <row r="44" spans="2:8">
      <c r="B44" s="159"/>
      <c r="D44" s="155"/>
      <c r="E44" s="151"/>
      <c r="F44" s="156"/>
      <c r="G44" s="157"/>
      <c r="H44" s="158"/>
    </row>
    <row r="45" spans="2:8">
      <c r="D45" s="155"/>
      <c r="E45" s="151"/>
      <c r="F45" s="156"/>
      <c r="G45" s="157"/>
      <c r="H45" s="158"/>
    </row>
    <row r="46" spans="2:8">
      <c r="D46" s="155"/>
      <c r="E46" s="151"/>
      <c r="F46" s="156"/>
      <c r="G46" s="157"/>
      <c r="H46" s="158"/>
    </row>
    <row r="47" spans="2:8">
      <c r="D47" s="155"/>
      <c r="E47" s="151"/>
      <c r="F47" s="156"/>
      <c r="G47" s="157"/>
      <c r="H47" s="158"/>
    </row>
    <row r="48" spans="2:8">
      <c r="B48" s="159"/>
      <c r="D48" s="155"/>
      <c r="E48" s="151"/>
      <c r="F48" s="156"/>
      <c r="G48" s="157"/>
      <c r="H48" s="158"/>
    </row>
    <row r="49" spans="2:8">
      <c r="D49" s="155"/>
      <c r="E49" s="151"/>
      <c r="F49" s="156"/>
      <c r="G49" s="157"/>
      <c r="H49" s="158"/>
    </row>
    <row r="50" spans="2:8">
      <c r="D50" s="155"/>
      <c r="E50" s="151"/>
      <c r="F50" s="156"/>
      <c r="G50" s="157"/>
      <c r="H50" s="158"/>
    </row>
    <row r="51" spans="2:8">
      <c r="D51" s="155"/>
      <c r="E51" s="151"/>
      <c r="F51" s="156"/>
      <c r="G51" s="157"/>
      <c r="H51" s="158"/>
    </row>
    <row r="52" spans="2:8">
      <c r="D52" s="155"/>
      <c r="E52" s="151"/>
      <c r="F52" s="156"/>
      <c r="G52" s="157"/>
      <c r="H52" s="158"/>
    </row>
    <row r="53" spans="2:8">
      <c r="D53" s="155"/>
      <c r="E53" s="151"/>
      <c r="F53" s="156"/>
      <c r="G53" s="157"/>
      <c r="H53" s="158"/>
    </row>
    <row r="54" spans="2:8">
      <c r="D54" s="155"/>
      <c r="E54" s="151"/>
      <c r="F54" s="156"/>
      <c r="G54" s="157"/>
      <c r="H54" s="158"/>
    </row>
    <row r="55" spans="2:8">
      <c r="B55" s="160"/>
      <c r="D55" s="155"/>
      <c r="E55" s="151"/>
      <c r="F55" s="156"/>
      <c r="G55" s="157"/>
      <c r="H55" s="158"/>
    </row>
    <row r="56" spans="2:8">
      <c r="D56" s="155"/>
      <c r="E56" s="151"/>
      <c r="F56" s="156"/>
      <c r="G56" s="157"/>
      <c r="H56" s="158"/>
    </row>
    <row r="57" spans="2:8">
      <c r="D57" s="155"/>
      <c r="E57" s="151"/>
      <c r="F57" s="156"/>
      <c r="G57" s="157"/>
      <c r="H57" s="158"/>
    </row>
    <row r="58" spans="2:8">
      <c r="D58" s="155"/>
      <c r="E58" s="151"/>
      <c r="F58" s="156"/>
      <c r="G58" s="157"/>
      <c r="H58" s="158"/>
    </row>
    <row r="59" spans="2:8">
      <c r="D59" s="155"/>
      <c r="E59" s="151"/>
      <c r="F59" s="156"/>
      <c r="G59" s="157"/>
      <c r="H59" s="158"/>
    </row>
    <row r="60" spans="2:8">
      <c r="D60" s="155"/>
      <c r="E60" s="151"/>
      <c r="F60" s="156"/>
      <c r="G60" s="157"/>
      <c r="H60" s="158"/>
    </row>
    <row r="61" spans="2:8">
      <c r="D61" s="155"/>
      <c r="E61" s="151"/>
      <c r="F61" s="156"/>
      <c r="G61" s="157"/>
      <c r="H61" s="158"/>
    </row>
  </sheetData>
  <mergeCells count="14">
    <mergeCell ref="G7:G8"/>
    <mergeCell ref="H7:H8"/>
    <mergeCell ref="A9:B9"/>
    <mergeCell ref="A3:I3"/>
    <mergeCell ref="A1:I1"/>
    <mergeCell ref="B2:E2"/>
    <mergeCell ref="H5:I5"/>
    <mergeCell ref="A6:B8"/>
    <mergeCell ref="C6:C8"/>
    <mergeCell ref="D6:H6"/>
    <mergeCell ref="I6:I8"/>
    <mergeCell ref="D7:D8"/>
    <mergeCell ref="E7:E8"/>
    <mergeCell ref="F7:F8"/>
  </mergeCells>
  <printOptions horizontalCentered="1"/>
  <pageMargins left="0.43307086614173229" right="0.23622047244094491" top="0.43307086614173229" bottom="0.43307086614173229" header="0.31496062992125984" footer="0.31496062992125984"/>
  <pageSetup paperSize="9" scale="84" fitToHeight="0" orientation="landscape" horizontalDpi="1200" verticalDpi="1200" r:id="rId1"/>
  <headerFooter alignWithMargins="0">
    <oddFooter>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4"/>
  <sheetViews>
    <sheetView view="pageBreakPreview" topLeftCell="C16" zoomScaleNormal="100" zoomScaleSheetLayoutView="100" workbookViewId="0">
      <selection activeCell="D54" sqref="C54:D54"/>
    </sheetView>
  </sheetViews>
  <sheetFormatPr defaultColWidth="7" defaultRowHeight="12.75"/>
  <cols>
    <col min="1" max="1" width="4.5703125" style="713" customWidth="1"/>
    <col min="2" max="2" width="11.140625" style="713" customWidth="1"/>
    <col min="3" max="3" width="71.85546875" style="709" customWidth="1"/>
    <col min="4" max="4" width="12.42578125" style="715" customWidth="1"/>
    <col min="5" max="5" width="9.140625" style="715" customWidth="1"/>
    <col min="6" max="6" width="10.28515625" style="715" customWidth="1"/>
    <col min="7" max="7" width="8.85546875" style="715" customWidth="1"/>
    <col min="8" max="8" width="8.85546875" style="716" customWidth="1"/>
    <col min="9" max="9" width="8.85546875" style="715" customWidth="1"/>
    <col min="10" max="10" width="8.85546875" style="716" customWidth="1"/>
    <col min="11" max="11" width="8.85546875" style="715" customWidth="1"/>
    <col min="12" max="12" width="8.85546875" style="716" customWidth="1"/>
    <col min="13" max="13" width="10.42578125" style="716" customWidth="1"/>
    <col min="14" max="129" width="9.140625" style="700" customWidth="1"/>
    <col min="130" max="130" width="2.5703125" style="700" customWidth="1"/>
    <col min="131" max="131" width="9.140625" style="700" customWidth="1"/>
    <col min="132" max="132" width="47.85546875" style="700" customWidth="1"/>
    <col min="133" max="133" width="6.7109375" style="700" customWidth="1"/>
    <col min="134" max="134" width="7.42578125" style="700" customWidth="1"/>
    <col min="135" max="135" width="7" style="700"/>
    <col min="136" max="136" width="8.5703125" style="700" customWidth="1"/>
    <col min="137" max="137" width="12" style="700" customWidth="1"/>
    <col min="138" max="138" width="4.7109375" style="700" customWidth="1"/>
    <col min="139" max="139" width="9.140625" style="700" customWidth="1"/>
    <col min="140" max="140" width="11.7109375" style="700" customWidth="1"/>
    <col min="141" max="252" width="7" style="700"/>
    <col min="253" max="253" width="3.85546875" style="700" customWidth="1"/>
    <col min="254" max="254" width="14" style="700" customWidth="1"/>
    <col min="255" max="255" width="66.5703125" style="700" customWidth="1"/>
    <col min="256" max="256" width="9.42578125" style="700" customWidth="1"/>
    <col min="257" max="257" width="9.140625" style="700" customWidth="1"/>
    <col min="258" max="258" width="11.140625" style="700" bestFit="1" customWidth="1"/>
    <col min="259" max="259" width="9.140625" style="700" customWidth="1"/>
    <col min="260" max="260" width="10.42578125" style="700" customWidth="1"/>
    <col min="261" max="261" width="9.140625" style="700" customWidth="1"/>
    <col min="262" max="262" width="10.7109375" style="700" customWidth="1"/>
    <col min="263" max="263" width="9.140625" style="700" customWidth="1"/>
    <col min="264" max="264" width="10.140625" style="700" customWidth="1"/>
    <col min="265" max="265" width="11.140625" style="700" customWidth="1"/>
    <col min="266" max="385" width="9.140625" style="700" customWidth="1"/>
    <col min="386" max="386" width="2.5703125" style="700" customWidth="1"/>
    <col min="387" max="387" width="9.140625" style="700" customWidth="1"/>
    <col min="388" max="388" width="47.85546875" style="700" customWidth="1"/>
    <col min="389" max="389" width="6.7109375" style="700" customWidth="1"/>
    <col min="390" max="390" width="7.42578125" style="700" customWidth="1"/>
    <col min="391" max="391" width="7" style="700"/>
    <col min="392" max="392" width="8.5703125" style="700" customWidth="1"/>
    <col min="393" max="393" width="12" style="700" customWidth="1"/>
    <col min="394" max="394" width="4.7109375" style="700" customWidth="1"/>
    <col min="395" max="395" width="9.140625" style="700" customWidth="1"/>
    <col min="396" max="396" width="11.7109375" style="700" customWidth="1"/>
    <col min="397" max="508" width="7" style="700"/>
    <col min="509" max="509" width="3.85546875" style="700" customWidth="1"/>
    <col min="510" max="510" width="14" style="700" customWidth="1"/>
    <col min="511" max="511" width="66.5703125" style="700" customWidth="1"/>
    <col min="512" max="512" width="9.42578125" style="700" customWidth="1"/>
    <col min="513" max="513" width="9.140625" style="700" customWidth="1"/>
    <col min="514" max="514" width="11.140625" style="700" bestFit="1" customWidth="1"/>
    <col min="515" max="515" width="9.140625" style="700" customWidth="1"/>
    <col min="516" max="516" width="10.42578125" style="700" customWidth="1"/>
    <col min="517" max="517" width="9.140625" style="700" customWidth="1"/>
    <col min="518" max="518" width="10.7109375" style="700" customWidth="1"/>
    <col min="519" max="519" width="9.140625" style="700" customWidth="1"/>
    <col min="520" max="520" width="10.140625" style="700" customWidth="1"/>
    <col min="521" max="521" width="11.140625" style="700" customWidth="1"/>
    <col min="522" max="641" width="9.140625" style="700" customWidth="1"/>
    <col min="642" max="642" width="2.5703125" style="700" customWidth="1"/>
    <col min="643" max="643" width="9.140625" style="700" customWidth="1"/>
    <col min="644" max="644" width="47.85546875" style="700" customWidth="1"/>
    <col min="645" max="645" width="6.7109375" style="700" customWidth="1"/>
    <col min="646" max="646" width="7.42578125" style="700" customWidth="1"/>
    <col min="647" max="647" width="7" style="700"/>
    <col min="648" max="648" width="8.5703125" style="700" customWidth="1"/>
    <col min="649" max="649" width="12" style="700" customWidth="1"/>
    <col min="650" max="650" width="4.7109375" style="700" customWidth="1"/>
    <col min="651" max="651" width="9.140625" style="700" customWidth="1"/>
    <col min="652" max="652" width="11.7109375" style="700" customWidth="1"/>
    <col min="653" max="764" width="7" style="700"/>
    <col min="765" max="765" width="3.85546875" style="700" customWidth="1"/>
    <col min="766" max="766" width="14" style="700" customWidth="1"/>
    <col min="767" max="767" width="66.5703125" style="700" customWidth="1"/>
    <col min="768" max="768" width="9.42578125" style="700" customWidth="1"/>
    <col min="769" max="769" width="9.140625" style="700" customWidth="1"/>
    <col min="770" max="770" width="11.140625" style="700" bestFit="1" customWidth="1"/>
    <col min="771" max="771" width="9.140625" style="700" customWidth="1"/>
    <col min="772" max="772" width="10.42578125" style="700" customWidth="1"/>
    <col min="773" max="773" width="9.140625" style="700" customWidth="1"/>
    <col min="774" max="774" width="10.7109375" style="700" customWidth="1"/>
    <col min="775" max="775" width="9.140625" style="700" customWidth="1"/>
    <col min="776" max="776" width="10.140625" style="700" customWidth="1"/>
    <col min="777" max="777" width="11.140625" style="700" customWidth="1"/>
    <col min="778" max="897" width="9.140625" style="700" customWidth="1"/>
    <col min="898" max="898" width="2.5703125" style="700" customWidth="1"/>
    <col min="899" max="899" width="9.140625" style="700" customWidth="1"/>
    <col min="900" max="900" width="47.85546875" style="700" customWidth="1"/>
    <col min="901" max="901" width="6.7109375" style="700" customWidth="1"/>
    <col min="902" max="902" width="7.42578125" style="700" customWidth="1"/>
    <col min="903" max="903" width="7" style="700"/>
    <col min="904" max="904" width="8.5703125" style="700" customWidth="1"/>
    <col min="905" max="905" width="12" style="700" customWidth="1"/>
    <col min="906" max="906" width="4.7109375" style="700" customWidth="1"/>
    <col min="907" max="907" width="9.140625" style="700" customWidth="1"/>
    <col min="908" max="908" width="11.7109375" style="700" customWidth="1"/>
    <col min="909" max="1020" width="7" style="700"/>
    <col min="1021" max="1021" width="3.85546875" style="700" customWidth="1"/>
    <col min="1022" max="1022" width="14" style="700" customWidth="1"/>
    <col min="1023" max="1023" width="66.5703125" style="700" customWidth="1"/>
    <col min="1024" max="1024" width="9.42578125" style="700" customWidth="1"/>
    <col min="1025" max="1025" width="9.140625" style="700" customWidth="1"/>
    <col min="1026" max="1026" width="11.140625" style="700" bestFit="1" customWidth="1"/>
    <col min="1027" max="1027" width="9.140625" style="700" customWidth="1"/>
    <col min="1028" max="1028" width="10.42578125" style="700" customWidth="1"/>
    <col min="1029" max="1029" width="9.140625" style="700" customWidth="1"/>
    <col min="1030" max="1030" width="10.7109375" style="700" customWidth="1"/>
    <col min="1031" max="1031" width="9.140625" style="700" customWidth="1"/>
    <col min="1032" max="1032" width="10.140625" style="700" customWidth="1"/>
    <col min="1033" max="1033" width="11.140625" style="700" customWidth="1"/>
    <col min="1034" max="1153" width="9.140625" style="700" customWidth="1"/>
    <col min="1154" max="1154" width="2.5703125" style="700" customWidth="1"/>
    <col min="1155" max="1155" width="9.140625" style="700" customWidth="1"/>
    <col min="1156" max="1156" width="47.85546875" style="700" customWidth="1"/>
    <col min="1157" max="1157" width="6.7109375" style="700" customWidth="1"/>
    <col min="1158" max="1158" width="7.42578125" style="700" customWidth="1"/>
    <col min="1159" max="1159" width="7" style="700"/>
    <col min="1160" max="1160" width="8.5703125" style="700" customWidth="1"/>
    <col min="1161" max="1161" width="12" style="700" customWidth="1"/>
    <col min="1162" max="1162" width="4.7109375" style="700" customWidth="1"/>
    <col min="1163" max="1163" width="9.140625" style="700" customWidth="1"/>
    <col min="1164" max="1164" width="11.7109375" style="700" customWidth="1"/>
    <col min="1165" max="1276" width="7" style="700"/>
    <col min="1277" max="1277" width="3.85546875" style="700" customWidth="1"/>
    <col min="1278" max="1278" width="14" style="700" customWidth="1"/>
    <col min="1279" max="1279" width="66.5703125" style="700" customWidth="1"/>
    <col min="1280" max="1280" width="9.42578125" style="700" customWidth="1"/>
    <col min="1281" max="1281" width="9.140625" style="700" customWidth="1"/>
    <col min="1282" max="1282" width="11.140625" style="700" bestFit="1" customWidth="1"/>
    <col min="1283" max="1283" width="9.140625" style="700" customWidth="1"/>
    <col min="1284" max="1284" width="10.42578125" style="700" customWidth="1"/>
    <col min="1285" max="1285" width="9.140625" style="700" customWidth="1"/>
    <col min="1286" max="1286" width="10.7109375" style="700" customWidth="1"/>
    <col min="1287" max="1287" width="9.140625" style="700" customWidth="1"/>
    <col min="1288" max="1288" width="10.140625" style="700" customWidth="1"/>
    <col min="1289" max="1289" width="11.140625" style="700" customWidth="1"/>
    <col min="1290" max="1409" width="9.140625" style="700" customWidth="1"/>
    <col min="1410" max="1410" width="2.5703125" style="700" customWidth="1"/>
    <col min="1411" max="1411" width="9.140625" style="700" customWidth="1"/>
    <col min="1412" max="1412" width="47.85546875" style="700" customWidth="1"/>
    <col min="1413" max="1413" width="6.7109375" style="700" customWidth="1"/>
    <col min="1414" max="1414" width="7.42578125" style="700" customWidth="1"/>
    <col min="1415" max="1415" width="7" style="700"/>
    <col min="1416" max="1416" width="8.5703125" style="700" customWidth="1"/>
    <col min="1417" max="1417" width="12" style="700" customWidth="1"/>
    <col min="1418" max="1418" width="4.7109375" style="700" customWidth="1"/>
    <col min="1419" max="1419" width="9.140625" style="700" customWidth="1"/>
    <col min="1420" max="1420" width="11.7109375" style="700" customWidth="1"/>
    <col min="1421" max="1532" width="7" style="700"/>
    <col min="1533" max="1533" width="3.85546875" style="700" customWidth="1"/>
    <col min="1534" max="1534" width="14" style="700" customWidth="1"/>
    <col min="1535" max="1535" width="66.5703125" style="700" customWidth="1"/>
    <col min="1536" max="1536" width="9.42578125" style="700" customWidth="1"/>
    <col min="1537" max="1537" width="9.140625" style="700" customWidth="1"/>
    <col min="1538" max="1538" width="11.140625" style="700" bestFit="1" customWidth="1"/>
    <col min="1539" max="1539" width="9.140625" style="700" customWidth="1"/>
    <col min="1540" max="1540" width="10.42578125" style="700" customWidth="1"/>
    <col min="1541" max="1541" width="9.140625" style="700" customWidth="1"/>
    <col min="1542" max="1542" width="10.7109375" style="700" customWidth="1"/>
    <col min="1543" max="1543" width="9.140625" style="700" customWidth="1"/>
    <col min="1544" max="1544" width="10.140625" style="700" customWidth="1"/>
    <col min="1545" max="1545" width="11.140625" style="700" customWidth="1"/>
    <col min="1546" max="1665" width="9.140625" style="700" customWidth="1"/>
    <col min="1666" max="1666" width="2.5703125" style="700" customWidth="1"/>
    <col min="1667" max="1667" width="9.140625" style="700" customWidth="1"/>
    <col min="1668" max="1668" width="47.85546875" style="700" customWidth="1"/>
    <col min="1669" max="1669" width="6.7109375" style="700" customWidth="1"/>
    <col min="1670" max="1670" width="7.42578125" style="700" customWidth="1"/>
    <col min="1671" max="1671" width="7" style="700"/>
    <col min="1672" max="1672" width="8.5703125" style="700" customWidth="1"/>
    <col min="1673" max="1673" width="12" style="700" customWidth="1"/>
    <col min="1674" max="1674" width="4.7109375" style="700" customWidth="1"/>
    <col min="1675" max="1675" width="9.140625" style="700" customWidth="1"/>
    <col min="1676" max="1676" width="11.7109375" style="700" customWidth="1"/>
    <col min="1677" max="1788" width="7" style="700"/>
    <col min="1789" max="1789" width="3.85546875" style="700" customWidth="1"/>
    <col min="1790" max="1790" width="14" style="700" customWidth="1"/>
    <col min="1791" max="1791" width="66.5703125" style="700" customWidth="1"/>
    <col min="1792" max="1792" width="9.42578125" style="700" customWidth="1"/>
    <col min="1793" max="1793" width="9.140625" style="700" customWidth="1"/>
    <col min="1794" max="1794" width="11.140625" style="700" bestFit="1" customWidth="1"/>
    <col min="1795" max="1795" width="9.140625" style="700" customWidth="1"/>
    <col min="1796" max="1796" width="10.42578125" style="700" customWidth="1"/>
    <col min="1797" max="1797" width="9.140625" style="700" customWidth="1"/>
    <col min="1798" max="1798" width="10.7109375" style="700" customWidth="1"/>
    <col min="1799" max="1799" width="9.140625" style="700" customWidth="1"/>
    <col min="1800" max="1800" width="10.140625" style="700" customWidth="1"/>
    <col min="1801" max="1801" width="11.140625" style="700" customWidth="1"/>
    <col min="1802" max="1921" width="9.140625" style="700" customWidth="1"/>
    <col min="1922" max="1922" width="2.5703125" style="700" customWidth="1"/>
    <col min="1923" max="1923" width="9.140625" style="700" customWidth="1"/>
    <col min="1924" max="1924" width="47.85546875" style="700" customWidth="1"/>
    <col min="1925" max="1925" width="6.7109375" style="700" customWidth="1"/>
    <col min="1926" max="1926" width="7.42578125" style="700" customWidth="1"/>
    <col min="1927" max="1927" width="7" style="700"/>
    <col min="1928" max="1928" width="8.5703125" style="700" customWidth="1"/>
    <col min="1929" max="1929" width="12" style="700" customWidth="1"/>
    <col min="1930" max="1930" width="4.7109375" style="700" customWidth="1"/>
    <col min="1931" max="1931" width="9.140625" style="700" customWidth="1"/>
    <col min="1932" max="1932" width="11.7109375" style="700" customWidth="1"/>
    <col min="1933" max="2044" width="7" style="700"/>
    <col min="2045" max="2045" width="3.85546875" style="700" customWidth="1"/>
    <col min="2046" max="2046" width="14" style="700" customWidth="1"/>
    <col min="2047" max="2047" width="66.5703125" style="700" customWidth="1"/>
    <col min="2048" max="2048" width="9.42578125" style="700" customWidth="1"/>
    <col min="2049" max="2049" width="9.140625" style="700" customWidth="1"/>
    <col min="2050" max="2050" width="11.140625" style="700" bestFit="1" customWidth="1"/>
    <col min="2051" max="2051" width="9.140625" style="700" customWidth="1"/>
    <col min="2052" max="2052" width="10.42578125" style="700" customWidth="1"/>
    <col min="2053" max="2053" width="9.140625" style="700" customWidth="1"/>
    <col min="2054" max="2054" width="10.7109375" style="700" customWidth="1"/>
    <col min="2055" max="2055" width="9.140625" style="700" customWidth="1"/>
    <col min="2056" max="2056" width="10.140625" style="700" customWidth="1"/>
    <col min="2057" max="2057" width="11.140625" style="700" customWidth="1"/>
    <col min="2058" max="2177" width="9.140625" style="700" customWidth="1"/>
    <col min="2178" max="2178" width="2.5703125" style="700" customWidth="1"/>
    <col min="2179" max="2179" width="9.140625" style="700" customWidth="1"/>
    <col min="2180" max="2180" width="47.85546875" style="700" customWidth="1"/>
    <col min="2181" max="2181" width="6.7109375" style="700" customWidth="1"/>
    <col min="2182" max="2182" width="7.42578125" style="700" customWidth="1"/>
    <col min="2183" max="2183" width="7" style="700"/>
    <col min="2184" max="2184" width="8.5703125" style="700" customWidth="1"/>
    <col min="2185" max="2185" width="12" style="700" customWidth="1"/>
    <col min="2186" max="2186" width="4.7109375" style="700" customWidth="1"/>
    <col min="2187" max="2187" width="9.140625" style="700" customWidth="1"/>
    <col min="2188" max="2188" width="11.7109375" style="700" customWidth="1"/>
    <col min="2189" max="2300" width="7" style="700"/>
    <col min="2301" max="2301" width="3.85546875" style="700" customWidth="1"/>
    <col min="2302" max="2302" width="14" style="700" customWidth="1"/>
    <col min="2303" max="2303" width="66.5703125" style="700" customWidth="1"/>
    <col min="2304" max="2304" width="9.42578125" style="700" customWidth="1"/>
    <col min="2305" max="2305" width="9.140625" style="700" customWidth="1"/>
    <col min="2306" max="2306" width="11.140625" style="700" bestFit="1" customWidth="1"/>
    <col min="2307" max="2307" width="9.140625" style="700" customWidth="1"/>
    <col min="2308" max="2308" width="10.42578125" style="700" customWidth="1"/>
    <col min="2309" max="2309" width="9.140625" style="700" customWidth="1"/>
    <col min="2310" max="2310" width="10.7109375" style="700" customWidth="1"/>
    <col min="2311" max="2311" width="9.140625" style="700" customWidth="1"/>
    <col min="2312" max="2312" width="10.140625" style="700" customWidth="1"/>
    <col min="2313" max="2313" width="11.140625" style="700" customWidth="1"/>
    <col min="2314" max="2433" width="9.140625" style="700" customWidth="1"/>
    <col min="2434" max="2434" width="2.5703125" style="700" customWidth="1"/>
    <col min="2435" max="2435" width="9.140625" style="700" customWidth="1"/>
    <col min="2436" max="2436" width="47.85546875" style="700" customWidth="1"/>
    <col min="2437" max="2437" width="6.7109375" style="700" customWidth="1"/>
    <col min="2438" max="2438" width="7.42578125" style="700" customWidth="1"/>
    <col min="2439" max="2439" width="7" style="700"/>
    <col min="2440" max="2440" width="8.5703125" style="700" customWidth="1"/>
    <col min="2441" max="2441" width="12" style="700" customWidth="1"/>
    <col min="2442" max="2442" width="4.7109375" style="700" customWidth="1"/>
    <col min="2443" max="2443" width="9.140625" style="700" customWidth="1"/>
    <col min="2444" max="2444" width="11.7109375" style="700" customWidth="1"/>
    <col min="2445" max="2556" width="7" style="700"/>
    <col min="2557" max="2557" width="3.85546875" style="700" customWidth="1"/>
    <col min="2558" max="2558" width="14" style="700" customWidth="1"/>
    <col min="2559" max="2559" width="66.5703125" style="700" customWidth="1"/>
    <col min="2560" max="2560" width="9.42578125" style="700" customWidth="1"/>
    <col min="2561" max="2561" width="9.140625" style="700" customWidth="1"/>
    <col min="2562" max="2562" width="11.140625" style="700" bestFit="1" customWidth="1"/>
    <col min="2563" max="2563" width="9.140625" style="700" customWidth="1"/>
    <col min="2564" max="2564" width="10.42578125" style="700" customWidth="1"/>
    <col min="2565" max="2565" width="9.140625" style="700" customWidth="1"/>
    <col min="2566" max="2566" width="10.7109375" style="700" customWidth="1"/>
    <col min="2567" max="2567" width="9.140625" style="700" customWidth="1"/>
    <col min="2568" max="2568" width="10.140625" style="700" customWidth="1"/>
    <col min="2569" max="2569" width="11.140625" style="700" customWidth="1"/>
    <col min="2570" max="2689" width="9.140625" style="700" customWidth="1"/>
    <col min="2690" max="2690" width="2.5703125" style="700" customWidth="1"/>
    <col min="2691" max="2691" width="9.140625" style="700" customWidth="1"/>
    <col min="2692" max="2692" width="47.85546875" style="700" customWidth="1"/>
    <col min="2693" max="2693" width="6.7109375" style="700" customWidth="1"/>
    <col min="2694" max="2694" width="7.42578125" style="700" customWidth="1"/>
    <col min="2695" max="2695" width="7" style="700"/>
    <col min="2696" max="2696" width="8.5703125" style="700" customWidth="1"/>
    <col min="2697" max="2697" width="12" style="700" customWidth="1"/>
    <col min="2698" max="2698" width="4.7109375" style="700" customWidth="1"/>
    <col min="2699" max="2699" width="9.140625" style="700" customWidth="1"/>
    <col min="2700" max="2700" width="11.7109375" style="700" customWidth="1"/>
    <col min="2701" max="2812" width="7" style="700"/>
    <col min="2813" max="2813" width="3.85546875" style="700" customWidth="1"/>
    <col min="2814" max="2814" width="14" style="700" customWidth="1"/>
    <col min="2815" max="2815" width="66.5703125" style="700" customWidth="1"/>
    <col min="2816" max="2816" width="9.42578125" style="700" customWidth="1"/>
    <col min="2817" max="2817" width="9.140625" style="700" customWidth="1"/>
    <col min="2818" max="2818" width="11.140625" style="700" bestFit="1" customWidth="1"/>
    <col min="2819" max="2819" width="9.140625" style="700" customWidth="1"/>
    <col min="2820" max="2820" width="10.42578125" style="700" customWidth="1"/>
    <col min="2821" max="2821" width="9.140625" style="700" customWidth="1"/>
    <col min="2822" max="2822" width="10.7109375" style="700" customWidth="1"/>
    <col min="2823" max="2823" width="9.140625" style="700" customWidth="1"/>
    <col min="2824" max="2824" width="10.140625" style="700" customWidth="1"/>
    <col min="2825" max="2825" width="11.140625" style="700" customWidth="1"/>
    <col min="2826" max="2945" width="9.140625" style="700" customWidth="1"/>
    <col min="2946" max="2946" width="2.5703125" style="700" customWidth="1"/>
    <col min="2947" max="2947" width="9.140625" style="700" customWidth="1"/>
    <col min="2948" max="2948" width="47.85546875" style="700" customWidth="1"/>
    <col min="2949" max="2949" width="6.7109375" style="700" customWidth="1"/>
    <col min="2950" max="2950" width="7.42578125" style="700" customWidth="1"/>
    <col min="2951" max="2951" width="7" style="700"/>
    <col min="2952" max="2952" width="8.5703125" style="700" customWidth="1"/>
    <col min="2953" max="2953" width="12" style="700" customWidth="1"/>
    <col min="2954" max="2954" width="4.7109375" style="700" customWidth="1"/>
    <col min="2955" max="2955" width="9.140625" style="700" customWidth="1"/>
    <col min="2956" max="2956" width="11.7109375" style="700" customWidth="1"/>
    <col min="2957" max="3068" width="7" style="700"/>
    <col min="3069" max="3069" width="3.85546875" style="700" customWidth="1"/>
    <col min="3070" max="3070" width="14" style="700" customWidth="1"/>
    <col min="3071" max="3071" width="66.5703125" style="700" customWidth="1"/>
    <col min="3072" max="3072" width="9.42578125" style="700" customWidth="1"/>
    <col min="3073" max="3073" width="9.140625" style="700" customWidth="1"/>
    <col min="3074" max="3074" width="11.140625" style="700" bestFit="1" customWidth="1"/>
    <col min="3075" max="3075" width="9.140625" style="700" customWidth="1"/>
    <col min="3076" max="3076" width="10.42578125" style="700" customWidth="1"/>
    <col min="3077" max="3077" width="9.140625" style="700" customWidth="1"/>
    <col min="3078" max="3078" width="10.7109375" style="700" customWidth="1"/>
    <col min="3079" max="3079" width="9.140625" style="700" customWidth="1"/>
    <col min="3080" max="3080" width="10.140625" style="700" customWidth="1"/>
    <col min="3081" max="3081" width="11.140625" style="700" customWidth="1"/>
    <col min="3082" max="3201" width="9.140625" style="700" customWidth="1"/>
    <col min="3202" max="3202" width="2.5703125" style="700" customWidth="1"/>
    <col min="3203" max="3203" width="9.140625" style="700" customWidth="1"/>
    <col min="3204" max="3204" width="47.85546875" style="700" customWidth="1"/>
    <col min="3205" max="3205" width="6.7109375" style="700" customWidth="1"/>
    <col min="3206" max="3206" width="7.42578125" style="700" customWidth="1"/>
    <col min="3207" max="3207" width="7" style="700"/>
    <col min="3208" max="3208" width="8.5703125" style="700" customWidth="1"/>
    <col min="3209" max="3209" width="12" style="700" customWidth="1"/>
    <col min="3210" max="3210" width="4.7109375" style="700" customWidth="1"/>
    <col min="3211" max="3211" width="9.140625" style="700" customWidth="1"/>
    <col min="3212" max="3212" width="11.7109375" style="700" customWidth="1"/>
    <col min="3213" max="3324" width="7" style="700"/>
    <col min="3325" max="3325" width="3.85546875" style="700" customWidth="1"/>
    <col min="3326" max="3326" width="14" style="700" customWidth="1"/>
    <col min="3327" max="3327" width="66.5703125" style="700" customWidth="1"/>
    <col min="3328" max="3328" width="9.42578125" style="700" customWidth="1"/>
    <col min="3329" max="3329" width="9.140625" style="700" customWidth="1"/>
    <col min="3330" max="3330" width="11.140625" style="700" bestFit="1" customWidth="1"/>
    <col min="3331" max="3331" width="9.140625" style="700" customWidth="1"/>
    <col min="3332" max="3332" width="10.42578125" style="700" customWidth="1"/>
    <col min="3333" max="3333" width="9.140625" style="700" customWidth="1"/>
    <col min="3334" max="3334" width="10.7109375" style="700" customWidth="1"/>
    <col min="3335" max="3335" width="9.140625" style="700" customWidth="1"/>
    <col min="3336" max="3336" width="10.140625" style="700" customWidth="1"/>
    <col min="3337" max="3337" width="11.140625" style="700" customWidth="1"/>
    <col min="3338" max="3457" width="9.140625" style="700" customWidth="1"/>
    <col min="3458" max="3458" width="2.5703125" style="700" customWidth="1"/>
    <col min="3459" max="3459" width="9.140625" style="700" customWidth="1"/>
    <col min="3460" max="3460" width="47.85546875" style="700" customWidth="1"/>
    <col min="3461" max="3461" width="6.7109375" style="700" customWidth="1"/>
    <col min="3462" max="3462" width="7.42578125" style="700" customWidth="1"/>
    <col min="3463" max="3463" width="7" style="700"/>
    <col min="3464" max="3464" width="8.5703125" style="700" customWidth="1"/>
    <col min="3465" max="3465" width="12" style="700" customWidth="1"/>
    <col min="3466" max="3466" width="4.7109375" style="700" customWidth="1"/>
    <col min="3467" max="3467" width="9.140625" style="700" customWidth="1"/>
    <col min="3468" max="3468" width="11.7109375" style="700" customWidth="1"/>
    <col min="3469" max="3580" width="7" style="700"/>
    <col min="3581" max="3581" width="3.85546875" style="700" customWidth="1"/>
    <col min="3582" max="3582" width="14" style="700" customWidth="1"/>
    <col min="3583" max="3583" width="66.5703125" style="700" customWidth="1"/>
    <col min="3584" max="3584" width="9.42578125" style="700" customWidth="1"/>
    <col min="3585" max="3585" width="9.140625" style="700" customWidth="1"/>
    <col min="3586" max="3586" width="11.140625" style="700" bestFit="1" customWidth="1"/>
    <col min="3587" max="3587" width="9.140625" style="700" customWidth="1"/>
    <col min="3588" max="3588" width="10.42578125" style="700" customWidth="1"/>
    <col min="3589" max="3589" width="9.140625" style="700" customWidth="1"/>
    <col min="3590" max="3590" width="10.7109375" style="700" customWidth="1"/>
    <col min="3591" max="3591" width="9.140625" style="700" customWidth="1"/>
    <col min="3592" max="3592" width="10.140625" style="700" customWidth="1"/>
    <col min="3593" max="3593" width="11.140625" style="700" customWidth="1"/>
    <col min="3594" max="3713" width="9.140625" style="700" customWidth="1"/>
    <col min="3714" max="3714" width="2.5703125" style="700" customWidth="1"/>
    <col min="3715" max="3715" width="9.140625" style="700" customWidth="1"/>
    <col min="3716" max="3716" width="47.85546875" style="700" customWidth="1"/>
    <col min="3717" max="3717" width="6.7109375" style="700" customWidth="1"/>
    <col min="3718" max="3718" width="7.42578125" style="700" customWidth="1"/>
    <col min="3719" max="3719" width="7" style="700"/>
    <col min="3720" max="3720" width="8.5703125" style="700" customWidth="1"/>
    <col min="3721" max="3721" width="12" style="700" customWidth="1"/>
    <col min="3722" max="3722" width="4.7109375" style="700" customWidth="1"/>
    <col min="3723" max="3723" width="9.140625" style="700" customWidth="1"/>
    <col min="3724" max="3724" width="11.7109375" style="700" customWidth="1"/>
    <col min="3725" max="3836" width="7" style="700"/>
    <col min="3837" max="3837" width="3.85546875" style="700" customWidth="1"/>
    <col min="3838" max="3838" width="14" style="700" customWidth="1"/>
    <col min="3839" max="3839" width="66.5703125" style="700" customWidth="1"/>
    <col min="3840" max="3840" width="9.42578125" style="700" customWidth="1"/>
    <col min="3841" max="3841" width="9.140625" style="700" customWidth="1"/>
    <col min="3842" max="3842" width="11.140625" style="700" bestFit="1" customWidth="1"/>
    <col min="3843" max="3843" width="9.140625" style="700" customWidth="1"/>
    <col min="3844" max="3844" width="10.42578125" style="700" customWidth="1"/>
    <col min="3845" max="3845" width="9.140625" style="700" customWidth="1"/>
    <col min="3846" max="3846" width="10.7109375" style="700" customWidth="1"/>
    <col min="3847" max="3847" width="9.140625" style="700" customWidth="1"/>
    <col min="3848" max="3848" width="10.140625" style="700" customWidth="1"/>
    <col min="3849" max="3849" width="11.140625" style="700" customWidth="1"/>
    <col min="3850" max="3969" width="9.140625" style="700" customWidth="1"/>
    <col min="3970" max="3970" width="2.5703125" style="700" customWidth="1"/>
    <col min="3971" max="3971" width="9.140625" style="700" customWidth="1"/>
    <col min="3972" max="3972" width="47.85546875" style="700" customWidth="1"/>
    <col min="3973" max="3973" width="6.7109375" style="700" customWidth="1"/>
    <col min="3974" max="3974" width="7.42578125" style="700" customWidth="1"/>
    <col min="3975" max="3975" width="7" style="700"/>
    <col min="3976" max="3976" width="8.5703125" style="700" customWidth="1"/>
    <col min="3977" max="3977" width="12" style="700" customWidth="1"/>
    <col min="3978" max="3978" width="4.7109375" style="700" customWidth="1"/>
    <col min="3979" max="3979" width="9.140625" style="700" customWidth="1"/>
    <col min="3980" max="3980" width="11.7109375" style="700" customWidth="1"/>
    <col min="3981" max="4092" width="7" style="700"/>
    <col min="4093" max="4093" width="3.85546875" style="700" customWidth="1"/>
    <col min="4094" max="4094" width="14" style="700" customWidth="1"/>
    <col min="4095" max="4095" width="66.5703125" style="700" customWidth="1"/>
    <col min="4096" max="4096" width="9.42578125" style="700" customWidth="1"/>
    <col min="4097" max="4097" width="9.140625" style="700" customWidth="1"/>
    <col min="4098" max="4098" width="11.140625" style="700" bestFit="1" customWidth="1"/>
    <col min="4099" max="4099" width="9.140625" style="700" customWidth="1"/>
    <col min="4100" max="4100" width="10.42578125" style="700" customWidth="1"/>
    <col min="4101" max="4101" width="9.140625" style="700" customWidth="1"/>
    <col min="4102" max="4102" width="10.7109375" style="700" customWidth="1"/>
    <col min="4103" max="4103" width="9.140625" style="700" customWidth="1"/>
    <col min="4104" max="4104" width="10.140625" style="700" customWidth="1"/>
    <col min="4105" max="4105" width="11.140625" style="700" customWidth="1"/>
    <col min="4106" max="4225" width="9.140625" style="700" customWidth="1"/>
    <col min="4226" max="4226" width="2.5703125" style="700" customWidth="1"/>
    <col min="4227" max="4227" width="9.140625" style="700" customWidth="1"/>
    <col min="4228" max="4228" width="47.85546875" style="700" customWidth="1"/>
    <col min="4229" max="4229" width="6.7109375" style="700" customWidth="1"/>
    <col min="4230" max="4230" width="7.42578125" style="700" customWidth="1"/>
    <col min="4231" max="4231" width="7" style="700"/>
    <col min="4232" max="4232" width="8.5703125" style="700" customWidth="1"/>
    <col min="4233" max="4233" width="12" style="700" customWidth="1"/>
    <col min="4234" max="4234" width="4.7109375" style="700" customWidth="1"/>
    <col min="4235" max="4235" width="9.140625" style="700" customWidth="1"/>
    <col min="4236" max="4236" width="11.7109375" style="700" customWidth="1"/>
    <col min="4237" max="4348" width="7" style="700"/>
    <col min="4349" max="4349" width="3.85546875" style="700" customWidth="1"/>
    <col min="4350" max="4350" width="14" style="700" customWidth="1"/>
    <col min="4351" max="4351" width="66.5703125" style="700" customWidth="1"/>
    <col min="4352" max="4352" width="9.42578125" style="700" customWidth="1"/>
    <col min="4353" max="4353" width="9.140625" style="700" customWidth="1"/>
    <col min="4354" max="4354" width="11.140625" style="700" bestFit="1" customWidth="1"/>
    <col min="4355" max="4355" width="9.140625" style="700" customWidth="1"/>
    <col min="4356" max="4356" width="10.42578125" style="700" customWidth="1"/>
    <col min="4357" max="4357" width="9.140625" style="700" customWidth="1"/>
    <col min="4358" max="4358" width="10.7109375" style="700" customWidth="1"/>
    <col min="4359" max="4359" width="9.140625" style="700" customWidth="1"/>
    <col min="4360" max="4360" width="10.140625" style="700" customWidth="1"/>
    <col min="4361" max="4361" width="11.140625" style="700" customWidth="1"/>
    <col min="4362" max="4481" width="9.140625" style="700" customWidth="1"/>
    <col min="4482" max="4482" width="2.5703125" style="700" customWidth="1"/>
    <col min="4483" max="4483" width="9.140625" style="700" customWidth="1"/>
    <col min="4484" max="4484" width="47.85546875" style="700" customWidth="1"/>
    <col min="4485" max="4485" width="6.7109375" style="700" customWidth="1"/>
    <col min="4486" max="4486" width="7.42578125" style="700" customWidth="1"/>
    <col min="4487" max="4487" width="7" style="700"/>
    <col min="4488" max="4488" width="8.5703125" style="700" customWidth="1"/>
    <col min="4489" max="4489" width="12" style="700" customWidth="1"/>
    <col min="4490" max="4490" width="4.7109375" style="700" customWidth="1"/>
    <col min="4491" max="4491" width="9.140625" style="700" customWidth="1"/>
    <col min="4492" max="4492" width="11.7109375" style="700" customWidth="1"/>
    <col min="4493" max="4604" width="7" style="700"/>
    <col min="4605" max="4605" width="3.85546875" style="700" customWidth="1"/>
    <col min="4606" max="4606" width="14" style="700" customWidth="1"/>
    <col min="4607" max="4607" width="66.5703125" style="700" customWidth="1"/>
    <col min="4608" max="4608" width="9.42578125" style="700" customWidth="1"/>
    <col min="4609" max="4609" width="9.140625" style="700" customWidth="1"/>
    <col min="4610" max="4610" width="11.140625" style="700" bestFit="1" customWidth="1"/>
    <col min="4611" max="4611" width="9.140625" style="700" customWidth="1"/>
    <col min="4612" max="4612" width="10.42578125" style="700" customWidth="1"/>
    <col min="4613" max="4613" width="9.140625" style="700" customWidth="1"/>
    <col min="4614" max="4614" width="10.7109375" style="700" customWidth="1"/>
    <col min="4615" max="4615" width="9.140625" style="700" customWidth="1"/>
    <col min="4616" max="4616" width="10.140625" style="700" customWidth="1"/>
    <col min="4617" max="4617" width="11.140625" style="700" customWidth="1"/>
    <col min="4618" max="4737" width="9.140625" style="700" customWidth="1"/>
    <col min="4738" max="4738" width="2.5703125" style="700" customWidth="1"/>
    <col min="4739" max="4739" width="9.140625" style="700" customWidth="1"/>
    <col min="4740" max="4740" width="47.85546875" style="700" customWidth="1"/>
    <col min="4741" max="4741" width="6.7109375" style="700" customWidth="1"/>
    <col min="4742" max="4742" width="7.42578125" style="700" customWidth="1"/>
    <col min="4743" max="4743" width="7" style="700"/>
    <col min="4744" max="4744" width="8.5703125" style="700" customWidth="1"/>
    <col min="4745" max="4745" width="12" style="700" customWidth="1"/>
    <col min="4746" max="4746" width="4.7109375" style="700" customWidth="1"/>
    <col min="4747" max="4747" width="9.140625" style="700" customWidth="1"/>
    <col min="4748" max="4748" width="11.7109375" style="700" customWidth="1"/>
    <col min="4749" max="4860" width="7" style="700"/>
    <col min="4861" max="4861" width="3.85546875" style="700" customWidth="1"/>
    <col min="4862" max="4862" width="14" style="700" customWidth="1"/>
    <col min="4863" max="4863" width="66.5703125" style="700" customWidth="1"/>
    <col min="4864" max="4864" width="9.42578125" style="700" customWidth="1"/>
    <col min="4865" max="4865" width="9.140625" style="700" customWidth="1"/>
    <col min="4866" max="4866" width="11.140625" style="700" bestFit="1" customWidth="1"/>
    <col min="4867" max="4867" width="9.140625" style="700" customWidth="1"/>
    <col min="4868" max="4868" width="10.42578125" style="700" customWidth="1"/>
    <col min="4869" max="4869" width="9.140625" style="700" customWidth="1"/>
    <col min="4870" max="4870" width="10.7109375" style="700" customWidth="1"/>
    <col min="4871" max="4871" width="9.140625" style="700" customWidth="1"/>
    <col min="4872" max="4872" width="10.140625" style="700" customWidth="1"/>
    <col min="4873" max="4873" width="11.140625" style="700" customWidth="1"/>
    <col min="4874" max="4993" width="9.140625" style="700" customWidth="1"/>
    <col min="4994" max="4994" width="2.5703125" style="700" customWidth="1"/>
    <col min="4995" max="4995" width="9.140625" style="700" customWidth="1"/>
    <col min="4996" max="4996" width="47.85546875" style="700" customWidth="1"/>
    <col min="4997" max="4997" width="6.7109375" style="700" customWidth="1"/>
    <col min="4998" max="4998" width="7.42578125" style="700" customWidth="1"/>
    <col min="4999" max="4999" width="7" style="700"/>
    <col min="5000" max="5000" width="8.5703125" style="700" customWidth="1"/>
    <col min="5001" max="5001" width="12" style="700" customWidth="1"/>
    <col min="5002" max="5002" width="4.7109375" style="700" customWidth="1"/>
    <col min="5003" max="5003" width="9.140625" style="700" customWidth="1"/>
    <col min="5004" max="5004" width="11.7109375" style="700" customWidth="1"/>
    <col min="5005" max="5116" width="7" style="700"/>
    <col min="5117" max="5117" width="3.85546875" style="700" customWidth="1"/>
    <col min="5118" max="5118" width="14" style="700" customWidth="1"/>
    <col min="5119" max="5119" width="66.5703125" style="700" customWidth="1"/>
    <col min="5120" max="5120" width="9.42578125" style="700" customWidth="1"/>
    <col min="5121" max="5121" width="9.140625" style="700" customWidth="1"/>
    <col min="5122" max="5122" width="11.140625" style="700" bestFit="1" customWidth="1"/>
    <col min="5123" max="5123" width="9.140625" style="700" customWidth="1"/>
    <col min="5124" max="5124" width="10.42578125" style="700" customWidth="1"/>
    <col min="5125" max="5125" width="9.140625" style="700" customWidth="1"/>
    <col min="5126" max="5126" width="10.7109375" style="700" customWidth="1"/>
    <col min="5127" max="5127" width="9.140625" style="700" customWidth="1"/>
    <col min="5128" max="5128" width="10.140625" style="700" customWidth="1"/>
    <col min="5129" max="5129" width="11.140625" style="700" customWidth="1"/>
    <col min="5130" max="5249" width="9.140625" style="700" customWidth="1"/>
    <col min="5250" max="5250" width="2.5703125" style="700" customWidth="1"/>
    <col min="5251" max="5251" width="9.140625" style="700" customWidth="1"/>
    <col min="5252" max="5252" width="47.85546875" style="700" customWidth="1"/>
    <col min="5253" max="5253" width="6.7109375" style="700" customWidth="1"/>
    <col min="5254" max="5254" width="7.42578125" style="700" customWidth="1"/>
    <col min="5255" max="5255" width="7" style="700"/>
    <col min="5256" max="5256" width="8.5703125" style="700" customWidth="1"/>
    <col min="5257" max="5257" width="12" style="700" customWidth="1"/>
    <col min="5258" max="5258" width="4.7109375" style="700" customWidth="1"/>
    <col min="5259" max="5259" width="9.140625" style="700" customWidth="1"/>
    <col min="5260" max="5260" width="11.7109375" style="700" customWidth="1"/>
    <col min="5261" max="5372" width="7" style="700"/>
    <col min="5373" max="5373" width="3.85546875" style="700" customWidth="1"/>
    <col min="5374" max="5374" width="14" style="700" customWidth="1"/>
    <col min="5375" max="5375" width="66.5703125" style="700" customWidth="1"/>
    <col min="5376" max="5376" width="9.42578125" style="700" customWidth="1"/>
    <col min="5377" max="5377" width="9.140625" style="700" customWidth="1"/>
    <col min="5378" max="5378" width="11.140625" style="700" bestFit="1" customWidth="1"/>
    <col min="5379" max="5379" width="9.140625" style="700" customWidth="1"/>
    <col min="5380" max="5380" width="10.42578125" style="700" customWidth="1"/>
    <col min="5381" max="5381" width="9.140625" style="700" customWidth="1"/>
    <col min="5382" max="5382" width="10.7109375" style="700" customWidth="1"/>
    <col min="5383" max="5383" width="9.140625" style="700" customWidth="1"/>
    <col min="5384" max="5384" width="10.140625" style="700" customWidth="1"/>
    <col min="5385" max="5385" width="11.140625" style="700" customWidth="1"/>
    <col min="5386" max="5505" width="9.140625" style="700" customWidth="1"/>
    <col min="5506" max="5506" width="2.5703125" style="700" customWidth="1"/>
    <col min="5507" max="5507" width="9.140625" style="700" customWidth="1"/>
    <col min="5508" max="5508" width="47.85546875" style="700" customWidth="1"/>
    <col min="5509" max="5509" width="6.7109375" style="700" customWidth="1"/>
    <col min="5510" max="5510" width="7.42578125" style="700" customWidth="1"/>
    <col min="5511" max="5511" width="7" style="700"/>
    <col min="5512" max="5512" width="8.5703125" style="700" customWidth="1"/>
    <col min="5513" max="5513" width="12" style="700" customWidth="1"/>
    <col min="5514" max="5514" width="4.7109375" style="700" customWidth="1"/>
    <col min="5515" max="5515" width="9.140625" style="700" customWidth="1"/>
    <col min="5516" max="5516" width="11.7109375" style="700" customWidth="1"/>
    <col min="5517" max="5628" width="7" style="700"/>
    <col min="5629" max="5629" width="3.85546875" style="700" customWidth="1"/>
    <col min="5630" max="5630" width="14" style="700" customWidth="1"/>
    <col min="5631" max="5631" width="66.5703125" style="700" customWidth="1"/>
    <col min="5632" max="5632" width="9.42578125" style="700" customWidth="1"/>
    <col min="5633" max="5633" width="9.140625" style="700" customWidth="1"/>
    <col min="5634" max="5634" width="11.140625" style="700" bestFit="1" customWidth="1"/>
    <col min="5635" max="5635" width="9.140625" style="700" customWidth="1"/>
    <col min="5636" max="5636" width="10.42578125" style="700" customWidth="1"/>
    <col min="5637" max="5637" width="9.140625" style="700" customWidth="1"/>
    <col min="5638" max="5638" width="10.7109375" style="700" customWidth="1"/>
    <col min="5639" max="5639" width="9.140625" style="700" customWidth="1"/>
    <col min="5640" max="5640" width="10.140625" style="700" customWidth="1"/>
    <col min="5641" max="5641" width="11.140625" style="700" customWidth="1"/>
    <col min="5642" max="5761" width="9.140625" style="700" customWidth="1"/>
    <col min="5762" max="5762" width="2.5703125" style="700" customWidth="1"/>
    <col min="5763" max="5763" width="9.140625" style="700" customWidth="1"/>
    <col min="5764" max="5764" width="47.85546875" style="700" customWidth="1"/>
    <col min="5765" max="5765" width="6.7109375" style="700" customWidth="1"/>
    <col min="5766" max="5766" width="7.42578125" style="700" customWidth="1"/>
    <col min="5767" max="5767" width="7" style="700"/>
    <col min="5768" max="5768" width="8.5703125" style="700" customWidth="1"/>
    <col min="5769" max="5769" width="12" style="700" customWidth="1"/>
    <col min="5770" max="5770" width="4.7109375" style="700" customWidth="1"/>
    <col min="5771" max="5771" width="9.140625" style="700" customWidth="1"/>
    <col min="5772" max="5772" width="11.7109375" style="700" customWidth="1"/>
    <col min="5773" max="5884" width="7" style="700"/>
    <col min="5885" max="5885" width="3.85546875" style="700" customWidth="1"/>
    <col min="5886" max="5886" width="14" style="700" customWidth="1"/>
    <col min="5887" max="5887" width="66.5703125" style="700" customWidth="1"/>
    <col min="5888" max="5888" width="9.42578125" style="700" customWidth="1"/>
    <col min="5889" max="5889" width="9.140625" style="700" customWidth="1"/>
    <col min="5890" max="5890" width="11.140625" style="700" bestFit="1" customWidth="1"/>
    <col min="5891" max="5891" width="9.140625" style="700" customWidth="1"/>
    <col min="5892" max="5892" width="10.42578125" style="700" customWidth="1"/>
    <col min="5893" max="5893" width="9.140625" style="700" customWidth="1"/>
    <col min="5894" max="5894" width="10.7109375" style="700" customWidth="1"/>
    <col min="5895" max="5895" width="9.140625" style="700" customWidth="1"/>
    <col min="5896" max="5896" width="10.140625" style="700" customWidth="1"/>
    <col min="5897" max="5897" width="11.140625" style="700" customWidth="1"/>
    <col min="5898" max="6017" width="9.140625" style="700" customWidth="1"/>
    <col min="6018" max="6018" width="2.5703125" style="700" customWidth="1"/>
    <col min="6019" max="6019" width="9.140625" style="700" customWidth="1"/>
    <col min="6020" max="6020" width="47.85546875" style="700" customWidth="1"/>
    <col min="6021" max="6021" width="6.7109375" style="700" customWidth="1"/>
    <col min="6022" max="6022" width="7.42578125" style="700" customWidth="1"/>
    <col min="6023" max="6023" width="7" style="700"/>
    <col min="6024" max="6024" width="8.5703125" style="700" customWidth="1"/>
    <col min="6025" max="6025" width="12" style="700" customWidth="1"/>
    <col min="6026" max="6026" width="4.7109375" style="700" customWidth="1"/>
    <col min="6027" max="6027" width="9.140625" style="700" customWidth="1"/>
    <col min="6028" max="6028" width="11.7109375" style="700" customWidth="1"/>
    <col min="6029" max="6140" width="7" style="700"/>
    <col min="6141" max="6141" width="3.85546875" style="700" customWidth="1"/>
    <col min="6142" max="6142" width="14" style="700" customWidth="1"/>
    <col min="6143" max="6143" width="66.5703125" style="700" customWidth="1"/>
    <col min="6144" max="6144" width="9.42578125" style="700" customWidth="1"/>
    <col min="6145" max="6145" width="9.140625" style="700" customWidth="1"/>
    <col min="6146" max="6146" width="11.140625" style="700" bestFit="1" customWidth="1"/>
    <col min="6147" max="6147" width="9.140625" style="700" customWidth="1"/>
    <col min="6148" max="6148" width="10.42578125" style="700" customWidth="1"/>
    <col min="6149" max="6149" width="9.140625" style="700" customWidth="1"/>
    <col min="6150" max="6150" width="10.7109375" style="700" customWidth="1"/>
    <col min="6151" max="6151" width="9.140625" style="700" customWidth="1"/>
    <col min="6152" max="6152" width="10.140625" style="700" customWidth="1"/>
    <col min="6153" max="6153" width="11.140625" style="700" customWidth="1"/>
    <col min="6154" max="6273" width="9.140625" style="700" customWidth="1"/>
    <col min="6274" max="6274" width="2.5703125" style="700" customWidth="1"/>
    <col min="6275" max="6275" width="9.140625" style="700" customWidth="1"/>
    <col min="6276" max="6276" width="47.85546875" style="700" customWidth="1"/>
    <col min="6277" max="6277" width="6.7109375" style="700" customWidth="1"/>
    <col min="6278" max="6278" width="7.42578125" style="700" customWidth="1"/>
    <col min="6279" max="6279" width="7" style="700"/>
    <col min="6280" max="6280" width="8.5703125" style="700" customWidth="1"/>
    <col min="6281" max="6281" width="12" style="700" customWidth="1"/>
    <col min="6282" max="6282" width="4.7109375" style="700" customWidth="1"/>
    <col min="6283" max="6283" width="9.140625" style="700" customWidth="1"/>
    <col min="6284" max="6284" width="11.7109375" style="700" customWidth="1"/>
    <col min="6285" max="6396" width="7" style="700"/>
    <col min="6397" max="6397" width="3.85546875" style="700" customWidth="1"/>
    <col min="6398" max="6398" width="14" style="700" customWidth="1"/>
    <col min="6399" max="6399" width="66.5703125" style="700" customWidth="1"/>
    <col min="6400" max="6400" width="9.42578125" style="700" customWidth="1"/>
    <col min="6401" max="6401" width="9.140625" style="700" customWidth="1"/>
    <col min="6402" max="6402" width="11.140625" style="700" bestFit="1" customWidth="1"/>
    <col min="6403" max="6403" width="9.140625" style="700" customWidth="1"/>
    <col min="6404" max="6404" width="10.42578125" style="700" customWidth="1"/>
    <col min="6405" max="6405" width="9.140625" style="700" customWidth="1"/>
    <col min="6406" max="6406" width="10.7109375" style="700" customWidth="1"/>
    <col min="6407" max="6407" width="9.140625" style="700" customWidth="1"/>
    <col min="6408" max="6408" width="10.140625" style="700" customWidth="1"/>
    <col min="6409" max="6409" width="11.140625" style="700" customWidth="1"/>
    <col min="6410" max="6529" width="9.140625" style="700" customWidth="1"/>
    <col min="6530" max="6530" width="2.5703125" style="700" customWidth="1"/>
    <col min="6531" max="6531" width="9.140625" style="700" customWidth="1"/>
    <col min="6532" max="6532" width="47.85546875" style="700" customWidth="1"/>
    <col min="6533" max="6533" width="6.7109375" style="700" customWidth="1"/>
    <col min="6534" max="6534" width="7.42578125" style="700" customWidth="1"/>
    <col min="6535" max="6535" width="7" style="700"/>
    <col min="6536" max="6536" width="8.5703125" style="700" customWidth="1"/>
    <col min="6537" max="6537" width="12" style="700" customWidth="1"/>
    <col min="6538" max="6538" width="4.7109375" style="700" customWidth="1"/>
    <col min="6539" max="6539" width="9.140625" style="700" customWidth="1"/>
    <col min="6540" max="6540" width="11.7109375" style="700" customWidth="1"/>
    <col min="6541" max="6652" width="7" style="700"/>
    <col min="6653" max="6653" width="3.85546875" style="700" customWidth="1"/>
    <col min="6654" max="6654" width="14" style="700" customWidth="1"/>
    <col min="6655" max="6655" width="66.5703125" style="700" customWidth="1"/>
    <col min="6656" max="6656" width="9.42578125" style="700" customWidth="1"/>
    <col min="6657" max="6657" width="9.140625" style="700" customWidth="1"/>
    <col min="6658" max="6658" width="11.140625" style="700" bestFit="1" customWidth="1"/>
    <col min="6659" max="6659" width="9.140625" style="700" customWidth="1"/>
    <col min="6660" max="6660" width="10.42578125" style="700" customWidth="1"/>
    <col min="6661" max="6661" width="9.140625" style="700" customWidth="1"/>
    <col min="6662" max="6662" width="10.7109375" style="700" customWidth="1"/>
    <col min="6663" max="6663" width="9.140625" style="700" customWidth="1"/>
    <col min="6664" max="6664" width="10.140625" style="700" customWidth="1"/>
    <col min="6665" max="6665" width="11.140625" style="700" customWidth="1"/>
    <col min="6666" max="6785" width="9.140625" style="700" customWidth="1"/>
    <col min="6786" max="6786" width="2.5703125" style="700" customWidth="1"/>
    <col min="6787" max="6787" width="9.140625" style="700" customWidth="1"/>
    <col min="6788" max="6788" width="47.85546875" style="700" customWidth="1"/>
    <col min="6789" max="6789" width="6.7109375" style="700" customWidth="1"/>
    <col min="6790" max="6790" width="7.42578125" style="700" customWidth="1"/>
    <col min="6791" max="6791" width="7" style="700"/>
    <col min="6792" max="6792" width="8.5703125" style="700" customWidth="1"/>
    <col min="6793" max="6793" width="12" style="700" customWidth="1"/>
    <col min="6794" max="6794" width="4.7109375" style="700" customWidth="1"/>
    <col min="6795" max="6795" width="9.140625" style="700" customWidth="1"/>
    <col min="6796" max="6796" width="11.7109375" style="700" customWidth="1"/>
    <col min="6797" max="6908" width="7" style="700"/>
    <col min="6909" max="6909" width="3.85546875" style="700" customWidth="1"/>
    <col min="6910" max="6910" width="14" style="700" customWidth="1"/>
    <col min="6911" max="6911" width="66.5703125" style="700" customWidth="1"/>
    <col min="6912" max="6912" width="9.42578125" style="700" customWidth="1"/>
    <col min="6913" max="6913" width="9.140625" style="700" customWidth="1"/>
    <col min="6914" max="6914" width="11.140625" style="700" bestFit="1" customWidth="1"/>
    <col min="6915" max="6915" width="9.140625" style="700" customWidth="1"/>
    <col min="6916" max="6916" width="10.42578125" style="700" customWidth="1"/>
    <col min="6917" max="6917" width="9.140625" style="700" customWidth="1"/>
    <col min="6918" max="6918" width="10.7109375" style="700" customWidth="1"/>
    <col min="6919" max="6919" width="9.140625" style="700" customWidth="1"/>
    <col min="6920" max="6920" width="10.140625" style="700" customWidth="1"/>
    <col min="6921" max="6921" width="11.140625" style="700" customWidth="1"/>
    <col min="6922" max="7041" width="9.140625" style="700" customWidth="1"/>
    <col min="7042" max="7042" width="2.5703125" style="700" customWidth="1"/>
    <col min="7043" max="7043" width="9.140625" style="700" customWidth="1"/>
    <col min="7044" max="7044" width="47.85546875" style="700" customWidth="1"/>
    <col min="7045" max="7045" width="6.7109375" style="700" customWidth="1"/>
    <col min="7046" max="7046" width="7.42578125" style="700" customWidth="1"/>
    <col min="7047" max="7047" width="7" style="700"/>
    <col min="7048" max="7048" width="8.5703125" style="700" customWidth="1"/>
    <col min="7049" max="7049" width="12" style="700" customWidth="1"/>
    <col min="7050" max="7050" width="4.7109375" style="700" customWidth="1"/>
    <col min="7051" max="7051" width="9.140625" style="700" customWidth="1"/>
    <col min="7052" max="7052" width="11.7109375" style="700" customWidth="1"/>
    <col min="7053" max="7164" width="7" style="700"/>
    <col min="7165" max="7165" width="3.85546875" style="700" customWidth="1"/>
    <col min="7166" max="7166" width="14" style="700" customWidth="1"/>
    <col min="7167" max="7167" width="66.5703125" style="700" customWidth="1"/>
    <col min="7168" max="7168" width="9.42578125" style="700" customWidth="1"/>
    <col min="7169" max="7169" width="9.140625" style="700" customWidth="1"/>
    <col min="7170" max="7170" width="11.140625" style="700" bestFit="1" customWidth="1"/>
    <col min="7171" max="7171" width="9.140625" style="700" customWidth="1"/>
    <col min="7172" max="7172" width="10.42578125" style="700" customWidth="1"/>
    <col min="7173" max="7173" width="9.140625" style="700" customWidth="1"/>
    <col min="7174" max="7174" width="10.7109375" style="700" customWidth="1"/>
    <col min="7175" max="7175" width="9.140625" style="700" customWidth="1"/>
    <col min="7176" max="7176" width="10.140625" style="700" customWidth="1"/>
    <col min="7177" max="7177" width="11.140625" style="700" customWidth="1"/>
    <col min="7178" max="7297" width="9.140625" style="700" customWidth="1"/>
    <col min="7298" max="7298" width="2.5703125" style="700" customWidth="1"/>
    <col min="7299" max="7299" width="9.140625" style="700" customWidth="1"/>
    <col min="7300" max="7300" width="47.85546875" style="700" customWidth="1"/>
    <col min="7301" max="7301" width="6.7109375" style="700" customWidth="1"/>
    <col min="7302" max="7302" width="7.42578125" style="700" customWidth="1"/>
    <col min="7303" max="7303" width="7" style="700"/>
    <col min="7304" max="7304" width="8.5703125" style="700" customWidth="1"/>
    <col min="7305" max="7305" width="12" style="700" customWidth="1"/>
    <col min="7306" max="7306" width="4.7109375" style="700" customWidth="1"/>
    <col min="7307" max="7307" width="9.140625" style="700" customWidth="1"/>
    <col min="7308" max="7308" width="11.7109375" style="700" customWidth="1"/>
    <col min="7309" max="7420" width="7" style="700"/>
    <col min="7421" max="7421" width="3.85546875" style="700" customWidth="1"/>
    <col min="7422" max="7422" width="14" style="700" customWidth="1"/>
    <col min="7423" max="7423" width="66.5703125" style="700" customWidth="1"/>
    <col min="7424" max="7424" width="9.42578125" style="700" customWidth="1"/>
    <col min="7425" max="7425" width="9.140625" style="700" customWidth="1"/>
    <col min="7426" max="7426" width="11.140625" style="700" bestFit="1" customWidth="1"/>
    <col min="7427" max="7427" width="9.140625" style="700" customWidth="1"/>
    <col min="7428" max="7428" width="10.42578125" style="700" customWidth="1"/>
    <col min="7429" max="7429" width="9.140625" style="700" customWidth="1"/>
    <col min="7430" max="7430" width="10.7109375" style="700" customWidth="1"/>
    <col min="7431" max="7431" width="9.140625" style="700" customWidth="1"/>
    <col min="7432" max="7432" width="10.140625" style="700" customWidth="1"/>
    <col min="7433" max="7433" width="11.140625" style="700" customWidth="1"/>
    <col min="7434" max="7553" width="9.140625" style="700" customWidth="1"/>
    <col min="7554" max="7554" width="2.5703125" style="700" customWidth="1"/>
    <col min="7555" max="7555" width="9.140625" style="700" customWidth="1"/>
    <col min="7556" max="7556" width="47.85546875" style="700" customWidth="1"/>
    <col min="7557" max="7557" width="6.7109375" style="700" customWidth="1"/>
    <col min="7558" max="7558" width="7.42578125" style="700" customWidth="1"/>
    <col min="7559" max="7559" width="7" style="700"/>
    <col min="7560" max="7560" width="8.5703125" style="700" customWidth="1"/>
    <col min="7561" max="7561" width="12" style="700" customWidth="1"/>
    <col min="7562" max="7562" width="4.7109375" style="700" customWidth="1"/>
    <col min="7563" max="7563" width="9.140625" style="700" customWidth="1"/>
    <col min="7564" max="7564" width="11.7109375" style="700" customWidth="1"/>
    <col min="7565" max="7676" width="7" style="700"/>
    <col min="7677" max="7677" width="3.85546875" style="700" customWidth="1"/>
    <col min="7678" max="7678" width="14" style="700" customWidth="1"/>
    <col min="7679" max="7679" width="66.5703125" style="700" customWidth="1"/>
    <col min="7680" max="7680" width="9.42578125" style="700" customWidth="1"/>
    <col min="7681" max="7681" width="9.140625" style="700" customWidth="1"/>
    <col min="7682" max="7682" width="11.140625" style="700" bestFit="1" customWidth="1"/>
    <col min="7683" max="7683" width="9.140625" style="700" customWidth="1"/>
    <col min="7684" max="7684" width="10.42578125" style="700" customWidth="1"/>
    <col min="7685" max="7685" width="9.140625" style="700" customWidth="1"/>
    <col min="7686" max="7686" width="10.7109375" style="700" customWidth="1"/>
    <col min="7687" max="7687" width="9.140625" style="700" customWidth="1"/>
    <col min="7688" max="7688" width="10.140625" style="700" customWidth="1"/>
    <col min="7689" max="7689" width="11.140625" style="700" customWidth="1"/>
    <col min="7690" max="7809" width="9.140625" style="700" customWidth="1"/>
    <col min="7810" max="7810" width="2.5703125" style="700" customWidth="1"/>
    <col min="7811" max="7811" width="9.140625" style="700" customWidth="1"/>
    <col min="7812" max="7812" width="47.85546875" style="700" customWidth="1"/>
    <col min="7813" max="7813" width="6.7109375" style="700" customWidth="1"/>
    <col min="7814" max="7814" width="7.42578125" style="700" customWidth="1"/>
    <col min="7815" max="7815" width="7" style="700"/>
    <col min="7816" max="7816" width="8.5703125" style="700" customWidth="1"/>
    <col min="7817" max="7817" width="12" style="700" customWidth="1"/>
    <col min="7818" max="7818" width="4.7109375" style="700" customWidth="1"/>
    <col min="7819" max="7819" width="9.140625" style="700" customWidth="1"/>
    <col min="7820" max="7820" width="11.7109375" style="700" customWidth="1"/>
    <col min="7821" max="7932" width="7" style="700"/>
    <col min="7933" max="7933" width="3.85546875" style="700" customWidth="1"/>
    <col min="7934" max="7934" width="14" style="700" customWidth="1"/>
    <col min="7935" max="7935" width="66.5703125" style="700" customWidth="1"/>
    <col min="7936" max="7936" width="9.42578125" style="700" customWidth="1"/>
    <col min="7937" max="7937" width="9.140625" style="700" customWidth="1"/>
    <col min="7938" max="7938" width="11.140625" style="700" bestFit="1" customWidth="1"/>
    <col min="7939" max="7939" width="9.140625" style="700" customWidth="1"/>
    <col min="7940" max="7940" width="10.42578125" style="700" customWidth="1"/>
    <col min="7941" max="7941" width="9.140625" style="700" customWidth="1"/>
    <col min="7942" max="7942" width="10.7109375" style="700" customWidth="1"/>
    <col min="7943" max="7943" width="9.140625" style="700" customWidth="1"/>
    <col min="7944" max="7944" width="10.140625" style="700" customWidth="1"/>
    <col min="7945" max="7945" width="11.140625" style="700" customWidth="1"/>
    <col min="7946" max="8065" width="9.140625" style="700" customWidth="1"/>
    <col min="8066" max="8066" width="2.5703125" style="700" customWidth="1"/>
    <col min="8067" max="8067" width="9.140625" style="700" customWidth="1"/>
    <col min="8068" max="8068" width="47.85546875" style="700" customWidth="1"/>
    <col min="8069" max="8069" width="6.7109375" style="700" customWidth="1"/>
    <col min="8070" max="8070" width="7.42578125" style="700" customWidth="1"/>
    <col min="8071" max="8071" width="7" style="700"/>
    <col min="8072" max="8072" width="8.5703125" style="700" customWidth="1"/>
    <col min="8073" max="8073" width="12" style="700" customWidth="1"/>
    <col min="8074" max="8074" width="4.7109375" style="700" customWidth="1"/>
    <col min="8075" max="8075" width="9.140625" style="700" customWidth="1"/>
    <col min="8076" max="8076" width="11.7109375" style="700" customWidth="1"/>
    <col min="8077" max="8188" width="7" style="700"/>
    <col min="8189" max="8189" width="3.85546875" style="700" customWidth="1"/>
    <col min="8190" max="8190" width="14" style="700" customWidth="1"/>
    <col min="8191" max="8191" width="66.5703125" style="700" customWidth="1"/>
    <col min="8192" max="8192" width="9.42578125" style="700" customWidth="1"/>
    <col min="8193" max="8193" width="9.140625" style="700" customWidth="1"/>
    <col min="8194" max="8194" width="11.140625" style="700" bestFit="1" customWidth="1"/>
    <col min="8195" max="8195" width="9.140625" style="700" customWidth="1"/>
    <col min="8196" max="8196" width="10.42578125" style="700" customWidth="1"/>
    <col min="8197" max="8197" width="9.140625" style="700" customWidth="1"/>
    <col min="8198" max="8198" width="10.7109375" style="700" customWidth="1"/>
    <col min="8199" max="8199" width="9.140625" style="700" customWidth="1"/>
    <col min="8200" max="8200" width="10.140625" style="700" customWidth="1"/>
    <col min="8201" max="8201" width="11.140625" style="700" customWidth="1"/>
    <col min="8202" max="8321" width="9.140625" style="700" customWidth="1"/>
    <col min="8322" max="8322" width="2.5703125" style="700" customWidth="1"/>
    <col min="8323" max="8323" width="9.140625" style="700" customWidth="1"/>
    <col min="8324" max="8324" width="47.85546875" style="700" customWidth="1"/>
    <col min="8325" max="8325" width="6.7109375" style="700" customWidth="1"/>
    <col min="8326" max="8326" width="7.42578125" style="700" customWidth="1"/>
    <col min="8327" max="8327" width="7" style="700"/>
    <col min="8328" max="8328" width="8.5703125" style="700" customWidth="1"/>
    <col min="8329" max="8329" width="12" style="700" customWidth="1"/>
    <col min="8330" max="8330" width="4.7109375" style="700" customWidth="1"/>
    <col min="8331" max="8331" width="9.140625" style="700" customWidth="1"/>
    <col min="8332" max="8332" width="11.7109375" style="700" customWidth="1"/>
    <col min="8333" max="8444" width="7" style="700"/>
    <col min="8445" max="8445" width="3.85546875" style="700" customWidth="1"/>
    <col min="8446" max="8446" width="14" style="700" customWidth="1"/>
    <col min="8447" max="8447" width="66.5703125" style="700" customWidth="1"/>
    <col min="8448" max="8448" width="9.42578125" style="700" customWidth="1"/>
    <col min="8449" max="8449" width="9.140625" style="700" customWidth="1"/>
    <col min="8450" max="8450" width="11.140625" style="700" bestFit="1" customWidth="1"/>
    <col min="8451" max="8451" width="9.140625" style="700" customWidth="1"/>
    <col min="8452" max="8452" width="10.42578125" style="700" customWidth="1"/>
    <col min="8453" max="8453" width="9.140625" style="700" customWidth="1"/>
    <col min="8454" max="8454" width="10.7109375" style="700" customWidth="1"/>
    <col min="8455" max="8455" width="9.140625" style="700" customWidth="1"/>
    <col min="8456" max="8456" width="10.140625" style="700" customWidth="1"/>
    <col min="8457" max="8457" width="11.140625" style="700" customWidth="1"/>
    <col min="8458" max="8577" width="9.140625" style="700" customWidth="1"/>
    <col min="8578" max="8578" width="2.5703125" style="700" customWidth="1"/>
    <col min="8579" max="8579" width="9.140625" style="700" customWidth="1"/>
    <col min="8580" max="8580" width="47.85546875" style="700" customWidth="1"/>
    <col min="8581" max="8581" width="6.7109375" style="700" customWidth="1"/>
    <col min="8582" max="8582" width="7.42578125" style="700" customWidth="1"/>
    <col min="8583" max="8583" width="7" style="700"/>
    <col min="8584" max="8584" width="8.5703125" style="700" customWidth="1"/>
    <col min="8585" max="8585" width="12" style="700" customWidth="1"/>
    <col min="8586" max="8586" width="4.7109375" style="700" customWidth="1"/>
    <col min="8587" max="8587" width="9.140625" style="700" customWidth="1"/>
    <col min="8588" max="8588" width="11.7109375" style="700" customWidth="1"/>
    <col min="8589" max="8700" width="7" style="700"/>
    <col min="8701" max="8701" width="3.85546875" style="700" customWidth="1"/>
    <col min="8702" max="8702" width="14" style="700" customWidth="1"/>
    <col min="8703" max="8703" width="66.5703125" style="700" customWidth="1"/>
    <col min="8704" max="8704" width="9.42578125" style="700" customWidth="1"/>
    <col min="8705" max="8705" width="9.140625" style="700" customWidth="1"/>
    <col min="8706" max="8706" width="11.140625" style="700" bestFit="1" customWidth="1"/>
    <col min="8707" max="8707" width="9.140625" style="700" customWidth="1"/>
    <col min="8708" max="8708" width="10.42578125" style="700" customWidth="1"/>
    <col min="8709" max="8709" width="9.140625" style="700" customWidth="1"/>
    <col min="8710" max="8710" width="10.7109375" style="700" customWidth="1"/>
    <col min="8711" max="8711" width="9.140625" style="700" customWidth="1"/>
    <col min="8712" max="8712" width="10.140625" style="700" customWidth="1"/>
    <col min="8713" max="8713" width="11.140625" style="700" customWidth="1"/>
    <col min="8714" max="8833" width="9.140625" style="700" customWidth="1"/>
    <col min="8834" max="8834" width="2.5703125" style="700" customWidth="1"/>
    <col min="8835" max="8835" width="9.140625" style="700" customWidth="1"/>
    <col min="8836" max="8836" width="47.85546875" style="700" customWidth="1"/>
    <col min="8837" max="8837" width="6.7109375" style="700" customWidth="1"/>
    <col min="8838" max="8838" width="7.42578125" style="700" customWidth="1"/>
    <col min="8839" max="8839" width="7" style="700"/>
    <col min="8840" max="8840" width="8.5703125" style="700" customWidth="1"/>
    <col min="8841" max="8841" width="12" style="700" customWidth="1"/>
    <col min="8842" max="8842" width="4.7109375" style="700" customWidth="1"/>
    <col min="8843" max="8843" width="9.140625" style="700" customWidth="1"/>
    <col min="8844" max="8844" width="11.7109375" style="700" customWidth="1"/>
    <col min="8845" max="8956" width="7" style="700"/>
    <col min="8957" max="8957" width="3.85546875" style="700" customWidth="1"/>
    <col min="8958" max="8958" width="14" style="700" customWidth="1"/>
    <col min="8959" max="8959" width="66.5703125" style="700" customWidth="1"/>
    <col min="8960" max="8960" width="9.42578125" style="700" customWidth="1"/>
    <col min="8961" max="8961" width="9.140625" style="700" customWidth="1"/>
    <col min="8962" max="8962" width="11.140625" style="700" bestFit="1" customWidth="1"/>
    <col min="8963" max="8963" width="9.140625" style="700" customWidth="1"/>
    <col min="8964" max="8964" width="10.42578125" style="700" customWidth="1"/>
    <col min="8965" max="8965" width="9.140625" style="700" customWidth="1"/>
    <col min="8966" max="8966" width="10.7109375" style="700" customWidth="1"/>
    <col min="8967" max="8967" width="9.140625" style="700" customWidth="1"/>
    <col min="8968" max="8968" width="10.140625" style="700" customWidth="1"/>
    <col min="8969" max="8969" width="11.140625" style="700" customWidth="1"/>
    <col min="8970" max="9089" width="9.140625" style="700" customWidth="1"/>
    <col min="9090" max="9090" width="2.5703125" style="700" customWidth="1"/>
    <col min="9091" max="9091" width="9.140625" style="700" customWidth="1"/>
    <col min="9092" max="9092" width="47.85546875" style="700" customWidth="1"/>
    <col min="9093" max="9093" width="6.7109375" style="700" customWidth="1"/>
    <col min="9094" max="9094" width="7.42578125" style="700" customWidth="1"/>
    <col min="9095" max="9095" width="7" style="700"/>
    <col min="9096" max="9096" width="8.5703125" style="700" customWidth="1"/>
    <col min="9097" max="9097" width="12" style="700" customWidth="1"/>
    <col min="9098" max="9098" width="4.7109375" style="700" customWidth="1"/>
    <col min="9099" max="9099" width="9.140625" style="700" customWidth="1"/>
    <col min="9100" max="9100" width="11.7109375" style="700" customWidth="1"/>
    <col min="9101" max="9212" width="7" style="700"/>
    <col min="9213" max="9213" width="3.85546875" style="700" customWidth="1"/>
    <col min="9214" max="9214" width="14" style="700" customWidth="1"/>
    <col min="9215" max="9215" width="66.5703125" style="700" customWidth="1"/>
    <col min="9216" max="9216" width="9.42578125" style="700" customWidth="1"/>
    <col min="9217" max="9217" width="9.140625" style="700" customWidth="1"/>
    <col min="9218" max="9218" width="11.140625" style="700" bestFit="1" customWidth="1"/>
    <col min="9219" max="9219" width="9.140625" style="700" customWidth="1"/>
    <col min="9220" max="9220" width="10.42578125" style="700" customWidth="1"/>
    <col min="9221" max="9221" width="9.140625" style="700" customWidth="1"/>
    <col min="9222" max="9222" width="10.7109375" style="700" customWidth="1"/>
    <col min="9223" max="9223" width="9.140625" style="700" customWidth="1"/>
    <col min="9224" max="9224" width="10.140625" style="700" customWidth="1"/>
    <col min="9225" max="9225" width="11.140625" style="700" customWidth="1"/>
    <col min="9226" max="9345" width="9.140625" style="700" customWidth="1"/>
    <col min="9346" max="9346" width="2.5703125" style="700" customWidth="1"/>
    <col min="9347" max="9347" width="9.140625" style="700" customWidth="1"/>
    <col min="9348" max="9348" width="47.85546875" style="700" customWidth="1"/>
    <col min="9349" max="9349" width="6.7109375" style="700" customWidth="1"/>
    <col min="9350" max="9350" width="7.42578125" style="700" customWidth="1"/>
    <col min="9351" max="9351" width="7" style="700"/>
    <col min="9352" max="9352" width="8.5703125" style="700" customWidth="1"/>
    <col min="9353" max="9353" width="12" style="700" customWidth="1"/>
    <col min="9354" max="9354" width="4.7109375" style="700" customWidth="1"/>
    <col min="9355" max="9355" width="9.140625" style="700" customWidth="1"/>
    <col min="9356" max="9356" width="11.7109375" style="700" customWidth="1"/>
    <col min="9357" max="9468" width="7" style="700"/>
    <col min="9469" max="9469" width="3.85546875" style="700" customWidth="1"/>
    <col min="9470" max="9470" width="14" style="700" customWidth="1"/>
    <col min="9471" max="9471" width="66.5703125" style="700" customWidth="1"/>
    <col min="9472" max="9472" width="9.42578125" style="700" customWidth="1"/>
    <col min="9473" max="9473" width="9.140625" style="700" customWidth="1"/>
    <col min="9474" max="9474" width="11.140625" style="700" bestFit="1" customWidth="1"/>
    <col min="9475" max="9475" width="9.140625" style="700" customWidth="1"/>
    <col min="9476" max="9476" width="10.42578125" style="700" customWidth="1"/>
    <col min="9477" max="9477" width="9.140625" style="700" customWidth="1"/>
    <col min="9478" max="9478" width="10.7109375" style="700" customWidth="1"/>
    <col min="9479" max="9479" width="9.140625" style="700" customWidth="1"/>
    <col min="9480" max="9480" width="10.140625" style="700" customWidth="1"/>
    <col min="9481" max="9481" width="11.140625" style="700" customWidth="1"/>
    <col min="9482" max="9601" width="9.140625" style="700" customWidth="1"/>
    <col min="9602" max="9602" width="2.5703125" style="700" customWidth="1"/>
    <col min="9603" max="9603" width="9.140625" style="700" customWidth="1"/>
    <col min="9604" max="9604" width="47.85546875" style="700" customWidth="1"/>
    <col min="9605" max="9605" width="6.7109375" style="700" customWidth="1"/>
    <col min="9606" max="9606" width="7.42578125" style="700" customWidth="1"/>
    <col min="9607" max="9607" width="7" style="700"/>
    <col min="9608" max="9608" width="8.5703125" style="700" customWidth="1"/>
    <col min="9609" max="9609" width="12" style="700" customWidth="1"/>
    <col min="9610" max="9610" width="4.7109375" style="700" customWidth="1"/>
    <col min="9611" max="9611" width="9.140625" style="700" customWidth="1"/>
    <col min="9612" max="9612" width="11.7109375" style="700" customWidth="1"/>
    <col min="9613" max="9724" width="7" style="700"/>
    <col min="9725" max="9725" width="3.85546875" style="700" customWidth="1"/>
    <col min="9726" max="9726" width="14" style="700" customWidth="1"/>
    <col min="9727" max="9727" width="66.5703125" style="700" customWidth="1"/>
    <col min="9728" max="9728" width="9.42578125" style="700" customWidth="1"/>
    <col min="9729" max="9729" width="9.140625" style="700" customWidth="1"/>
    <col min="9730" max="9730" width="11.140625" style="700" bestFit="1" customWidth="1"/>
    <col min="9731" max="9731" width="9.140625" style="700" customWidth="1"/>
    <col min="9732" max="9732" width="10.42578125" style="700" customWidth="1"/>
    <col min="9733" max="9733" width="9.140625" style="700" customWidth="1"/>
    <col min="9734" max="9734" width="10.7109375" style="700" customWidth="1"/>
    <col min="9735" max="9735" width="9.140625" style="700" customWidth="1"/>
    <col min="9736" max="9736" width="10.140625" style="700" customWidth="1"/>
    <col min="9737" max="9737" width="11.140625" style="700" customWidth="1"/>
    <col min="9738" max="9857" width="9.140625" style="700" customWidth="1"/>
    <col min="9858" max="9858" width="2.5703125" style="700" customWidth="1"/>
    <col min="9859" max="9859" width="9.140625" style="700" customWidth="1"/>
    <col min="9860" max="9860" width="47.85546875" style="700" customWidth="1"/>
    <col min="9861" max="9861" width="6.7109375" style="700" customWidth="1"/>
    <col min="9862" max="9862" width="7.42578125" style="700" customWidth="1"/>
    <col min="9863" max="9863" width="7" style="700"/>
    <col min="9864" max="9864" width="8.5703125" style="700" customWidth="1"/>
    <col min="9865" max="9865" width="12" style="700" customWidth="1"/>
    <col min="9866" max="9866" width="4.7109375" style="700" customWidth="1"/>
    <col min="9867" max="9867" width="9.140625" style="700" customWidth="1"/>
    <col min="9868" max="9868" width="11.7109375" style="700" customWidth="1"/>
    <col min="9869" max="9980" width="7" style="700"/>
    <col min="9981" max="9981" width="3.85546875" style="700" customWidth="1"/>
    <col min="9982" max="9982" width="14" style="700" customWidth="1"/>
    <col min="9983" max="9983" width="66.5703125" style="700" customWidth="1"/>
    <col min="9984" max="9984" width="9.42578125" style="700" customWidth="1"/>
    <col min="9985" max="9985" width="9.140625" style="700" customWidth="1"/>
    <col min="9986" max="9986" width="11.140625" style="700" bestFit="1" customWidth="1"/>
    <col min="9987" max="9987" width="9.140625" style="700" customWidth="1"/>
    <col min="9988" max="9988" width="10.42578125" style="700" customWidth="1"/>
    <col min="9989" max="9989" width="9.140625" style="700" customWidth="1"/>
    <col min="9990" max="9990" width="10.7109375" style="700" customWidth="1"/>
    <col min="9991" max="9991" width="9.140625" style="700" customWidth="1"/>
    <col min="9992" max="9992" width="10.140625" style="700" customWidth="1"/>
    <col min="9993" max="9993" width="11.140625" style="700" customWidth="1"/>
    <col min="9994" max="10113" width="9.140625" style="700" customWidth="1"/>
    <col min="10114" max="10114" width="2.5703125" style="700" customWidth="1"/>
    <col min="10115" max="10115" width="9.140625" style="700" customWidth="1"/>
    <col min="10116" max="10116" width="47.85546875" style="700" customWidth="1"/>
    <col min="10117" max="10117" width="6.7109375" style="700" customWidth="1"/>
    <col min="10118" max="10118" width="7.42578125" style="700" customWidth="1"/>
    <col min="10119" max="10119" width="7" style="700"/>
    <col min="10120" max="10120" width="8.5703125" style="700" customWidth="1"/>
    <col min="10121" max="10121" width="12" style="700" customWidth="1"/>
    <col min="10122" max="10122" width="4.7109375" style="700" customWidth="1"/>
    <col min="10123" max="10123" width="9.140625" style="700" customWidth="1"/>
    <col min="10124" max="10124" width="11.7109375" style="700" customWidth="1"/>
    <col min="10125" max="10236" width="7" style="700"/>
    <col min="10237" max="10237" width="3.85546875" style="700" customWidth="1"/>
    <col min="10238" max="10238" width="14" style="700" customWidth="1"/>
    <col min="10239" max="10239" width="66.5703125" style="700" customWidth="1"/>
    <col min="10240" max="10240" width="9.42578125" style="700" customWidth="1"/>
    <col min="10241" max="10241" width="9.140625" style="700" customWidth="1"/>
    <col min="10242" max="10242" width="11.140625" style="700" bestFit="1" customWidth="1"/>
    <col min="10243" max="10243" width="9.140625" style="700" customWidth="1"/>
    <col min="10244" max="10244" width="10.42578125" style="700" customWidth="1"/>
    <col min="10245" max="10245" width="9.140625" style="700" customWidth="1"/>
    <col min="10246" max="10246" width="10.7109375" style="700" customWidth="1"/>
    <col min="10247" max="10247" width="9.140625" style="700" customWidth="1"/>
    <col min="10248" max="10248" width="10.140625" style="700" customWidth="1"/>
    <col min="10249" max="10249" width="11.140625" style="700" customWidth="1"/>
    <col min="10250" max="10369" width="9.140625" style="700" customWidth="1"/>
    <col min="10370" max="10370" width="2.5703125" style="700" customWidth="1"/>
    <col min="10371" max="10371" width="9.140625" style="700" customWidth="1"/>
    <col min="10372" max="10372" width="47.85546875" style="700" customWidth="1"/>
    <col min="10373" max="10373" width="6.7109375" style="700" customWidth="1"/>
    <col min="10374" max="10374" width="7.42578125" style="700" customWidth="1"/>
    <col min="10375" max="10375" width="7" style="700"/>
    <col min="10376" max="10376" width="8.5703125" style="700" customWidth="1"/>
    <col min="10377" max="10377" width="12" style="700" customWidth="1"/>
    <col min="10378" max="10378" width="4.7109375" style="700" customWidth="1"/>
    <col min="10379" max="10379" width="9.140625" style="700" customWidth="1"/>
    <col min="10380" max="10380" width="11.7109375" style="700" customWidth="1"/>
    <col min="10381" max="10492" width="7" style="700"/>
    <col min="10493" max="10493" width="3.85546875" style="700" customWidth="1"/>
    <col min="10494" max="10494" width="14" style="700" customWidth="1"/>
    <col min="10495" max="10495" width="66.5703125" style="700" customWidth="1"/>
    <col min="10496" max="10496" width="9.42578125" style="700" customWidth="1"/>
    <col min="10497" max="10497" width="9.140625" style="700" customWidth="1"/>
    <col min="10498" max="10498" width="11.140625" style="700" bestFit="1" customWidth="1"/>
    <col min="10499" max="10499" width="9.140625" style="700" customWidth="1"/>
    <col min="10500" max="10500" width="10.42578125" style="700" customWidth="1"/>
    <col min="10501" max="10501" width="9.140625" style="700" customWidth="1"/>
    <col min="10502" max="10502" width="10.7109375" style="700" customWidth="1"/>
    <col min="10503" max="10503" width="9.140625" style="700" customWidth="1"/>
    <col min="10504" max="10504" width="10.140625" style="700" customWidth="1"/>
    <col min="10505" max="10505" width="11.140625" style="700" customWidth="1"/>
    <col min="10506" max="10625" width="9.140625" style="700" customWidth="1"/>
    <col min="10626" max="10626" width="2.5703125" style="700" customWidth="1"/>
    <col min="10627" max="10627" width="9.140625" style="700" customWidth="1"/>
    <col min="10628" max="10628" width="47.85546875" style="700" customWidth="1"/>
    <col min="10629" max="10629" width="6.7109375" style="700" customWidth="1"/>
    <col min="10630" max="10630" width="7.42578125" style="700" customWidth="1"/>
    <col min="10631" max="10631" width="7" style="700"/>
    <col min="10632" max="10632" width="8.5703125" style="700" customWidth="1"/>
    <col min="10633" max="10633" width="12" style="700" customWidth="1"/>
    <col min="10634" max="10634" width="4.7109375" style="700" customWidth="1"/>
    <col min="10635" max="10635" width="9.140625" style="700" customWidth="1"/>
    <col min="10636" max="10636" width="11.7109375" style="700" customWidth="1"/>
    <col min="10637" max="10748" width="7" style="700"/>
    <col min="10749" max="10749" width="3.85546875" style="700" customWidth="1"/>
    <col min="10750" max="10750" width="14" style="700" customWidth="1"/>
    <col min="10751" max="10751" width="66.5703125" style="700" customWidth="1"/>
    <col min="10752" max="10752" width="9.42578125" style="700" customWidth="1"/>
    <col min="10753" max="10753" width="9.140625" style="700" customWidth="1"/>
    <col min="10754" max="10754" width="11.140625" style="700" bestFit="1" customWidth="1"/>
    <col min="10755" max="10755" width="9.140625" style="700" customWidth="1"/>
    <col min="10756" max="10756" width="10.42578125" style="700" customWidth="1"/>
    <col min="10757" max="10757" width="9.140625" style="700" customWidth="1"/>
    <col min="10758" max="10758" width="10.7109375" style="700" customWidth="1"/>
    <col min="10759" max="10759" width="9.140625" style="700" customWidth="1"/>
    <col min="10760" max="10760" width="10.140625" style="700" customWidth="1"/>
    <col min="10761" max="10761" width="11.140625" style="700" customWidth="1"/>
    <col min="10762" max="10881" width="9.140625" style="700" customWidth="1"/>
    <col min="10882" max="10882" width="2.5703125" style="700" customWidth="1"/>
    <col min="10883" max="10883" width="9.140625" style="700" customWidth="1"/>
    <col min="10884" max="10884" width="47.85546875" style="700" customWidth="1"/>
    <col min="10885" max="10885" width="6.7109375" style="700" customWidth="1"/>
    <col min="10886" max="10886" width="7.42578125" style="700" customWidth="1"/>
    <col min="10887" max="10887" width="7" style="700"/>
    <col min="10888" max="10888" width="8.5703125" style="700" customWidth="1"/>
    <col min="10889" max="10889" width="12" style="700" customWidth="1"/>
    <col min="10890" max="10890" width="4.7109375" style="700" customWidth="1"/>
    <col min="10891" max="10891" width="9.140625" style="700" customWidth="1"/>
    <col min="10892" max="10892" width="11.7109375" style="700" customWidth="1"/>
    <col min="10893" max="11004" width="7" style="700"/>
    <col min="11005" max="11005" width="3.85546875" style="700" customWidth="1"/>
    <col min="11006" max="11006" width="14" style="700" customWidth="1"/>
    <col min="11007" max="11007" width="66.5703125" style="700" customWidth="1"/>
    <col min="11008" max="11008" width="9.42578125" style="700" customWidth="1"/>
    <col min="11009" max="11009" width="9.140625" style="700" customWidth="1"/>
    <col min="11010" max="11010" width="11.140625" style="700" bestFit="1" customWidth="1"/>
    <col min="11011" max="11011" width="9.140625" style="700" customWidth="1"/>
    <col min="11012" max="11012" width="10.42578125" style="700" customWidth="1"/>
    <col min="11013" max="11013" width="9.140625" style="700" customWidth="1"/>
    <col min="11014" max="11014" width="10.7109375" style="700" customWidth="1"/>
    <col min="11015" max="11015" width="9.140625" style="700" customWidth="1"/>
    <col min="11016" max="11016" width="10.140625" style="700" customWidth="1"/>
    <col min="11017" max="11017" width="11.140625" style="700" customWidth="1"/>
    <col min="11018" max="11137" width="9.140625" style="700" customWidth="1"/>
    <col min="11138" max="11138" width="2.5703125" style="700" customWidth="1"/>
    <col min="11139" max="11139" width="9.140625" style="700" customWidth="1"/>
    <col min="11140" max="11140" width="47.85546875" style="700" customWidth="1"/>
    <col min="11141" max="11141" width="6.7109375" style="700" customWidth="1"/>
    <col min="11142" max="11142" width="7.42578125" style="700" customWidth="1"/>
    <col min="11143" max="11143" width="7" style="700"/>
    <col min="11144" max="11144" width="8.5703125" style="700" customWidth="1"/>
    <col min="11145" max="11145" width="12" style="700" customWidth="1"/>
    <col min="11146" max="11146" width="4.7109375" style="700" customWidth="1"/>
    <col min="11147" max="11147" width="9.140625" style="700" customWidth="1"/>
    <col min="11148" max="11148" width="11.7109375" style="700" customWidth="1"/>
    <col min="11149" max="11260" width="7" style="700"/>
    <col min="11261" max="11261" width="3.85546875" style="700" customWidth="1"/>
    <col min="11262" max="11262" width="14" style="700" customWidth="1"/>
    <col min="11263" max="11263" width="66.5703125" style="700" customWidth="1"/>
    <col min="11264" max="11264" width="9.42578125" style="700" customWidth="1"/>
    <col min="11265" max="11265" width="9.140625" style="700" customWidth="1"/>
    <col min="11266" max="11266" width="11.140625" style="700" bestFit="1" customWidth="1"/>
    <col min="11267" max="11267" width="9.140625" style="700" customWidth="1"/>
    <col min="11268" max="11268" width="10.42578125" style="700" customWidth="1"/>
    <col min="11269" max="11269" width="9.140625" style="700" customWidth="1"/>
    <col min="11270" max="11270" width="10.7109375" style="700" customWidth="1"/>
    <col min="11271" max="11271" width="9.140625" style="700" customWidth="1"/>
    <col min="11272" max="11272" width="10.140625" style="700" customWidth="1"/>
    <col min="11273" max="11273" width="11.140625" style="700" customWidth="1"/>
    <col min="11274" max="11393" width="9.140625" style="700" customWidth="1"/>
    <col min="11394" max="11394" width="2.5703125" style="700" customWidth="1"/>
    <col min="11395" max="11395" width="9.140625" style="700" customWidth="1"/>
    <col min="11396" max="11396" width="47.85546875" style="700" customWidth="1"/>
    <col min="11397" max="11397" width="6.7109375" style="700" customWidth="1"/>
    <col min="11398" max="11398" width="7.42578125" style="700" customWidth="1"/>
    <col min="11399" max="11399" width="7" style="700"/>
    <col min="11400" max="11400" width="8.5703125" style="700" customWidth="1"/>
    <col min="11401" max="11401" width="12" style="700" customWidth="1"/>
    <col min="11402" max="11402" width="4.7109375" style="700" customWidth="1"/>
    <col min="11403" max="11403" width="9.140625" style="700" customWidth="1"/>
    <col min="11404" max="11404" width="11.7109375" style="700" customWidth="1"/>
    <col min="11405" max="11516" width="7" style="700"/>
    <col min="11517" max="11517" width="3.85546875" style="700" customWidth="1"/>
    <col min="11518" max="11518" width="14" style="700" customWidth="1"/>
    <col min="11519" max="11519" width="66.5703125" style="700" customWidth="1"/>
    <col min="11520" max="11520" width="9.42578125" style="700" customWidth="1"/>
    <col min="11521" max="11521" width="9.140625" style="700" customWidth="1"/>
    <col min="11522" max="11522" width="11.140625" style="700" bestFit="1" customWidth="1"/>
    <col min="11523" max="11523" width="9.140625" style="700" customWidth="1"/>
    <col min="11524" max="11524" width="10.42578125" style="700" customWidth="1"/>
    <col min="11525" max="11525" width="9.140625" style="700" customWidth="1"/>
    <col min="11526" max="11526" width="10.7109375" style="700" customWidth="1"/>
    <col min="11527" max="11527" width="9.140625" style="700" customWidth="1"/>
    <col min="11528" max="11528" width="10.140625" style="700" customWidth="1"/>
    <col min="11529" max="11529" width="11.140625" style="700" customWidth="1"/>
    <col min="11530" max="11649" width="9.140625" style="700" customWidth="1"/>
    <col min="11650" max="11650" width="2.5703125" style="700" customWidth="1"/>
    <col min="11651" max="11651" width="9.140625" style="700" customWidth="1"/>
    <col min="11652" max="11652" width="47.85546875" style="700" customWidth="1"/>
    <col min="11653" max="11653" width="6.7109375" style="700" customWidth="1"/>
    <col min="11654" max="11654" width="7.42578125" style="700" customWidth="1"/>
    <col min="11655" max="11655" width="7" style="700"/>
    <col min="11656" max="11656" width="8.5703125" style="700" customWidth="1"/>
    <col min="11657" max="11657" width="12" style="700" customWidth="1"/>
    <col min="11658" max="11658" width="4.7109375" style="700" customWidth="1"/>
    <col min="11659" max="11659" width="9.140625" style="700" customWidth="1"/>
    <col min="11660" max="11660" width="11.7109375" style="700" customWidth="1"/>
    <col min="11661" max="11772" width="7" style="700"/>
    <col min="11773" max="11773" width="3.85546875" style="700" customWidth="1"/>
    <col min="11774" max="11774" width="14" style="700" customWidth="1"/>
    <col min="11775" max="11775" width="66.5703125" style="700" customWidth="1"/>
    <col min="11776" max="11776" width="9.42578125" style="700" customWidth="1"/>
    <col min="11777" max="11777" width="9.140625" style="700" customWidth="1"/>
    <col min="11778" max="11778" width="11.140625" style="700" bestFit="1" customWidth="1"/>
    <col min="11779" max="11779" width="9.140625" style="700" customWidth="1"/>
    <col min="11780" max="11780" width="10.42578125" style="700" customWidth="1"/>
    <col min="11781" max="11781" width="9.140625" style="700" customWidth="1"/>
    <col min="11782" max="11782" width="10.7109375" style="700" customWidth="1"/>
    <col min="11783" max="11783" width="9.140625" style="700" customWidth="1"/>
    <col min="11784" max="11784" width="10.140625" style="700" customWidth="1"/>
    <col min="11785" max="11785" width="11.140625" style="700" customWidth="1"/>
    <col min="11786" max="11905" width="9.140625" style="700" customWidth="1"/>
    <col min="11906" max="11906" width="2.5703125" style="700" customWidth="1"/>
    <col min="11907" max="11907" width="9.140625" style="700" customWidth="1"/>
    <col min="11908" max="11908" width="47.85546875" style="700" customWidth="1"/>
    <col min="11909" max="11909" width="6.7109375" style="700" customWidth="1"/>
    <col min="11910" max="11910" width="7.42578125" style="700" customWidth="1"/>
    <col min="11911" max="11911" width="7" style="700"/>
    <col min="11912" max="11912" width="8.5703125" style="700" customWidth="1"/>
    <col min="11913" max="11913" width="12" style="700" customWidth="1"/>
    <col min="11914" max="11914" width="4.7109375" style="700" customWidth="1"/>
    <col min="11915" max="11915" width="9.140625" style="700" customWidth="1"/>
    <col min="11916" max="11916" width="11.7109375" style="700" customWidth="1"/>
    <col min="11917" max="12028" width="7" style="700"/>
    <col min="12029" max="12029" width="3.85546875" style="700" customWidth="1"/>
    <col min="12030" max="12030" width="14" style="700" customWidth="1"/>
    <col min="12031" max="12031" width="66.5703125" style="700" customWidth="1"/>
    <col min="12032" max="12032" width="9.42578125" style="700" customWidth="1"/>
    <col min="12033" max="12033" width="9.140625" style="700" customWidth="1"/>
    <col min="12034" max="12034" width="11.140625" style="700" bestFit="1" customWidth="1"/>
    <col min="12035" max="12035" width="9.140625" style="700" customWidth="1"/>
    <col min="12036" max="12036" width="10.42578125" style="700" customWidth="1"/>
    <col min="12037" max="12037" width="9.140625" style="700" customWidth="1"/>
    <col min="12038" max="12038" width="10.7109375" style="700" customWidth="1"/>
    <col min="12039" max="12039" width="9.140625" style="700" customWidth="1"/>
    <col min="12040" max="12040" width="10.140625" style="700" customWidth="1"/>
    <col min="12041" max="12041" width="11.140625" style="700" customWidth="1"/>
    <col min="12042" max="12161" width="9.140625" style="700" customWidth="1"/>
    <col min="12162" max="12162" width="2.5703125" style="700" customWidth="1"/>
    <col min="12163" max="12163" width="9.140625" style="700" customWidth="1"/>
    <col min="12164" max="12164" width="47.85546875" style="700" customWidth="1"/>
    <col min="12165" max="12165" width="6.7109375" style="700" customWidth="1"/>
    <col min="12166" max="12166" width="7.42578125" style="700" customWidth="1"/>
    <col min="12167" max="12167" width="7" style="700"/>
    <col min="12168" max="12168" width="8.5703125" style="700" customWidth="1"/>
    <col min="12169" max="12169" width="12" style="700" customWidth="1"/>
    <col min="12170" max="12170" width="4.7109375" style="700" customWidth="1"/>
    <col min="12171" max="12171" width="9.140625" style="700" customWidth="1"/>
    <col min="12172" max="12172" width="11.7109375" style="700" customWidth="1"/>
    <col min="12173" max="12284" width="7" style="700"/>
    <col min="12285" max="12285" width="3.85546875" style="700" customWidth="1"/>
    <col min="12286" max="12286" width="14" style="700" customWidth="1"/>
    <col min="12287" max="12287" width="66.5703125" style="700" customWidth="1"/>
    <col min="12288" max="12288" width="9.42578125" style="700" customWidth="1"/>
    <col min="12289" max="12289" width="9.140625" style="700" customWidth="1"/>
    <col min="12290" max="12290" width="11.140625" style="700" bestFit="1" customWidth="1"/>
    <col min="12291" max="12291" width="9.140625" style="700" customWidth="1"/>
    <col min="12292" max="12292" width="10.42578125" style="700" customWidth="1"/>
    <col min="12293" max="12293" width="9.140625" style="700" customWidth="1"/>
    <col min="12294" max="12294" width="10.7109375" style="700" customWidth="1"/>
    <col min="12295" max="12295" width="9.140625" style="700" customWidth="1"/>
    <col min="12296" max="12296" width="10.140625" style="700" customWidth="1"/>
    <col min="12297" max="12297" width="11.140625" style="700" customWidth="1"/>
    <col min="12298" max="12417" width="9.140625" style="700" customWidth="1"/>
    <col min="12418" max="12418" width="2.5703125" style="700" customWidth="1"/>
    <col min="12419" max="12419" width="9.140625" style="700" customWidth="1"/>
    <col min="12420" max="12420" width="47.85546875" style="700" customWidth="1"/>
    <col min="12421" max="12421" width="6.7109375" style="700" customWidth="1"/>
    <col min="12422" max="12422" width="7.42578125" style="700" customWidth="1"/>
    <col min="12423" max="12423" width="7" style="700"/>
    <col min="12424" max="12424" width="8.5703125" style="700" customWidth="1"/>
    <col min="12425" max="12425" width="12" style="700" customWidth="1"/>
    <col min="12426" max="12426" width="4.7109375" style="700" customWidth="1"/>
    <col min="12427" max="12427" width="9.140625" style="700" customWidth="1"/>
    <col min="12428" max="12428" width="11.7109375" style="700" customWidth="1"/>
    <col min="12429" max="12540" width="7" style="700"/>
    <col min="12541" max="12541" width="3.85546875" style="700" customWidth="1"/>
    <col min="12542" max="12542" width="14" style="700" customWidth="1"/>
    <col min="12543" max="12543" width="66.5703125" style="700" customWidth="1"/>
    <col min="12544" max="12544" width="9.42578125" style="700" customWidth="1"/>
    <col min="12545" max="12545" width="9.140625" style="700" customWidth="1"/>
    <col min="12546" max="12546" width="11.140625" style="700" bestFit="1" customWidth="1"/>
    <col min="12547" max="12547" width="9.140625" style="700" customWidth="1"/>
    <col min="12548" max="12548" width="10.42578125" style="700" customWidth="1"/>
    <col min="12549" max="12549" width="9.140625" style="700" customWidth="1"/>
    <col min="12550" max="12550" width="10.7109375" style="700" customWidth="1"/>
    <col min="12551" max="12551" width="9.140625" style="700" customWidth="1"/>
    <col min="12552" max="12552" width="10.140625" style="700" customWidth="1"/>
    <col min="12553" max="12553" width="11.140625" style="700" customWidth="1"/>
    <col min="12554" max="12673" width="9.140625" style="700" customWidth="1"/>
    <col min="12674" max="12674" width="2.5703125" style="700" customWidth="1"/>
    <col min="12675" max="12675" width="9.140625" style="700" customWidth="1"/>
    <col min="12676" max="12676" width="47.85546875" style="700" customWidth="1"/>
    <col min="12677" max="12677" width="6.7109375" style="700" customWidth="1"/>
    <col min="12678" max="12678" width="7.42578125" style="700" customWidth="1"/>
    <col min="12679" max="12679" width="7" style="700"/>
    <col min="12680" max="12680" width="8.5703125" style="700" customWidth="1"/>
    <col min="12681" max="12681" width="12" style="700" customWidth="1"/>
    <col min="12682" max="12682" width="4.7109375" style="700" customWidth="1"/>
    <col min="12683" max="12683" width="9.140625" style="700" customWidth="1"/>
    <col min="12684" max="12684" width="11.7109375" style="700" customWidth="1"/>
    <col min="12685" max="12796" width="7" style="700"/>
    <col min="12797" max="12797" width="3.85546875" style="700" customWidth="1"/>
    <col min="12798" max="12798" width="14" style="700" customWidth="1"/>
    <col min="12799" max="12799" width="66.5703125" style="700" customWidth="1"/>
    <col min="12800" max="12800" width="9.42578125" style="700" customWidth="1"/>
    <col min="12801" max="12801" width="9.140625" style="700" customWidth="1"/>
    <col min="12802" max="12802" width="11.140625" style="700" bestFit="1" customWidth="1"/>
    <col min="12803" max="12803" width="9.140625" style="700" customWidth="1"/>
    <col min="12804" max="12804" width="10.42578125" style="700" customWidth="1"/>
    <col min="12805" max="12805" width="9.140625" style="700" customWidth="1"/>
    <col min="12806" max="12806" width="10.7109375" style="700" customWidth="1"/>
    <col min="12807" max="12807" width="9.140625" style="700" customWidth="1"/>
    <col min="12808" max="12808" width="10.140625" style="700" customWidth="1"/>
    <col min="12809" max="12809" width="11.140625" style="700" customWidth="1"/>
    <col min="12810" max="12929" width="9.140625" style="700" customWidth="1"/>
    <col min="12930" max="12930" width="2.5703125" style="700" customWidth="1"/>
    <col min="12931" max="12931" width="9.140625" style="700" customWidth="1"/>
    <col min="12932" max="12932" width="47.85546875" style="700" customWidth="1"/>
    <col min="12933" max="12933" width="6.7109375" style="700" customWidth="1"/>
    <col min="12934" max="12934" width="7.42578125" style="700" customWidth="1"/>
    <col min="12935" max="12935" width="7" style="700"/>
    <col min="12936" max="12936" width="8.5703125" style="700" customWidth="1"/>
    <col min="12937" max="12937" width="12" style="700" customWidth="1"/>
    <col min="12938" max="12938" width="4.7109375" style="700" customWidth="1"/>
    <col min="12939" max="12939" width="9.140625" style="700" customWidth="1"/>
    <col min="12940" max="12940" width="11.7109375" style="700" customWidth="1"/>
    <col min="12941" max="13052" width="7" style="700"/>
    <col min="13053" max="13053" width="3.85546875" style="700" customWidth="1"/>
    <col min="13054" max="13054" width="14" style="700" customWidth="1"/>
    <col min="13055" max="13055" width="66.5703125" style="700" customWidth="1"/>
    <col min="13056" max="13056" width="9.42578125" style="700" customWidth="1"/>
    <col min="13057" max="13057" width="9.140625" style="700" customWidth="1"/>
    <col min="13058" max="13058" width="11.140625" style="700" bestFit="1" customWidth="1"/>
    <col min="13059" max="13059" width="9.140625" style="700" customWidth="1"/>
    <col min="13060" max="13060" width="10.42578125" style="700" customWidth="1"/>
    <col min="13061" max="13061" width="9.140625" style="700" customWidth="1"/>
    <col min="13062" max="13062" width="10.7109375" style="700" customWidth="1"/>
    <col min="13063" max="13063" width="9.140625" style="700" customWidth="1"/>
    <col min="13064" max="13064" width="10.140625" style="700" customWidth="1"/>
    <col min="13065" max="13065" width="11.140625" style="700" customWidth="1"/>
    <col min="13066" max="13185" width="9.140625" style="700" customWidth="1"/>
    <col min="13186" max="13186" width="2.5703125" style="700" customWidth="1"/>
    <col min="13187" max="13187" width="9.140625" style="700" customWidth="1"/>
    <col min="13188" max="13188" width="47.85546875" style="700" customWidth="1"/>
    <col min="13189" max="13189" width="6.7109375" style="700" customWidth="1"/>
    <col min="13190" max="13190" width="7.42578125" style="700" customWidth="1"/>
    <col min="13191" max="13191" width="7" style="700"/>
    <col min="13192" max="13192" width="8.5703125" style="700" customWidth="1"/>
    <col min="13193" max="13193" width="12" style="700" customWidth="1"/>
    <col min="13194" max="13194" width="4.7109375" style="700" customWidth="1"/>
    <col min="13195" max="13195" width="9.140625" style="700" customWidth="1"/>
    <col min="13196" max="13196" width="11.7109375" style="700" customWidth="1"/>
    <col min="13197" max="13308" width="7" style="700"/>
    <col min="13309" max="13309" width="3.85546875" style="700" customWidth="1"/>
    <col min="13310" max="13310" width="14" style="700" customWidth="1"/>
    <col min="13311" max="13311" width="66.5703125" style="700" customWidth="1"/>
    <col min="13312" max="13312" width="9.42578125" style="700" customWidth="1"/>
    <col min="13313" max="13313" width="9.140625" style="700" customWidth="1"/>
    <col min="13314" max="13314" width="11.140625" style="700" bestFit="1" customWidth="1"/>
    <col min="13315" max="13315" width="9.140625" style="700" customWidth="1"/>
    <col min="13316" max="13316" width="10.42578125" style="700" customWidth="1"/>
    <col min="13317" max="13317" width="9.140625" style="700" customWidth="1"/>
    <col min="13318" max="13318" width="10.7109375" style="700" customWidth="1"/>
    <col min="13319" max="13319" width="9.140625" style="700" customWidth="1"/>
    <col min="13320" max="13320" width="10.140625" style="700" customWidth="1"/>
    <col min="13321" max="13321" width="11.140625" style="700" customWidth="1"/>
    <col min="13322" max="13441" width="9.140625" style="700" customWidth="1"/>
    <col min="13442" max="13442" width="2.5703125" style="700" customWidth="1"/>
    <col min="13443" max="13443" width="9.140625" style="700" customWidth="1"/>
    <col min="13444" max="13444" width="47.85546875" style="700" customWidth="1"/>
    <col min="13445" max="13445" width="6.7109375" style="700" customWidth="1"/>
    <col min="13446" max="13446" width="7.42578125" style="700" customWidth="1"/>
    <col min="13447" max="13447" width="7" style="700"/>
    <col min="13448" max="13448" width="8.5703125" style="700" customWidth="1"/>
    <col min="13449" max="13449" width="12" style="700" customWidth="1"/>
    <col min="13450" max="13450" width="4.7109375" style="700" customWidth="1"/>
    <col min="13451" max="13451" width="9.140625" style="700" customWidth="1"/>
    <col min="13452" max="13452" width="11.7109375" style="700" customWidth="1"/>
    <col min="13453" max="13564" width="7" style="700"/>
    <col min="13565" max="13565" width="3.85546875" style="700" customWidth="1"/>
    <col min="13566" max="13566" width="14" style="700" customWidth="1"/>
    <col min="13567" max="13567" width="66.5703125" style="700" customWidth="1"/>
    <col min="13568" max="13568" width="9.42578125" style="700" customWidth="1"/>
    <col min="13569" max="13569" width="9.140625" style="700" customWidth="1"/>
    <col min="13570" max="13570" width="11.140625" style="700" bestFit="1" customWidth="1"/>
    <col min="13571" max="13571" width="9.140625" style="700" customWidth="1"/>
    <col min="13572" max="13572" width="10.42578125" style="700" customWidth="1"/>
    <col min="13573" max="13573" width="9.140625" style="700" customWidth="1"/>
    <col min="13574" max="13574" width="10.7109375" style="700" customWidth="1"/>
    <col min="13575" max="13575" width="9.140625" style="700" customWidth="1"/>
    <col min="13576" max="13576" width="10.140625" style="700" customWidth="1"/>
    <col min="13577" max="13577" width="11.140625" style="700" customWidth="1"/>
    <col min="13578" max="13697" width="9.140625" style="700" customWidth="1"/>
    <col min="13698" max="13698" width="2.5703125" style="700" customWidth="1"/>
    <col min="13699" max="13699" width="9.140625" style="700" customWidth="1"/>
    <col min="13700" max="13700" width="47.85546875" style="700" customWidth="1"/>
    <col min="13701" max="13701" width="6.7109375" style="700" customWidth="1"/>
    <col min="13702" max="13702" width="7.42578125" style="700" customWidth="1"/>
    <col min="13703" max="13703" width="7" style="700"/>
    <col min="13704" max="13704" width="8.5703125" style="700" customWidth="1"/>
    <col min="13705" max="13705" width="12" style="700" customWidth="1"/>
    <col min="13706" max="13706" width="4.7109375" style="700" customWidth="1"/>
    <col min="13707" max="13707" width="9.140625" style="700" customWidth="1"/>
    <col min="13708" max="13708" width="11.7109375" style="700" customWidth="1"/>
    <col min="13709" max="13820" width="7" style="700"/>
    <col min="13821" max="13821" width="3.85546875" style="700" customWidth="1"/>
    <col min="13822" max="13822" width="14" style="700" customWidth="1"/>
    <col min="13823" max="13823" width="66.5703125" style="700" customWidth="1"/>
    <col min="13824" max="13824" width="9.42578125" style="700" customWidth="1"/>
    <col min="13825" max="13825" width="9.140625" style="700" customWidth="1"/>
    <col min="13826" max="13826" width="11.140625" style="700" bestFit="1" customWidth="1"/>
    <col min="13827" max="13827" width="9.140625" style="700" customWidth="1"/>
    <col min="13828" max="13828" width="10.42578125" style="700" customWidth="1"/>
    <col min="13829" max="13829" width="9.140625" style="700" customWidth="1"/>
    <col min="13830" max="13830" width="10.7109375" style="700" customWidth="1"/>
    <col min="13831" max="13831" width="9.140625" style="700" customWidth="1"/>
    <col min="13832" max="13832" width="10.140625" style="700" customWidth="1"/>
    <col min="13833" max="13833" width="11.140625" style="700" customWidth="1"/>
    <col min="13834" max="13953" width="9.140625" style="700" customWidth="1"/>
    <col min="13954" max="13954" width="2.5703125" style="700" customWidth="1"/>
    <col min="13955" max="13955" width="9.140625" style="700" customWidth="1"/>
    <col min="13956" max="13956" width="47.85546875" style="700" customWidth="1"/>
    <col min="13957" max="13957" width="6.7109375" style="700" customWidth="1"/>
    <col min="13958" max="13958" width="7.42578125" style="700" customWidth="1"/>
    <col min="13959" max="13959" width="7" style="700"/>
    <col min="13960" max="13960" width="8.5703125" style="700" customWidth="1"/>
    <col min="13961" max="13961" width="12" style="700" customWidth="1"/>
    <col min="13962" max="13962" width="4.7109375" style="700" customWidth="1"/>
    <col min="13963" max="13963" width="9.140625" style="700" customWidth="1"/>
    <col min="13964" max="13964" width="11.7109375" style="700" customWidth="1"/>
    <col min="13965" max="14076" width="7" style="700"/>
    <col min="14077" max="14077" width="3.85546875" style="700" customWidth="1"/>
    <col min="14078" max="14078" width="14" style="700" customWidth="1"/>
    <col min="14079" max="14079" width="66.5703125" style="700" customWidth="1"/>
    <col min="14080" max="14080" width="9.42578125" style="700" customWidth="1"/>
    <col min="14081" max="14081" width="9.140625" style="700" customWidth="1"/>
    <col min="14082" max="14082" width="11.140625" style="700" bestFit="1" customWidth="1"/>
    <col min="14083" max="14083" width="9.140625" style="700" customWidth="1"/>
    <col min="14084" max="14084" width="10.42578125" style="700" customWidth="1"/>
    <col min="14085" max="14085" width="9.140625" style="700" customWidth="1"/>
    <col min="14086" max="14086" width="10.7109375" style="700" customWidth="1"/>
    <col min="14087" max="14087" width="9.140625" style="700" customWidth="1"/>
    <col min="14088" max="14088" width="10.140625" style="700" customWidth="1"/>
    <col min="14089" max="14089" width="11.140625" style="700" customWidth="1"/>
    <col min="14090" max="14209" width="9.140625" style="700" customWidth="1"/>
    <col min="14210" max="14210" width="2.5703125" style="700" customWidth="1"/>
    <col min="14211" max="14211" width="9.140625" style="700" customWidth="1"/>
    <col min="14212" max="14212" width="47.85546875" style="700" customWidth="1"/>
    <col min="14213" max="14213" width="6.7109375" style="700" customWidth="1"/>
    <col min="14214" max="14214" width="7.42578125" style="700" customWidth="1"/>
    <col min="14215" max="14215" width="7" style="700"/>
    <col min="14216" max="14216" width="8.5703125" style="700" customWidth="1"/>
    <col min="14217" max="14217" width="12" style="700" customWidth="1"/>
    <col min="14218" max="14218" width="4.7109375" style="700" customWidth="1"/>
    <col min="14219" max="14219" width="9.140625" style="700" customWidth="1"/>
    <col min="14220" max="14220" width="11.7109375" style="700" customWidth="1"/>
    <col min="14221" max="14332" width="7" style="700"/>
    <col min="14333" max="14333" width="3.85546875" style="700" customWidth="1"/>
    <col min="14334" max="14334" width="14" style="700" customWidth="1"/>
    <col min="14335" max="14335" width="66.5703125" style="700" customWidth="1"/>
    <col min="14336" max="14336" width="9.42578125" style="700" customWidth="1"/>
    <col min="14337" max="14337" width="9.140625" style="700" customWidth="1"/>
    <col min="14338" max="14338" width="11.140625" style="700" bestFit="1" customWidth="1"/>
    <col min="14339" max="14339" width="9.140625" style="700" customWidth="1"/>
    <col min="14340" max="14340" width="10.42578125" style="700" customWidth="1"/>
    <col min="14341" max="14341" width="9.140625" style="700" customWidth="1"/>
    <col min="14342" max="14342" width="10.7109375" style="700" customWidth="1"/>
    <col min="14343" max="14343" width="9.140625" style="700" customWidth="1"/>
    <col min="14344" max="14344" width="10.140625" style="700" customWidth="1"/>
    <col min="14345" max="14345" width="11.140625" style="700" customWidth="1"/>
    <col min="14346" max="14465" width="9.140625" style="700" customWidth="1"/>
    <col min="14466" max="14466" width="2.5703125" style="700" customWidth="1"/>
    <col min="14467" max="14467" width="9.140625" style="700" customWidth="1"/>
    <col min="14468" max="14468" width="47.85546875" style="700" customWidth="1"/>
    <col min="14469" max="14469" width="6.7109375" style="700" customWidth="1"/>
    <col min="14470" max="14470" width="7.42578125" style="700" customWidth="1"/>
    <col min="14471" max="14471" width="7" style="700"/>
    <col min="14472" max="14472" width="8.5703125" style="700" customWidth="1"/>
    <col min="14473" max="14473" width="12" style="700" customWidth="1"/>
    <col min="14474" max="14474" width="4.7109375" style="700" customWidth="1"/>
    <col min="14475" max="14475" width="9.140625" style="700" customWidth="1"/>
    <col min="14476" max="14476" width="11.7109375" style="700" customWidth="1"/>
    <col min="14477" max="14588" width="7" style="700"/>
    <col min="14589" max="14589" width="3.85546875" style="700" customWidth="1"/>
    <col min="14590" max="14590" width="14" style="700" customWidth="1"/>
    <col min="14591" max="14591" width="66.5703125" style="700" customWidth="1"/>
    <col min="14592" max="14592" width="9.42578125" style="700" customWidth="1"/>
    <col min="14593" max="14593" width="9.140625" style="700" customWidth="1"/>
    <col min="14594" max="14594" width="11.140625" style="700" bestFit="1" customWidth="1"/>
    <col min="14595" max="14595" width="9.140625" style="700" customWidth="1"/>
    <col min="14596" max="14596" width="10.42578125" style="700" customWidth="1"/>
    <col min="14597" max="14597" width="9.140625" style="700" customWidth="1"/>
    <col min="14598" max="14598" width="10.7109375" style="700" customWidth="1"/>
    <col min="14599" max="14599" width="9.140625" style="700" customWidth="1"/>
    <col min="14600" max="14600" width="10.140625" style="700" customWidth="1"/>
    <col min="14601" max="14601" width="11.140625" style="700" customWidth="1"/>
    <col min="14602" max="14721" width="9.140625" style="700" customWidth="1"/>
    <col min="14722" max="14722" width="2.5703125" style="700" customWidth="1"/>
    <col min="14723" max="14723" width="9.140625" style="700" customWidth="1"/>
    <col min="14724" max="14724" width="47.85546875" style="700" customWidth="1"/>
    <col min="14725" max="14725" width="6.7109375" style="700" customWidth="1"/>
    <col min="14726" max="14726" width="7.42578125" style="700" customWidth="1"/>
    <col min="14727" max="14727" width="7" style="700"/>
    <col min="14728" max="14728" width="8.5703125" style="700" customWidth="1"/>
    <col min="14729" max="14729" width="12" style="700" customWidth="1"/>
    <col min="14730" max="14730" width="4.7109375" style="700" customWidth="1"/>
    <col min="14731" max="14731" width="9.140625" style="700" customWidth="1"/>
    <col min="14732" max="14732" width="11.7109375" style="700" customWidth="1"/>
    <col min="14733" max="14844" width="7" style="700"/>
    <col min="14845" max="14845" width="3.85546875" style="700" customWidth="1"/>
    <col min="14846" max="14846" width="14" style="700" customWidth="1"/>
    <col min="14847" max="14847" width="66.5703125" style="700" customWidth="1"/>
    <col min="14848" max="14848" width="9.42578125" style="700" customWidth="1"/>
    <col min="14849" max="14849" width="9.140625" style="700" customWidth="1"/>
    <col min="14850" max="14850" width="11.140625" style="700" bestFit="1" customWidth="1"/>
    <col min="14851" max="14851" width="9.140625" style="700" customWidth="1"/>
    <col min="14852" max="14852" width="10.42578125" style="700" customWidth="1"/>
    <col min="14853" max="14853" width="9.140625" style="700" customWidth="1"/>
    <col min="14854" max="14854" width="10.7109375" style="700" customWidth="1"/>
    <col min="14855" max="14855" width="9.140625" style="700" customWidth="1"/>
    <col min="14856" max="14856" width="10.140625" style="700" customWidth="1"/>
    <col min="14857" max="14857" width="11.140625" style="700" customWidth="1"/>
    <col min="14858" max="14977" width="9.140625" style="700" customWidth="1"/>
    <col min="14978" max="14978" width="2.5703125" style="700" customWidth="1"/>
    <col min="14979" max="14979" width="9.140625" style="700" customWidth="1"/>
    <col min="14980" max="14980" width="47.85546875" style="700" customWidth="1"/>
    <col min="14981" max="14981" width="6.7109375" style="700" customWidth="1"/>
    <col min="14982" max="14982" width="7.42578125" style="700" customWidth="1"/>
    <col min="14983" max="14983" width="7" style="700"/>
    <col min="14984" max="14984" width="8.5703125" style="700" customWidth="1"/>
    <col min="14985" max="14985" width="12" style="700" customWidth="1"/>
    <col min="14986" max="14986" width="4.7109375" style="700" customWidth="1"/>
    <col min="14987" max="14987" width="9.140625" style="700" customWidth="1"/>
    <col min="14988" max="14988" width="11.7109375" style="700" customWidth="1"/>
    <col min="14989" max="15100" width="7" style="700"/>
    <col min="15101" max="15101" width="3.85546875" style="700" customWidth="1"/>
    <col min="15102" max="15102" width="14" style="700" customWidth="1"/>
    <col min="15103" max="15103" width="66.5703125" style="700" customWidth="1"/>
    <col min="15104" max="15104" width="9.42578125" style="700" customWidth="1"/>
    <col min="15105" max="15105" width="9.140625" style="700" customWidth="1"/>
    <col min="15106" max="15106" width="11.140625" style="700" bestFit="1" customWidth="1"/>
    <col min="15107" max="15107" width="9.140625" style="700" customWidth="1"/>
    <col min="15108" max="15108" width="10.42578125" style="700" customWidth="1"/>
    <col min="15109" max="15109" width="9.140625" style="700" customWidth="1"/>
    <col min="15110" max="15110" width="10.7109375" style="700" customWidth="1"/>
    <col min="15111" max="15111" width="9.140625" style="700" customWidth="1"/>
    <col min="15112" max="15112" width="10.140625" style="700" customWidth="1"/>
    <col min="15113" max="15113" width="11.140625" style="700" customWidth="1"/>
    <col min="15114" max="15233" width="9.140625" style="700" customWidth="1"/>
    <col min="15234" max="15234" width="2.5703125" style="700" customWidth="1"/>
    <col min="15235" max="15235" width="9.140625" style="700" customWidth="1"/>
    <col min="15236" max="15236" width="47.85546875" style="700" customWidth="1"/>
    <col min="15237" max="15237" width="6.7109375" style="700" customWidth="1"/>
    <col min="15238" max="15238" width="7.42578125" style="700" customWidth="1"/>
    <col min="15239" max="15239" width="7" style="700"/>
    <col min="15240" max="15240" width="8.5703125" style="700" customWidth="1"/>
    <col min="15241" max="15241" width="12" style="700" customWidth="1"/>
    <col min="15242" max="15242" width="4.7109375" style="700" customWidth="1"/>
    <col min="15243" max="15243" width="9.140625" style="700" customWidth="1"/>
    <col min="15244" max="15244" width="11.7109375" style="700" customWidth="1"/>
    <col min="15245" max="15356" width="7" style="700"/>
    <col min="15357" max="15357" width="3.85546875" style="700" customWidth="1"/>
    <col min="15358" max="15358" width="14" style="700" customWidth="1"/>
    <col min="15359" max="15359" width="66.5703125" style="700" customWidth="1"/>
    <col min="15360" max="15360" width="9.42578125" style="700" customWidth="1"/>
    <col min="15361" max="15361" width="9.140625" style="700" customWidth="1"/>
    <col min="15362" max="15362" width="11.140625" style="700" bestFit="1" customWidth="1"/>
    <col min="15363" max="15363" width="9.140625" style="700" customWidth="1"/>
    <col min="15364" max="15364" width="10.42578125" style="700" customWidth="1"/>
    <col min="15365" max="15365" width="9.140625" style="700" customWidth="1"/>
    <col min="15366" max="15366" width="10.7109375" style="700" customWidth="1"/>
    <col min="15367" max="15367" width="9.140625" style="700" customWidth="1"/>
    <col min="15368" max="15368" width="10.140625" style="700" customWidth="1"/>
    <col min="15369" max="15369" width="11.140625" style="700" customWidth="1"/>
    <col min="15370" max="15489" width="9.140625" style="700" customWidth="1"/>
    <col min="15490" max="15490" width="2.5703125" style="700" customWidth="1"/>
    <col min="15491" max="15491" width="9.140625" style="700" customWidth="1"/>
    <col min="15492" max="15492" width="47.85546875" style="700" customWidth="1"/>
    <col min="15493" max="15493" width="6.7109375" style="700" customWidth="1"/>
    <col min="15494" max="15494" width="7.42578125" style="700" customWidth="1"/>
    <col min="15495" max="15495" width="7" style="700"/>
    <col min="15496" max="15496" width="8.5703125" style="700" customWidth="1"/>
    <col min="15497" max="15497" width="12" style="700" customWidth="1"/>
    <col min="15498" max="15498" width="4.7109375" style="700" customWidth="1"/>
    <col min="15499" max="15499" width="9.140625" style="700" customWidth="1"/>
    <col min="15500" max="15500" width="11.7109375" style="700" customWidth="1"/>
    <col min="15501" max="15612" width="7" style="700"/>
    <col min="15613" max="15613" width="3.85546875" style="700" customWidth="1"/>
    <col min="15614" max="15614" width="14" style="700" customWidth="1"/>
    <col min="15615" max="15615" width="66.5703125" style="700" customWidth="1"/>
    <col min="15616" max="15616" width="9.42578125" style="700" customWidth="1"/>
    <col min="15617" max="15617" width="9.140625" style="700" customWidth="1"/>
    <col min="15618" max="15618" width="11.140625" style="700" bestFit="1" customWidth="1"/>
    <col min="15619" max="15619" width="9.140625" style="700" customWidth="1"/>
    <col min="15620" max="15620" width="10.42578125" style="700" customWidth="1"/>
    <col min="15621" max="15621" width="9.140625" style="700" customWidth="1"/>
    <col min="15622" max="15622" width="10.7109375" style="700" customWidth="1"/>
    <col min="15623" max="15623" width="9.140625" style="700" customWidth="1"/>
    <col min="15624" max="15624" width="10.140625" style="700" customWidth="1"/>
    <col min="15625" max="15625" width="11.140625" style="700" customWidth="1"/>
    <col min="15626" max="15745" width="9.140625" style="700" customWidth="1"/>
    <col min="15746" max="15746" width="2.5703125" style="700" customWidth="1"/>
    <col min="15747" max="15747" width="9.140625" style="700" customWidth="1"/>
    <col min="15748" max="15748" width="47.85546875" style="700" customWidth="1"/>
    <col min="15749" max="15749" width="6.7109375" style="700" customWidth="1"/>
    <col min="15750" max="15750" width="7.42578125" style="700" customWidth="1"/>
    <col min="15751" max="15751" width="7" style="700"/>
    <col min="15752" max="15752" width="8.5703125" style="700" customWidth="1"/>
    <col min="15753" max="15753" width="12" style="700" customWidth="1"/>
    <col min="15754" max="15754" width="4.7109375" style="700" customWidth="1"/>
    <col min="15755" max="15755" width="9.140625" style="700" customWidth="1"/>
    <col min="15756" max="15756" width="11.7109375" style="700" customWidth="1"/>
    <col min="15757" max="15868" width="7" style="700"/>
    <col min="15869" max="15869" width="3.85546875" style="700" customWidth="1"/>
    <col min="15870" max="15870" width="14" style="700" customWidth="1"/>
    <col min="15871" max="15871" width="66.5703125" style="700" customWidth="1"/>
    <col min="15872" max="15872" width="9.42578125" style="700" customWidth="1"/>
    <col min="15873" max="15873" width="9.140625" style="700" customWidth="1"/>
    <col min="15874" max="15874" width="11.140625" style="700" bestFit="1" customWidth="1"/>
    <col min="15875" max="15875" width="9.140625" style="700" customWidth="1"/>
    <col min="15876" max="15876" width="10.42578125" style="700" customWidth="1"/>
    <col min="15877" max="15877" width="9.140625" style="700" customWidth="1"/>
    <col min="15878" max="15878" width="10.7109375" style="700" customWidth="1"/>
    <col min="15879" max="15879" width="9.140625" style="700" customWidth="1"/>
    <col min="15880" max="15880" width="10.140625" style="700" customWidth="1"/>
    <col min="15881" max="15881" width="11.140625" style="700" customWidth="1"/>
    <col min="15882" max="16001" width="9.140625" style="700" customWidth="1"/>
    <col min="16002" max="16002" width="2.5703125" style="700" customWidth="1"/>
    <col min="16003" max="16003" width="9.140625" style="700" customWidth="1"/>
    <col min="16004" max="16004" width="47.85546875" style="700" customWidth="1"/>
    <col min="16005" max="16005" width="6.7109375" style="700" customWidth="1"/>
    <col min="16006" max="16006" width="7.42578125" style="700" customWidth="1"/>
    <col min="16007" max="16007" width="7" style="700"/>
    <col min="16008" max="16008" width="8.5703125" style="700" customWidth="1"/>
    <col min="16009" max="16009" width="12" style="700" customWidth="1"/>
    <col min="16010" max="16010" width="4.7109375" style="700" customWidth="1"/>
    <col min="16011" max="16011" width="9.140625" style="700" customWidth="1"/>
    <col min="16012" max="16012" width="11.7109375" style="700" customWidth="1"/>
    <col min="16013" max="16124" width="7" style="700"/>
    <col min="16125" max="16125" width="3.85546875" style="700" customWidth="1"/>
    <col min="16126" max="16126" width="14" style="700" customWidth="1"/>
    <col min="16127" max="16127" width="66.5703125" style="700" customWidth="1"/>
    <col min="16128" max="16128" width="9.42578125" style="700" customWidth="1"/>
    <col min="16129" max="16129" width="9.140625" style="700" customWidth="1"/>
    <col min="16130" max="16130" width="11.140625" style="700" bestFit="1" customWidth="1"/>
    <col min="16131" max="16131" width="9.140625" style="700" customWidth="1"/>
    <col min="16132" max="16132" width="10.42578125" style="700" customWidth="1"/>
    <col min="16133" max="16133" width="9.140625" style="700" customWidth="1"/>
    <col min="16134" max="16134" width="10.7109375" style="700" customWidth="1"/>
    <col min="16135" max="16135" width="9.140625" style="700" customWidth="1"/>
    <col min="16136" max="16136" width="10.140625" style="700" customWidth="1"/>
    <col min="16137" max="16137" width="11.140625" style="700" customWidth="1"/>
    <col min="16138" max="16257" width="9.140625" style="700" customWidth="1"/>
    <col min="16258" max="16258" width="2.5703125" style="700" customWidth="1"/>
    <col min="16259" max="16259" width="9.140625" style="700" customWidth="1"/>
    <col min="16260" max="16260" width="47.85546875" style="700" customWidth="1"/>
    <col min="16261" max="16261" width="6.7109375" style="700" customWidth="1"/>
    <col min="16262" max="16262" width="7.42578125" style="700" customWidth="1"/>
    <col min="16263" max="16263" width="7" style="700"/>
    <col min="16264" max="16264" width="8.5703125" style="700" customWidth="1"/>
    <col min="16265" max="16265" width="12" style="700" customWidth="1"/>
    <col min="16266" max="16266" width="4.7109375" style="700" customWidth="1"/>
    <col min="16267" max="16267" width="9.140625" style="700" customWidth="1"/>
    <col min="16268" max="16268" width="11.7109375" style="700" customWidth="1"/>
    <col min="16269" max="16384" width="7" style="700"/>
  </cols>
  <sheetData>
    <row r="1" spans="1:13" s="658" customFormat="1" ht="18">
      <c r="A1" s="1083" t="e">
        <f>#REF!</f>
        <v>#REF!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</row>
    <row r="2" spans="1:13" s="658" customFormat="1" ht="18">
      <c r="A2" s="1084" t="s">
        <v>7</v>
      </c>
      <c r="B2" s="1084"/>
      <c r="C2" s="1084"/>
      <c r="D2" s="1084"/>
      <c r="E2" s="1084"/>
      <c r="F2" s="1084"/>
      <c r="G2" s="421" t="str">
        <f>'B-3'!B10</f>
        <v>B-3.1</v>
      </c>
      <c r="H2" s="421"/>
      <c r="I2" s="421"/>
      <c r="J2" s="421"/>
      <c r="K2" s="421"/>
      <c r="L2" s="421"/>
      <c r="M2" s="421"/>
    </row>
    <row r="3" spans="1:13" s="658" customFormat="1" ht="18">
      <c r="A3" s="1094" t="str">
        <f>'B-3'!C10</f>
        <v>საპროექტო N1 კაპტაჟის შემოღობვა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3" s="658" customFormat="1" ht="15">
      <c r="A4" s="1086"/>
      <c r="B4" s="1086"/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</row>
    <row r="5" spans="1:13" s="658" customFormat="1" ht="29.25" customHeight="1">
      <c r="A5" s="659"/>
      <c r="B5" s="1087" t="e">
        <f>#REF!</f>
        <v>#REF!</v>
      </c>
      <c r="C5" s="1087"/>
      <c r="D5" s="1087"/>
      <c r="E5" s="1087"/>
      <c r="F5" s="1087"/>
      <c r="G5" s="1087"/>
      <c r="H5" s="982"/>
      <c r="I5" s="982"/>
      <c r="J5" s="982"/>
      <c r="K5" s="982"/>
      <c r="L5" s="982"/>
      <c r="M5" s="982"/>
    </row>
    <row r="6" spans="1:13" s="658" customFormat="1" ht="13.5">
      <c r="A6" s="660"/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</row>
    <row r="7" spans="1:13" s="658" customFormat="1" ht="13.5">
      <c r="A7" s="1178" t="s">
        <v>147</v>
      </c>
      <c r="B7" s="1180" t="s">
        <v>148</v>
      </c>
      <c r="C7" s="1178" t="s">
        <v>149</v>
      </c>
      <c r="D7" s="1178" t="s">
        <v>150</v>
      </c>
      <c r="E7" s="1178" t="s">
        <v>151</v>
      </c>
      <c r="F7" s="1178" t="s">
        <v>152</v>
      </c>
      <c r="G7" s="1179" t="s">
        <v>153</v>
      </c>
      <c r="H7" s="1179"/>
      <c r="I7" s="1179" t="s">
        <v>154</v>
      </c>
      <c r="J7" s="1179"/>
      <c r="K7" s="1178" t="s">
        <v>155</v>
      </c>
      <c r="L7" s="1178"/>
      <c r="M7" s="989" t="s">
        <v>156</v>
      </c>
    </row>
    <row r="8" spans="1:13" s="658" customFormat="1" ht="13.5">
      <c r="A8" s="1178"/>
      <c r="B8" s="1180"/>
      <c r="C8" s="1178"/>
      <c r="D8" s="1178"/>
      <c r="E8" s="1178"/>
      <c r="F8" s="1178"/>
      <c r="G8" s="989" t="s">
        <v>157</v>
      </c>
      <c r="H8" s="989" t="s">
        <v>158</v>
      </c>
      <c r="I8" s="989" t="s">
        <v>157</v>
      </c>
      <c r="J8" s="989" t="s">
        <v>158</v>
      </c>
      <c r="K8" s="989" t="s">
        <v>157</v>
      </c>
      <c r="L8" s="989" t="s">
        <v>159</v>
      </c>
      <c r="M8" s="989" t="s">
        <v>160</v>
      </c>
    </row>
    <row r="9" spans="1:13" s="663" customFormat="1" ht="13.5">
      <c r="A9" s="988">
        <v>1</v>
      </c>
      <c r="B9" s="990">
        <v>3</v>
      </c>
      <c r="C9" s="988">
        <v>2</v>
      </c>
      <c r="D9" s="988">
        <v>4</v>
      </c>
      <c r="E9" s="988">
        <v>5</v>
      </c>
      <c r="F9" s="988">
        <v>6</v>
      </c>
      <c r="G9" s="989">
        <v>7</v>
      </c>
      <c r="H9" s="989">
        <v>8</v>
      </c>
      <c r="I9" s="989">
        <v>9</v>
      </c>
      <c r="J9" s="989">
        <v>10</v>
      </c>
      <c r="K9" s="989">
        <v>11</v>
      </c>
      <c r="L9" s="989">
        <v>12</v>
      </c>
      <c r="M9" s="989">
        <v>13</v>
      </c>
    </row>
    <row r="10" spans="1:13" s="663" customFormat="1" ht="13.5">
      <c r="A10" s="664">
        <v>1</v>
      </c>
      <c r="B10" s="563" t="s">
        <v>182</v>
      </c>
      <c r="C10" s="510" t="s">
        <v>183</v>
      </c>
      <c r="D10" s="984" t="s">
        <v>15</v>
      </c>
      <c r="E10" s="984"/>
      <c r="F10" s="555">
        <v>4.84</v>
      </c>
      <c r="G10" s="984"/>
      <c r="H10" s="986"/>
      <c r="I10" s="984"/>
      <c r="J10" s="986"/>
      <c r="K10" s="984"/>
      <c r="L10" s="986"/>
      <c r="M10" s="986"/>
    </row>
    <row r="11" spans="1:13" s="663" customFormat="1" ht="13.5">
      <c r="A11" s="989"/>
      <c r="B11" s="665"/>
      <c r="C11" s="383" t="s">
        <v>86</v>
      </c>
      <c r="D11" s="494" t="s">
        <v>13</v>
      </c>
      <c r="E11" s="494">
        <v>3.88</v>
      </c>
      <c r="F11" s="511">
        <f>F10*E11</f>
        <v>18.779199999999999</v>
      </c>
      <c r="G11" s="494"/>
      <c r="H11" s="511"/>
      <c r="I11" s="494"/>
      <c r="J11" s="511"/>
      <c r="K11" s="494"/>
      <c r="L11" s="511"/>
      <c r="M11" s="511"/>
    </row>
    <row r="12" spans="1:13" s="663" customFormat="1" ht="27">
      <c r="A12" s="664">
        <v>2</v>
      </c>
      <c r="B12" s="563" t="s">
        <v>165</v>
      </c>
      <c r="C12" s="528" t="s">
        <v>514</v>
      </c>
      <c r="D12" s="983" t="s">
        <v>15</v>
      </c>
      <c r="E12" s="983"/>
      <c r="F12" s="555">
        <v>2.98</v>
      </c>
      <c r="G12" s="983"/>
      <c r="H12" s="983"/>
      <c r="I12" s="983"/>
      <c r="J12" s="983"/>
      <c r="K12" s="983"/>
      <c r="L12" s="983"/>
      <c r="M12" s="526"/>
    </row>
    <row r="13" spans="1:13" s="663" customFormat="1" ht="13.5">
      <c r="A13" s="664"/>
      <c r="B13" s="666"/>
      <c r="C13" s="541" t="s">
        <v>96</v>
      </c>
      <c r="D13" s="494" t="s">
        <v>102</v>
      </c>
      <c r="E13" s="985">
        <v>1.37</v>
      </c>
      <c r="F13" s="386">
        <f>E13*F12</f>
        <v>4.0826000000000002</v>
      </c>
      <c r="G13" s="985"/>
      <c r="H13" s="386"/>
      <c r="I13" s="494"/>
      <c r="J13" s="386"/>
      <c r="K13" s="985"/>
      <c r="L13" s="985"/>
      <c r="M13" s="386"/>
    </row>
    <row r="14" spans="1:13" s="663" customFormat="1" ht="13.5">
      <c r="A14" s="989"/>
      <c r="B14" s="665"/>
      <c r="C14" s="541" t="s">
        <v>97</v>
      </c>
      <c r="D14" s="494" t="s">
        <v>16</v>
      </c>
      <c r="E14" s="985">
        <v>0.28299999999999997</v>
      </c>
      <c r="F14" s="386">
        <f>E14*F13</f>
        <v>1.1553758000000001</v>
      </c>
      <c r="G14" s="985"/>
      <c r="H14" s="985"/>
      <c r="I14" s="985"/>
      <c r="J14" s="985"/>
      <c r="K14" s="985"/>
      <c r="L14" s="386"/>
      <c r="M14" s="386"/>
    </row>
    <row r="15" spans="1:13" s="663" customFormat="1" ht="15.75">
      <c r="A15" s="989"/>
      <c r="B15" s="666" t="s">
        <v>675</v>
      </c>
      <c r="C15" s="541" t="s">
        <v>254</v>
      </c>
      <c r="D15" s="494" t="s">
        <v>391</v>
      </c>
      <c r="E15" s="985">
        <v>1.02</v>
      </c>
      <c r="F15" s="386">
        <f>E15*F12</f>
        <v>3.0396000000000001</v>
      </c>
      <c r="G15" s="400"/>
      <c r="H15" s="389"/>
      <c r="I15" s="545"/>
      <c r="J15" s="989"/>
      <c r="K15" s="400"/>
      <c r="L15" s="400"/>
      <c r="M15" s="386"/>
    </row>
    <row r="16" spans="1:13" s="663" customFormat="1" ht="13.5">
      <c r="A16" s="989"/>
      <c r="B16" s="990" t="s">
        <v>655</v>
      </c>
      <c r="C16" s="541" t="s">
        <v>264</v>
      </c>
      <c r="D16" s="494" t="s">
        <v>169</v>
      </c>
      <c r="E16" s="985" t="s">
        <v>205</v>
      </c>
      <c r="F16" s="386">
        <f>0.4*0.6*4*(F23/2.3)</f>
        <v>12.939130434782609</v>
      </c>
      <c r="G16" s="392"/>
      <c r="H16" s="389"/>
      <c r="I16" s="545"/>
      <c r="J16" s="989"/>
      <c r="K16" s="400"/>
      <c r="L16" s="400"/>
      <c r="M16" s="386"/>
    </row>
    <row r="17" spans="1:153" s="663" customFormat="1" ht="15.75">
      <c r="A17" s="989"/>
      <c r="B17" s="990" t="s">
        <v>736</v>
      </c>
      <c r="C17" s="541" t="s">
        <v>515</v>
      </c>
      <c r="D17" s="494" t="s">
        <v>391</v>
      </c>
      <c r="E17" s="985" t="s">
        <v>205</v>
      </c>
      <c r="F17" s="386">
        <f>F16*0.7%</f>
        <v>9.0573913043478255E-2</v>
      </c>
      <c r="G17" s="392"/>
      <c r="H17" s="389"/>
      <c r="I17" s="545"/>
      <c r="J17" s="989"/>
      <c r="K17" s="400"/>
      <c r="L17" s="400"/>
      <c r="M17" s="386"/>
    </row>
    <row r="18" spans="1:153" s="663" customFormat="1" ht="13.5">
      <c r="A18" s="989"/>
      <c r="B18" s="666"/>
      <c r="C18" s="541" t="s">
        <v>89</v>
      </c>
      <c r="D18" s="494" t="s">
        <v>16</v>
      </c>
      <c r="E18" s="985">
        <v>0.62</v>
      </c>
      <c r="F18" s="386">
        <f>E18*F12</f>
        <v>1.8475999999999999</v>
      </c>
      <c r="G18" s="400"/>
      <c r="H18" s="389"/>
      <c r="I18" s="545"/>
      <c r="J18" s="989"/>
      <c r="K18" s="400"/>
      <c r="L18" s="400"/>
      <c r="M18" s="386"/>
    </row>
    <row r="19" spans="1:153" s="663" customFormat="1" ht="27">
      <c r="A19" s="664">
        <v>3</v>
      </c>
      <c r="B19" s="554" t="s">
        <v>185</v>
      </c>
      <c r="C19" s="667" t="s">
        <v>517</v>
      </c>
      <c r="D19" s="983" t="s">
        <v>91</v>
      </c>
      <c r="E19" s="983"/>
      <c r="F19" s="668">
        <v>45</v>
      </c>
      <c r="G19" s="983"/>
      <c r="H19" s="983"/>
      <c r="I19" s="983"/>
      <c r="J19" s="983"/>
      <c r="K19" s="983"/>
      <c r="L19" s="983"/>
      <c r="M19" s="526"/>
    </row>
    <row r="20" spans="1:153" s="663" customFormat="1" ht="13.5">
      <c r="A20" s="989"/>
      <c r="B20" s="983"/>
      <c r="C20" s="541" t="s">
        <v>96</v>
      </c>
      <c r="D20" s="494" t="s">
        <v>13</v>
      </c>
      <c r="E20" s="985">
        <f>3.12</f>
        <v>3.12</v>
      </c>
      <c r="F20" s="386">
        <f>E20*F19</f>
        <v>140.4</v>
      </c>
      <c r="G20" s="985"/>
      <c r="H20" s="386"/>
      <c r="I20" s="985"/>
      <c r="J20" s="386"/>
      <c r="K20" s="985"/>
      <c r="L20" s="985"/>
      <c r="M20" s="386"/>
    </row>
    <row r="21" spans="1:153" s="663" customFormat="1" ht="13.5">
      <c r="A21" s="989"/>
      <c r="B21" s="649" t="s">
        <v>737</v>
      </c>
      <c r="C21" s="541" t="s">
        <v>186</v>
      </c>
      <c r="D21" s="494" t="s">
        <v>168</v>
      </c>
      <c r="E21" s="985">
        <f>0.407</f>
        <v>0.40699999999999997</v>
      </c>
      <c r="F21" s="386">
        <f>E21*F19</f>
        <v>18.314999999999998</v>
      </c>
      <c r="G21" s="985"/>
      <c r="H21" s="985"/>
      <c r="I21" s="985"/>
      <c r="J21" s="985"/>
      <c r="K21" s="256"/>
      <c r="L21" s="386"/>
      <c r="M21" s="386"/>
    </row>
    <row r="22" spans="1:153" s="663" customFormat="1" ht="13.5">
      <c r="A22" s="664"/>
      <c r="B22" s="669"/>
      <c r="C22" s="541" t="s">
        <v>97</v>
      </c>
      <c r="D22" s="494" t="s">
        <v>16</v>
      </c>
      <c r="E22" s="985">
        <v>0.09</v>
      </c>
      <c r="F22" s="386">
        <f>E22*F19</f>
        <v>4.05</v>
      </c>
      <c r="G22" s="985"/>
      <c r="H22" s="985"/>
      <c r="I22" s="985"/>
      <c r="J22" s="985"/>
      <c r="K22" s="985"/>
      <c r="L22" s="386"/>
      <c r="M22" s="386"/>
    </row>
    <row r="23" spans="1:153" s="670" customFormat="1" ht="13.5">
      <c r="A23" s="989"/>
      <c r="B23" s="397" t="s">
        <v>518</v>
      </c>
      <c r="C23" s="541" t="s">
        <v>519</v>
      </c>
      <c r="D23" s="494" t="s">
        <v>98</v>
      </c>
      <c r="E23" s="985" t="s">
        <v>205</v>
      </c>
      <c r="F23" s="985">
        <v>31</v>
      </c>
      <c r="G23" s="389"/>
      <c r="H23" s="389"/>
      <c r="I23" s="545"/>
      <c r="J23" s="989"/>
      <c r="K23" s="400"/>
      <c r="L23" s="400"/>
      <c r="M23" s="386"/>
    </row>
    <row r="24" spans="1:153" s="670" customFormat="1" ht="13.5">
      <c r="A24" s="989"/>
      <c r="B24" s="397" t="s">
        <v>520</v>
      </c>
      <c r="C24" s="541" t="s">
        <v>187</v>
      </c>
      <c r="D24" s="494" t="s">
        <v>103</v>
      </c>
      <c r="E24" s="985" t="s">
        <v>176</v>
      </c>
      <c r="F24" s="386">
        <f>((F19*4)+(F23*1.5))*0.222/1000</f>
        <v>5.0283000000000001E-2</v>
      </c>
      <c r="G24" s="389"/>
      <c r="H24" s="389"/>
      <c r="I24" s="545"/>
      <c r="J24" s="989"/>
      <c r="K24" s="400"/>
      <c r="L24" s="400"/>
      <c r="M24" s="386"/>
    </row>
    <row r="25" spans="1:153" s="670" customFormat="1" ht="13.5">
      <c r="A25" s="989"/>
      <c r="B25" s="463" t="s">
        <v>507</v>
      </c>
      <c r="C25" s="541" t="s">
        <v>188</v>
      </c>
      <c r="D25" s="494" t="s">
        <v>103</v>
      </c>
      <c r="E25" s="985" t="s">
        <v>176</v>
      </c>
      <c r="F25" s="388">
        <f>F24*10%</f>
        <v>5.0283000000000003E-3</v>
      </c>
      <c r="G25" s="400"/>
      <c r="H25" s="389"/>
      <c r="I25" s="545"/>
      <c r="J25" s="989"/>
      <c r="K25" s="400"/>
      <c r="L25" s="400"/>
      <c r="M25" s="386"/>
    </row>
    <row r="26" spans="1:153" s="670" customFormat="1" ht="13.5">
      <c r="A26" s="989"/>
      <c r="B26" s="463" t="s">
        <v>738</v>
      </c>
      <c r="C26" s="541" t="s">
        <v>521</v>
      </c>
      <c r="D26" s="494" t="s">
        <v>169</v>
      </c>
      <c r="E26" s="985">
        <v>1.5</v>
      </c>
      <c r="F26" s="386">
        <f>E26*F19</f>
        <v>67.5</v>
      </c>
      <c r="G26" s="400"/>
      <c r="H26" s="389"/>
      <c r="I26" s="545"/>
      <c r="J26" s="989"/>
      <c r="K26" s="400"/>
      <c r="L26" s="400"/>
      <c r="M26" s="386"/>
    </row>
    <row r="27" spans="1:153" s="670" customFormat="1" ht="13.5">
      <c r="A27" s="989"/>
      <c r="B27" s="463" t="s">
        <v>739</v>
      </c>
      <c r="C27" s="671" t="s">
        <v>523</v>
      </c>
      <c r="D27" s="672" t="s">
        <v>103</v>
      </c>
      <c r="E27" s="551" t="s">
        <v>176</v>
      </c>
      <c r="F27" s="673">
        <f>0.04*0.04*0.0035*8760*F23*2/1000</f>
        <v>3.0414720000000004E-3</v>
      </c>
      <c r="G27" s="400"/>
      <c r="H27" s="389"/>
      <c r="I27" s="545"/>
      <c r="J27" s="989"/>
      <c r="K27" s="400"/>
      <c r="L27" s="400"/>
      <c r="M27" s="386"/>
    </row>
    <row r="28" spans="1:153" s="670" customFormat="1" ht="13.5">
      <c r="A28" s="989"/>
      <c r="B28" s="674"/>
      <c r="C28" s="671" t="s">
        <v>89</v>
      </c>
      <c r="D28" s="672" t="s">
        <v>16</v>
      </c>
      <c r="E28" s="551">
        <v>0.05</v>
      </c>
      <c r="F28" s="552">
        <f>E28*F19</f>
        <v>2.25</v>
      </c>
      <c r="G28" s="675"/>
      <c r="H28" s="676"/>
      <c r="I28" s="677"/>
      <c r="J28" s="678"/>
      <c r="K28" s="675"/>
      <c r="L28" s="675"/>
      <c r="M28" s="552"/>
    </row>
    <row r="29" spans="1:153" s="663" customFormat="1" ht="27">
      <c r="A29" s="664">
        <v>4</v>
      </c>
      <c r="B29" s="563" t="s">
        <v>193</v>
      </c>
      <c r="C29" s="510" t="s">
        <v>524</v>
      </c>
      <c r="D29" s="984" t="s">
        <v>169</v>
      </c>
      <c r="E29" s="984"/>
      <c r="F29" s="679">
        <f>F26</f>
        <v>67.5</v>
      </c>
      <c r="G29" s="984"/>
      <c r="H29" s="986"/>
      <c r="I29" s="984"/>
      <c r="J29" s="986"/>
      <c r="K29" s="984"/>
      <c r="L29" s="986"/>
      <c r="M29" s="986"/>
      <c r="N29" s="680"/>
      <c r="O29" s="680"/>
      <c r="P29" s="680"/>
      <c r="Q29" s="680"/>
      <c r="R29" s="680"/>
      <c r="S29" s="680"/>
      <c r="T29" s="680"/>
      <c r="U29" s="680"/>
      <c r="V29" s="680"/>
      <c r="W29" s="680"/>
      <c r="X29" s="680"/>
      <c r="Y29" s="680"/>
      <c r="Z29" s="680"/>
      <c r="AA29" s="680"/>
      <c r="AB29" s="680"/>
      <c r="AC29" s="680"/>
      <c r="AD29" s="680"/>
      <c r="AE29" s="680"/>
      <c r="AF29" s="680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0"/>
      <c r="AU29" s="680"/>
      <c r="AV29" s="680"/>
      <c r="AW29" s="680"/>
      <c r="AX29" s="680"/>
      <c r="AY29" s="680"/>
      <c r="AZ29" s="680"/>
      <c r="BA29" s="680"/>
      <c r="BB29" s="680"/>
      <c r="BC29" s="680"/>
      <c r="BD29" s="680"/>
      <c r="BE29" s="680"/>
      <c r="BF29" s="680"/>
      <c r="BG29" s="680"/>
      <c r="BH29" s="680"/>
      <c r="BI29" s="680"/>
      <c r="BJ29" s="680"/>
      <c r="BK29" s="680"/>
      <c r="BL29" s="680"/>
      <c r="BM29" s="680"/>
      <c r="BN29" s="680"/>
      <c r="BO29" s="680"/>
      <c r="BP29" s="680"/>
      <c r="BQ29" s="680"/>
      <c r="BR29" s="680"/>
      <c r="BS29" s="680"/>
      <c r="BT29" s="680"/>
      <c r="BU29" s="680"/>
      <c r="BV29" s="680"/>
      <c r="BW29" s="680"/>
      <c r="BX29" s="680"/>
      <c r="BY29" s="680"/>
      <c r="BZ29" s="680"/>
      <c r="CA29" s="680"/>
      <c r="CB29" s="680"/>
      <c r="CC29" s="680"/>
      <c r="CD29" s="680"/>
      <c r="CE29" s="680"/>
      <c r="CF29" s="680"/>
      <c r="CG29" s="680"/>
      <c r="CH29" s="680"/>
      <c r="CI29" s="680"/>
      <c r="CJ29" s="680"/>
      <c r="CK29" s="680"/>
      <c r="CL29" s="680"/>
      <c r="CM29" s="680"/>
      <c r="CN29" s="680"/>
      <c r="CO29" s="680"/>
      <c r="CP29" s="680"/>
      <c r="CQ29" s="680"/>
      <c r="CR29" s="680"/>
      <c r="CS29" s="680"/>
      <c r="CT29" s="680"/>
      <c r="CU29" s="680"/>
      <c r="CV29" s="680"/>
      <c r="CW29" s="680"/>
      <c r="CX29" s="680"/>
      <c r="CY29" s="680"/>
      <c r="CZ29" s="680"/>
      <c r="DA29" s="680"/>
      <c r="DB29" s="680"/>
      <c r="DC29" s="680"/>
      <c r="DD29" s="680"/>
      <c r="DE29" s="680"/>
      <c r="DF29" s="680"/>
      <c r="DG29" s="680"/>
      <c r="DH29" s="680"/>
      <c r="DI29" s="680"/>
      <c r="DJ29" s="680"/>
      <c r="DK29" s="680"/>
      <c r="DL29" s="680"/>
      <c r="DM29" s="680"/>
      <c r="DN29" s="680"/>
      <c r="DO29" s="680"/>
      <c r="DP29" s="680"/>
      <c r="DQ29" s="680"/>
      <c r="DR29" s="680"/>
      <c r="DS29" s="680"/>
      <c r="DT29" s="680"/>
      <c r="DU29" s="680"/>
      <c r="DV29" s="680"/>
      <c r="DW29" s="680"/>
      <c r="DX29" s="680"/>
      <c r="DY29" s="680"/>
      <c r="DZ29" s="680"/>
      <c r="EA29" s="680"/>
      <c r="EB29" s="680"/>
      <c r="EC29" s="680"/>
      <c r="ED29" s="680"/>
      <c r="EE29" s="680"/>
      <c r="EF29" s="680"/>
      <c r="EG29" s="680"/>
      <c r="EH29" s="680"/>
      <c r="EI29" s="680"/>
      <c r="EJ29" s="680"/>
      <c r="EK29" s="680"/>
      <c r="EL29" s="680"/>
      <c r="EM29" s="680"/>
      <c r="EN29" s="680"/>
      <c r="EO29" s="680"/>
      <c r="EP29" s="680"/>
      <c r="EQ29" s="680"/>
      <c r="ER29" s="680"/>
      <c r="ES29" s="680"/>
      <c r="ET29" s="680"/>
      <c r="EU29" s="680"/>
      <c r="EV29" s="680"/>
      <c r="EW29" s="680"/>
    </row>
    <row r="30" spans="1:153" s="663" customFormat="1" ht="13.5">
      <c r="A30" s="989"/>
      <c r="B30" s="983"/>
      <c r="C30" s="383" t="s">
        <v>86</v>
      </c>
      <c r="D30" s="494" t="s">
        <v>13</v>
      </c>
      <c r="E30" s="985">
        <f>6.8/100</f>
        <v>6.8000000000000005E-2</v>
      </c>
      <c r="F30" s="386">
        <f>F29*E30</f>
        <v>4.5900000000000007</v>
      </c>
      <c r="G30" s="985"/>
      <c r="H30" s="386"/>
      <c r="I30" s="985"/>
      <c r="J30" s="386"/>
      <c r="K30" s="417"/>
      <c r="L30" s="681"/>
      <c r="M30" s="552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  <c r="AM30" s="680"/>
      <c r="AN30" s="680"/>
      <c r="AO30" s="680"/>
      <c r="AP30" s="680"/>
      <c r="AQ30" s="680"/>
      <c r="AR30" s="680"/>
      <c r="AS30" s="680"/>
      <c r="AT30" s="680"/>
      <c r="AU30" s="680"/>
      <c r="AV30" s="680"/>
      <c r="AW30" s="680"/>
      <c r="AX30" s="680"/>
      <c r="AY30" s="680"/>
      <c r="AZ30" s="680"/>
      <c r="BA30" s="680"/>
      <c r="BB30" s="680"/>
      <c r="BC30" s="680"/>
      <c r="BD30" s="680"/>
      <c r="BE30" s="680"/>
      <c r="BF30" s="680"/>
      <c r="BG30" s="680"/>
      <c r="BH30" s="680"/>
      <c r="BI30" s="680"/>
      <c r="BJ30" s="680"/>
      <c r="BK30" s="680"/>
      <c r="BL30" s="680"/>
      <c r="BM30" s="680"/>
      <c r="BN30" s="680"/>
      <c r="BO30" s="680"/>
      <c r="BP30" s="680"/>
      <c r="BQ30" s="680"/>
      <c r="BR30" s="680"/>
      <c r="BS30" s="680"/>
      <c r="BT30" s="680"/>
      <c r="BU30" s="680"/>
      <c r="BV30" s="680"/>
      <c r="BW30" s="680"/>
      <c r="BX30" s="680"/>
      <c r="BY30" s="680"/>
      <c r="BZ30" s="680"/>
      <c r="CA30" s="680"/>
      <c r="CB30" s="680"/>
      <c r="CC30" s="680"/>
      <c r="CD30" s="680"/>
      <c r="CE30" s="680"/>
      <c r="CF30" s="680"/>
      <c r="CG30" s="680"/>
      <c r="CH30" s="680"/>
      <c r="CI30" s="680"/>
      <c r="CJ30" s="680"/>
      <c r="CK30" s="680"/>
      <c r="CL30" s="680"/>
      <c r="CM30" s="680"/>
      <c r="CN30" s="680"/>
      <c r="CO30" s="680"/>
      <c r="CP30" s="680"/>
      <c r="CQ30" s="680"/>
      <c r="CR30" s="680"/>
      <c r="CS30" s="680"/>
      <c r="CT30" s="680"/>
      <c r="CU30" s="680"/>
      <c r="CV30" s="680"/>
      <c r="CW30" s="680"/>
      <c r="CX30" s="680"/>
      <c r="CY30" s="680"/>
      <c r="CZ30" s="680"/>
      <c r="DA30" s="680"/>
      <c r="DB30" s="680"/>
      <c r="DC30" s="680"/>
      <c r="DD30" s="680"/>
      <c r="DE30" s="680"/>
      <c r="DF30" s="680"/>
      <c r="DG30" s="680"/>
      <c r="DH30" s="680"/>
      <c r="DI30" s="680"/>
      <c r="DJ30" s="680"/>
      <c r="DK30" s="680"/>
      <c r="DL30" s="680"/>
      <c r="DM30" s="680"/>
      <c r="DN30" s="680"/>
      <c r="DO30" s="680"/>
      <c r="DP30" s="680"/>
      <c r="DQ30" s="680"/>
      <c r="DR30" s="680"/>
      <c r="DS30" s="680"/>
      <c r="DT30" s="680"/>
      <c r="DU30" s="680"/>
      <c r="DV30" s="680"/>
      <c r="DW30" s="680"/>
      <c r="DX30" s="680"/>
      <c r="DY30" s="680"/>
      <c r="DZ30" s="680"/>
      <c r="EA30" s="680"/>
      <c r="EB30" s="680"/>
      <c r="EC30" s="680"/>
      <c r="ED30" s="680"/>
      <c r="EE30" s="680"/>
      <c r="EF30" s="680"/>
      <c r="EG30" s="680"/>
      <c r="EH30" s="680"/>
      <c r="EI30" s="680"/>
      <c r="EJ30" s="680"/>
      <c r="EK30" s="680"/>
      <c r="EL30" s="680"/>
      <c r="EM30" s="680"/>
      <c r="EN30" s="680"/>
      <c r="EO30" s="680"/>
      <c r="EP30" s="680"/>
      <c r="EQ30" s="680"/>
      <c r="ER30" s="680"/>
      <c r="ES30" s="680"/>
      <c r="ET30" s="680"/>
      <c r="EU30" s="680"/>
      <c r="EV30" s="680"/>
      <c r="EW30" s="680"/>
    </row>
    <row r="31" spans="1:153" s="663" customFormat="1" ht="13.5">
      <c r="A31" s="989"/>
      <c r="B31" s="528"/>
      <c r="C31" s="383" t="s">
        <v>97</v>
      </c>
      <c r="D31" s="985" t="s">
        <v>16</v>
      </c>
      <c r="E31" s="494">
        <f>0.03/100</f>
        <v>2.9999999999999997E-4</v>
      </c>
      <c r="F31" s="557">
        <f>F29*E31</f>
        <v>2.0249999999999997E-2</v>
      </c>
      <c r="G31" s="494"/>
      <c r="H31" s="511"/>
      <c r="I31" s="494"/>
      <c r="J31" s="511"/>
      <c r="K31" s="494"/>
      <c r="L31" s="557"/>
      <c r="M31" s="552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680"/>
      <c r="AI31" s="680"/>
      <c r="AJ31" s="680"/>
      <c r="AK31" s="680"/>
      <c r="AL31" s="680"/>
      <c r="AM31" s="680"/>
      <c r="AN31" s="680"/>
      <c r="AO31" s="680"/>
      <c r="AP31" s="680"/>
      <c r="AQ31" s="680"/>
      <c r="AR31" s="680"/>
      <c r="AS31" s="680"/>
      <c r="AT31" s="680"/>
      <c r="AU31" s="680"/>
      <c r="AV31" s="680"/>
      <c r="AW31" s="680"/>
      <c r="AX31" s="680"/>
      <c r="AY31" s="680"/>
      <c r="AZ31" s="680"/>
      <c r="BA31" s="680"/>
      <c r="BB31" s="680"/>
      <c r="BC31" s="680"/>
      <c r="BD31" s="680"/>
      <c r="BE31" s="680"/>
      <c r="BF31" s="680"/>
      <c r="BG31" s="680"/>
      <c r="BH31" s="680"/>
      <c r="BI31" s="680"/>
      <c r="BJ31" s="680"/>
      <c r="BK31" s="680"/>
      <c r="BL31" s="680"/>
      <c r="BM31" s="680"/>
      <c r="BN31" s="680"/>
      <c r="BO31" s="680"/>
      <c r="BP31" s="680"/>
      <c r="BQ31" s="680"/>
      <c r="BR31" s="680"/>
      <c r="BS31" s="680"/>
      <c r="BT31" s="680"/>
      <c r="BU31" s="680"/>
      <c r="BV31" s="680"/>
      <c r="BW31" s="680"/>
      <c r="BX31" s="680"/>
      <c r="BY31" s="680"/>
      <c r="BZ31" s="680"/>
      <c r="CA31" s="680"/>
      <c r="CB31" s="680"/>
      <c r="CC31" s="680"/>
      <c r="CD31" s="680"/>
      <c r="CE31" s="680"/>
      <c r="CF31" s="680"/>
      <c r="CG31" s="680"/>
      <c r="CH31" s="680"/>
      <c r="CI31" s="680"/>
      <c r="CJ31" s="680"/>
      <c r="CK31" s="680"/>
      <c r="CL31" s="680"/>
      <c r="CM31" s="680"/>
      <c r="CN31" s="680"/>
      <c r="CO31" s="680"/>
      <c r="CP31" s="680"/>
      <c r="CQ31" s="680"/>
      <c r="CR31" s="680"/>
      <c r="CS31" s="680"/>
      <c r="CT31" s="680"/>
      <c r="CU31" s="680"/>
      <c r="CV31" s="680"/>
      <c r="CW31" s="680"/>
      <c r="CX31" s="680"/>
      <c r="CY31" s="680"/>
      <c r="CZ31" s="680"/>
      <c r="DA31" s="680"/>
      <c r="DB31" s="680"/>
      <c r="DC31" s="680"/>
      <c r="DD31" s="680"/>
      <c r="DE31" s="680"/>
      <c r="DF31" s="680"/>
      <c r="DG31" s="680"/>
      <c r="DH31" s="680"/>
      <c r="DI31" s="680"/>
      <c r="DJ31" s="680"/>
      <c r="DK31" s="680"/>
      <c r="DL31" s="680"/>
      <c r="DM31" s="680"/>
      <c r="DN31" s="680"/>
      <c r="DO31" s="680"/>
      <c r="DP31" s="680"/>
      <c r="DQ31" s="680"/>
      <c r="DR31" s="680"/>
      <c r="DS31" s="680"/>
      <c r="DT31" s="680"/>
      <c r="DU31" s="680"/>
      <c r="DV31" s="680"/>
      <c r="DW31" s="680"/>
      <c r="DX31" s="680"/>
      <c r="DY31" s="680"/>
      <c r="DZ31" s="680"/>
      <c r="EA31" s="680"/>
      <c r="EB31" s="680"/>
      <c r="EC31" s="680"/>
      <c r="ED31" s="680"/>
      <c r="EE31" s="680"/>
      <c r="EF31" s="680"/>
      <c r="EG31" s="680"/>
      <c r="EH31" s="680"/>
      <c r="EI31" s="680"/>
      <c r="EJ31" s="680"/>
      <c r="EK31" s="680"/>
      <c r="EL31" s="680"/>
      <c r="EM31" s="680"/>
      <c r="EN31" s="680"/>
      <c r="EO31" s="680"/>
      <c r="EP31" s="680"/>
      <c r="EQ31" s="680"/>
      <c r="ER31" s="680"/>
      <c r="ES31" s="680"/>
      <c r="ET31" s="680"/>
      <c r="EU31" s="680"/>
      <c r="EV31" s="680"/>
      <c r="EW31" s="680"/>
    </row>
    <row r="32" spans="1:153" s="663" customFormat="1" ht="13.5">
      <c r="A32" s="989"/>
      <c r="B32" s="682" t="s">
        <v>740</v>
      </c>
      <c r="C32" s="683" t="s">
        <v>171</v>
      </c>
      <c r="D32" s="417" t="s">
        <v>110</v>
      </c>
      <c r="E32" s="417">
        <f>2.73/100</f>
        <v>2.7300000000000001E-2</v>
      </c>
      <c r="F32" s="684">
        <f>E32*F29</f>
        <v>1.8427500000000001</v>
      </c>
      <c r="G32" s="417"/>
      <c r="H32" s="681"/>
      <c r="I32" s="494"/>
      <c r="J32" s="417"/>
      <c r="K32" s="417"/>
      <c r="L32" s="681"/>
      <c r="M32" s="552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680"/>
      <c r="AA32" s="680"/>
      <c r="AB32" s="680"/>
      <c r="AC32" s="680"/>
      <c r="AD32" s="680"/>
      <c r="AE32" s="680"/>
      <c r="AF32" s="680"/>
      <c r="AG32" s="680"/>
      <c r="AH32" s="680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0"/>
      <c r="AU32" s="680"/>
      <c r="AV32" s="680"/>
      <c r="AW32" s="680"/>
      <c r="AX32" s="680"/>
      <c r="AY32" s="680"/>
      <c r="AZ32" s="680"/>
      <c r="BA32" s="680"/>
      <c r="BB32" s="680"/>
      <c r="BC32" s="680"/>
      <c r="BD32" s="680"/>
      <c r="BE32" s="680"/>
      <c r="BF32" s="680"/>
      <c r="BG32" s="680"/>
      <c r="BH32" s="680"/>
      <c r="BI32" s="680"/>
      <c r="BJ32" s="680"/>
      <c r="BK32" s="680"/>
      <c r="BL32" s="680"/>
      <c r="BM32" s="680"/>
      <c r="BN32" s="680"/>
      <c r="BO32" s="680"/>
      <c r="BP32" s="680"/>
      <c r="BQ32" s="680"/>
      <c r="BR32" s="680"/>
      <c r="BS32" s="680"/>
      <c r="BT32" s="680"/>
      <c r="BU32" s="680"/>
      <c r="BV32" s="680"/>
      <c r="BW32" s="680"/>
      <c r="BX32" s="680"/>
      <c r="BY32" s="680"/>
      <c r="BZ32" s="680"/>
      <c r="CA32" s="680"/>
      <c r="CB32" s="680"/>
      <c r="CC32" s="680"/>
      <c r="CD32" s="680"/>
      <c r="CE32" s="680"/>
      <c r="CF32" s="680"/>
      <c r="CG32" s="680"/>
      <c r="CH32" s="680"/>
      <c r="CI32" s="680"/>
      <c r="CJ32" s="680"/>
      <c r="CK32" s="680"/>
      <c r="CL32" s="680"/>
      <c r="CM32" s="680"/>
      <c r="CN32" s="680"/>
      <c r="CO32" s="680"/>
      <c r="CP32" s="680"/>
      <c r="CQ32" s="680"/>
      <c r="CR32" s="680"/>
      <c r="CS32" s="680"/>
      <c r="CT32" s="680"/>
      <c r="CU32" s="680"/>
      <c r="CV32" s="680"/>
      <c r="CW32" s="680"/>
      <c r="CX32" s="680"/>
      <c r="CY32" s="680"/>
      <c r="CZ32" s="680"/>
      <c r="DA32" s="680"/>
      <c r="DB32" s="680"/>
      <c r="DC32" s="680"/>
      <c r="DD32" s="680"/>
      <c r="DE32" s="680"/>
      <c r="DF32" s="680"/>
      <c r="DG32" s="680"/>
      <c r="DH32" s="680"/>
      <c r="DI32" s="680"/>
      <c r="DJ32" s="680"/>
      <c r="DK32" s="680"/>
      <c r="DL32" s="680"/>
      <c r="DM32" s="680"/>
      <c r="DN32" s="680"/>
      <c r="DO32" s="680"/>
      <c r="DP32" s="680"/>
      <c r="DQ32" s="680"/>
      <c r="DR32" s="680"/>
      <c r="DS32" s="680"/>
      <c r="DT32" s="680"/>
      <c r="DU32" s="680"/>
      <c r="DV32" s="680"/>
      <c r="DW32" s="680"/>
      <c r="DX32" s="680"/>
      <c r="DY32" s="680"/>
      <c r="DZ32" s="680"/>
      <c r="EA32" s="680"/>
      <c r="EB32" s="680"/>
      <c r="EC32" s="680"/>
      <c r="ED32" s="680"/>
      <c r="EE32" s="680"/>
      <c r="EF32" s="680"/>
      <c r="EG32" s="680"/>
      <c r="EH32" s="680"/>
      <c r="EI32" s="680"/>
      <c r="EJ32" s="680"/>
      <c r="EK32" s="680"/>
      <c r="EL32" s="680"/>
      <c r="EM32" s="680"/>
      <c r="EN32" s="680"/>
      <c r="EO32" s="680"/>
      <c r="EP32" s="680"/>
      <c r="EQ32" s="680"/>
      <c r="ER32" s="680"/>
      <c r="ES32" s="680"/>
      <c r="ET32" s="680"/>
      <c r="EU32" s="680"/>
      <c r="EV32" s="680"/>
      <c r="EW32" s="680"/>
    </row>
    <row r="33" spans="1:153" s="663" customFormat="1" ht="13.5">
      <c r="A33" s="989"/>
      <c r="B33" s="685"/>
      <c r="C33" s="683" t="s">
        <v>104</v>
      </c>
      <c r="D33" s="417" t="s">
        <v>16</v>
      </c>
      <c r="E33" s="417">
        <f>0.19/100</f>
        <v>1.9E-3</v>
      </c>
      <c r="F33" s="684">
        <f>E33*F29</f>
        <v>0.12825</v>
      </c>
      <c r="G33" s="417"/>
      <c r="H33" s="681"/>
      <c r="I33" s="494"/>
      <c r="J33" s="417"/>
      <c r="K33" s="417"/>
      <c r="L33" s="681"/>
      <c r="M33" s="552"/>
      <c r="N33" s="680"/>
      <c r="O33" s="680"/>
      <c r="P33" s="680"/>
      <c r="Q33" s="680"/>
      <c r="R33" s="680"/>
      <c r="S33" s="680"/>
      <c r="T33" s="680"/>
      <c r="U33" s="680"/>
      <c r="V33" s="680"/>
      <c r="W33" s="680"/>
      <c r="X33" s="680"/>
      <c r="Y33" s="680"/>
      <c r="Z33" s="680"/>
      <c r="AA33" s="680"/>
      <c r="AB33" s="680"/>
      <c r="AC33" s="680"/>
      <c r="AD33" s="680"/>
      <c r="AE33" s="680"/>
      <c r="AF33" s="680"/>
      <c r="AG33" s="680"/>
      <c r="AH33" s="680"/>
      <c r="AI33" s="680"/>
      <c r="AJ33" s="680"/>
      <c r="AK33" s="680"/>
      <c r="AL33" s="680"/>
      <c r="AM33" s="680"/>
      <c r="AN33" s="680"/>
      <c r="AO33" s="680"/>
      <c r="AP33" s="680"/>
      <c r="AQ33" s="680"/>
      <c r="AR33" s="680"/>
      <c r="AS33" s="680"/>
      <c r="AT33" s="680"/>
      <c r="AU33" s="680"/>
      <c r="AV33" s="680"/>
      <c r="AW33" s="680"/>
      <c r="AX33" s="680"/>
      <c r="AY33" s="680"/>
      <c r="AZ33" s="680"/>
      <c r="BA33" s="680"/>
      <c r="BB33" s="680"/>
      <c r="BC33" s="680"/>
      <c r="BD33" s="680"/>
      <c r="BE33" s="680"/>
      <c r="BF33" s="680"/>
      <c r="BG33" s="680"/>
      <c r="BH33" s="680"/>
      <c r="BI33" s="680"/>
      <c r="BJ33" s="680"/>
      <c r="BK33" s="680"/>
      <c r="BL33" s="680"/>
      <c r="BM33" s="680"/>
      <c r="BN33" s="680"/>
      <c r="BO33" s="680"/>
      <c r="BP33" s="680"/>
      <c r="BQ33" s="680"/>
      <c r="BR33" s="680"/>
      <c r="BS33" s="680"/>
      <c r="BT33" s="680"/>
      <c r="BU33" s="680"/>
      <c r="BV33" s="680"/>
      <c r="BW33" s="680"/>
      <c r="BX33" s="680"/>
      <c r="BY33" s="680"/>
      <c r="BZ33" s="680"/>
      <c r="CA33" s="680"/>
      <c r="CB33" s="680"/>
      <c r="CC33" s="680"/>
      <c r="CD33" s="680"/>
      <c r="CE33" s="680"/>
      <c r="CF33" s="680"/>
      <c r="CG33" s="680"/>
      <c r="CH33" s="680"/>
      <c r="CI33" s="680"/>
      <c r="CJ33" s="680"/>
      <c r="CK33" s="680"/>
      <c r="CL33" s="680"/>
      <c r="CM33" s="680"/>
      <c r="CN33" s="680"/>
      <c r="CO33" s="680"/>
      <c r="CP33" s="680"/>
      <c r="CQ33" s="680"/>
      <c r="CR33" s="680"/>
      <c r="CS33" s="680"/>
      <c r="CT33" s="680"/>
      <c r="CU33" s="680"/>
      <c r="CV33" s="680"/>
      <c r="CW33" s="680"/>
      <c r="CX33" s="680"/>
      <c r="CY33" s="680"/>
      <c r="CZ33" s="680"/>
      <c r="DA33" s="680"/>
      <c r="DB33" s="680"/>
      <c r="DC33" s="680"/>
      <c r="DD33" s="680"/>
      <c r="DE33" s="680"/>
      <c r="DF33" s="680"/>
      <c r="DG33" s="680"/>
      <c r="DH33" s="680"/>
      <c r="DI33" s="680"/>
      <c r="DJ33" s="680"/>
      <c r="DK33" s="680"/>
      <c r="DL33" s="680"/>
      <c r="DM33" s="680"/>
      <c r="DN33" s="680"/>
      <c r="DO33" s="680"/>
      <c r="DP33" s="680"/>
      <c r="DQ33" s="680"/>
      <c r="DR33" s="680"/>
      <c r="DS33" s="680"/>
      <c r="DT33" s="680"/>
      <c r="DU33" s="680"/>
      <c r="DV33" s="680"/>
      <c r="DW33" s="680"/>
      <c r="DX33" s="680"/>
      <c r="DY33" s="680"/>
      <c r="DZ33" s="680"/>
      <c r="EA33" s="680"/>
      <c r="EB33" s="680"/>
      <c r="EC33" s="680"/>
      <c r="ED33" s="680"/>
      <c r="EE33" s="680"/>
      <c r="EF33" s="680"/>
      <c r="EG33" s="680"/>
      <c r="EH33" s="680"/>
      <c r="EI33" s="680"/>
      <c r="EJ33" s="680"/>
      <c r="EK33" s="680"/>
      <c r="EL33" s="680"/>
      <c r="EM33" s="680"/>
      <c r="EN33" s="680"/>
      <c r="EO33" s="680"/>
      <c r="EP33" s="680"/>
      <c r="EQ33" s="680"/>
      <c r="ER33" s="680"/>
      <c r="ES33" s="680"/>
      <c r="ET33" s="680"/>
      <c r="EU33" s="680"/>
      <c r="EV33" s="680"/>
      <c r="EW33" s="680"/>
    </row>
    <row r="34" spans="1:153" s="663" customFormat="1" ht="13.5">
      <c r="A34" s="983">
        <v>5</v>
      </c>
      <c r="B34" s="563" t="s">
        <v>189</v>
      </c>
      <c r="C34" s="510" t="s">
        <v>527</v>
      </c>
      <c r="D34" s="983" t="s">
        <v>98</v>
      </c>
      <c r="E34" s="686"/>
      <c r="F34" s="526">
        <v>1</v>
      </c>
      <c r="G34" s="983"/>
      <c r="H34" s="983"/>
      <c r="I34" s="526"/>
      <c r="J34" s="983"/>
      <c r="K34" s="983"/>
      <c r="L34" s="983"/>
      <c r="M34" s="526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  <c r="AM34" s="680"/>
      <c r="AN34" s="680"/>
      <c r="AO34" s="680"/>
      <c r="AP34" s="680"/>
      <c r="AQ34" s="680"/>
      <c r="AR34" s="680"/>
      <c r="AS34" s="680"/>
      <c r="AT34" s="680"/>
      <c r="AU34" s="680"/>
      <c r="AV34" s="680"/>
      <c r="AW34" s="680"/>
      <c r="AX34" s="680"/>
      <c r="AY34" s="680"/>
      <c r="AZ34" s="680"/>
      <c r="BA34" s="680"/>
      <c r="BB34" s="680"/>
      <c r="BC34" s="680"/>
      <c r="BD34" s="680"/>
      <c r="BE34" s="680"/>
      <c r="BF34" s="680"/>
      <c r="BG34" s="680"/>
      <c r="BH34" s="680"/>
      <c r="BI34" s="680"/>
      <c r="BJ34" s="680"/>
      <c r="BK34" s="680"/>
      <c r="BL34" s="680"/>
      <c r="BM34" s="680"/>
      <c r="BN34" s="680"/>
      <c r="BO34" s="680"/>
      <c r="BP34" s="680"/>
      <c r="BQ34" s="680"/>
      <c r="BR34" s="680"/>
      <c r="BS34" s="680"/>
      <c r="BT34" s="680"/>
      <c r="BU34" s="680"/>
      <c r="BV34" s="680"/>
      <c r="BW34" s="680"/>
      <c r="BX34" s="680"/>
      <c r="BY34" s="680"/>
      <c r="BZ34" s="680"/>
      <c r="CA34" s="680"/>
      <c r="CB34" s="680"/>
      <c r="CC34" s="680"/>
      <c r="CD34" s="680"/>
      <c r="CE34" s="680"/>
      <c r="CF34" s="680"/>
      <c r="CG34" s="680"/>
      <c r="CH34" s="680"/>
      <c r="CI34" s="680"/>
      <c r="CJ34" s="680"/>
      <c r="CK34" s="680"/>
      <c r="CL34" s="680"/>
      <c r="CM34" s="680"/>
      <c r="CN34" s="680"/>
      <c r="CO34" s="680"/>
      <c r="CP34" s="680"/>
      <c r="CQ34" s="680"/>
      <c r="CR34" s="680"/>
      <c r="CS34" s="680"/>
      <c r="CT34" s="680"/>
      <c r="CU34" s="680"/>
      <c r="CV34" s="680"/>
      <c r="CW34" s="680"/>
      <c r="CX34" s="680"/>
      <c r="CY34" s="680"/>
      <c r="CZ34" s="680"/>
      <c r="DA34" s="680"/>
      <c r="DB34" s="680"/>
      <c r="DC34" s="680"/>
      <c r="DD34" s="680"/>
      <c r="DE34" s="680"/>
      <c r="DF34" s="680"/>
      <c r="DG34" s="680"/>
      <c r="DH34" s="680"/>
      <c r="DI34" s="680"/>
      <c r="DJ34" s="680"/>
      <c r="DK34" s="680"/>
      <c r="DL34" s="680"/>
      <c r="DM34" s="680"/>
      <c r="DN34" s="680"/>
      <c r="DO34" s="680"/>
      <c r="DP34" s="680"/>
      <c r="DQ34" s="680"/>
      <c r="DR34" s="680"/>
      <c r="DS34" s="680"/>
      <c r="DT34" s="680"/>
      <c r="DU34" s="680"/>
      <c r="DV34" s="680"/>
      <c r="DW34" s="680"/>
      <c r="DX34" s="680"/>
      <c r="DY34" s="680"/>
      <c r="DZ34" s="680"/>
      <c r="EA34" s="680"/>
      <c r="EB34" s="680"/>
      <c r="EC34" s="680"/>
      <c r="ED34" s="680"/>
      <c r="EE34" s="680"/>
      <c r="EF34" s="680"/>
      <c r="EG34" s="680"/>
      <c r="EH34" s="680"/>
      <c r="EI34" s="680"/>
      <c r="EJ34" s="680"/>
      <c r="EK34" s="680"/>
      <c r="EL34" s="680"/>
      <c r="EM34" s="680"/>
      <c r="EN34" s="680"/>
      <c r="EO34" s="680"/>
      <c r="EP34" s="680"/>
      <c r="EQ34" s="680"/>
      <c r="ER34" s="680"/>
      <c r="ES34" s="680"/>
      <c r="ET34" s="680"/>
      <c r="EU34" s="680"/>
      <c r="EV34" s="680"/>
      <c r="EW34" s="680"/>
    </row>
    <row r="35" spans="1:153" s="663" customFormat="1" ht="13.5">
      <c r="A35" s="983"/>
      <c r="B35" s="563"/>
      <c r="C35" s="687" t="s">
        <v>265</v>
      </c>
      <c r="D35" s="985" t="s">
        <v>102</v>
      </c>
      <c r="E35" s="688">
        <v>7.33</v>
      </c>
      <c r="F35" s="386">
        <f>F34*E35</f>
        <v>7.33</v>
      </c>
      <c r="G35" s="985"/>
      <c r="H35" s="689"/>
      <c r="I35" s="690"/>
      <c r="J35" s="386"/>
      <c r="K35" s="985"/>
      <c r="L35" s="985"/>
      <c r="M35" s="386"/>
      <c r="N35" s="680"/>
      <c r="O35" s="680"/>
      <c r="P35" s="680"/>
      <c r="Q35" s="680"/>
      <c r="R35" s="680"/>
      <c r="S35" s="680"/>
      <c r="T35" s="680"/>
      <c r="U35" s="680"/>
      <c r="V35" s="680"/>
      <c r="W35" s="680"/>
      <c r="X35" s="680"/>
      <c r="Y35" s="680"/>
      <c r="Z35" s="680"/>
      <c r="AA35" s="680"/>
      <c r="AB35" s="680"/>
      <c r="AC35" s="680"/>
      <c r="AD35" s="680"/>
      <c r="AE35" s="680"/>
      <c r="AF35" s="680"/>
      <c r="AG35" s="680"/>
      <c r="AH35" s="680"/>
      <c r="AI35" s="680"/>
      <c r="AJ35" s="680"/>
      <c r="AK35" s="680"/>
      <c r="AL35" s="680"/>
      <c r="AM35" s="680"/>
      <c r="AN35" s="680"/>
      <c r="AO35" s="680"/>
      <c r="AP35" s="680"/>
      <c r="AQ35" s="680"/>
      <c r="AR35" s="680"/>
      <c r="AS35" s="680"/>
      <c r="AT35" s="680"/>
      <c r="AU35" s="680"/>
      <c r="AV35" s="680"/>
      <c r="AW35" s="680"/>
      <c r="AX35" s="680"/>
      <c r="AY35" s="680"/>
      <c r="AZ35" s="680"/>
      <c r="BA35" s="680"/>
      <c r="BB35" s="680"/>
      <c r="BC35" s="680"/>
      <c r="BD35" s="680"/>
      <c r="BE35" s="680"/>
      <c r="BF35" s="680"/>
      <c r="BG35" s="680"/>
      <c r="BH35" s="680"/>
      <c r="BI35" s="680"/>
      <c r="BJ35" s="680"/>
      <c r="BK35" s="680"/>
      <c r="BL35" s="680"/>
      <c r="BM35" s="680"/>
      <c r="BN35" s="680"/>
      <c r="BO35" s="680"/>
      <c r="BP35" s="680"/>
      <c r="BQ35" s="680"/>
      <c r="BR35" s="680"/>
      <c r="BS35" s="680"/>
      <c r="BT35" s="680"/>
      <c r="BU35" s="680"/>
      <c r="BV35" s="680"/>
      <c r="BW35" s="680"/>
      <c r="BX35" s="680"/>
      <c r="BY35" s="680"/>
      <c r="BZ35" s="680"/>
      <c r="CA35" s="680"/>
      <c r="CB35" s="680"/>
      <c r="CC35" s="680"/>
      <c r="CD35" s="680"/>
      <c r="CE35" s="680"/>
      <c r="CF35" s="680"/>
      <c r="CG35" s="680"/>
      <c r="CH35" s="680"/>
      <c r="CI35" s="680"/>
      <c r="CJ35" s="680"/>
      <c r="CK35" s="680"/>
      <c r="CL35" s="680"/>
      <c r="CM35" s="680"/>
      <c r="CN35" s="680"/>
      <c r="CO35" s="680"/>
      <c r="CP35" s="680"/>
      <c r="CQ35" s="680"/>
      <c r="CR35" s="680"/>
      <c r="CS35" s="680"/>
      <c r="CT35" s="680"/>
      <c r="CU35" s="680"/>
      <c r="CV35" s="680"/>
      <c r="CW35" s="680"/>
      <c r="CX35" s="680"/>
      <c r="CY35" s="680"/>
      <c r="CZ35" s="680"/>
      <c r="DA35" s="680"/>
      <c r="DB35" s="680"/>
      <c r="DC35" s="680"/>
      <c r="DD35" s="680"/>
      <c r="DE35" s="680"/>
      <c r="DF35" s="680"/>
      <c r="DG35" s="680"/>
      <c r="DH35" s="680"/>
      <c r="DI35" s="680"/>
      <c r="DJ35" s="680"/>
      <c r="DK35" s="680"/>
      <c r="DL35" s="680"/>
      <c r="DM35" s="680"/>
      <c r="DN35" s="680"/>
      <c r="DO35" s="680"/>
      <c r="DP35" s="680"/>
      <c r="DQ35" s="680"/>
      <c r="DR35" s="680"/>
      <c r="DS35" s="680"/>
      <c r="DT35" s="680"/>
      <c r="DU35" s="680"/>
      <c r="DV35" s="680"/>
      <c r="DW35" s="680"/>
      <c r="DX35" s="680"/>
      <c r="DY35" s="680"/>
      <c r="DZ35" s="680"/>
      <c r="EA35" s="680"/>
      <c r="EB35" s="680"/>
      <c r="EC35" s="680"/>
      <c r="ED35" s="680"/>
      <c r="EE35" s="680"/>
      <c r="EF35" s="680"/>
      <c r="EG35" s="680"/>
      <c r="EH35" s="680"/>
      <c r="EI35" s="680"/>
      <c r="EJ35" s="680"/>
      <c r="EK35" s="680"/>
      <c r="EL35" s="680"/>
      <c r="EM35" s="680"/>
      <c r="EN35" s="680"/>
      <c r="EO35" s="680"/>
      <c r="EP35" s="680"/>
      <c r="EQ35" s="680"/>
      <c r="ER35" s="680"/>
      <c r="ES35" s="680"/>
      <c r="ET35" s="680"/>
      <c r="EU35" s="680"/>
      <c r="EV35" s="680"/>
      <c r="EW35" s="680"/>
    </row>
    <row r="36" spans="1:153" s="663" customFormat="1" ht="13.5">
      <c r="A36" s="983"/>
      <c r="B36" s="687"/>
      <c r="C36" s="687" t="s">
        <v>191</v>
      </c>
      <c r="D36" s="691" t="s">
        <v>16</v>
      </c>
      <c r="E36" s="688">
        <v>0.11</v>
      </c>
      <c r="F36" s="386">
        <f>E36*F34</f>
        <v>0.11</v>
      </c>
      <c r="G36" s="985"/>
      <c r="H36" s="689"/>
      <c r="I36" s="386"/>
      <c r="J36" s="985"/>
      <c r="K36" s="386"/>
      <c r="L36" s="386"/>
      <c r="M36" s="386"/>
      <c r="N36" s="680"/>
      <c r="O36" s="680"/>
      <c r="P36" s="680"/>
      <c r="Q36" s="680"/>
      <c r="R36" s="680"/>
      <c r="S36" s="680"/>
      <c r="T36" s="680"/>
      <c r="U36" s="680"/>
      <c r="V36" s="680"/>
      <c r="W36" s="680"/>
      <c r="X36" s="680"/>
      <c r="Y36" s="680"/>
      <c r="Z36" s="680"/>
      <c r="AA36" s="680"/>
      <c r="AB36" s="680"/>
      <c r="AC36" s="680"/>
      <c r="AD36" s="680"/>
      <c r="AE36" s="680"/>
      <c r="AF36" s="680"/>
      <c r="AG36" s="680"/>
      <c r="AH36" s="680"/>
      <c r="AI36" s="680"/>
      <c r="AJ36" s="680"/>
      <c r="AK36" s="680"/>
      <c r="AL36" s="680"/>
      <c r="AM36" s="680"/>
      <c r="AN36" s="680"/>
      <c r="AO36" s="680"/>
      <c r="AP36" s="680"/>
      <c r="AQ36" s="680"/>
      <c r="AR36" s="680"/>
      <c r="AS36" s="680"/>
      <c r="AT36" s="680"/>
      <c r="AU36" s="680"/>
      <c r="AV36" s="680"/>
      <c r="AW36" s="680"/>
      <c r="AX36" s="680"/>
      <c r="AY36" s="680"/>
      <c r="AZ36" s="680"/>
      <c r="BA36" s="680"/>
      <c r="BB36" s="680"/>
      <c r="BC36" s="680"/>
      <c r="BD36" s="680"/>
      <c r="BE36" s="680"/>
      <c r="BF36" s="680"/>
      <c r="BG36" s="680"/>
      <c r="BH36" s="680"/>
      <c r="BI36" s="680"/>
      <c r="BJ36" s="680"/>
      <c r="BK36" s="680"/>
      <c r="BL36" s="680"/>
      <c r="BM36" s="680"/>
      <c r="BN36" s="680"/>
      <c r="BO36" s="680"/>
      <c r="BP36" s="680"/>
      <c r="BQ36" s="680"/>
      <c r="BR36" s="680"/>
      <c r="BS36" s="680"/>
      <c r="BT36" s="680"/>
      <c r="BU36" s="680"/>
      <c r="BV36" s="680"/>
      <c r="BW36" s="680"/>
      <c r="BX36" s="680"/>
      <c r="BY36" s="680"/>
      <c r="BZ36" s="680"/>
      <c r="CA36" s="680"/>
      <c r="CB36" s="680"/>
      <c r="CC36" s="680"/>
      <c r="CD36" s="680"/>
      <c r="CE36" s="680"/>
      <c r="CF36" s="680"/>
      <c r="CG36" s="680"/>
      <c r="CH36" s="680"/>
      <c r="CI36" s="680"/>
      <c r="CJ36" s="680"/>
      <c r="CK36" s="680"/>
      <c r="CL36" s="680"/>
      <c r="CM36" s="680"/>
      <c r="CN36" s="680"/>
      <c r="CO36" s="680"/>
      <c r="CP36" s="680"/>
      <c r="CQ36" s="680"/>
      <c r="CR36" s="680"/>
      <c r="CS36" s="680"/>
      <c r="CT36" s="680"/>
      <c r="CU36" s="680"/>
      <c r="CV36" s="680"/>
      <c r="CW36" s="680"/>
      <c r="CX36" s="680"/>
      <c r="CY36" s="680"/>
      <c r="CZ36" s="680"/>
      <c r="DA36" s="680"/>
      <c r="DB36" s="680"/>
      <c r="DC36" s="680"/>
      <c r="DD36" s="680"/>
      <c r="DE36" s="680"/>
      <c r="DF36" s="680"/>
      <c r="DG36" s="680"/>
      <c r="DH36" s="680"/>
      <c r="DI36" s="680"/>
      <c r="DJ36" s="680"/>
      <c r="DK36" s="680"/>
      <c r="DL36" s="680"/>
      <c r="DM36" s="680"/>
      <c r="DN36" s="680"/>
      <c r="DO36" s="680"/>
      <c r="DP36" s="680"/>
      <c r="DQ36" s="680"/>
      <c r="DR36" s="680"/>
      <c r="DS36" s="680"/>
      <c r="DT36" s="680"/>
      <c r="DU36" s="680"/>
      <c r="DV36" s="680"/>
      <c r="DW36" s="680"/>
      <c r="DX36" s="680"/>
      <c r="DY36" s="680"/>
      <c r="DZ36" s="680"/>
      <c r="EA36" s="680"/>
      <c r="EB36" s="680"/>
      <c r="EC36" s="680"/>
      <c r="ED36" s="680"/>
      <c r="EE36" s="680"/>
      <c r="EF36" s="680"/>
      <c r="EG36" s="680"/>
      <c r="EH36" s="680"/>
      <c r="EI36" s="680"/>
      <c r="EJ36" s="680"/>
      <c r="EK36" s="680"/>
      <c r="EL36" s="680"/>
      <c r="EM36" s="680"/>
      <c r="EN36" s="680"/>
      <c r="EO36" s="680"/>
      <c r="EP36" s="680"/>
      <c r="EQ36" s="680"/>
      <c r="ER36" s="680"/>
      <c r="ES36" s="680"/>
      <c r="ET36" s="680"/>
      <c r="EU36" s="680"/>
      <c r="EV36" s="680"/>
      <c r="EW36" s="680"/>
    </row>
    <row r="37" spans="1:153" s="663" customFormat="1" ht="13.5">
      <c r="A37" s="664"/>
      <c r="B37" s="397" t="s">
        <v>505</v>
      </c>
      <c r="C37" s="541" t="s">
        <v>525</v>
      </c>
      <c r="D37" s="494" t="s">
        <v>103</v>
      </c>
      <c r="E37" s="985" t="s">
        <v>176</v>
      </c>
      <c r="F37" s="388">
        <f>(7.26+9.2)/1000</f>
        <v>1.6460000000000002E-2</v>
      </c>
      <c r="G37" s="389"/>
      <c r="H37" s="389"/>
      <c r="I37" s="545"/>
      <c r="J37" s="989"/>
      <c r="K37" s="400"/>
      <c r="L37" s="400"/>
      <c r="M37" s="386"/>
      <c r="N37" s="680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680"/>
      <c r="AD37" s="680"/>
      <c r="AE37" s="680"/>
      <c r="AF37" s="680"/>
      <c r="AG37" s="680"/>
      <c r="AH37" s="680"/>
      <c r="AI37" s="680"/>
      <c r="AJ37" s="680"/>
      <c r="AK37" s="680"/>
      <c r="AL37" s="680"/>
      <c r="AM37" s="680"/>
      <c r="AN37" s="680"/>
      <c r="AO37" s="680"/>
      <c r="AP37" s="680"/>
      <c r="AQ37" s="680"/>
      <c r="AR37" s="680"/>
      <c r="AS37" s="680"/>
      <c r="AT37" s="680"/>
      <c r="AU37" s="680"/>
      <c r="AV37" s="680"/>
      <c r="AW37" s="680"/>
      <c r="AX37" s="680"/>
      <c r="AY37" s="680"/>
      <c r="AZ37" s="680"/>
      <c r="BA37" s="680"/>
      <c r="BB37" s="680"/>
      <c r="BC37" s="680"/>
      <c r="BD37" s="680"/>
      <c r="BE37" s="680"/>
      <c r="BF37" s="680"/>
      <c r="BG37" s="680"/>
      <c r="BH37" s="680"/>
      <c r="BI37" s="680"/>
      <c r="BJ37" s="680"/>
      <c r="BK37" s="680"/>
      <c r="BL37" s="680"/>
      <c r="BM37" s="680"/>
      <c r="BN37" s="680"/>
      <c r="BO37" s="680"/>
      <c r="BP37" s="680"/>
      <c r="BQ37" s="680"/>
      <c r="BR37" s="680"/>
      <c r="BS37" s="680"/>
      <c r="BT37" s="680"/>
      <c r="BU37" s="680"/>
      <c r="BV37" s="680"/>
      <c r="BW37" s="680"/>
      <c r="BX37" s="680"/>
      <c r="BY37" s="680"/>
      <c r="BZ37" s="680"/>
      <c r="CA37" s="680"/>
      <c r="CB37" s="680"/>
      <c r="CC37" s="680"/>
      <c r="CD37" s="680"/>
      <c r="CE37" s="680"/>
      <c r="CF37" s="680"/>
      <c r="CG37" s="680"/>
      <c r="CH37" s="680"/>
      <c r="CI37" s="680"/>
      <c r="CJ37" s="680"/>
      <c r="CK37" s="680"/>
      <c r="CL37" s="680"/>
      <c r="CM37" s="680"/>
      <c r="CN37" s="680"/>
      <c r="CO37" s="680"/>
      <c r="CP37" s="680"/>
      <c r="CQ37" s="680"/>
      <c r="CR37" s="680"/>
      <c r="CS37" s="680"/>
      <c r="CT37" s="680"/>
      <c r="CU37" s="680"/>
      <c r="CV37" s="680"/>
      <c r="CW37" s="680"/>
      <c r="CX37" s="680"/>
      <c r="CY37" s="680"/>
      <c r="CZ37" s="680"/>
      <c r="DA37" s="680"/>
      <c r="DB37" s="680"/>
      <c r="DC37" s="680"/>
      <c r="DD37" s="680"/>
      <c r="DE37" s="680"/>
      <c r="DF37" s="680"/>
      <c r="DG37" s="680"/>
      <c r="DH37" s="680"/>
      <c r="DI37" s="680"/>
      <c r="DJ37" s="680"/>
      <c r="DK37" s="680"/>
      <c r="DL37" s="680"/>
      <c r="DM37" s="680"/>
      <c r="DN37" s="680"/>
      <c r="DO37" s="680"/>
      <c r="DP37" s="680"/>
      <c r="DQ37" s="680"/>
      <c r="DR37" s="680"/>
      <c r="DS37" s="680"/>
      <c r="DT37" s="680"/>
      <c r="DU37" s="680"/>
      <c r="DV37" s="680"/>
      <c r="DW37" s="680"/>
      <c r="DX37" s="680"/>
      <c r="DY37" s="680"/>
      <c r="DZ37" s="680"/>
      <c r="EA37" s="680"/>
      <c r="EB37" s="680"/>
      <c r="EC37" s="680"/>
      <c r="ED37" s="680"/>
      <c r="EE37" s="680"/>
      <c r="EF37" s="680"/>
      <c r="EG37" s="680"/>
      <c r="EH37" s="680"/>
      <c r="EI37" s="680"/>
      <c r="EJ37" s="680"/>
      <c r="EK37" s="680"/>
      <c r="EL37" s="680"/>
      <c r="EM37" s="680"/>
      <c r="EN37" s="680"/>
      <c r="EO37" s="680"/>
      <c r="EP37" s="680"/>
      <c r="EQ37" s="680"/>
      <c r="ER37" s="680"/>
      <c r="ES37" s="680"/>
      <c r="ET37" s="680"/>
      <c r="EU37" s="680"/>
      <c r="EV37" s="680"/>
      <c r="EW37" s="680"/>
    </row>
    <row r="38" spans="1:153" s="663" customFormat="1" ht="13.5">
      <c r="A38" s="989"/>
      <c r="B38" s="463" t="s">
        <v>739</v>
      </c>
      <c r="C38" s="541" t="s">
        <v>266</v>
      </c>
      <c r="D38" s="494" t="s">
        <v>103</v>
      </c>
      <c r="E38" s="985" t="s">
        <v>176</v>
      </c>
      <c r="F38" s="692">
        <v>1E-3</v>
      </c>
      <c r="G38" s="400"/>
      <c r="H38" s="389"/>
      <c r="I38" s="545"/>
      <c r="J38" s="989"/>
      <c r="K38" s="400"/>
      <c r="L38" s="400"/>
      <c r="M38" s="386"/>
      <c r="N38" s="680"/>
      <c r="O38" s="680"/>
      <c r="P38" s="680"/>
      <c r="Q38" s="680"/>
      <c r="R38" s="680"/>
      <c r="S38" s="680"/>
      <c r="T38" s="680"/>
      <c r="U38" s="680"/>
      <c r="V38" s="680"/>
      <c r="W38" s="680"/>
      <c r="X38" s="680"/>
      <c r="Y38" s="680"/>
      <c r="Z38" s="680"/>
      <c r="AA38" s="680"/>
      <c r="AB38" s="680"/>
      <c r="AC38" s="680"/>
      <c r="AD38" s="680"/>
      <c r="AE38" s="680"/>
      <c r="AF38" s="680"/>
      <c r="AG38" s="680"/>
      <c r="AH38" s="680"/>
      <c r="AI38" s="680"/>
      <c r="AJ38" s="680"/>
      <c r="AK38" s="680"/>
      <c r="AL38" s="680"/>
      <c r="AM38" s="680"/>
      <c r="AN38" s="680"/>
      <c r="AO38" s="680"/>
      <c r="AP38" s="680"/>
      <c r="AQ38" s="680"/>
      <c r="AR38" s="680"/>
      <c r="AS38" s="680"/>
      <c r="AT38" s="680"/>
      <c r="AU38" s="680"/>
      <c r="AV38" s="680"/>
      <c r="AW38" s="680"/>
      <c r="AX38" s="680"/>
      <c r="AY38" s="680"/>
      <c r="AZ38" s="680"/>
      <c r="BA38" s="680"/>
      <c r="BB38" s="680"/>
      <c r="BC38" s="680"/>
      <c r="BD38" s="680"/>
      <c r="BE38" s="680"/>
      <c r="BF38" s="680"/>
      <c r="BG38" s="680"/>
      <c r="BH38" s="680"/>
      <c r="BI38" s="680"/>
      <c r="BJ38" s="680"/>
      <c r="BK38" s="680"/>
      <c r="BL38" s="680"/>
      <c r="BM38" s="680"/>
      <c r="BN38" s="680"/>
      <c r="BO38" s="680"/>
      <c r="BP38" s="680"/>
      <c r="BQ38" s="680"/>
      <c r="BR38" s="680"/>
      <c r="BS38" s="680"/>
      <c r="BT38" s="680"/>
      <c r="BU38" s="680"/>
      <c r="BV38" s="680"/>
      <c r="BW38" s="680"/>
      <c r="BX38" s="680"/>
      <c r="BY38" s="680"/>
      <c r="BZ38" s="680"/>
      <c r="CA38" s="680"/>
      <c r="CB38" s="680"/>
      <c r="CC38" s="680"/>
      <c r="CD38" s="680"/>
      <c r="CE38" s="680"/>
      <c r="CF38" s="680"/>
      <c r="CG38" s="680"/>
      <c r="CH38" s="680"/>
      <c r="CI38" s="680"/>
      <c r="CJ38" s="680"/>
      <c r="CK38" s="680"/>
      <c r="CL38" s="680"/>
      <c r="CM38" s="680"/>
      <c r="CN38" s="680"/>
      <c r="CO38" s="680"/>
      <c r="CP38" s="680"/>
      <c r="CQ38" s="680"/>
      <c r="CR38" s="680"/>
      <c r="CS38" s="680"/>
      <c r="CT38" s="680"/>
      <c r="CU38" s="680"/>
      <c r="CV38" s="680"/>
      <c r="CW38" s="680"/>
      <c r="CX38" s="680"/>
      <c r="CY38" s="680"/>
      <c r="CZ38" s="680"/>
      <c r="DA38" s="680"/>
      <c r="DB38" s="680"/>
      <c r="DC38" s="680"/>
      <c r="DD38" s="680"/>
      <c r="DE38" s="680"/>
      <c r="DF38" s="680"/>
      <c r="DG38" s="680"/>
      <c r="DH38" s="680"/>
      <c r="DI38" s="680"/>
      <c r="DJ38" s="680"/>
      <c r="DK38" s="680"/>
      <c r="DL38" s="680"/>
      <c r="DM38" s="680"/>
      <c r="DN38" s="680"/>
      <c r="DO38" s="680"/>
      <c r="DP38" s="680"/>
      <c r="DQ38" s="680"/>
      <c r="DR38" s="680"/>
      <c r="DS38" s="680"/>
      <c r="DT38" s="680"/>
      <c r="DU38" s="680"/>
      <c r="DV38" s="680"/>
      <c r="DW38" s="680"/>
      <c r="DX38" s="680"/>
      <c r="DY38" s="680"/>
      <c r="DZ38" s="680"/>
      <c r="EA38" s="680"/>
      <c r="EB38" s="680"/>
      <c r="EC38" s="680"/>
      <c r="ED38" s="680"/>
      <c r="EE38" s="680"/>
      <c r="EF38" s="680"/>
      <c r="EG38" s="680"/>
      <c r="EH38" s="680"/>
      <c r="EI38" s="680"/>
      <c r="EJ38" s="680"/>
      <c r="EK38" s="680"/>
      <c r="EL38" s="680"/>
      <c r="EM38" s="680"/>
      <c r="EN38" s="680"/>
      <c r="EO38" s="680"/>
      <c r="EP38" s="680"/>
      <c r="EQ38" s="680"/>
      <c r="ER38" s="680"/>
      <c r="ES38" s="680"/>
      <c r="ET38" s="680"/>
      <c r="EU38" s="680"/>
      <c r="EV38" s="680"/>
      <c r="EW38" s="680"/>
    </row>
    <row r="39" spans="1:153" s="663" customFormat="1" ht="13.5">
      <c r="A39" s="989"/>
      <c r="B39" s="397" t="s">
        <v>520</v>
      </c>
      <c r="C39" s="541" t="s">
        <v>187</v>
      </c>
      <c r="D39" s="494" t="s">
        <v>103</v>
      </c>
      <c r="E39" s="985" t="s">
        <v>176</v>
      </c>
      <c r="F39" s="692">
        <f>(0.63+0.81)/1000</f>
        <v>1.4399999999999999E-3</v>
      </c>
      <c r="G39" s="389"/>
      <c r="H39" s="389"/>
      <c r="I39" s="545"/>
      <c r="J39" s="989"/>
      <c r="K39" s="400"/>
      <c r="L39" s="400"/>
      <c r="M39" s="386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  <c r="Y39" s="680"/>
      <c r="Z39" s="680"/>
      <c r="AA39" s="680"/>
      <c r="AB39" s="680"/>
      <c r="AC39" s="680"/>
      <c r="AD39" s="680"/>
      <c r="AE39" s="680"/>
      <c r="AF39" s="680"/>
      <c r="AG39" s="680"/>
      <c r="AH39" s="680"/>
      <c r="AI39" s="680"/>
      <c r="AJ39" s="680"/>
      <c r="AK39" s="680"/>
      <c r="AL39" s="680"/>
      <c r="AM39" s="680"/>
      <c r="AN39" s="680"/>
      <c r="AO39" s="680"/>
      <c r="AP39" s="680"/>
      <c r="AQ39" s="680"/>
      <c r="AR39" s="680"/>
      <c r="AS39" s="680"/>
      <c r="AT39" s="680"/>
      <c r="AU39" s="680"/>
      <c r="AV39" s="680"/>
      <c r="AW39" s="680"/>
      <c r="AX39" s="680"/>
      <c r="AY39" s="680"/>
      <c r="AZ39" s="680"/>
      <c r="BA39" s="680"/>
      <c r="BB39" s="680"/>
      <c r="BC39" s="680"/>
      <c r="BD39" s="680"/>
      <c r="BE39" s="680"/>
      <c r="BF39" s="680"/>
      <c r="BG39" s="680"/>
      <c r="BH39" s="680"/>
      <c r="BI39" s="680"/>
      <c r="BJ39" s="680"/>
      <c r="BK39" s="680"/>
      <c r="BL39" s="680"/>
      <c r="BM39" s="680"/>
      <c r="BN39" s="680"/>
      <c r="BO39" s="680"/>
      <c r="BP39" s="680"/>
      <c r="BQ39" s="680"/>
      <c r="BR39" s="680"/>
      <c r="BS39" s="680"/>
      <c r="BT39" s="680"/>
      <c r="BU39" s="680"/>
      <c r="BV39" s="680"/>
      <c r="BW39" s="680"/>
      <c r="BX39" s="680"/>
      <c r="BY39" s="680"/>
      <c r="BZ39" s="680"/>
      <c r="CA39" s="680"/>
      <c r="CB39" s="680"/>
      <c r="CC39" s="680"/>
      <c r="CD39" s="680"/>
      <c r="CE39" s="680"/>
      <c r="CF39" s="680"/>
      <c r="CG39" s="680"/>
      <c r="CH39" s="680"/>
      <c r="CI39" s="680"/>
      <c r="CJ39" s="680"/>
      <c r="CK39" s="680"/>
      <c r="CL39" s="680"/>
      <c r="CM39" s="680"/>
      <c r="CN39" s="680"/>
      <c r="CO39" s="680"/>
      <c r="CP39" s="680"/>
      <c r="CQ39" s="680"/>
      <c r="CR39" s="680"/>
      <c r="CS39" s="680"/>
      <c r="CT39" s="680"/>
      <c r="CU39" s="680"/>
      <c r="CV39" s="680"/>
      <c r="CW39" s="680"/>
      <c r="CX39" s="680"/>
      <c r="CY39" s="680"/>
      <c r="CZ39" s="680"/>
      <c r="DA39" s="680"/>
      <c r="DB39" s="680"/>
      <c r="DC39" s="680"/>
      <c r="DD39" s="680"/>
      <c r="DE39" s="680"/>
      <c r="DF39" s="680"/>
      <c r="DG39" s="680"/>
      <c r="DH39" s="680"/>
      <c r="DI39" s="680"/>
      <c r="DJ39" s="680"/>
      <c r="DK39" s="680"/>
      <c r="DL39" s="680"/>
      <c r="DM39" s="680"/>
      <c r="DN39" s="680"/>
      <c r="DO39" s="680"/>
      <c r="DP39" s="680"/>
      <c r="DQ39" s="680"/>
      <c r="DR39" s="680"/>
      <c r="DS39" s="680"/>
      <c r="DT39" s="680"/>
      <c r="DU39" s="680"/>
      <c r="DV39" s="680"/>
      <c r="DW39" s="680"/>
      <c r="DX39" s="680"/>
      <c r="DY39" s="680"/>
      <c r="DZ39" s="680"/>
      <c r="EA39" s="680"/>
      <c r="EB39" s="680"/>
      <c r="EC39" s="680"/>
      <c r="ED39" s="680"/>
      <c r="EE39" s="680"/>
      <c r="EF39" s="680"/>
      <c r="EG39" s="680"/>
      <c r="EH39" s="680"/>
      <c r="EI39" s="680"/>
      <c r="EJ39" s="680"/>
      <c r="EK39" s="680"/>
      <c r="EL39" s="680"/>
      <c r="EM39" s="680"/>
      <c r="EN39" s="680"/>
      <c r="EO39" s="680"/>
      <c r="EP39" s="680"/>
      <c r="EQ39" s="680"/>
      <c r="ER39" s="680"/>
      <c r="ES39" s="680"/>
      <c r="ET39" s="680"/>
      <c r="EU39" s="680"/>
      <c r="EV39" s="680"/>
      <c r="EW39" s="680"/>
    </row>
    <row r="40" spans="1:153" s="663" customFormat="1" ht="13.5">
      <c r="A40" s="989"/>
      <c r="B40" s="463" t="s">
        <v>738</v>
      </c>
      <c r="C40" s="541" t="s">
        <v>521</v>
      </c>
      <c r="D40" s="494" t="s">
        <v>169</v>
      </c>
      <c r="E40" s="985" t="s">
        <v>176</v>
      </c>
      <c r="F40" s="386">
        <f>1*1.5</f>
        <v>1.5</v>
      </c>
      <c r="G40" s="400"/>
      <c r="H40" s="389"/>
      <c r="I40" s="545"/>
      <c r="J40" s="989"/>
      <c r="K40" s="400"/>
      <c r="L40" s="400"/>
      <c r="M40" s="386"/>
      <c r="N40" s="680"/>
      <c r="O40" s="680"/>
      <c r="P40" s="680"/>
      <c r="Q40" s="680"/>
      <c r="R40" s="680"/>
      <c r="S40" s="680"/>
      <c r="T40" s="680"/>
      <c r="U40" s="680"/>
      <c r="V40" s="680"/>
      <c r="W40" s="680"/>
      <c r="X40" s="680"/>
      <c r="Y40" s="680"/>
      <c r="Z40" s="680"/>
      <c r="AA40" s="680"/>
      <c r="AB40" s="680"/>
      <c r="AC40" s="680"/>
      <c r="AD40" s="680"/>
      <c r="AE40" s="680"/>
      <c r="AF40" s="680"/>
      <c r="AG40" s="680"/>
      <c r="AH40" s="680"/>
      <c r="AI40" s="680"/>
      <c r="AJ40" s="680"/>
      <c r="AK40" s="680"/>
      <c r="AL40" s="680"/>
      <c r="AM40" s="680"/>
      <c r="AN40" s="680"/>
      <c r="AO40" s="680"/>
      <c r="AP40" s="680"/>
      <c r="AQ40" s="680"/>
      <c r="AR40" s="680"/>
      <c r="AS40" s="680"/>
      <c r="AT40" s="680"/>
      <c r="AU40" s="680"/>
      <c r="AV40" s="680"/>
      <c r="AW40" s="680"/>
      <c r="AX40" s="680"/>
      <c r="AY40" s="680"/>
      <c r="AZ40" s="680"/>
      <c r="BA40" s="680"/>
      <c r="BB40" s="680"/>
      <c r="BC40" s="680"/>
      <c r="BD40" s="680"/>
      <c r="BE40" s="680"/>
      <c r="BF40" s="680"/>
      <c r="BG40" s="680"/>
      <c r="BH40" s="680"/>
      <c r="BI40" s="680"/>
      <c r="BJ40" s="680"/>
      <c r="BK40" s="680"/>
      <c r="BL40" s="680"/>
      <c r="BM40" s="680"/>
      <c r="BN40" s="680"/>
      <c r="BO40" s="680"/>
      <c r="BP40" s="680"/>
      <c r="BQ40" s="680"/>
      <c r="BR40" s="680"/>
      <c r="BS40" s="680"/>
      <c r="BT40" s="680"/>
      <c r="BU40" s="680"/>
      <c r="BV40" s="680"/>
      <c r="BW40" s="680"/>
      <c r="BX40" s="680"/>
      <c r="BY40" s="680"/>
      <c r="BZ40" s="680"/>
      <c r="CA40" s="680"/>
      <c r="CB40" s="680"/>
      <c r="CC40" s="680"/>
      <c r="CD40" s="680"/>
      <c r="CE40" s="680"/>
      <c r="CF40" s="680"/>
      <c r="CG40" s="680"/>
      <c r="CH40" s="680"/>
      <c r="CI40" s="680"/>
      <c r="CJ40" s="680"/>
      <c r="CK40" s="680"/>
      <c r="CL40" s="680"/>
      <c r="CM40" s="680"/>
      <c r="CN40" s="680"/>
      <c r="CO40" s="680"/>
      <c r="CP40" s="680"/>
      <c r="CQ40" s="680"/>
      <c r="CR40" s="680"/>
      <c r="CS40" s="680"/>
      <c r="CT40" s="680"/>
      <c r="CU40" s="680"/>
      <c r="CV40" s="680"/>
      <c r="CW40" s="680"/>
      <c r="CX40" s="680"/>
      <c r="CY40" s="680"/>
      <c r="CZ40" s="680"/>
      <c r="DA40" s="680"/>
      <c r="DB40" s="680"/>
      <c r="DC40" s="680"/>
      <c r="DD40" s="680"/>
      <c r="DE40" s="680"/>
      <c r="DF40" s="680"/>
      <c r="DG40" s="680"/>
      <c r="DH40" s="680"/>
      <c r="DI40" s="680"/>
      <c r="DJ40" s="680"/>
      <c r="DK40" s="680"/>
      <c r="DL40" s="680"/>
      <c r="DM40" s="680"/>
      <c r="DN40" s="680"/>
      <c r="DO40" s="680"/>
      <c r="DP40" s="680"/>
      <c r="DQ40" s="680"/>
      <c r="DR40" s="680"/>
      <c r="DS40" s="680"/>
      <c r="DT40" s="680"/>
      <c r="DU40" s="680"/>
      <c r="DV40" s="680"/>
      <c r="DW40" s="680"/>
      <c r="DX40" s="680"/>
      <c r="DY40" s="680"/>
      <c r="DZ40" s="680"/>
      <c r="EA40" s="680"/>
      <c r="EB40" s="680"/>
      <c r="EC40" s="680"/>
      <c r="ED40" s="680"/>
      <c r="EE40" s="680"/>
      <c r="EF40" s="680"/>
      <c r="EG40" s="680"/>
      <c r="EH40" s="680"/>
      <c r="EI40" s="680"/>
      <c r="EJ40" s="680"/>
      <c r="EK40" s="680"/>
      <c r="EL40" s="680"/>
      <c r="EM40" s="680"/>
      <c r="EN40" s="680"/>
      <c r="EO40" s="680"/>
      <c r="EP40" s="680"/>
      <c r="EQ40" s="680"/>
      <c r="ER40" s="680"/>
      <c r="ES40" s="680"/>
      <c r="ET40" s="680"/>
      <c r="EU40" s="680"/>
      <c r="EV40" s="680"/>
      <c r="EW40" s="680"/>
    </row>
    <row r="41" spans="1:153" s="663" customFormat="1" ht="13.5">
      <c r="A41" s="989"/>
      <c r="B41" s="397" t="s">
        <v>741</v>
      </c>
      <c r="C41" s="541" t="s">
        <v>526</v>
      </c>
      <c r="D41" s="494" t="s">
        <v>98</v>
      </c>
      <c r="E41" s="985" t="s">
        <v>176</v>
      </c>
      <c r="F41" s="386">
        <v>1</v>
      </c>
      <c r="G41" s="389"/>
      <c r="H41" s="389"/>
      <c r="I41" s="545"/>
      <c r="J41" s="989"/>
      <c r="K41" s="400"/>
      <c r="L41" s="400"/>
      <c r="M41" s="386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680"/>
      <c r="AL41" s="680"/>
      <c r="AM41" s="680"/>
      <c r="AN41" s="680"/>
      <c r="AO41" s="680"/>
      <c r="AP41" s="680"/>
      <c r="AQ41" s="680"/>
      <c r="AR41" s="680"/>
      <c r="AS41" s="680"/>
      <c r="AT41" s="680"/>
      <c r="AU41" s="680"/>
      <c r="AV41" s="680"/>
      <c r="AW41" s="680"/>
      <c r="AX41" s="680"/>
      <c r="AY41" s="680"/>
      <c r="AZ41" s="680"/>
      <c r="BA41" s="680"/>
      <c r="BB41" s="680"/>
      <c r="BC41" s="680"/>
      <c r="BD41" s="680"/>
      <c r="BE41" s="680"/>
      <c r="BF41" s="680"/>
      <c r="BG41" s="680"/>
      <c r="BH41" s="680"/>
      <c r="BI41" s="680"/>
      <c r="BJ41" s="680"/>
      <c r="BK41" s="680"/>
      <c r="BL41" s="680"/>
      <c r="BM41" s="680"/>
      <c r="BN41" s="680"/>
      <c r="BO41" s="680"/>
      <c r="BP41" s="680"/>
      <c r="BQ41" s="680"/>
      <c r="BR41" s="680"/>
      <c r="BS41" s="680"/>
      <c r="BT41" s="680"/>
      <c r="BU41" s="680"/>
      <c r="BV41" s="680"/>
      <c r="BW41" s="680"/>
      <c r="BX41" s="680"/>
      <c r="BY41" s="680"/>
      <c r="BZ41" s="680"/>
      <c r="CA41" s="680"/>
      <c r="CB41" s="680"/>
      <c r="CC41" s="680"/>
      <c r="CD41" s="680"/>
      <c r="CE41" s="680"/>
      <c r="CF41" s="680"/>
      <c r="CG41" s="680"/>
      <c r="CH41" s="680"/>
      <c r="CI41" s="680"/>
      <c r="CJ41" s="680"/>
      <c r="CK41" s="680"/>
      <c r="CL41" s="680"/>
      <c r="CM41" s="680"/>
      <c r="CN41" s="680"/>
      <c r="CO41" s="680"/>
      <c r="CP41" s="680"/>
      <c r="CQ41" s="680"/>
      <c r="CR41" s="680"/>
      <c r="CS41" s="680"/>
      <c r="CT41" s="680"/>
      <c r="CU41" s="680"/>
      <c r="CV41" s="680"/>
      <c r="CW41" s="680"/>
      <c r="CX41" s="680"/>
      <c r="CY41" s="680"/>
      <c r="CZ41" s="680"/>
      <c r="DA41" s="680"/>
      <c r="DB41" s="680"/>
      <c r="DC41" s="680"/>
      <c r="DD41" s="680"/>
      <c r="DE41" s="680"/>
      <c r="DF41" s="680"/>
      <c r="DG41" s="680"/>
      <c r="DH41" s="680"/>
      <c r="DI41" s="680"/>
      <c r="DJ41" s="680"/>
      <c r="DK41" s="680"/>
      <c r="DL41" s="680"/>
      <c r="DM41" s="680"/>
      <c r="DN41" s="680"/>
      <c r="DO41" s="680"/>
      <c r="DP41" s="680"/>
      <c r="DQ41" s="680"/>
      <c r="DR41" s="680"/>
      <c r="DS41" s="680"/>
      <c r="DT41" s="680"/>
      <c r="DU41" s="680"/>
      <c r="DV41" s="680"/>
      <c r="DW41" s="680"/>
      <c r="DX41" s="680"/>
      <c r="DY41" s="680"/>
      <c r="DZ41" s="680"/>
      <c r="EA41" s="680"/>
      <c r="EB41" s="680"/>
      <c r="EC41" s="680"/>
      <c r="ED41" s="680"/>
      <c r="EE41" s="680"/>
      <c r="EF41" s="680"/>
      <c r="EG41" s="680"/>
      <c r="EH41" s="680"/>
      <c r="EI41" s="680"/>
      <c r="EJ41" s="680"/>
      <c r="EK41" s="680"/>
      <c r="EL41" s="680"/>
      <c r="EM41" s="680"/>
      <c r="EN41" s="680"/>
      <c r="EO41" s="680"/>
      <c r="EP41" s="680"/>
      <c r="EQ41" s="680"/>
      <c r="ER41" s="680"/>
      <c r="ES41" s="680"/>
      <c r="ET41" s="680"/>
      <c r="EU41" s="680"/>
      <c r="EV41" s="680"/>
      <c r="EW41" s="680"/>
    </row>
    <row r="42" spans="1:153" s="663" customFormat="1" ht="13.5">
      <c r="A42" s="989"/>
      <c r="B42" s="463" t="s">
        <v>742</v>
      </c>
      <c r="C42" s="541" t="s">
        <v>190</v>
      </c>
      <c r="D42" s="494" t="s">
        <v>98</v>
      </c>
      <c r="E42" s="985" t="s">
        <v>176</v>
      </c>
      <c r="F42" s="386">
        <v>2</v>
      </c>
      <c r="G42" s="400"/>
      <c r="H42" s="389"/>
      <c r="I42" s="545"/>
      <c r="J42" s="989"/>
      <c r="K42" s="400"/>
      <c r="L42" s="400"/>
      <c r="M42" s="386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0"/>
      <c r="Z42" s="680"/>
      <c r="AA42" s="680"/>
      <c r="AB42" s="680"/>
      <c r="AC42" s="680"/>
      <c r="AD42" s="680"/>
      <c r="AE42" s="680"/>
      <c r="AF42" s="680"/>
      <c r="AG42" s="680"/>
      <c r="AH42" s="680"/>
      <c r="AI42" s="680"/>
      <c r="AJ42" s="680"/>
      <c r="AK42" s="680"/>
      <c r="AL42" s="680"/>
      <c r="AM42" s="680"/>
      <c r="AN42" s="680"/>
      <c r="AO42" s="680"/>
      <c r="AP42" s="680"/>
      <c r="AQ42" s="680"/>
      <c r="AR42" s="680"/>
      <c r="AS42" s="680"/>
      <c r="AT42" s="680"/>
      <c r="AU42" s="680"/>
      <c r="AV42" s="680"/>
      <c r="AW42" s="680"/>
      <c r="AX42" s="680"/>
      <c r="AY42" s="680"/>
      <c r="AZ42" s="680"/>
      <c r="BA42" s="680"/>
      <c r="BB42" s="680"/>
      <c r="BC42" s="680"/>
      <c r="BD42" s="680"/>
      <c r="BE42" s="680"/>
      <c r="BF42" s="680"/>
      <c r="BG42" s="680"/>
      <c r="BH42" s="680"/>
      <c r="BI42" s="680"/>
      <c r="BJ42" s="680"/>
      <c r="BK42" s="680"/>
      <c r="BL42" s="680"/>
      <c r="BM42" s="680"/>
      <c r="BN42" s="680"/>
      <c r="BO42" s="680"/>
      <c r="BP42" s="680"/>
      <c r="BQ42" s="680"/>
      <c r="BR42" s="680"/>
      <c r="BS42" s="680"/>
      <c r="BT42" s="680"/>
      <c r="BU42" s="680"/>
      <c r="BV42" s="680"/>
      <c r="BW42" s="680"/>
      <c r="BX42" s="680"/>
      <c r="BY42" s="680"/>
      <c r="BZ42" s="680"/>
      <c r="CA42" s="680"/>
      <c r="CB42" s="680"/>
      <c r="CC42" s="680"/>
      <c r="CD42" s="680"/>
      <c r="CE42" s="680"/>
      <c r="CF42" s="680"/>
      <c r="CG42" s="680"/>
      <c r="CH42" s="680"/>
      <c r="CI42" s="680"/>
      <c r="CJ42" s="680"/>
      <c r="CK42" s="680"/>
      <c r="CL42" s="680"/>
      <c r="CM42" s="680"/>
      <c r="CN42" s="680"/>
      <c r="CO42" s="680"/>
      <c r="CP42" s="680"/>
      <c r="CQ42" s="680"/>
      <c r="CR42" s="680"/>
      <c r="CS42" s="680"/>
      <c r="CT42" s="680"/>
      <c r="CU42" s="680"/>
      <c r="CV42" s="680"/>
      <c r="CW42" s="680"/>
      <c r="CX42" s="680"/>
      <c r="CY42" s="680"/>
      <c r="CZ42" s="680"/>
      <c r="DA42" s="680"/>
      <c r="DB42" s="680"/>
      <c r="DC42" s="680"/>
      <c r="DD42" s="680"/>
      <c r="DE42" s="680"/>
      <c r="DF42" s="680"/>
      <c r="DG42" s="680"/>
      <c r="DH42" s="680"/>
      <c r="DI42" s="680"/>
      <c r="DJ42" s="680"/>
      <c r="DK42" s="680"/>
      <c r="DL42" s="680"/>
      <c r="DM42" s="680"/>
      <c r="DN42" s="680"/>
      <c r="DO42" s="680"/>
      <c r="DP42" s="680"/>
      <c r="DQ42" s="680"/>
      <c r="DR42" s="680"/>
      <c r="DS42" s="680"/>
      <c r="DT42" s="680"/>
      <c r="DU42" s="680"/>
      <c r="DV42" s="680"/>
      <c r="DW42" s="680"/>
      <c r="DX42" s="680"/>
      <c r="DY42" s="680"/>
      <c r="DZ42" s="680"/>
      <c r="EA42" s="680"/>
      <c r="EB42" s="680"/>
      <c r="EC42" s="680"/>
      <c r="ED42" s="680"/>
      <c r="EE42" s="680"/>
      <c r="EF42" s="680"/>
      <c r="EG42" s="680"/>
      <c r="EH42" s="680"/>
      <c r="EI42" s="680"/>
      <c r="EJ42" s="680"/>
      <c r="EK42" s="680"/>
      <c r="EL42" s="680"/>
      <c r="EM42" s="680"/>
      <c r="EN42" s="680"/>
      <c r="EO42" s="680"/>
      <c r="EP42" s="680"/>
      <c r="EQ42" s="680"/>
      <c r="ER42" s="680"/>
      <c r="ES42" s="680"/>
      <c r="ET42" s="680"/>
      <c r="EU42" s="680"/>
      <c r="EV42" s="680"/>
      <c r="EW42" s="680"/>
    </row>
    <row r="43" spans="1:153" s="663" customFormat="1" ht="13.5">
      <c r="A43" s="983"/>
      <c r="B43" s="693"/>
      <c r="C43" s="687" t="s">
        <v>192</v>
      </c>
      <c r="D43" s="691" t="s">
        <v>16</v>
      </c>
      <c r="E43" s="688">
        <v>0.02</v>
      </c>
      <c r="F43" s="691">
        <f>E43*F34</f>
        <v>0.02</v>
      </c>
      <c r="G43" s="386"/>
      <c r="H43" s="694"/>
      <c r="I43" s="985"/>
      <c r="J43" s="985"/>
      <c r="K43" s="985"/>
      <c r="L43" s="695"/>
      <c r="M43" s="386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0"/>
      <c r="AI43" s="680"/>
      <c r="AJ43" s="680"/>
      <c r="AK43" s="680"/>
      <c r="AL43" s="680"/>
      <c r="AM43" s="680"/>
      <c r="AN43" s="680"/>
      <c r="AO43" s="680"/>
      <c r="AP43" s="680"/>
      <c r="AQ43" s="680"/>
      <c r="AR43" s="680"/>
      <c r="AS43" s="680"/>
      <c r="AT43" s="680"/>
      <c r="AU43" s="680"/>
      <c r="AV43" s="680"/>
      <c r="AW43" s="680"/>
      <c r="AX43" s="680"/>
      <c r="AY43" s="680"/>
      <c r="AZ43" s="680"/>
      <c r="BA43" s="680"/>
      <c r="BB43" s="680"/>
      <c r="BC43" s="680"/>
      <c r="BD43" s="680"/>
      <c r="BE43" s="680"/>
      <c r="BF43" s="680"/>
      <c r="BG43" s="680"/>
      <c r="BH43" s="680"/>
      <c r="BI43" s="680"/>
      <c r="BJ43" s="680"/>
      <c r="BK43" s="680"/>
      <c r="BL43" s="680"/>
      <c r="BM43" s="680"/>
      <c r="BN43" s="680"/>
      <c r="BO43" s="680"/>
      <c r="BP43" s="680"/>
      <c r="BQ43" s="680"/>
      <c r="BR43" s="680"/>
      <c r="BS43" s="680"/>
      <c r="BT43" s="680"/>
      <c r="BU43" s="680"/>
      <c r="BV43" s="680"/>
      <c r="BW43" s="680"/>
      <c r="BX43" s="680"/>
      <c r="BY43" s="680"/>
      <c r="BZ43" s="680"/>
      <c r="CA43" s="680"/>
      <c r="CB43" s="680"/>
      <c r="CC43" s="680"/>
      <c r="CD43" s="680"/>
      <c r="CE43" s="680"/>
      <c r="CF43" s="680"/>
      <c r="CG43" s="680"/>
      <c r="CH43" s="680"/>
      <c r="CI43" s="680"/>
      <c r="CJ43" s="680"/>
      <c r="CK43" s="680"/>
      <c r="CL43" s="680"/>
      <c r="CM43" s="680"/>
      <c r="CN43" s="680"/>
      <c r="CO43" s="680"/>
      <c r="CP43" s="680"/>
      <c r="CQ43" s="680"/>
      <c r="CR43" s="680"/>
      <c r="CS43" s="680"/>
      <c r="CT43" s="680"/>
      <c r="CU43" s="680"/>
      <c r="CV43" s="680"/>
      <c r="CW43" s="680"/>
      <c r="CX43" s="680"/>
      <c r="CY43" s="680"/>
      <c r="CZ43" s="680"/>
      <c r="DA43" s="680"/>
      <c r="DB43" s="680"/>
      <c r="DC43" s="680"/>
      <c r="DD43" s="680"/>
      <c r="DE43" s="680"/>
      <c r="DF43" s="680"/>
      <c r="DG43" s="680"/>
      <c r="DH43" s="680"/>
      <c r="DI43" s="680"/>
      <c r="DJ43" s="680"/>
      <c r="DK43" s="680"/>
      <c r="DL43" s="680"/>
      <c r="DM43" s="680"/>
      <c r="DN43" s="680"/>
      <c r="DO43" s="680"/>
      <c r="DP43" s="680"/>
      <c r="DQ43" s="680"/>
      <c r="DR43" s="680"/>
      <c r="DS43" s="680"/>
      <c r="DT43" s="680"/>
      <c r="DU43" s="680"/>
      <c r="DV43" s="680"/>
      <c r="DW43" s="680"/>
      <c r="DX43" s="680"/>
      <c r="DY43" s="680"/>
      <c r="DZ43" s="680"/>
      <c r="EA43" s="680"/>
      <c r="EB43" s="680"/>
      <c r="EC43" s="680"/>
      <c r="ED43" s="680"/>
      <c r="EE43" s="680"/>
      <c r="EF43" s="680"/>
      <c r="EG43" s="680"/>
      <c r="EH43" s="680"/>
      <c r="EI43" s="680"/>
      <c r="EJ43" s="680"/>
      <c r="EK43" s="680"/>
      <c r="EL43" s="680"/>
      <c r="EM43" s="680"/>
      <c r="EN43" s="680"/>
      <c r="EO43" s="680"/>
      <c r="EP43" s="680"/>
      <c r="EQ43" s="680"/>
      <c r="ER43" s="680"/>
      <c r="ES43" s="680"/>
      <c r="ET43" s="680"/>
      <c r="EU43" s="680"/>
      <c r="EV43" s="680"/>
      <c r="EW43" s="680"/>
    </row>
    <row r="44" spans="1:153">
      <c r="A44" s="696"/>
      <c r="B44" s="697"/>
      <c r="C44" s="698" t="s">
        <v>9</v>
      </c>
      <c r="D44" s="697"/>
      <c r="E44" s="699"/>
      <c r="F44" s="699"/>
      <c r="G44" s="699"/>
      <c r="H44" s="699"/>
      <c r="I44" s="699"/>
      <c r="J44" s="699"/>
      <c r="K44" s="699"/>
      <c r="L44" s="699"/>
      <c r="M44" s="699"/>
    </row>
    <row r="45" spans="1:153" s="706" customFormat="1">
      <c r="A45" s="701"/>
      <c r="B45" s="698"/>
      <c r="C45" s="702" t="s">
        <v>206</v>
      </c>
      <c r="D45" s="703" t="s">
        <v>851</v>
      </c>
      <c r="E45" s="704"/>
      <c r="F45" s="705"/>
      <c r="G45" s="705"/>
      <c r="H45" s="705"/>
      <c r="I45" s="705"/>
      <c r="J45" s="705"/>
      <c r="K45" s="705"/>
      <c r="L45" s="705"/>
      <c r="M45" s="704"/>
    </row>
    <row r="46" spans="1:153" s="709" customFormat="1">
      <c r="A46" s="638"/>
      <c r="B46" s="638"/>
      <c r="C46" s="643" t="s">
        <v>9</v>
      </c>
      <c r="D46" s="642"/>
      <c r="E46" s="707"/>
      <c r="F46" s="708"/>
      <c r="G46" s="708"/>
      <c r="H46" s="708"/>
      <c r="I46" s="708"/>
      <c r="J46" s="708"/>
      <c r="K46" s="708"/>
      <c r="L46" s="708"/>
      <c r="M46" s="707"/>
    </row>
    <row r="47" spans="1:153" s="712" customFormat="1">
      <c r="A47" s="701"/>
      <c r="B47" s="710"/>
      <c r="C47" s="711" t="s">
        <v>10</v>
      </c>
      <c r="D47" s="703" t="s">
        <v>851</v>
      </c>
      <c r="E47" s="704"/>
      <c r="F47" s="705"/>
      <c r="G47" s="705"/>
      <c r="H47" s="705"/>
      <c r="I47" s="705"/>
      <c r="J47" s="705"/>
      <c r="K47" s="705"/>
      <c r="L47" s="705"/>
      <c r="M47" s="704"/>
    </row>
    <row r="48" spans="1:153" s="712" customFormat="1">
      <c r="A48" s="638"/>
      <c r="B48" s="646"/>
      <c r="C48" s="643" t="s">
        <v>9</v>
      </c>
      <c r="D48" s="642"/>
      <c r="E48" s="707"/>
      <c r="F48" s="708"/>
      <c r="G48" s="708"/>
      <c r="H48" s="708"/>
      <c r="I48" s="708"/>
      <c r="J48" s="708"/>
      <c r="K48" s="708"/>
      <c r="L48" s="708"/>
      <c r="M48" s="707"/>
    </row>
    <row r="49" spans="1:252" s="712" customFormat="1">
      <c r="A49" s="701"/>
      <c r="B49" s="710"/>
      <c r="C49" s="711" t="s">
        <v>207</v>
      </c>
      <c r="D49" s="703" t="s">
        <v>851</v>
      </c>
      <c r="E49" s="704"/>
      <c r="F49" s="705"/>
      <c r="G49" s="705"/>
      <c r="H49" s="705"/>
      <c r="I49" s="705"/>
      <c r="J49" s="705"/>
      <c r="K49" s="705"/>
      <c r="L49" s="705"/>
      <c r="M49" s="704"/>
    </row>
    <row r="50" spans="1:252" s="712" customFormat="1">
      <c r="A50" s="638"/>
      <c r="B50" s="646"/>
      <c r="C50" s="643" t="s">
        <v>9</v>
      </c>
      <c r="D50" s="642"/>
      <c r="E50" s="707"/>
      <c r="F50" s="708"/>
      <c r="G50" s="708"/>
      <c r="H50" s="708"/>
      <c r="I50" s="708"/>
      <c r="J50" s="708"/>
      <c r="K50" s="708"/>
      <c r="L50" s="708"/>
      <c r="M50" s="707"/>
    </row>
    <row r="51" spans="1:252">
      <c r="B51" s="714"/>
    </row>
    <row r="52" spans="1:252">
      <c r="B52" s="714"/>
    </row>
    <row r="53" spans="1:252" ht="13.5">
      <c r="A53" s="547"/>
      <c r="B53" s="547"/>
      <c r="C53" s="188" t="e">
        <f>#REF!</f>
        <v>#REF!</v>
      </c>
      <c r="D53" s="188"/>
      <c r="E53" s="987"/>
      <c r="F53" s="188"/>
      <c r="G53" s="658"/>
      <c r="H53" s="658"/>
      <c r="I53" s="658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7"/>
      <c r="AB53" s="547"/>
      <c r="AC53" s="547"/>
      <c r="AD53" s="547"/>
      <c r="AE53" s="547"/>
      <c r="AF53" s="547"/>
      <c r="AG53" s="547"/>
      <c r="AH53" s="547"/>
      <c r="AI53" s="547"/>
      <c r="AJ53" s="547"/>
      <c r="AK53" s="547"/>
      <c r="AL53" s="547"/>
      <c r="AM53" s="547"/>
      <c r="AN53" s="547"/>
      <c r="AO53" s="547"/>
      <c r="AP53" s="547"/>
      <c r="AQ53" s="547"/>
      <c r="AR53" s="547"/>
      <c r="AS53" s="547"/>
      <c r="AT53" s="547"/>
      <c r="AU53" s="547"/>
      <c r="AV53" s="547"/>
      <c r="AW53" s="547"/>
      <c r="AX53" s="547"/>
      <c r="AY53" s="547"/>
      <c r="AZ53" s="547"/>
      <c r="BA53" s="547"/>
      <c r="BB53" s="547"/>
      <c r="BC53" s="547"/>
      <c r="BD53" s="547"/>
      <c r="BE53" s="547"/>
      <c r="BF53" s="547"/>
      <c r="BG53" s="547"/>
      <c r="BH53" s="547"/>
      <c r="BI53" s="547"/>
      <c r="BJ53" s="547"/>
      <c r="BK53" s="547"/>
      <c r="BL53" s="547"/>
      <c r="BM53" s="547"/>
      <c r="BN53" s="547"/>
      <c r="BO53" s="547"/>
      <c r="BP53" s="547"/>
      <c r="BQ53" s="547"/>
      <c r="BR53" s="547"/>
      <c r="BS53" s="547"/>
      <c r="BT53" s="547"/>
      <c r="BU53" s="547"/>
      <c r="BV53" s="547"/>
      <c r="BW53" s="547"/>
      <c r="BX53" s="547"/>
      <c r="BY53" s="547"/>
      <c r="BZ53" s="547"/>
      <c r="CA53" s="547"/>
      <c r="CB53" s="547"/>
      <c r="CC53" s="547"/>
      <c r="CD53" s="547"/>
      <c r="CE53" s="547"/>
      <c r="CF53" s="547"/>
      <c r="CG53" s="547"/>
      <c r="CH53" s="547"/>
      <c r="CI53" s="547"/>
      <c r="CJ53" s="547"/>
      <c r="CK53" s="547"/>
      <c r="CL53" s="547"/>
      <c r="CM53" s="547"/>
      <c r="CN53" s="547"/>
      <c r="CO53" s="547"/>
      <c r="CP53" s="547"/>
      <c r="CQ53" s="547"/>
      <c r="CR53" s="547"/>
      <c r="CS53" s="547"/>
      <c r="CT53" s="547"/>
      <c r="CU53" s="547"/>
      <c r="CV53" s="547"/>
      <c r="CW53" s="547"/>
      <c r="CX53" s="547"/>
      <c r="CY53" s="547"/>
      <c r="CZ53" s="547"/>
      <c r="DA53" s="547"/>
      <c r="DB53" s="547"/>
      <c r="DC53" s="547"/>
      <c r="DD53" s="547"/>
      <c r="DE53" s="547"/>
      <c r="DF53" s="547"/>
      <c r="DG53" s="547"/>
      <c r="DH53" s="547"/>
      <c r="DI53" s="547"/>
      <c r="DJ53" s="547"/>
      <c r="DK53" s="547"/>
      <c r="DL53" s="547"/>
      <c r="DM53" s="547"/>
      <c r="DN53" s="547"/>
      <c r="DO53" s="547"/>
      <c r="DP53" s="547"/>
      <c r="DQ53" s="547"/>
      <c r="DR53" s="547"/>
      <c r="DS53" s="547"/>
      <c r="DT53" s="547"/>
      <c r="DU53" s="547"/>
      <c r="DV53" s="547"/>
      <c r="DW53" s="547"/>
      <c r="DX53" s="547"/>
      <c r="DY53" s="547"/>
      <c r="DZ53" s="547"/>
      <c r="EA53" s="547"/>
      <c r="EB53" s="547"/>
      <c r="EC53" s="547"/>
      <c r="ED53" s="547"/>
      <c r="EE53" s="547"/>
      <c r="EF53" s="547"/>
      <c r="EG53" s="547"/>
      <c r="EH53" s="547"/>
      <c r="EI53" s="547"/>
      <c r="EJ53" s="547"/>
      <c r="EK53" s="547"/>
      <c r="EL53" s="547"/>
      <c r="EM53" s="547"/>
      <c r="EN53" s="547"/>
      <c r="EO53" s="547"/>
      <c r="EP53" s="547"/>
      <c r="EQ53" s="547"/>
      <c r="ER53" s="547"/>
      <c r="ES53" s="547"/>
      <c r="ET53" s="547"/>
      <c r="EU53" s="547"/>
      <c r="EV53" s="547"/>
      <c r="EW53" s="547"/>
      <c r="EX53" s="547"/>
      <c r="EY53" s="547"/>
      <c r="EZ53" s="547"/>
      <c r="FA53" s="547"/>
      <c r="FB53" s="547"/>
      <c r="FC53" s="547"/>
      <c r="FD53" s="547"/>
      <c r="FE53" s="547"/>
      <c r="FF53" s="547"/>
      <c r="FG53" s="547"/>
      <c r="FH53" s="547"/>
      <c r="FI53" s="547"/>
      <c r="FJ53" s="547"/>
      <c r="FK53" s="547"/>
      <c r="FL53" s="547"/>
      <c r="FM53" s="547"/>
      <c r="FN53" s="547"/>
      <c r="FO53" s="547"/>
      <c r="FP53" s="547"/>
      <c r="FQ53" s="547"/>
      <c r="FR53" s="547"/>
      <c r="FS53" s="547"/>
      <c r="FT53" s="547"/>
      <c r="FU53" s="547"/>
      <c r="FV53" s="547"/>
      <c r="FW53" s="547"/>
      <c r="FX53" s="547"/>
      <c r="FY53" s="547"/>
      <c r="FZ53" s="547"/>
      <c r="GA53" s="547"/>
      <c r="GB53" s="547"/>
      <c r="GC53" s="547"/>
      <c r="GD53" s="547"/>
      <c r="GE53" s="547"/>
      <c r="GF53" s="547"/>
      <c r="GG53" s="547"/>
      <c r="GH53" s="547"/>
      <c r="GI53" s="547"/>
      <c r="GJ53" s="547"/>
      <c r="GK53" s="547"/>
      <c r="GL53" s="547"/>
      <c r="GM53" s="547"/>
      <c r="GN53" s="547"/>
      <c r="GO53" s="547"/>
      <c r="GP53" s="547"/>
      <c r="GQ53" s="547"/>
      <c r="GR53" s="547"/>
      <c r="GS53" s="547"/>
      <c r="GT53" s="547"/>
      <c r="GU53" s="547"/>
      <c r="GV53" s="547"/>
      <c r="GW53" s="547"/>
      <c r="GX53" s="547"/>
      <c r="GY53" s="547"/>
      <c r="GZ53" s="547"/>
      <c r="HA53" s="547"/>
      <c r="HB53" s="547"/>
      <c r="HC53" s="547"/>
      <c r="HD53" s="547"/>
      <c r="HE53" s="547"/>
      <c r="HF53" s="547"/>
      <c r="HG53" s="547"/>
      <c r="HH53" s="547"/>
      <c r="HI53" s="547"/>
      <c r="HJ53" s="547"/>
      <c r="HK53" s="547"/>
      <c r="HL53" s="547"/>
      <c r="HM53" s="547"/>
      <c r="HN53" s="547"/>
      <c r="HO53" s="547"/>
      <c r="HP53" s="547"/>
      <c r="HQ53" s="547"/>
      <c r="HR53" s="547"/>
      <c r="HS53" s="547"/>
      <c r="HT53" s="547"/>
      <c r="HU53" s="547"/>
      <c r="HV53" s="547"/>
      <c r="HW53" s="547"/>
      <c r="HX53" s="547"/>
      <c r="HY53" s="547"/>
      <c r="HZ53" s="547"/>
      <c r="IA53" s="547"/>
      <c r="IB53" s="547"/>
      <c r="IC53" s="547"/>
      <c r="ID53" s="547"/>
      <c r="IE53" s="547"/>
      <c r="IF53" s="547"/>
      <c r="IG53" s="547"/>
      <c r="IH53" s="547"/>
      <c r="II53" s="547"/>
      <c r="IJ53" s="547"/>
      <c r="IK53" s="547"/>
      <c r="IL53" s="547"/>
      <c r="IM53" s="547"/>
      <c r="IN53" s="547"/>
      <c r="IO53" s="547"/>
      <c r="IP53" s="547"/>
      <c r="IQ53" s="547"/>
      <c r="IR53" s="547"/>
    </row>
    <row r="54" spans="1:252" ht="13.5">
      <c r="A54" s="547"/>
      <c r="B54" s="547"/>
      <c r="C54" s="188"/>
      <c r="D54" s="188"/>
      <c r="E54" s="987"/>
      <c r="F54" s="658"/>
      <c r="G54" s="658"/>
      <c r="H54" s="658"/>
      <c r="I54" s="658"/>
      <c r="J54" s="547"/>
      <c r="K54" s="547"/>
      <c r="L54" s="547"/>
      <c r="M54" s="547"/>
      <c r="N54" s="547"/>
      <c r="O54" s="547"/>
      <c r="P54" s="547"/>
      <c r="Q54" s="547"/>
      <c r="R54" s="547"/>
      <c r="S54" s="547"/>
      <c r="T54" s="547"/>
      <c r="U54" s="547"/>
      <c r="V54" s="547"/>
      <c r="W54" s="547"/>
      <c r="X54" s="547"/>
      <c r="Y54" s="547"/>
      <c r="Z54" s="547"/>
      <c r="AA54" s="547"/>
      <c r="AB54" s="547"/>
      <c r="AC54" s="547"/>
      <c r="AD54" s="547"/>
      <c r="AE54" s="547"/>
      <c r="AF54" s="547"/>
      <c r="AG54" s="547"/>
      <c r="AH54" s="547"/>
      <c r="AI54" s="547"/>
      <c r="AJ54" s="547"/>
      <c r="AK54" s="547"/>
      <c r="AL54" s="547"/>
      <c r="AM54" s="547"/>
      <c r="AN54" s="547"/>
      <c r="AO54" s="547"/>
      <c r="AP54" s="547"/>
      <c r="AQ54" s="547"/>
      <c r="AR54" s="547"/>
      <c r="AS54" s="547"/>
      <c r="AT54" s="547"/>
      <c r="AU54" s="547"/>
      <c r="AV54" s="547"/>
      <c r="AW54" s="547"/>
      <c r="AX54" s="547"/>
      <c r="AY54" s="547"/>
      <c r="AZ54" s="547"/>
      <c r="BA54" s="547"/>
      <c r="BB54" s="547"/>
      <c r="BC54" s="547"/>
      <c r="BD54" s="547"/>
      <c r="BE54" s="547"/>
      <c r="BF54" s="547"/>
      <c r="BG54" s="547"/>
      <c r="BH54" s="547"/>
      <c r="BI54" s="547"/>
      <c r="BJ54" s="547"/>
      <c r="BK54" s="547"/>
      <c r="BL54" s="547"/>
      <c r="BM54" s="547"/>
      <c r="BN54" s="547"/>
      <c r="BO54" s="547"/>
      <c r="BP54" s="547"/>
      <c r="BQ54" s="547"/>
      <c r="BR54" s="547"/>
      <c r="BS54" s="547"/>
      <c r="BT54" s="547"/>
      <c r="BU54" s="547"/>
      <c r="BV54" s="547"/>
      <c r="BW54" s="547"/>
      <c r="BX54" s="547"/>
      <c r="BY54" s="547"/>
      <c r="BZ54" s="547"/>
      <c r="CA54" s="547"/>
      <c r="CB54" s="547"/>
      <c r="CC54" s="547"/>
      <c r="CD54" s="547"/>
      <c r="CE54" s="547"/>
      <c r="CF54" s="547"/>
      <c r="CG54" s="547"/>
      <c r="CH54" s="547"/>
      <c r="CI54" s="547"/>
      <c r="CJ54" s="547"/>
      <c r="CK54" s="547"/>
      <c r="CL54" s="547"/>
      <c r="CM54" s="547"/>
      <c r="CN54" s="547"/>
      <c r="CO54" s="547"/>
      <c r="CP54" s="547"/>
      <c r="CQ54" s="547"/>
      <c r="CR54" s="547"/>
      <c r="CS54" s="547"/>
      <c r="CT54" s="547"/>
      <c r="CU54" s="547"/>
      <c r="CV54" s="547"/>
      <c r="CW54" s="547"/>
      <c r="CX54" s="547"/>
      <c r="CY54" s="547"/>
      <c r="CZ54" s="547"/>
      <c r="DA54" s="547"/>
      <c r="DB54" s="547"/>
      <c r="DC54" s="547"/>
      <c r="DD54" s="547"/>
      <c r="DE54" s="547"/>
      <c r="DF54" s="547"/>
      <c r="DG54" s="547"/>
      <c r="DH54" s="547"/>
      <c r="DI54" s="547"/>
      <c r="DJ54" s="547"/>
      <c r="DK54" s="547"/>
      <c r="DL54" s="547"/>
      <c r="DM54" s="547"/>
      <c r="DN54" s="547"/>
      <c r="DO54" s="547"/>
      <c r="DP54" s="547"/>
      <c r="DQ54" s="547"/>
      <c r="DR54" s="547"/>
      <c r="DS54" s="547"/>
      <c r="DT54" s="547"/>
      <c r="DU54" s="547"/>
      <c r="DV54" s="547"/>
      <c r="DW54" s="547"/>
      <c r="DX54" s="547"/>
      <c r="DY54" s="547"/>
      <c r="DZ54" s="547"/>
      <c r="EA54" s="547"/>
      <c r="EB54" s="547"/>
      <c r="EC54" s="547"/>
      <c r="ED54" s="547"/>
      <c r="EE54" s="547"/>
      <c r="EF54" s="547"/>
      <c r="EG54" s="547"/>
      <c r="EH54" s="547"/>
      <c r="EI54" s="547"/>
      <c r="EJ54" s="547"/>
      <c r="EK54" s="547"/>
      <c r="EL54" s="547"/>
      <c r="EM54" s="547"/>
      <c r="EN54" s="547"/>
      <c r="EO54" s="547"/>
      <c r="EP54" s="547"/>
      <c r="EQ54" s="547"/>
      <c r="ER54" s="547"/>
      <c r="ES54" s="547"/>
      <c r="ET54" s="547"/>
      <c r="EU54" s="547"/>
      <c r="EV54" s="547"/>
      <c r="EW54" s="547"/>
      <c r="EX54" s="547"/>
      <c r="EY54" s="547"/>
      <c r="EZ54" s="547"/>
      <c r="FA54" s="547"/>
      <c r="FB54" s="547"/>
      <c r="FC54" s="547"/>
      <c r="FD54" s="547"/>
      <c r="FE54" s="547"/>
      <c r="FF54" s="547"/>
      <c r="FG54" s="547"/>
      <c r="FH54" s="547"/>
      <c r="FI54" s="547"/>
      <c r="FJ54" s="547"/>
      <c r="FK54" s="547"/>
      <c r="FL54" s="547"/>
      <c r="FM54" s="547"/>
      <c r="FN54" s="547"/>
      <c r="FO54" s="547"/>
      <c r="FP54" s="547"/>
      <c r="FQ54" s="547"/>
      <c r="FR54" s="547"/>
      <c r="FS54" s="547"/>
      <c r="FT54" s="547"/>
      <c r="FU54" s="547"/>
      <c r="FV54" s="547"/>
      <c r="FW54" s="547"/>
      <c r="FX54" s="547"/>
      <c r="FY54" s="547"/>
      <c r="FZ54" s="547"/>
      <c r="GA54" s="547"/>
      <c r="GB54" s="547"/>
      <c r="GC54" s="547"/>
      <c r="GD54" s="547"/>
      <c r="GE54" s="547"/>
      <c r="GF54" s="547"/>
      <c r="GG54" s="547"/>
      <c r="GH54" s="547"/>
      <c r="GI54" s="547"/>
      <c r="GJ54" s="547"/>
      <c r="GK54" s="547"/>
      <c r="GL54" s="547"/>
      <c r="GM54" s="547"/>
      <c r="GN54" s="547"/>
      <c r="GO54" s="547"/>
      <c r="GP54" s="547"/>
      <c r="GQ54" s="547"/>
      <c r="GR54" s="547"/>
      <c r="GS54" s="547"/>
      <c r="GT54" s="547"/>
      <c r="GU54" s="547"/>
      <c r="GV54" s="547"/>
      <c r="GW54" s="547"/>
      <c r="GX54" s="547"/>
      <c r="GY54" s="547"/>
      <c r="GZ54" s="547"/>
      <c r="HA54" s="547"/>
      <c r="HB54" s="547"/>
      <c r="HC54" s="547"/>
      <c r="HD54" s="547"/>
      <c r="HE54" s="547"/>
      <c r="HF54" s="547"/>
      <c r="HG54" s="547"/>
      <c r="HH54" s="547"/>
      <c r="HI54" s="547"/>
      <c r="HJ54" s="547"/>
      <c r="HK54" s="547"/>
      <c r="HL54" s="547"/>
      <c r="HM54" s="547"/>
      <c r="HN54" s="547"/>
      <c r="HO54" s="547"/>
      <c r="HP54" s="547"/>
      <c r="HQ54" s="547"/>
      <c r="HR54" s="547"/>
      <c r="HS54" s="547"/>
      <c r="HT54" s="547"/>
      <c r="HU54" s="547"/>
      <c r="HV54" s="547"/>
      <c r="HW54" s="547"/>
      <c r="HX54" s="547"/>
      <c r="HY54" s="547"/>
      <c r="HZ54" s="547"/>
      <c r="IA54" s="547"/>
      <c r="IB54" s="547"/>
      <c r="IC54" s="547"/>
      <c r="ID54" s="547"/>
      <c r="IE54" s="547"/>
      <c r="IF54" s="547"/>
      <c r="IG54" s="547"/>
      <c r="IH54" s="547"/>
      <c r="II54" s="547"/>
      <c r="IJ54" s="547"/>
      <c r="IK54" s="547"/>
      <c r="IL54" s="547"/>
      <c r="IM54" s="547"/>
      <c r="IN54" s="547"/>
      <c r="IO54" s="547"/>
      <c r="IP54" s="547"/>
      <c r="IQ54" s="547"/>
      <c r="IR54" s="547"/>
    </row>
  </sheetData>
  <protectedRanges>
    <protectedRange sqref="C54:D54" name="Range3"/>
    <protectedRange sqref="G10:M50" name="Range1"/>
    <protectedRange sqref="D44:M50" name="Range2"/>
  </protectedRanges>
  <mergeCells count="14">
    <mergeCell ref="F7:F8"/>
    <mergeCell ref="G7:H7"/>
    <mergeCell ref="I7:J7"/>
    <mergeCell ref="K7:L7"/>
    <mergeCell ref="A1:M1"/>
    <mergeCell ref="A2:F2"/>
    <mergeCell ref="A3:M3"/>
    <mergeCell ref="A4:M4"/>
    <mergeCell ref="B5:G5"/>
    <mergeCell ref="A7:A8"/>
    <mergeCell ref="B7:B8"/>
    <mergeCell ref="C7:C8"/>
    <mergeCell ref="D7:D8"/>
    <mergeCell ref="E7:E8"/>
  </mergeCells>
  <conditionalFormatting sqref="B33 A11:M11 M12 H12 B13:M15 B18:M18 C16:M17 B19:B31 C19:M33 A13:A33">
    <cfRule type="cellIs" dxfId="91" priority="11" stopIfTrue="1" operator="equal">
      <formula>8223.307275</formula>
    </cfRule>
  </conditionalFormatting>
  <conditionalFormatting sqref="B17">
    <cfRule type="cellIs" dxfId="90" priority="10" stopIfTrue="1" operator="equal">
      <formula>8223.307275</formula>
    </cfRule>
  </conditionalFormatting>
  <conditionalFormatting sqref="B34:B35 C35:L35 M35:M43 A34:A43 C34:M34 B37:L37 B41:L43 C38:F40 H38:L40">
    <cfRule type="cellIs" dxfId="89" priority="9" stopIfTrue="1" operator="equal">
      <formula>8223.307275</formula>
    </cfRule>
  </conditionalFormatting>
  <conditionalFormatting sqref="B36">
    <cfRule type="cellIs" dxfId="88" priority="8" stopIfTrue="1" operator="equal">
      <formula>8223.307275</formula>
    </cfRule>
  </conditionalFormatting>
  <conditionalFormatting sqref="C36:L36">
    <cfRule type="cellIs" dxfId="87" priority="7" stopIfTrue="1" operator="equal">
      <formula>8223.307275</formula>
    </cfRule>
  </conditionalFormatting>
  <conditionalFormatting sqref="B38">
    <cfRule type="cellIs" dxfId="86" priority="6" stopIfTrue="1" operator="equal">
      <formula>8223.307275</formula>
    </cfRule>
  </conditionalFormatting>
  <conditionalFormatting sqref="G38">
    <cfRule type="cellIs" dxfId="85" priority="5" stopIfTrue="1" operator="equal">
      <formula>8223.307275</formula>
    </cfRule>
  </conditionalFormatting>
  <conditionalFormatting sqref="B39">
    <cfRule type="cellIs" dxfId="84" priority="4" stopIfTrue="1" operator="equal">
      <formula>8223.307275</formula>
    </cfRule>
  </conditionalFormatting>
  <conditionalFormatting sqref="G39">
    <cfRule type="cellIs" dxfId="83" priority="3" stopIfTrue="1" operator="equal">
      <formula>8223.307275</formula>
    </cfRule>
  </conditionalFormatting>
  <conditionalFormatting sqref="B40">
    <cfRule type="cellIs" dxfId="82" priority="2" stopIfTrue="1" operator="equal">
      <formula>8223.307275</formula>
    </cfRule>
  </conditionalFormatting>
  <conditionalFormatting sqref="G40">
    <cfRule type="cellIs" dxfId="81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8" orientation="landscape" r:id="rId1"/>
  <rowBreaks count="1" manualBreakCount="1">
    <brk id="33" max="1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3"/>
  <sheetViews>
    <sheetView view="pageBreakPreview" topLeftCell="C46" zoomScaleNormal="100" zoomScaleSheetLayoutView="100" workbookViewId="0">
      <selection activeCell="D63" sqref="D63:J69"/>
    </sheetView>
  </sheetViews>
  <sheetFormatPr defaultColWidth="7" defaultRowHeight="12.75"/>
  <cols>
    <col min="1" max="1" width="3.85546875" style="713" customWidth="1"/>
    <col min="2" max="2" width="9.5703125" style="713" customWidth="1"/>
    <col min="3" max="3" width="71.85546875" style="709" customWidth="1"/>
    <col min="4" max="4" width="12.42578125" style="715" customWidth="1"/>
    <col min="5" max="5" width="9.140625" style="715" customWidth="1"/>
    <col min="6" max="6" width="10.28515625" style="715" customWidth="1"/>
    <col min="7" max="7" width="8.85546875" style="715" customWidth="1"/>
    <col min="8" max="8" width="8.85546875" style="716" customWidth="1"/>
    <col min="9" max="9" width="8.85546875" style="715" customWidth="1"/>
    <col min="10" max="10" width="8.85546875" style="716" customWidth="1"/>
    <col min="11" max="11" width="8.85546875" style="715" customWidth="1"/>
    <col min="12" max="12" width="8.85546875" style="716" customWidth="1"/>
    <col min="13" max="13" width="10.42578125" style="716" customWidth="1"/>
    <col min="14" max="129" width="9.140625" style="700" customWidth="1"/>
    <col min="130" max="130" width="2.5703125" style="700" customWidth="1"/>
    <col min="131" max="131" width="9.140625" style="700" customWidth="1"/>
    <col min="132" max="132" width="47.85546875" style="700" customWidth="1"/>
    <col min="133" max="133" width="6.7109375" style="700" customWidth="1"/>
    <col min="134" max="134" width="7.42578125" style="700" customWidth="1"/>
    <col min="135" max="135" width="7" style="700"/>
    <col min="136" max="136" width="8.5703125" style="700" customWidth="1"/>
    <col min="137" max="137" width="12" style="700" customWidth="1"/>
    <col min="138" max="138" width="4.7109375" style="700" customWidth="1"/>
    <col min="139" max="139" width="9.140625" style="700" customWidth="1"/>
    <col min="140" max="140" width="11.7109375" style="700" customWidth="1"/>
    <col min="141" max="252" width="7" style="700"/>
    <col min="253" max="253" width="3.85546875" style="700" customWidth="1"/>
    <col min="254" max="254" width="14" style="700" customWidth="1"/>
    <col min="255" max="255" width="66.5703125" style="700" customWidth="1"/>
    <col min="256" max="256" width="9.42578125" style="700" customWidth="1"/>
    <col min="257" max="257" width="9.140625" style="700" customWidth="1"/>
    <col min="258" max="258" width="11.140625" style="700" bestFit="1" customWidth="1"/>
    <col min="259" max="259" width="9.140625" style="700" customWidth="1"/>
    <col min="260" max="260" width="10.42578125" style="700" customWidth="1"/>
    <col min="261" max="261" width="9.140625" style="700" customWidth="1"/>
    <col min="262" max="262" width="10.7109375" style="700" customWidth="1"/>
    <col min="263" max="263" width="9.140625" style="700" customWidth="1"/>
    <col min="264" max="264" width="10.140625" style="700" customWidth="1"/>
    <col min="265" max="265" width="11.140625" style="700" customWidth="1"/>
    <col min="266" max="385" width="9.140625" style="700" customWidth="1"/>
    <col min="386" max="386" width="2.5703125" style="700" customWidth="1"/>
    <col min="387" max="387" width="9.140625" style="700" customWidth="1"/>
    <col min="388" max="388" width="47.85546875" style="700" customWidth="1"/>
    <col min="389" max="389" width="6.7109375" style="700" customWidth="1"/>
    <col min="390" max="390" width="7.42578125" style="700" customWidth="1"/>
    <col min="391" max="391" width="7" style="700"/>
    <col min="392" max="392" width="8.5703125" style="700" customWidth="1"/>
    <col min="393" max="393" width="12" style="700" customWidth="1"/>
    <col min="394" max="394" width="4.7109375" style="700" customWidth="1"/>
    <col min="395" max="395" width="9.140625" style="700" customWidth="1"/>
    <col min="396" max="396" width="11.7109375" style="700" customWidth="1"/>
    <col min="397" max="508" width="7" style="700"/>
    <col min="509" max="509" width="3.85546875" style="700" customWidth="1"/>
    <col min="510" max="510" width="14" style="700" customWidth="1"/>
    <col min="511" max="511" width="66.5703125" style="700" customWidth="1"/>
    <col min="512" max="512" width="9.42578125" style="700" customWidth="1"/>
    <col min="513" max="513" width="9.140625" style="700" customWidth="1"/>
    <col min="514" max="514" width="11.140625" style="700" bestFit="1" customWidth="1"/>
    <col min="515" max="515" width="9.140625" style="700" customWidth="1"/>
    <col min="516" max="516" width="10.42578125" style="700" customWidth="1"/>
    <col min="517" max="517" width="9.140625" style="700" customWidth="1"/>
    <col min="518" max="518" width="10.7109375" style="700" customWidth="1"/>
    <col min="519" max="519" width="9.140625" style="700" customWidth="1"/>
    <col min="520" max="520" width="10.140625" style="700" customWidth="1"/>
    <col min="521" max="521" width="11.140625" style="700" customWidth="1"/>
    <col min="522" max="641" width="9.140625" style="700" customWidth="1"/>
    <col min="642" max="642" width="2.5703125" style="700" customWidth="1"/>
    <col min="643" max="643" width="9.140625" style="700" customWidth="1"/>
    <col min="644" max="644" width="47.85546875" style="700" customWidth="1"/>
    <col min="645" max="645" width="6.7109375" style="700" customWidth="1"/>
    <col min="646" max="646" width="7.42578125" style="700" customWidth="1"/>
    <col min="647" max="647" width="7" style="700"/>
    <col min="648" max="648" width="8.5703125" style="700" customWidth="1"/>
    <col min="649" max="649" width="12" style="700" customWidth="1"/>
    <col min="650" max="650" width="4.7109375" style="700" customWidth="1"/>
    <col min="651" max="651" width="9.140625" style="700" customWidth="1"/>
    <col min="652" max="652" width="11.7109375" style="700" customWidth="1"/>
    <col min="653" max="764" width="7" style="700"/>
    <col min="765" max="765" width="3.85546875" style="700" customWidth="1"/>
    <col min="766" max="766" width="14" style="700" customWidth="1"/>
    <col min="767" max="767" width="66.5703125" style="700" customWidth="1"/>
    <col min="768" max="768" width="9.42578125" style="700" customWidth="1"/>
    <col min="769" max="769" width="9.140625" style="700" customWidth="1"/>
    <col min="770" max="770" width="11.140625" style="700" bestFit="1" customWidth="1"/>
    <col min="771" max="771" width="9.140625" style="700" customWidth="1"/>
    <col min="772" max="772" width="10.42578125" style="700" customWidth="1"/>
    <col min="773" max="773" width="9.140625" style="700" customWidth="1"/>
    <col min="774" max="774" width="10.7109375" style="700" customWidth="1"/>
    <col min="775" max="775" width="9.140625" style="700" customWidth="1"/>
    <col min="776" max="776" width="10.140625" style="700" customWidth="1"/>
    <col min="777" max="777" width="11.140625" style="700" customWidth="1"/>
    <col min="778" max="897" width="9.140625" style="700" customWidth="1"/>
    <col min="898" max="898" width="2.5703125" style="700" customWidth="1"/>
    <col min="899" max="899" width="9.140625" style="700" customWidth="1"/>
    <col min="900" max="900" width="47.85546875" style="700" customWidth="1"/>
    <col min="901" max="901" width="6.7109375" style="700" customWidth="1"/>
    <col min="902" max="902" width="7.42578125" style="700" customWidth="1"/>
    <col min="903" max="903" width="7" style="700"/>
    <col min="904" max="904" width="8.5703125" style="700" customWidth="1"/>
    <col min="905" max="905" width="12" style="700" customWidth="1"/>
    <col min="906" max="906" width="4.7109375" style="700" customWidth="1"/>
    <col min="907" max="907" width="9.140625" style="700" customWidth="1"/>
    <col min="908" max="908" width="11.7109375" style="700" customWidth="1"/>
    <col min="909" max="1020" width="7" style="700"/>
    <col min="1021" max="1021" width="3.85546875" style="700" customWidth="1"/>
    <col min="1022" max="1022" width="14" style="700" customWidth="1"/>
    <col min="1023" max="1023" width="66.5703125" style="700" customWidth="1"/>
    <col min="1024" max="1024" width="9.42578125" style="700" customWidth="1"/>
    <col min="1025" max="1025" width="9.140625" style="700" customWidth="1"/>
    <col min="1026" max="1026" width="11.140625" style="700" bestFit="1" customWidth="1"/>
    <col min="1027" max="1027" width="9.140625" style="700" customWidth="1"/>
    <col min="1028" max="1028" width="10.42578125" style="700" customWidth="1"/>
    <col min="1029" max="1029" width="9.140625" style="700" customWidth="1"/>
    <col min="1030" max="1030" width="10.7109375" style="700" customWidth="1"/>
    <col min="1031" max="1031" width="9.140625" style="700" customWidth="1"/>
    <col min="1032" max="1032" width="10.140625" style="700" customWidth="1"/>
    <col min="1033" max="1033" width="11.140625" style="700" customWidth="1"/>
    <col min="1034" max="1153" width="9.140625" style="700" customWidth="1"/>
    <col min="1154" max="1154" width="2.5703125" style="700" customWidth="1"/>
    <col min="1155" max="1155" width="9.140625" style="700" customWidth="1"/>
    <col min="1156" max="1156" width="47.85546875" style="700" customWidth="1"/>
    <col min="1157" max="1157" width="6.7109375" style="700" customWidth="1"/>
    <col min="1158" max="1158" width="7.42578125" style="700" customWidth="1"/>
    <col min="1159" max="1159" width="7" style="700"/>
    <col min="1160" max="1160" width="8.5703125" style="700" customWidth="1"/>
    <col min="1161" max="1161" width="12" style="700" customWidth="1"/>
    <col min="1162" max="1162" width="4.7109375" style="700" customWidth="1"/>
    <col min="1163" max="1163" width="9.140625" style="700" customWidth="1"/>
    <col min="1164" max="1164" width="11.7109375" style="700" customWidth="1"/>
    <col min="1165" max="1276" width="7" style="700"/>
    <col min="1277" max="1277" width="3.85546875" style="700" customWidth="1"/>
    <col min="1278" max="1278" width="14" style="700" customWidth="1"/>
    <col min="1279" max="1279" width="66.5703125" style="700" customWidth="1"/>
    <col min="1280" max="1280" width="9.42578125" style="700" customWidth="1"/>
    <col min="1281" max="1281" width="9.140625" style="700" customWidth="1"/>
    <col min="1282" max="1282" width="11.140625" style="700" bestFit="1" customWidth="1"/>
    <col min="1283" max="1283" width="9.140625" style="700" customWidth="1"/>
    <col min="1284" max="1284" width="10.42578125" style="700" customWidth="1"/>
    <col min="1285" max="1285" width="9.140625" style="700" customWidth="1"/>
    <col min="1286" max="1286" width="10.7109375" style="700" customWidth="1"/>
    <col min="1287" max="1287" width="9.140625" style="700" customWidth="1"/>
    <col min="1288" max="1288" width="10.140625" style="700" customWidth="1"/>
    <col min="1289" max="1289" width="11.140625" style="700" customWidth="1"/>
    <col min="1290" max="1409" width="9.140625" style="700" customWidth="1"/>
    <col min="1410" max="1410" width="2.5703125" style="700" customWidth="1"/>
    <col min="1411" max="1411" width="9.140625" style="700" customWidth="1"/>
    <col min="1412" max="1412" width="47.85546875" style="700" customWidth="1"/>
    <col min="1413" max="1413" width="6.7109375" style="700" customWidth="1"/>
    <col min="1414" max="1414" width="7.42578125" style="700" customWidth="1"/>
    <col min="1415" max="1415" width="7" style="700"/>
    <col min="1416" max="1416" width="8.5703125" style="700" customWidth="1"/>
    <col min="1417" max="1417" width="12" style="700" customWidth="1"/>
    <col min="1418" max="1418" width="4.7109375" style="700" customWidth="1"/>
    <col min="1419" max="1419" width="9.140625" style="700" customWidth="1"/>
    <col min="1420" max="1420" width="11.7109375" style="700" customWidth="1"/>
    <col min="1421" max="1532" width="7" style="700"/>
    <col min="1533" max="1533" width="3.85546875" style="700" customWidth="1"/>
    <col min="1534" max="1534" width="14" style="700" customWidth="1"/>
    <col min="1535" max="1535" width="66.5703125" style="700" customWidth="1"/>
    <col min="1536" max="1536" width="9.42578125" style="700" customWidth="1"/>
    <col min="1537" max="1537" width="9.140625" style="700" customWidth="1"/>
    <col min="1538" max="1538" width="11.140625" style="700" bestFit="1" customWidth="1"/>
    <col min="1539" max="1539" width="9.140625" style="700" customWidth="1"/>
    <col min="1540" max="1540" width="10.42578125" style="700" customWidth="1"/>
    <col min="1541" max="1541" width="9.140625" style="700" customWidth="1"/>
    <col min="1542" max="1542" width="10.7109375" style="700" customWidth="1"/>
    <col min="1543" max="1543" width="9.140625" style="700" customWidth="1"/>
    <col min="1544" max="1544" width="10.140625" style="700" customWidth="1"/>
    <col min="1545" max="1545" width="11.140625" style="700" customWidth="1"/>
    <col min="1546" max="1665" width="9.140625" style="700" customWidth="1"/>
    <col min="1666" max="1666" width="2.5703125" style="700" customWidth="1"/>
    <col min="1667" max="1667" width="9.140625" style="700" customWidth="1"/>
    <col min="1668" max="1668" width="47.85546875" style="700" customWidth="1"/>
    <col min="1669" max="1669" width="6.7109375" style="700" customWidth="1"/>
    <col min="1670" max="1670" width="7.42578125" style="700" customWidth="1"/>
    <col min="1671" max="1671" width="7" style="700"/>
    <col min="1672" max="1672" width="8.5703125" style="700" customWidth="1"/>
    <col min="1673" max="1673" width="12" style="700" customWidth="1"/>
    <col min="1674" max="1674" width="4.7109375" style="700" customWidth="1"/>
    <col min="1675" max="1675" width="9.140625" style="700" customWidth="1"/>
    <col min="1676" max="1676" width="11.7109375" style="700" customWidth="1"/>
    <col min="1677" max="1788" width="7" style="700"/>
    <col min="1789" max="1789" width="3.85546875" style="700" customWidth="1"/>
    <col min="1790" max="1790" width="14" style="700" customWidth="1"/>
    <col min="1791" max="1791" width="66.5703125" style="700" customWidth="1"/>
    <col min="1792" max="1792" width="9.42578125" style="700" customWidth="1"/>
    <col min="1793" max="1793" width="9.140625" style="700" customWidth="1"/>
    <col min="1794" max="1794" width="11.140625" style="700" bestFit="1" customWidth="1"/>
    <col min="1795" max="1795" width="9.140625" style="700" customWidth="1"/>
    <col min="1796" max="1796" width="10.42578125" style="700" customWidth="1"/>
    <col min="1797" max="1797" width="9.140625" style="700" customWidth="1"/>
    <col min="1798" max="1798" width="10.7109375" style="700" customWidth="1"/>
    <col min="1799" max="1799" width="9.140625" style="700" customWidth="1"/>
    <col min="1800" max="1800" width="10.140625" style="700" customWidth="1"/>
    <col min="1801" max="1801" width="11.140625" style="700" customWidth="1"/>
    <col min="1802" max="1921" width="9.140625" style="700" customWidth="1"/>
    <col min="1922" max="1922" width="2.5703125" style="700" customWidth="1"/>
    <col min="1923" max="1923" width="9.140625" style="700" customWidth="1"/>
    <col min="1924" max="1924" width="47.85546875" style="700" customWidth="1"/>
    <col min="1925" max="1925" width="6.7109375" style="700" customWidth="1"/>
    <col min="1926" max="1926" width="7.42578125" style="700" customWidth="1"/>
    <col min="1927" max="1927" width="7" style="700"/>
    <col min="1928" max="1928" width="8.5703125" style="700" customWidth="1"/>
    <col min="1929" max="1929" width="12" style="700" customWidth="1"/>
    <col min="1930" max="1930" width="4.7109375" style="700" customWidth="1"/>
    <col min="1931" max="1931" width="9.140625" style="700" customWidth="1"/>
    <col min="1932" max="1932" width="11.7109375" style="700" customWidth="1"/>
    <col min="1933" max="2044" width="7" style="700"/>
    <col min="2045" max="2045" width="3.85546875" style="700" customWidth="1"/>
    <col min="2046" max="2046" width="14" style="700" customWidth="1"/>
    <col min="2047" max="2047" width="66.5703125" style="700" customWidth="1"/>
    <col min="2048" max="2048" width="9.42578125" style="700" customWidth="1"/>
    <col min="2049" max="2049" width="9.140625" style="700" customWidth="1"/>
    <col min="2050" max="2050" width="11.140625" style="700" bestFit="1" customWidth="1"/>
    <col min="2051" max="2051" width="9.140625" style="700" customWidth="1"/>
    <col min="2052" max="2052" width="10.42578125" style="700" customWidth="1"/>
    <col min="2053" max="2053" width="9.140625" style="700" customWidth="1"/>
    <col min="2054" max="2054" width="10.7109375" style="700" customWidth="1"/>
    <col min="2055" max="2055" width="9.140625" style="700" customWidth="1"/>
    <col min="2056" max="2056" width="10.140625" style="700" customWidth="1"/>
    <col min="2057" max="2057" width="11.140625" style="700" customWidth="1"/>
    <col min="2058" max="2177" width="9.140625" style="700" customWidth="1"/>
    <col min="2178" max="2178" width="2.5703125" style="700" customWidth="1"/>
    <col min="2179" max="2179" width="9.140625" style="700" customWidth="1"/>
    <col min="2180" max="2180" width="47.85546875" style="700" customWidth="1"/>
    <col min="2181" max="2181" width="6.7109375" style="700" customWidth="1"/>
    <col min="2182" max="2182" width="7.42578125" style="700" customWidth="1"/>
    <col min="2183" max="2183" width="7" style="700"/>
    <col min="2184" max="2184" width="8.5703125" style="700" customWidth="1"/>
    <col min="2185" max="2185" width="12" style="700" customWidth="1"/>
    <col min="2186" max="2186" width="4.7109375" style="700" customWidth="1"/>
    <col min="2187" max="2187" width="9.140625" style="700" customWidth="1"/>
    <col min="2188" max="2188" width="11.7109375" style="700" customWidth="1"/>
    <col min="2189" max="2300" width="7" style="700"/>
    <col min="2301" max="2301" width="3.85546875" style="700" customWidth="1"/>
    <col min="2302" max="2302" width="14" style="700" customWidth="1"/>
    <col min="2303" max="2303" width="66.5703125" style="700" customWidth="1"/>
    <col min="2304" max="2304" width="9.42578125" style="700" customWidth="1"/>
    <col min="2305" max="2305" width="9.140625" style="700" customWidth="1"/>
    <col min="2306" max="2306" width="11.140625" style="700" bestFit="1" customWidth="1"/>
    <col min="2307" max="2307" width="9.140625" style="700" customWidth="1"/>
    <col min="2308" max="2308" width="10.42578125" style="700" customWidth="1"/>
    <col min="2309" max="2309" width="9.140625" style="700" customWidth="1"/>
    <col min="2310" max="2310" width="10.7109375" style="700" customWidth="1"/>
    <col min="2311" max="2311" width="9.140625" style="700" customWidth="1"/>
    <col min="2312" max="2312" width="10.140625" style="700" customWidth="1"/>
    <col min="2313" max="2313" width="11.140625" style="700" customWidth="1"/>
    <col min="2314" max="2433" width="9.140625" style="700" customWidth="1"/>
    <col min="2434" max="2434" width="2.5703125" style="700" customWidth="1"/>
    <col min="2435" max="2435" width="9.140625" style="700" customWidth="1"/>
    <col min="2436" max="2436" width="47.85546875" style="700" customWidth="1"/>
    <col min="2437" max="2437" width="6.7109375" style="700" customWidth="1"/>
    <col min="2438" max="2438" width="7.42578125" style="700" customWidth="1"/>
    <col min="2439" max="2439" width="7" style="700"/>
    <col min="2440" max="2440" width="8.5703125" style="700" customWidth="1"/>
    <col min="2441" max="2441" width="12" style="700" customWidth="1"/>
    <col min="2442" max="2442" width="4.7109375" style="700" customWidth="1"/>
    <col min="2443" max="2443" width="9.140625" style="700" customWidth="1"/>
    <col min="2444" max="2444" width="11.7109375" style="700" customWidth="1"/>
    <col min="2445" max="2556" width="7" style="700"/>
    <col min="2557" max="2557" width="3.85546875" style="700" customWidth="1"/>
    <col min="2558" max="2558" width="14" style="700" customWidth="1"/>
    <col min="2559" max="2559" width="66.5703125" style="700" customWidth="1"/>
    <col min="2560" max="2560" width="9.42578125" style="700" customWidth="1"/>
    <col min="2561" max="2561" width="9.140625" style="700" customWidth="1"/>
    <col min="2562" max="2562" width="11.140625" style="700" bestFit="1" customWidth="1"/>
    <col min="2563" max="2563" width="9.140625" style="700" customWidth="1"/>
    <col min="2564" max="2564" width="10.42578125" style="700" customWidth="1"/>
    <col min="2565" max="2565" width="9.140625" style="700" customWidth="1"/>
    <col min="2566" max="2566" width="10.7109375" style="700" customWidth="1"/>
    <col min="2567" max="2567" width="9.140625" style="700" customWidth="1"/>
    <col min="2568" max="2568" width="10.140625" style="700" customWidth="1"/>
    <col min="2569" max="2569" width="11.140625" style="700" customWidth="1"/>
    <col min="2570" max="2689" width="9.140625" style="700" customWidth="1"/>
    <col min="2690" max="2690" width="2.5703125" style="700" customWidth="1"/>
    <col min="2691" max="2691" width="9.140625" style="700" customWidth="1"/>
    <col min="2692" max="2692" width="47.85546875" style="700" customWidth="1"/>
    <col min="2693" max="2693" width="6.7109375" style="700" customWidth="1"/>
    <col min="2694" max="2694" width="7.42578125" style="700" customWidth="1"/>
    <col min="2695" max="2695" width="7" style="700"/>
    <col min="2696" max="2696" width="8.5703125" style="700" customWidth="1"/>
    <col min="2697" max="2697" width="12" style="700" customWidth="1"/>
    <col min="2698" max="2698" width="4.7109375" style="700" customWidth="1"/>
    <col min="2699" max="2699" width="9.140625" style="700" customWidth="1"/>
    <col min="2700" max="2700" width="11.7109375" style="700" customWidth="1"/>
    <col min="2701" max="2812" width="7" style="700"/>
    <col min="2813" max="2813" width="3.85546875" style="700" customWidth="1"/>
    <col min="2814" max="2814" width="14" style="700" customWidth="1"/>
    <col min="2815" max="2815" width="66.5703125" style="700" customWidth="1"/>
    <col min="2816" max="2816" width="9.42578125" style="700" customWidth="1"/>
    <col min="2817" max="2817" width="9.140625" style="700" customWidth="1"/>
    <col min="2818" max="2818" width="11.140625" style="700" bestFit="1" customWidth="1"/>
    <col min="2819" max="2819" width="9.140625" style="700" customWidth="1"/>
    <col min="2820" max="2820" width="10.42578125" style="700" customWidth="1"/>
    <col min="2821" max="2821" width="9.140625" style="700" customWidth="1"/>
    <col min="2822" max="2822" width="10.7109375" style="700" customWidth="1"/>
    <col min="2823" max="2823" width="9.140625" style="700" customWidth="1"/>
    <col min="2824" max="2824" width="10.140625" style="700" customWidth="1"/>
    <col min="2825" max="2825" width="11.140625" style="700" customWidth="1"/>
    <col min="2826" max="2945" width="9.140625" style="700" customWidth="1"/>
    <col min="2946" max="2946" width="2.5703125" style="700" customWidth="1"/>
    <col min="2947" max="2947" width="9.140625" style="700" customWidth="1"/>
    <col min="2948" max="2948" width="47.85546875" style="700" customWidth="1"/>
    <col min="2949" max="2949" width="6.7109375" style="700" customWidth="1"/>
    <col min="2950" max="2950" width="7.42578125" style="700" customWidth="1"/>
    <col min="2951" max="2951" width="7" style="700"/>
    <col min="2952" max="2952" width="8.5703125" style="700" customWidth="1"/>
    <col min="2953" max="2953" width="12" style="700" customWidth="1"/>
    <col min="2954" max="2954" width="4.7109375" style="700" customWidth="1"/>
    <col min="2955" max="2955" width="9.140625" style="700" customWidth="1"/>
    <col min="2956" max="2956" width="11.7109375" style="700" customWidth="1"/>
    <col min="2957" max="3068" width="7" style="700"/>
    <col min="3069" max="3069" width="3.85546875" style="700" customWidth="1"/>
    <col min="3070" max="3070" width="14" style="700" customWidth="1"/>
    <col min="3071" max="3071" width="66.5703125" style="700" customWidth="1"/>
    <col min="3072" max="3072" width="9.42578125" style="700" customWidth="1"/>
    <col min="3073" max="3073" width="9.140625" style="700" customWidth="1"/>
    <col min="3074" max="3074" width="11.140625" style="700" bestFit="1" customWidth="1"/>
    <col min="3075" max="3075" width="9.140625" style="700" customWidth="1"/>
    <col min="3076" max="3076" width="10.42578125" style="700" customWidth="1"/>
    <col min="3077" max="3077" width="9.140625" style="700" customWidth="1"/>
    <col min="3078" max="3078" width="10.7109375" style="700" customWidth="1"/>
    <col min="3079" max="3079" width="9.140625" style="700" customWidth="1"/>
    <col min="3080" max="3080" width="10.140625" style="700" customWidth="1"/>
    <col min="3081" max="3081" width="11.140625" style="700" customWidth="1"/>
    <col min="3082" max="3201" width="9.140625" style="700" customWidth="1"/>
    <col min="3202" max="3202" width="2.5703125" style="700" customWidth="1"/>
    <col min="3203" max="3203" width="9.140625" style="700" customWidth="1"/>
    <col min="3204" max="3204" width="47.85546875" style="700" customWidth="1"/>
    <col min="3205" max="3205" width="6.7109375" style="700" customWidth="1"/>
    <col min="3206" max="3206" width="7.42578125" style="700" customWidth="1"/>
    <col min="3207" max="3207" width="7" style="700"/>
    <col min="3208" max="3208" width="8.5703125" style="700" customWidth="1"/>
    <col min="3209" max="3209" width="12" style="700" customWidth="1"/>
    <col min="3210" max="3210" width="4.7109375" style="700" customWidth="1"/>
    <col min="3211" max="3211" width="9.140625" style="700" customWidth="1"/>
    <col min="3212" max="3212" width="11.7109375" style="700" customWidth="1"/>
    <col min="3213" max="3324" width="7" style="700"/>
    <col min="3325" max="3325" width="3.85546875" style="700" customWidth="1"/>
    <col min="3326" max="3326" width="14" style="700" customWidth="1"/>
    <col min="3327" max="3327" width="66.5703125" style="700" customWidth="1"/>
    <col min="3328" max="3328" width="9.42578125" style="700" customWidth="1"/>
    <col min="3329" max="3329" width="9.140625" style="700" customWidth="1"/>
    <col min="3330" max="3330" width="11.140625" style="700" bestFit="1" customWidth="1"/>
    <col min="3331" max="3331" width="9.140625" style="700" customWidth="1"/>
    <col min="3332" max="3332" width="10.42578125" style="700" customWidth="1"/>
    <col min="3333" max="3333" width="9.140625" style="700" customWidth="1"/>
    <col min="3334" max="3334" width="10.7109375" style="700" customWidth="1"/>
    <col min="3335" max="3335" width="9.140625" style="700" customWidth="1"/>
    <col min="3336" max="3336" width="10.140625" style="700" customWidth="1"/>
    <col min="3337" max="3337" width="11.140625" style="700" customWidth="1"/>
    <col min="3338" max="3457" width="9.140625" style="700" customWidth="1"/>
    <col min="3458" max="3458" width="2.5703125" style="700" customWidth="1"/>
    <col min="3459" max="3459" width="9.140625" style="700" customWidth="1"/>
    <col min="3460" max="3460" width="47.85546875" style="700" customWidth="1"/>
    <col min="3461" max="3461" width="6.7109375" style="700" customWidth="1"/>
    <col min="3462" max="3462" width="7.42578125" style="700" customWidth="1"/>
    <col min="3463" max="3463" width="7" style="700"/>
    <col min="3464" max="3464" width="8.5703125" style="700" customWidth="1"/>
    <col min="3465" max="3465" width="12" style="700" customWidth="1"/>
    <col min="3466" max="3466" width="4.7109375" style="700" customWidth="1"/>
    <col min="3467" max="3467" width="9.140625" style="700" customWidth="1"/>
    <col min="3468" max="3468" width="11.7109375" style="700" customWidth="1"/>
    <col min="3469" max="3580" width="7" style="700"/>
    <col min="3581" max="3581" width="3.85546875" style="700" customWidth="1"/>
    <col min="3582" max="3582" width="14" style="700" customWidth="1"/>
    <col min="3583" max="3583" width="66.5703125" style="700" customWidth="1"/>
    <col min="3584" max="3584" width="9.42578125" style="700" customWidth="1"/>
    <col min="3585" max="3585" width="9.140625" style="700" customWidth="1"/>
    <col min="3586" max="3586" width="11.140625" style="700" bestFit="1" customWidth="1"/>
    <col min="3587" max="3587" width="9.140625" style="700" customWidth="1"/>
    <col min="3588" max="3588" width="10.42578125" style="700" customWidth="1"/>
    <col min="3589" max="3589" width="9.140625" style="700" customWidth="1"/>
    <col min="3590" max="3590" width="10.7109375" style="700" customWidth="1"/>
    <col min="3591" max="3591" width="9.140625" style="700" customWidth="1"/>
    <col min="3592" max="3592" width="10.140625" style="700" customWidth="1"/>
    <col min="3593" max="3593" width="11.140625" style="700" customWidth="1"/>
    <col min="3594" max="3713" width="9.140625" style="700" customWidth="1"/>
    <col min="3714" max="3714" width="2.5703125" style="700" customWidth="1"/>
    <col min="3715" max="3715" width="9.140625" style="700" customWidth="1"/>
    <col min="3716" max="3716" width="47.85546875" style="700" customWidth="1"/>
    <col min="3717" max="3717" width="6.7109375" style="700" customWidth="1"/>
    <col min="3718" max="3718" width="7.42578125" style="700" customWidth="1"/>
    <col min="3719" max="3719" width="7" style="700"/>
    <col min="3720" max="3720" width="8.5703125" style="700" customWidth="1"/>
    <col min="3721" max="3721" width="12" style="700" customWidth="1"/>
    <col min="3722" max="3722" width="4.7109375" style="700" customWidth="1"/>
    <col min="3723" max="3723" width="9.140625" style="700" customWidth="1"/>
    <col min="3724" max="3724" width="11.7109375" style="700" customWidth="1"/>
    <col min="3725" max="3836" width="7" style="700"/>
    <col min="3837" max="3837" width="3.85546875" style="700" customWidth="1"/>
    <col min="3838" max="3838" width="14" style="700" customWidth="1"/>
    <col min="3839" max="3839" width="66.5703125" style="700" customWidth="1"/>
    <col min="3840" max="3840" width="9.42578125" style="700" customWidth="1"/>
    <col min="3841" max="3841" width="9.140625" style="700" customWidth="1"/>
    <col min="3842" max="3842" width="11.140625" style="700" bestFit="1" customWidth="1"/>
    <col min="3843" max="3843" width="9.140625" style="700" customWidth="1"/>
    <col min="3844" max="3844" width="10.42578125" style="700" customWidth="1"/>
    <col min="3845" max="3845" width="9.140625" style="700" customWidth="1"/>
    <col min="3846" max="3846" width="10.7109375" style="700" customWidth="1"/>
    <col min="3847" max="3847" width="9.140625" style="700" customWidth="1"/>
    <col min="3848" max="3848" width="10.140625" style="700" customWidth="1"/>
    <col min="3849" max="3849" width="11.140625" style="700" customWidth="1"/>
    <col min="3850" max="3969" width="9.140625" style="700" customWidth="1"/>
    <col min="3970" max="3970" width="2.5703125" style="700" customWidth="1"/>
    <col min="3971" max="3971" width="9.140625" style="700" customWidth="1"/>
    <col min="3972" max="3972" width="47.85546875" style="700" customWidth="1"/>
    <col min="3973" max="3973" width="6.7109375" style="700" customWidth="1"/>
    <col min="3974" max="3974" width="7.42578125" style="700" customWidth="1"/>
    <col min="3975" max="3975" width="7" style="700"/>
    <col min="3976" max="3976" width="8.5703125" style="700" customWidth="1"/>
    <col min="3977" max="3977" width="12" style="700" customWidth="1"/>
    <col min="3978" max="3978" width="4.7109375" style="700" customWidth="1"/>
    <col min="3979" max="3979" width="9.140625" style="700" customWidth="1"/>
    <col min="3980" max="3980" width="11.7109375" style="700" customWidth="1"/>
    <col min="3981" max="4092" width="7" style="700"/>
    <col min="4093" max="4093" width="3.85546875" style="700" customWidth="1"/>
    <col min="4094" max="4094" width="14" style="700" customWidth="1"/>
    <col min="4095" max="4095" width="66.5703125" style="700" customWidth="1"/>
    <col min="4096" max="4096" width="9.42578125" style="700" customWidth="1"/>
    <col min="4097" max="4097" width="9.140625" style="700" customWidth="1"/>
    <col min="4098" max="4098" width="11.140625" style="700" bestFit="1" customWidth="1"/>
    <col min="4099" max="4099" width="9.140625" style="700" customWidth="1"/>
    <col min="4100" max="4100" width="10.42578125" style="700" customWidth="1"/>
    <col min="4101" max="4101" width="9.140625" style="700" customWidth="1"/>
    <col min="4102" max="4102" width="10.7109375" style="700" customWidth="1"/>
    <col min="4103" max="4103" width="9.140625" style="700" customWidth="1"/>
    <col min="4104" max="4104" width="10.140625" style="700" customWidth="1"/>
    <col min="4105" max="4105" width="11.140625" style="700" customWidth="1"/>
    <col min="4106" max="4225" width="9.140625" style="700" customWidth="1"/>
    <col min="4226" max="4226" width="2.5703125" style="700" customWidth="1"/>
    <col min="4227" max="4227" width="9.140625" style="700" customWidth="1"/>
    <col min="4228" max="4228" width="47.85546875" style="700" customWidth="1"/>
    <col min="4229" max="4229" width="6.7109375" style="700" customWidth="1"/>
    <col min="4230" max="4230" width="7.42578125" style="700" customWidth="1"/>
    <col min="4231" max="4231" width="7" style="700"/>
    <col min="4232" max="4232" width="8.5703125" style="700" customWidth="1"/>
    <col min="4233" max="4233" width="12" style="700" customWidth="1"/>
    <col min="4234" max="4234" width="4.7109375" style="700" customWidth="1"/>
    <col min="4235" max="4235" width="9.140625" style="700" customWidth="1"/>
    <col min="4236" max="4236" width="11.7109375" style="700" customWidth="1"/>
    <col min="4237" max="4348" width="7" style="700"/>
    <col min="4349" max="4349" width="3.85546875" style="700" customWidth="1"/>
    <col min="4350" max="4350" width="14" style="700" customWidth="1"/>
    <col min="4351" max="4351" width="66.5703125" style="700" customWidth="1"/>
    <col min="4352" max="4352" width="9.42578125" style="700" customWidth="1"/>
    <col min="4353" max="4353" width="9.140625" style="700" customWidth="1"/>
    <col min="4354" max="4354" width="11.140625" style="700" bestFit="1" customWidth="1"/>
    <col min="4355" max="4355" width="9.140625" style="700" customWidth="1"/>
    <col min="4356" max="4356" width="10.42578125" style="700" customWidth="1"/>
    <col min="4357" max="4357" width="9.140625" style="700" customWidth="1"/>
    <col min="4358" max="4358" width="10.7109375" style="700" customWidth="1"/>
    <col min="4359" max="4359" width="9.140625" style="700" customWidth="1"/>
    <col min="4360" max="4360" width="10.140625" style="700" customWidth="1"/>
    <col min="4361" max="4361" width="11.140625" style="700" customWidth="1"/>
    <col min="4362" max="4481" width="9.140625" style="700" customWidth="1"/>
    <col min="4482" max="4482" width="2.5703125" style="700" customWidth="1"/>
    <col min="4483" max="4483" width="9.140625" style="700" customWidth="1"/>
    <col min="4484" max="4484" width="47.85546875" style="700" customWidth="1"/>
    <col min="4485" max="4485" width="6.7109375" style="700" customWidth="1"/>
    <col min="4486" max="4486" width="7.42578125" style="700" customWidth="1"/>
    <col min="4487" max="4487" width="7" style="700"/>
    <col min="4488" max="4488" width="8.5703125" style="700" customWidth="1"/>
    <col min="4489" max="4489" width="12" style="700" customWidth="1"/>
    <col min="4490" max="4490" width="4.7109375" style="700" customWidth="1"/>
    <col min="4491" max="4491" width="9.140625" style="700" customWidth="1"/>
    <col min="4492" max="4492" width="11.7109375" style="700" customWidth="1"/>
    <col min="4493" max="4604" width="7" style="700"/>
    <col min="4605" max="4605" width="3.85546875" style="700" customWidth="1"/>
    <col min="4606" max="4606" width="14" style="700" customWidth="1"/>
    <col min="4607" max="4607" width="66.5703125" style="700" customWidth="1"/>
    <col min="4608" max="4608" width="9.42578125" style="700" customWidth="1"/>
    <col min="4609" max="4609" width="9.140625" style="700" customWidth="1"/>
    <col min="4610" max="4610" width="11.140625" style="700" bestFit="1" customWidth="1"/>
    <col min="4611" max="4611" width="9.140625" style="700" customWidth="1"/>
    <col min="4612" max="4612" width="10.42578125" style="700" customWidth="1"/>
    <col min="4613" max="4613" width="9.140625" style="700" customWidth="1"/>
    <col min="4614" max="4614" width="10.7109375" style="700" customWidth="1"/>
    <col min="4615" max="4615" width="9.140625" style="700" customWidth="1"/>
    <col min="4616" max="4616" width="10.140625" style="700" customWidth="1"/>
    <col min="4617" max="4617" width="11.140625" style="700" customWidth="1"/>
    <col min="4618" max="4737" width="9.140625" style="700" customWidth="1"/>
    <col min="4738" max="4738" width="2.5703125" style="700" customWidth="1"/>
    <col min="4739" max="4739" width="9.140625" style="700" customWidth="1"/>
    <col min="4740" max="4740" width="47.85546875" style="700" customWidth="1"/>
    <col min="4741" max="4741" width="6.7109375" style="700" customWidth="1"/>
    <col min="4742" max="4742" width="7.42578125" style="700" customWidth="1"/>
    <col min="4743" max="4743" width="7" style="700"/>
    <col min="4744" max="4744" width="8.5703125" style="700" customWidth="1"/>
    <col min="4745" max="4745" width="12" style="700" customWidth="1"/>
    <col min="4746" max="4746" width="4.7109375" style="700" customWidth="1"/>
    <col min="4747" max="4747" width="9.140625" style="700" customWidth="1"/>
    <col min="4748" max="4748" width="11.7109375" style="700" customWidth="1"/>
    <col min="4749" max="4860" width="7" style="700"/>
    <col min="4861" max="4861" width="3.85546875" style="700" customWidth="1"/>
    <col min="4862" max="4862" width="14" style="700" customWidth="1"/>
    <col min="4863" max="4863" width="66.5703125" style="700" customWidth="1"/>
    <col min="4864" max="4864" width="9.42578125" style="700" customWidth="1"/>
    <col min="4865" max="4865" width="9.140625" style="700" customWidth="1"/>
    <col min="4866" max="4866" width="11.140625" style="700" bestFit="1" customWidth="1"/>
    <col min="4867" max="4867" width="9.140625" style="700" customWidth="1"/>
    <col min="4868" max="4868" width="10.42578125" style="700" customWidth="1"/>
    <col min="4869" max="4869" width="9.140625" style="700" customWidth="1"/>
    <col min="4870" max="4870" width="10.7109375" style="700" customWidth="1"/>
    <col min="4871" max="4871" width="9.140625" style="700" customWidth="1"/>
    <col min="4872" max="4872" width="10.140625" style="700" customWidth="1"/>
    <col min="4873" max="4873" width="11.140625" style="700" customWidth="1"/>
    <col min="4874" max="4993" width="9.140625" style="700" customWidth="1"/>
    <col min="4994" max="4994" width="2.5703125" style="700" customWidth="1"/>
    <col min="4995" max="4995" width="9.140625" style="700" customWidth="1"/>
    <col min="4996" max="4996" width="47.85546875" style="700" customWidth="1"/>
    <col min="4997" max="4997" width="6.7109375" style="700" customWidth="1"/>
    <col min="4998" max="4998" width="7.42578125" style="700" customWidth="1"/>
    <col min="4999" max="4999" width="7" style="700"/>
    <col min="5000" max="5000" width="8.5703125" style="700" customWidth="1"/>
    <col min="5001" max="5001" width="12" style="700" customWidth="1"/>
    <col min="5002" max="5002" width="4.7109375" style="700" customWidth="1"/>
    <col min="5003" max="5003" width="9.140625" style="700" customWidth="1"/>
    <col min="5004" max="5004" width="11.7109375" style="700" customWidth="1"/>
    <col min="5005" max="5116" width="7" style="700"/>
    <col min="5117" max="5117" width="3.85546875" style="700" customWidth="1"/>
    <col min="5118" max="5118" width="14" style="700" customWidth="1"/>
    <col min="5119" max="5119" width="66.5703125" style="700" customWidth="1"/>
    <col min="5120" max="5120" width="9.42578125" style="700" customWidth="1"/>
    <col min="5121" max="5121" width="9.140625" style="700" customWidth="1"/>
    <col min="5122" max="5122" width="11.140625" style="700" bestFit="1" customWidth="1"/>
    <col min="5123" max="5123" width="9.140625" style="700" customWidth="1"/>
    <col min="5124" max="5124" width="10.42578125" style="700" customWidth="1"/>
    <col min="5125" max="5125" width="9.140625" style="700" customWidth="1"/>
    <col min="5126" max="5126" width="10.7109375" style="700" customWidth="1"/>
    <col min="5127" max="5127" width="9.140625" style="700" customWidth="1"/>
    <col min="5128" max="5128" width="10.140625" style="700" customWidth="1"/>
    <col min="5129" max="5129" width="11.140625" style="700" customWidth="1"/>
    <col min="5130" max="5249" width="9.140625" style="700" customWidth="1"/>
    <col min="5250" max="5250" width="2.5703125" style="700" customWidth="1"/>
    <col min="5251" max="5251" width="9.140625" style="700" customWidth="1"/>
    <col min="5252" max="5252" width="47.85546875" style="700" customWidth="1"/>
    <col min="5253" max="5253" width="6.7109375" style="700" customWidth="1"/>
    <col min="5254" max="5254" width="7.42578125" style="700" customWidth="1"/>
    <col min="5255" max="5255" width="7" style="700"/>
    <col min="5256" max="5256" width="8.5703125" style="700" customWidth="1"/>
    <col min="5257" max="5257" width="12" style="700" customWidth="1"/>
    <col min="5258" max="5258" width="4.7109375" style="700" customWidth="1"/>
    <col min="5259" max="5259" width="9.140625" style="700" customWidth="1"/>
    <col min="5260" max="5260" width="11.7109375" style="700" customWidth="1"/>
    <col min="5261" max="5372" width="7" style="700"/>
    <col min="5373" max="5373" width="3.85546875" style="700" customWidth="1"/>
    <col min="5374" max="5374" width="14" style="700" customWidth="1"/>
    <col min="5375" max="5375" width="66.5703125" style="700" customWidth="1"/>
    <col min="5376" max="5376" width="9.42578125" style="700" customWidth="1"/>
    <col min="5377" max="5377" width="9.140625" style="700" customWidth="1"/>
    <col min="5378" max="5378" width="11.140625" style="700" bestFit="1" customWidth="1"/>
    <col min="5379" max="5379" width="9.140625" style="700" customWidth="1"/>
    <col min="5380" max="5380" width="10.42578125" style="700" customWidth="1"/>
    <col min="5381" max="5381" width="9.140625" style="700" customWidth="1"/>
    <col min="5382" max="5382" width="10.7109375" style="700" customWidth="1"/>
    <col min="5383" max="5383" width="9.140625" style="700" customWidth="1"/>
    <col min="5384" max="5384" width="10.140625" style="700" customWidth="1"/>
    <col min="5385" max="5385" width="11.140625" style="700" customWidth="1"/>
    <col min="5386" max="5505" width="9.140625" style="700" customWidth="1"/>
    <col min="5506" max="5506" width="2.5703125" style="700" customWidth="1"/>
    <col min="5507" max="5507" width="9.140625" style="700" customWidth="1"/>
    <col min="5508" max="5508" width="47.85546875" style="700" customWidth="1"/>
    <col min="5509" max="5509" width="6.7109375" style="700" customWidth="1"/>
    <col min="5510" max="5510" width="7.42578125" style="700" customWidth="1"/>
    <col min="5511" max="5511" width="7" style="700"/>
    <col min="5512" max="5512" width="8.5703125" style="700" customWidth="1"/>
    <col min="5513" max="5513" width="12" style="700" customWidth="1"/>
    <col min="5514" max="5514" width="4.7109375" style="700" customWidth="1"/>
    <col min="5515" max="5515" width="9.140625" style="700" customWidth="1"/>
    <col min="5516" max="5516" width="11.7109375" style="700" customWidth="1"/>
    <col min="5517" max="5628" width="7" style="700"/>
    <col min="5629" max="5629" width="3.85546875" style="700" customWidth="1"/>
    <col min="5630" max="5630" width="14" style="700" customWidth="1"/>
    <col min="5631" max="5631" width="66.5703125" style="700" customWidth="1"/>
    <col min="5632" max="5632" width="9.42578125" style="700" customWidth="1"/>
    <col min="5633" max="5633" width="9.140625" style="700" customWidth="1"/>
    <col min="5634" max="5634" width="11.140625" style="700" bestFit="1" customWidth="1"/>
    <col min="5635" max="5635" width="9.140625" style="700" customWidth="1"/>
    <col min="5636" max="5636" width="10.42578125" style="700" customWidth="1"/>
    <col min="5637" max="5637" width="9.140625" style="700" customWidth="1"/>
    <col min="5638" max="5638" width="10.7109375" style="700" customWidth="1"/>
    <col min="5639" max="5639" width="9.140625" style="700" customWidth="1"/>
    <col min="5640" max="5640" width="10.140625" style="700" customWidth="1"/>
    <col min="5641" max="5641" width="11.140625" style="700" customWidth="1"/>
    <col min="5642" max="5761" width="9.140625" style="700" customWidth="1"/>
    <col min="5762" max="5762" width="2.5703125" style="700" customWidth="1"/>
    <col min="5763" max="5763" width="9.140625" style="700" customWidth="1"/>
    <col min="5764" max="5764" width="47.85546875" style="700" customWidth="1"/>
    <col min="5765" max="5765" width="6.7109375" style="700" customWidth="1"/>
    <col min="5766" max="5766" width="7.42578125" style="700" customWidth="1"/>
    <col min="5767" max="5767" width="7" style="700"/>
    <col min="5768" max="5768" width="8.5703125" style="700" customWidth="1"/>
    <col min="5769" max="5769" width="12" style="700" customWidth="1"/>
    <col min="5770" max="5770" width="4.7109375" style="700" customWidth="1"/>
    <col min="5771" max="5771" width="9.140625" style="700" customWidth="1"/>
    <col min="5772" max="5772" width="11.7109375" style="700" customWidth="1"/>
    <col min="5773" max="5884" width="7" style="700"/>
    <col min="5885" max="5885" width="3.85546875" style="700" customWidth="1"/>
    <col min="5886" max="5886" width="14" style="700" customWidth="1"/>
    <col min="5887" max="5887" width="66.5703125" style="700" customWidth="1"/>
    <col min="5888" max="5888" width="9.42578125" style="700" customWidth="1"/>
    <col min="5889" max="5889" width="9.140625" style="700" customWidth="1"/>
    <col min="5890" max="5890" width="11.140625" style="700" bestFit="1" customWidth="1"/>
    <col min="5891" max="5891" width="9.140625" style="700" customWidth="1"/>
    <col min="5892" max="5892" width="10.42578125" style="700" customWidth="1"/>
    <col min="5893" max="5893" width="9.140625" style="700" customWidth="1"/>
    <col min="5894" max="5894" width="10.7109375" style="700" customWidth="1"/>
    <col min="5895" max="5895" width="9.140625" style="700" customWidth="1"/>
    <col min="5896" max="5896" width="10.140625" style="700" customWidth="1"/>
    <col min="5897" max="5897" width="11.140625" style="700" customWidth="1"/>
    <col min="5898" max="6017" width="9.140625" style="700" customWidth="1"/>
    <col min="6018" max="6018" width="2.5703125" style="700" customWidth="1"/>
    <col min="6019" max="6019" width="9.140625" style="700" customWidth="1"/>
    <col min="6020" max="6020" width="47.85546875" style="700" customWidth="1"/>
    <col min="6021" max="6021" width="6.7109375" style="700" customWidth="1"/>
    <col min="6022" max="6022" width="7.42578125" style="700" customWidth="1"/>
    <col min="6023" max="6023" width="7" style="700"/>
    <col min="6024" max="6024" width="8.5703125" style="700" customWidth="1"/>
    <col min="6025" max="6025" width="12" style="700" customWidth="1"/>
    <col min="6026" max="6026" width="4.7109375" style="700" customWidth="1"/>
    <col min="6027" max="6027" width="9.140625" style="700" customWidth="1"/>
    <col min="6028" max="6028" width="11.7109375" style="700" customWidth="1"/>
    <col min="6029" max="6140" width="7" style="700"/>
    <col min="6141" max="6141" width="3.85546875" style="700" customWidth="1"/>
    <col min="6142" max="6142" width="14" style="700" customWidth="1"/>
    <col min="6143" max="6143" width="66.5703125" style="700" customWidth="1"/>
    <col min="6144" max="6144" width="9.42578125" style="700" customWidth="1"/>
    <col min="6145" max="6145" width="9.140625" style="700" customWidth="1"/>
    <col min="6146" max="6146" width="11.140625" style="700" bestFit="1" customWidth="1"/>
    <col min="6147" max="6147" width="9.140625" style="700" customWidth="1"/>
    <col min="6148" max="6148" width="10.42578125" style="700" customWidth="1"/>
    <col min="6149" max="6149" width="9.140625" style="700" customWidth="1"/>
    <col min="6150" max="6150" width="10.7109375" style="700" customWidth="1"/>
    <col min="6151" max="6151" width="9.140625" style="700" customWidth="1"/>
    <col min="6152" max="6152" width="10.140625" style="700" customWidth="1"/>
    <col min="6153" max="6153" width="11.140625" style="700" customWidth="1"/>
    <col min="6154" max="6273" width="9.140625" style="700" customWidth="1"/>
    <col min="6274" max="6274" width="2.5703125" style="700" customWidth="1"/>
    <col min="6275" max="6275" width="9.140625" style="700" customWidth="1"/>
    <col min="6276" max="6276" width="47.85546875" style="700" customWidth="1"/>
    <col min="6277" max="6277" width="6.7109375" style="700" customWidth="1"/>
    <col min="6278" max="6278" width="7.42578125" style="700" customWidth="1"/>
    <col min="6279" max="6279" width="7" style="700"/>
    <col min="6280" max="6280" width="8.5703125" style="700" customWidth="1"/>
    <col min="6281" max="6281" width="12" style="700" customWidth="1"/>
    <col min="6282" max="6282" width="4.7109375" style="700" customWidth="1"/>
    <col min="6283" max="6283" width="9.140625" style="700" customWidth="1"/>
    <col min="6284" max="6284" width="11.7109375" style="700" customWidth="1"/>
    <col min="6285" max="6396" width="7" style="700"/>
    <col min="6397" max="6397" width="3.85546875" style="700" customWidth="1"/>
    <col min="6398" max="6398" width="14" style="700" customWidth="1"/>
    <col min="6399" max="6399" width="66.5703125" style="700" customWidth="1"/>
    <col min="6400" max="6400" width="9.42578125" style="700" customWidth="1"/>
    <col min="6401" max="6401" width="9.140625" style="700" customWidth="1"/>
    <col min="6402" max="6402" width="11.140625" style="700" bestFit="1" customWidth="1"/>
    <col min="6403" max="6403" width="9.140625" style="700" customWidth="1"/>
    <col min="6404" max="6404" width="10.42578125" style="700" customWidth="1"/>
    <col min="6405" max="6405" width="9.140625" style="700" customWidth="1"/>
    <col min="6406" max="6406" width="10.7109375" style="700" customWidth="1"/>
    <col min="6407" max="6407" width="9.140625" style="700" customWidth="1"/>
    <col min="6408" max="6408" width="10.140625" style="700" customWidth="1"/>
    <col min="6409" max="6409" width="11.140625" style="700" customWidth="1"/>
    <col min="6410" max="6529" width="9.140625" style="700" customWidth="1"/>
    <col min="6530" max="6530" width="2.5703125" style="700" customWidth="1"/>
    <col min="6531" max="6531" width="9.140625" style="700" customWidth="1"/>
    <col min="6532" max="6532" width="47.85546875" style="700" customWidth="1"/>
    <col min="6533" max="6533" width="6.7109375" style="700" customWidth="1"/>
    <col min="6534" max="6534" width="7.42578125" style="700" customWidth="1"/>
    <col min="6535" max="6535" width="7" style="700"/>
    <col min="6536" max="6536" width="8.5703125" style="700" customWidth="1"/>
    <col min="6537" max="6537" width="12" style="700" customWidth="1"/>
    <col min="6538" max="6538" width="4.7109375" style="700" customWidth="1"/>
    <col min="6539" max="6539" width="9.140625" style="700" customWidth="1"/>
    <col min="6540" max="6540" width="11.7109375" style="700" customWidth="1"/>
    <col min="6541" max="6652" width="7" style="700"/>
    <col min="6653" max="6653" width="3.85546875" style="700" customWidth="1"/>
    <col min="6654" max="6654" width="14" style="700" customWidth="1"/>
    <col min="6655" max="6655" width="66.5703125" style="700" customWidth="1"/>
    <col min="6656" max="6656" width="9.42578125" style="700" customWidth="1"/>
    <col min="6657" max="6657" width="9.140625" style="700" customWidth="1"/>
    <col min="6658" max="6658" width="11.140625" style="700" bestFit="1" customWidth="1"/>
    <col min="6659" max="6659" width="9.140625" style="700" customWidth="1"/>
    <col min="6660" max="6660" width="10.42578125" style="700" customWidth="1"/>
    <col min="6661" max="6661" width="9.140625" style="700" customWidth="1"/>
    <col min="6662" max="6662" width="10.7109375" style="700" customWidth="1"/>
    <col min="6663" max="6663" width="9.140625" style="700" customWidth="1"/>
    <col min="6664" max="6664" width="10.140625" style="700" customWidth="1"/>
    <col min="6665" max="6665" width="11.140625" style="700" customWidth="1"/>
    <col min="6666" max="6785" width="9.140625" style="700" customWidth="1"/>
    <col min="6786" max="6786" width="2.5703125" style="700" customWidth="1"/>
    <col min="6787" max="6787" width="9.140625" style="700" customWidth="1"/>
    <col min="6788" max="6788" width="47.85546875" style="700" customWidth="1"/>
    <col min="6789" max="6789" width="6.7109375" style="700" customWidth="1"/>
    <col min="6790" max="6790" width="7.42578125" style="700" customWidth="1"/>
    <col min="6791" max="6791" width="7" style="700"/>
    <col min="6792" max="6792" width="8.5703125" style="700" customWidth="1"/>
    <col min="6793" max="6793" width="12" style="700" customWidth="1"/>
    <col min="6794" max="6794" width="4.7109375" style="700" customWidth="1"/>
    <col min="6795" max="6795" width="9.140625" style="700" customWidth="1"/>
    <col min="6796" max="6796" width="11.7109375" style="700" customWidth="1"/>
    <col min="6797" max="6908" width="7" style="700"/>
    <col min="6909" max="6909" width="3.85546875" style="700" customWidth="1"/>
    <col min="6910" max="6910" width="14" style="700" customWidth="1"/>
    <col min="6911" max="6911" width="66.5703125" style="700" customWidth="1"/>
    <col min="6912" max="6912" width="9.42578125" style="700" customWidth="1"/>
    <col min="6913" max="6913" width="9.140625" style="700" customWidth="1"/>
    <col min="6914" max="6914" width="11.140625" style="700" bestFit="1" customWidth="1"/>
    <col min="6915" max="6915" width="9.140625" style="700" customWidth="1"/>
    <col min="6916" max="6916" width="10.42578125" style="700" customWidth="1"/>
    <col min="6917" max="6917" width="9.140625" style="700" customWidth="1"/>
    <col min="6918" max="6918" width="10.7109375" style="700" customWidth="1"/>
    <col min="6919" max="6919" width="9.140625" style="700" customWidth="1"/>
    <col min="6920" max="6920" width="10.140625" style="700" customWidth="1"/>
    <col min="6921" max="6921" width="11.140625" style="700" customWidth="1"/>
    <col min="6922" max="7041" width="9.140625" style="700" customWidth="1"/>
    <col min="7042" max="7042" width="2.5703125" style="700" customWidth="1"/>
    <col min="7043" max="7043" width="9.140625" style="700" customWidth="1"/>
    <col min="7044" max="7044" width="47.85546875" style="700" customWidth="1"/>
    <col min="7045" max="7045" width="6.7109375" style="700" customWidth="1"/>
    <col min="7046" max="7046" width="7.42578125" style="700" customWidth="1"/>
    <col min="7047" max="7047" width="7" style="700"/>
    <col min="7048" max="7048" width="8.5703125" style="700" customWidth="1"/>
    <col min="7049" max="7049" width="12" style="700" customWidth="1"/>
    <col min="7050" max="7050" width="4.7109375" style="700" customWidth="1"/>
    <col min="7051" max="7051" width="9.140625" style="700" customWidth="1"/>
    <col min="7052" max="7052" width="11.7109375" style="700" customWidth="1"/>
    <col min="7053" max="7164" width="7" style="700"/>
    <col min="7165" max="7165" width="3.85546875" style="700" customWidth="1"/>
    <col min="7166" max="7166" width="14" style="700" customWidth="1"/>
    <col min="7167" max="7167" width="66.5703125" style="700" customWidth="1"/>
    <col min="7168" max="7168" width="9.42578125" style="700" customWidth="1"/>
    <col min="7169" max="7169" width="9.140625" style="700" customWidth="1"/>
    <col min="7170" max="7170" width="11.140625" style="700" bestFit="1" customWidth="1"/>
    <col min="7171" max="7171" width="9.140625" style="700" customWidth="1"/>
    <col min="7172" max="7172" width="10.42578125" style="700" customWidth="1"/>
    <col min="7173" max="7173" width="9.140625" style="700" customWidth="1"/>
    <col min="7174" max="7174" width="10.7109375" style="700" customWidth="1"/>
    <col min="7175" max="7175" width="9.140625" style="700" customWidth="1"/>
    <col min="7176" max="7176" width="10.140625" style="700" customWidth="1"/>
    <col min="7177" max="7177" width="11.140625" style="700" customWidth="1"/>
    <col min="7178" max="7297" width="9.140625" style="700" customWidth="1"/>
    <col min="7298" max="7298" width="2.5703125" style="700" customWidth="1"/>
    <col min="7299" max="7299" width="9.140625" style="700" customWidth="1"/>
    <col min="7300" max="7300" width="47.85546875" style="700" customWidth="1"/>
    <col min="7301" max="7301" width="6.7109375" style="700" customWidth="1"/>
    <col min="7302" max="7302" width="7.42578125" style="700" customWidth="1"/>
    <col min="7303" max="7303" width="7" style="700"/>
    <col min="7304" max="7304" width="8.5703125" style="700" customWidth="1"/>
    <col min="7305" max="7305" width="12" style="700" customWidth="1"/>
    <col min="7306" max="7306" width="4.7109375" style="700" customWidth="1"/>
    <col min="7307" max="7307" width="9.140625" style="700" customWidth="1"/>
    <col min="7308" max="7308" width="11.7109375" style="700" customWidth="1"/>
    <col min="7309" max="7420" width="7" style="700"/>
    <col min="7421" max="7421" width="3.85546875" style="700" customWidth="1"/>
    <col min="7422" max="7422" width="14" style="700" customWidth="1"/>
    <col min="7423" max="7423" width="66.5703125" style="700" customWidth="1"/>
    <col min="7424" max="7424" width="9.42578125" style="700" customWidth="1"/>
    <col min="7425" max="7425" width="9.140625" style="700" customWidth="1"/>
    <col min="7426" max="7426" width="11.140625" style="700" bestFit="1" customWidth="1"/>
    <col min="7427" max="7427" width="9.140625" style="700" customWidth="1"/>
    <col min="7428" max="7428" width="10.42578125" style="700" customWidth="1"/>
    <col min="7429" max="7429" width="9.140625" style="700" customWidth="1"/>
    <col min="7430" max="7430" width="10.7109375" style="700" customWidth="1"/>
    <col min="7431" max="7431" width="9.140625" style="700" customWidth="1"/>
    <col min="7432" max="7432" width="10.140625" style="700" customWidth="1"/>
    <col min="7433" max="7433" width="11.140625" style="700" customWidth="1"/>
    <col min="7434" max="7553" width="9.140625" style="700" customWidth="1"/>
    <col min="7554" max="7554" width="2.5703125" style="700" customWidth="1"/>
    <col min="7555" max="7555" width="9.140625" style="700" customWidth="1"/>
    <col min="7556" max="7556" width="47.85546875" style="700" customWidth="1"/>
    <col min="7557" max="7557" width="6.7109375" style="700" customWidth="1"/>
    <col min="7558" max="7558" width="7.42578125" style="700" customWidth="1"/>
    <col min="7559" max="7559" width="7" style="700"/>
    <col min="7560" max="7560" width="8.5703125" style="700" customWidth="1"/>
    <col min="7561" max="7561" width="12" style="700" customWidth="1"/>
    <col min="7562" max="7562" width="4.7109375" style="700" customWidth="1"/>
    <col min="7563" max="7563" width="9.140625" style="700" customWidth="1"/>
    <col min="7564" max="7564" width="11.7109375" style="700" customWidth="1"/>
    <col min="7565" max="7676" width="7" style="700"/>
    <col min="7677" max="7677" width="3.85546875" style="700" customWidth="1"/>
    <col min="7678" max="7678" width="14" style="700" customWidth="1"/>
    <col min="7679" max="7679" width="66.5703125" style="700" customWidth="1"/>
    <col min="7680" max="7680" width="9.42578125" style="700" customWidth="1"/>
    <col min="7681" max="7681" width="9.140625" style="700" customWidth="1"/>
    <col min="7682" max="7682" width="11.140625" style="700" bestFit="1" customWidth="1"/>
    <col min="7683" max="7683" width="9.140625" style="700" customWidth="1"/>
    <col min="7684" max="7684" width="10.42578125" style="700" customWidth="1"/>
    <col min="7685" max="7685" width="9.140625" style="700" customWidth="1"/>
    <col min="7686" max="7686" width="10.7109375" style="700" customWidth="1"/>
    <col min="7687" max="7687" width="9.140625" style="700" customWidth="1"/>
    <col min="7688" max="7688" width="10.140625" style="700" customWidth="1"/>
    <col min="7689" max="7689" width="11.140625" style="700" customWidth="1"/>
    <col min="7690" max="7809" width="9.140625" style="700" customWidth="1"/>
    <col min="7810" max="7810" width="2.5703125" style="700" customWidth="1"/>
    <col min="7811" max="7811" width="9.140625" style="700" customWidth="1"/>
    <col min="7812" max="7812" width="47.85546875" style="700" customWidth="1"/>
    <col min="7813" max="7813" width="6.7109375" style="700" customWidth="1"/>
    <col min="7814" max="7814" width="7.42578125" style="700" customWidth="1"/>
    <col min="7815" max="7815" width="7" style="700"/>
    <col min="7816" max="7816" width="8.5703125" style="700" customWidth="1"/>
    <col min="7817" max="7817" width="12" style="700" customWidth="1"/>
    <col min="7818" max="7818" width="4.7109375" style="700" customWidth="1"/>
    <col min="7819" max="7819" width="9.140625" style="700" customWidth="1"/>
    <col min="7820" max="7820" width="11.7109375" style="700" customWidth="1"/>
    <col min="7821" max="7932" width="7" style="700"/>
    <col min="7933" max="7933" width="3.85546875" style="700" customWidth="1"/>
    <col min="7934" max="7934" width="14" style="700" customWidth="1"/>
    <col min="7935" max="7935" width="66.5703125" style="700" customWidth="1"/>
    <col min="7936" max="7936" width="9.42578125" style="700" customWidth="1"/>
    <col min="7937" max="7937" width="9.140625" style="700" customWidth="1"/>
    <col min="7938" max="7938" width="11.140625" style="700" bestFit="1" customWidth="1"/>
    <col min="7939" max="7939" width="9.140625" style="700" customWidth="1"/>
    <col min="7940" max="7940" width="10.42578125" style="700" customWidth="1"/>
    <col min="7941" max="7941" width="9.140625" style="700" customWidth="1"/>
    <col min="7942" max="7942" width="10.7109375" style="700" customWidth="1"/>
    <col min="7943" max="7943" width="9.140625" style="700" customWidth="1"/>
    <col min="7944" max="7944" width="10.140625" style="700" customWidth="1"/>
    <col min="7945" max="7945" width="11.140625" style="700" customWidth="1"/>
    <col min="7946" max="8065" width="9.140625" style="700" customWidth="1"/>
    <col min="8066" max="8066" width="2.5703125" style="700" customWidth="1"/>
    <col min="8067" max="8067" width="9.140625" style="700" customWidth="1"/>
    <col min="8068" max="8068" width="47.85546875" style="700" customWidth="1"/>
    <col min="8069" max="8069" width="6.7109375" style="700" customWidth="1"/>
    <col min="8070" max="8070" width="7.42578125" style="700" customWidth="1"/>
    <col min="8071" max="8071" width="7" style="700"/>
    <col min="8072" max="8072" width="8.5703125" style="700" customWidth="1"/>
    <col min="8073" max="8073" width="12" style="700" customWidth="1"/>
    <col min="8074" max="8074" width="4.7109375" style="700" customWidth="1"/>
    <col min="8075" max="8075" width="9.140625" style="700" customWidth="1"/>
    <col min="8076" max="8076" width="11.7109375" style="700" customWidth="1"/>
    <col min="8077" max="8188" width="7" style="700"/>
    <col min="8189" max="8189" width="3.85546875" style="700" customWidth="1"/>
    <col min="8190" max="8190" width="14" style="700" customWidth="1"/>
    <col min="8191" max="8191" width="66.5703125" style="700" customWidth="1"/>
    <col min="8192" max="8192" width="9.42578125" style="700" customWidth="1"/>
    <col min="8193" max="8193" width="9.140625" style="700" customWidth="1"/>
    <col min="8194" max="8194" width="11.140625" style="700" bestFit="1" customWidth="1"/>
    <col min="8195" max="8195" width="9.140625" style="700" customWidth="1"/>
    <col min="8196" max="8196" width="10.42578125" style="700" customWidth="1"/>
    <col min="8197" max="8197" width="9.140625" style="700" customWidth="1"/>
    <col min="8198" max="8198" width="10.7109375" style="700" customWidth="1"/>
    <col min="8199" max="8199" width="9.140625" style="700" customWidth="1"/>
    <col min="8200" max="8200" width="10.140625" style="700" customWidth="1"/>
    <col min="8201" max="8201" width="11.140625" style="700" customWidth="1"/>
    <col min="8202" max="8321" width="9.140625" style="700" customWidth="1"/>
    <col min="8322" max="8322" width="2.5703125" style="700" customWidth="1"/>
    <col min="8323" max="8323" width="9.140625" style="700" customWidth="1"/>
    <col min="8324" max="8324" width="47.85546875" style="700" customWidth="1"/>
    <col min="8325" max="8325" width="6.7109375" style="700" customWidth="1"/>
    <col min="8326" max="8326" width="7.42578125" style="700" customWidth="1"/>
    <col min="8327" max="8327" width="7" style="700"/>
    <col min="8328" max="8328" width="8.5703125" style="700" customWidth="1"/>
    <col min="8329" max="8329" width="12" style="700" customWidth="1"/>
    <col min="8330" max="8330" width="4.7109375" style="700" customWidth="1"/>
    <col min="8331" max="8331" width="9.140625" style="700" customWidth="1"/>
    <col min="8332" max="8332" width="11.7109375" style="700" customWidth="1"/>
    <col min="8333" max="8444" width="7" style="700"/>
    <col min="8445" max="8445" width="3.85546875" style="700" customWidth="1"/>
    <col min="8446" max="8446" width="14" style="700" customWidth="1"/>
    <col min="8447" max="8447" width="66.5703125" style="700" customWidth="1"/>
    <col min="8448" max="8448" width="9.42578125" style="700" customWidth="1"/>
    <col min="8449" max="8449" width="9.140625" style="700" customWidth="1"/>
    <col min="8450" max="8450" width="11.140625" style="700" bestFit="1" customWidth="1"/>
    <col min="8451" max="8451" width="9.140625" style="700" customWidth="1"/>
    <col min="8452" max="8452" width="10.42578125" style="700" customWidth="1"/>
    <col min="8453" max="8453" width="9.140625" style="700" customWidth="1"/>
    <col min="8454" max="8454" width="10.7109375" style="700" customWidth="1"/>
    <col min="8455" max="8455" width="9.140625" style="700" customWidth="1"/>
    <col min="8456" max="8456" width="10.140625" style="700" customWidth="1"/>
    <col min="8457" max="8457" width="11.140625" style="700" customWidth="1"/>
    <col min="8458" max="8577" width="9.140625" style="700" customWidth="1"/>
    <col min="8578" max="8578" width="2.5703125" style="700" customWidth="1"/>
    <col min="8579" max="8579" width="9.140625" style="700" customWidth="1"/>
    <col min="8580" max="8580" width="47.85546875" style="700" customWidth="1"/>
    <col min="8581" max="8581" width="6.7109375" style="700" customWidth="1"/>
    <col min="8582" max="8582" width="7.42578125" style="700" customWidth="1"/>
    <col min="8583" max="8583" width="7" style="700"/>
    <col min="8584" max="8584" width="8.5703125" style="700" customWidth="1"/>
    <col min="8585" max="8585" width="12" style="700" customWidth="1"/>
    <col min="8586" max="8586" width="4.7109375" style="700" customWidth="1"/>
    <col min="8587" max="8587" width="9.140625" style="700" customWidth="1"/>
    <col min="8588" max="8588" width="11.7109375" style="700" customWidth="1"/>
    <col min="8589" max="8700" width="7" style="700"/>
    <col min="8701" max="8701" width="3.85546875" style="700" customWidth="1"/>
    <col min="8702" max="8702" width="14" style="700" customWidth="1"/>
    <col min="8703" max="8703" width="66.5703125" style="700" customWidth="1"/>
    <col min="8704" max="8704" width="9.42578125" style="700" customWidth="1"/>
    <col min="8705" max="8705" width="9.140625" style="700" customWidth="1"/>
    <col min="8706" max="8706" width="11.140625" style="700" bestFit="1" customWidth="1"/>
    <col min="8707" max="8707" width="9.140625" style="700" customWidth="1"/>
    <col min="8708" max="8708" width="10.42578125" style="700" customWidth="1"/>
    <col min="8709" max="8709" width="9.140625" style="700" customWidth="1"/>
    <col min="8710" max="8710" width="10.7109375" style="700" customWidth="1"/>
    <col min="8711" max="8711" width="9.140625" style="700" customWidth="1"/>
    <col min="8712" max="8712" width="10.140625" style="700" customWidth="1"/>
    <col min="8713" max="8713" width="11.140625" style="700" customWidth="1"/>
    <col min="8714" max="8833" width="9.140625" style="700" customWidth="1"/>
    <col min="8834" max="8834" width="2.5703125" style="700" customWidth="1"/>
    <col min="8835" max="8835" width="9.140625" style="700" customWidth="1"/>
    <col min="8836" max="8836" width="47.85546875" style="700" customWidth="1"/>
    <col min="8837" max="8837" width="6.7109375" style="700" customWidth="1"/>
    <col min="8838" max="8838" width="7.42578125" style="700" customWidth="1"/>
    <col min="8839" max="8839" width="7" style="700"/>
    <col min="8840" max="8840" width="8.5703125" style="700" customWidth="1"/>
    <col min="8841" max="8841" width="12" style="700" customWidth="1"/>
    <col min="8842" max="8842" width="4.7109375" style="700" customWidth="1"/>
    <col min="8843" max="8843" width="9.140625" style="700" customWidth="1"/>
    <col min="8844" max="8844" width="11.7109375" style="700" customWidth="1"/>
    <col min="8845" max="8956" width="7" style="700"/>
    <col min="8957" max="8957" width="3.85546875" style="700" customWidth="1"/>
    <col min="8958" max="8958" width="14" style="700" customWidth="1"/>
    <col min="8959" max="8959" width="66.5703125" style="700" customWidth="1"/>
    <col min="8960" max="8960" width="9.42578125" style="700" customWidth="1"/>
    <col min="8961" max="8961" width="9.140625" style="700" customWidth="1"/>
    <col min="8962" max="8962" width="11.140625" style="700" bestFit="1" customWidth="1"/>
    <col min="8963" max="8963" width="9.140625" style="700" customWidth="1"/>
    <col min="8964" max="8964" width="10.42578125" style="700" customWidth="1"/>
    <col min="8965" max="8965" width="9.140625" style="700" customWidth="1"/>
    <col min="8966" max="8966" width="10.7109375" style="700" customWidth="1"/>
    <col min="8967" max="8967" width="9.140625" style="700" customWidth="1"/>
    <col min="8968" max="8968" width="10.140625" style="700" customWidth="1"/>
    <col min="8969" max="8969" width="11.140625" style="700" customWidth="1"/>
    <col min="8970" max="9089" width="9.140625" style="700" customWidth="1"/>
    <col min="9090" max="9090" width="2.5703125" style="700" customWidth="1"/>
    <col min="9091" max="9091" width="9.140625" style="700" customWidth="1"/>
    <col min="9092" max="9092" width="47.85546875" style="700" customWidth="1"/>
    <col min="9093" max="9093" width="6.7109375" style="700" customWidth="1"/>
    <col min="9094" max="9094" width="7.42578125" style="700" customWidth="1"/>
    <col min="9095" max="9095" width="7" style="700"/>
    <col min="9096" max="9096" width="8.5703125" style="700" customWidth="1"/>
    <col min="9097" max="9097" width="12" style="700" customWidth="1"/>
    <col min="9098" max="9098" width="4.7109375" style="700" customWidth="1"/>
    <col min="9099" max="9099" width="9.140625" style="700" customWidth="1"/>
    <col min="9100" max="9100" width="11.7109375" style="700" customWidth="1"/>
    <col min="9101" max="9212" width="7" style="700"/>
    <col min="9213" max="9213" width="3.85546875" style="700" customWidth="1"/>
    <col min="9214" max="9214" width="14" style="700" customWidth="1"/>
    <col min="9215" max="9215" width="66.5703125" style="700" customWidth="1"/>
    <col min="9216" max="9216" width="9.42578125" style="700" customWidth="1"/>
    <col min="9217" max="9217" width="9.140625" style="700" customWidth="1"/>
    <col min="9218" max="9218" width="11.140625" style="700" bestFit="1" customWidth="1"/>
    <col min="9219" max="9219" width="9.140625" style="700" customWidth="1"/>
    <col min="9220" max="9220" width="10.42578125" style="700" customWidth="1"/>
    <col min="9221" max="9221" width="9.140625" style="700" customWidth="1"/>
    <col min="9222" max="9222" width="10.7109375" style="700" customWidth="1"/>
    <col min="9223" max="9223" width="9.140625" style="700" customWidth="1"/>
    <col min="9224" max="9224" width="10.140625" style="700" customWidth="1"/>
    <col min="9225" max="9225" width="11.140625" style="700" customWidth="1"/>
    <col min="9226" max="9345" width="9.140625" style="700" customWidth="1"/>
    <col min="9346" max="9346" width="2.5703125" style="700" customWidth="1"/>
    <col min="9347" max="9347" width="9.140625" style="700" customWidth="1"/>
    <col min="9348" max="9348" width="47.85546875" style="700" customWidth="1"/>
    <col min="9349" max="9349" width="6.7109375" style="700" customWidth="1"/>
    <col min="9350" max="9350" width="7.42578125" style="700" customWidth="1"/>
    <col min="9351" max="9351" width="7" style="700"/>
    <col min="9352" max="9352" width="8.5703125" style="700" customWidth="1"/>
    <col min="9353" max="9353" width="12" style="700" customWidth="1"/>
    <col min="9354" max="9354" width="4.7109375" style="700" customWidth="1"/>
    <col min="9355" max="9355" width="9.140625" style="700" customWidth="1"/>
    <col min="9356" max="9356" width="11.7109375" style="700" customWidth="1"/>
    <col min="9357" max="9468" width="7" style="700"/>
    <col min="9469" max="9469" width="3.85546875" style="700" customWidth="1"/>
    <col min="9470" max="9470" width="14" style="700" customWidth="1"/>
    <col min="9471" max="9471" width="66.5703125" style="700" customWidth="1"/>
    <col min="9472" max="9472" width="9.42578125" style="700" customWidth="1"/>
    <col min="9473" max="9473" width="9.140625" style="700" customWidth="1"/>
    <col min="9474" max="9474" width="11.140625" style="700" bestFit="1" customWidth="1"/>
    <col min="9475" max="9475" width="9.140625" style="700" customWidth="1"/>
    <col min="9476" max="9476" width="10.42578125" style="700" customWidth="1"/>
    <col min="9477" max="9477" width="9.140625" style="700" customWidth="1"/>
    <col min="9478" max="9478" width="10.7109375" style="700" customWidth="1"/>
    <col min="9479" max="9479" width="9.140625" style="700" customWidth="1"/>
    <col min="9480" max="9480" width="10.140625" style="700" customWidth="1"/>
    <col min="9481" max="9481" width="11.140625" style="700" customWidth="1"/>
    <col min="9482" max="9601" width="9.140625" style="700" customWidth="1"/>
    <col min="9602" max="9602" width="2.5703125" style="700" customWidth="1"/>
    <col min="9603" max="9603" width="9.140625" style="700" customWidth="1"/>
    <col min="9604" max="9604" width="47.85546875" style="700" customWidth="1"/>
    <col min="9605" max="9605" width="6.7109375" style="700" customWidth="1"/>
    <col min="9606" max="9606" width="7.42578125" style="700" customWidth="1"/>
    <col min="9607" max="9607" width="7" style="700"/>
    <col min="9608" max="9608" width="8.5703125" style="700" customWidth="1"/>
    <col min="9609" max="9609" width="12" style="700" customWidth="1"/>
    <col min="9610" max="9610" width="4.7109375" style="700" customWidth="1"/>
    <col min="9611" max="9611" width="9.140625" style="700" customWidth="1"/>
    <col min="9612" max="9612" width="11.7109375" style="700" customWidth="1"/>
    <col min="9613" max="9724" width="7" style="700"/>
    <col min="9725" max="9725" width="3.85546875" style="700" customWidth="1"/>
    <col min="9726" max="9726" width="14" style="700" customWidth="1"/>
    <col min="9727" max="9727" width="66.5703125" style="700" customWidth="1"/>
    <col min="9728" max="9728" width="9.42578125" style="700" customWidth="1"/>
    <col min="9729" max="9729" width="9.140625" style="700" customWidth="1"/>
    <col min="9730" max="9730" width="11.140625" style="700" bestFit="1" customWidth="1"/>
    <col min="9731" max="9731" width="9.140625" style="700" customWidth="1"/>
    <col min="9732" max="9732" width="10.42578125" style="700" customWidth="1"/>
    <col min="9733" max="9733" width="9.140625" style="700" customWidth="1"/>
    <col min="9734" max="9734" width="10.7109375" style="700" customWidth="1"/>
    <col min="9735" max="9735" width="9.140625" style="700" customWidth="1"/>
    <col min="9736" max="9736" width="10.140625" style="700" customWidth="1"/>
    <col min="9737" max="9737" width="11.140625" style="700" customWidth="1"/>
    <col min="9738" max="9857" width="9.140625" style="700" customWidth="1"/>
    <col min="9858" max="9858" width="2.5703125" style="700" customWidth="1"/>
    <col min="9859" max="9859" width="9.140625" style="700" customWidth="1"/>
    <col min="9860" max="9860" width="47.85546875" style="700" customWidth="1"/>
    <col min="9861" max="9861" width="6.7109375" style="700" customWidth="1"/>
    <col min="9862" max="9862" width="7.42578125" style="700" customWidth="1"/>
    <col min="9863" max="9863" width="7" style="700"/>
    <col min="9864" max="9864" width="8.5703125" style="700" customWidth="1"/>
    <col min="9865" max="9865" width="12" style="700" customWidth="1"/>
    <col min="9866" max="9866" width="4.7109375" style="700" customWidth="1"/>
    <col min="9867" max="9867" width="9.140625" style="700" customWidth="1"/>
    <col min="9868" max="9868" width="11.7109375" style="700" customWidth="1"/>
    <col min="9869" max="9980" width="7" style="700"/>
    <col min="9981" max="9981" width="3.85546875" style="700" customWidth="1"/>
    <col min="9982" max="9982" width="14" style="700" customWidth="1"/>
    <col min="9983" max="9983" width="66.5703125" style="700" customWidth="1"/>
    <col min="9984" max="9984" width="9.42578125" style="700" customWidth="1"/>
    <col min="9985" max="9985" width="9.140625" style="700" customWidth="1"/>
    <col min="9986" max="9986" width="11.140625" style="700" bestFit="1" customWidth="1"/>
    <col min="9987" max="9987" width="9.140625" style="700" customWidth="1"/>
    <col min="9988" max="9988" width="10.42578125" style="700" customWidth="1"/>
    <col min="9989" max="9989" width="9.140625" style="700" customWidth="1"/>
    <col min="9990" max="9990" width="10.7109375" style="700" customWidth="1"/>
    <col min="9991" max="9991" width="9.140625" style="700" customWidth="1"/>
    <col min="9992" max="9992" width="10.140625" style="700" customWidth="1"/>
    <col min="9993" max="9993" width="11.140625" style="700" customWidth="1"/>
    <col min="9994" max="10113" width="9.140625" style="700" customWidth="1"/>
    <col min="10114" max="10114" width="2.5703125" style="700" customWidth="1"/>
    <col min="10115" max="10115" width="9.140625" style="700" customWidth="1"/>
    <col min="10116" max="10116" width="47.85546875" style="700" customWidth="1"/>
    <col min="10117" max="10117" width="6.7109375" style="700" customWidth="1"/>
    <col min="10118" max="10118" width="7.42578125" style="700" customWidth="1"/>
    <col min="10119" max="10119" width="7" style="700"/>
    <col min="10120" max="10120" width="8.5703125" style="700" customWidth="1"/>
    <col min="10121" max="10121" width="12" style="700" customWidth="1"/>
    <col min="10122" max="10122" width="4.7109375" style="700" customWidth="1"/>
    <col min="10123" max="10123" width="9.140625" style="700" customWidth="1"/>
    <col min="10124" max="10124" width="11.7109375" style="700" customWidth="1"/>
    <col min="10125" max="10236" width="7" style="700"/>
    <col min="10237" max="10237" width="3.85546875" style="700" customWidth="1"/>
    <col min="10238" max="10238" width="14" style="700" customWidth="1"/>
    <col min="10239" max="10239" width="66.5703125" style="700" customWidth="1"/>
    <col min="10240" max="10240" width="9.42578125" style="700" customWidth="1"/>
    <col min="10241" max="10241" width="9.140625" style="700" customWidth="1"/>
    <col min="10242" max="10242" width="11.140625" style="700" bestFit="1" customWidth="1"/>
    <col min="10243" max="10243" width="9.140625" style="700" customWidth="1"/>
    <col min="10244" max="10244" width="10.42578125" style="700" customWidth="1"/>
    <col min="10245" max="10245" width="9.140625" style="700" customWidth="1"/>
    <col min="10246" max="10246" width="10.7109375" style="700" customWidth="1"/>
    <col min="10247" max="10247" width="9.140625" style="700" customWidth="1"/>
    <col min="10248" max="10248" width="10.140625" style="700" customWidth="1"/>
    <col min="10249" max="10249" width="11.140625" style="700" customWidth="1"/>
    <col min="10250" max="10369" width="9.140625" style="700" customWidth="1"/>
    <col min="10370" max="10370" width="2.5703125" style="700" customWidth="1"/>
    <col min="10371" max="10371" width="9.140625" style="700" customWidth="1"/>
    <col min="10372" max="10372" width="47.85546875" style="700" customWidth="1"/>
    <col min="10373" max="10373" width="6.7109375" style="700" customWidth="1"/>
    <col min="10374" max="10374" width="7.42578125" style="700" customWidth="1"/>
    <col min="10375" max="10375" width="7" style="700"/>
    <col min="10376" max="10376" width="8.5703125" style="700" customWidth="1"/>
    <col min="10377" max="10377" width="12" style="700" customWidth="1"/>
    <col min="10378" max="10378" width="4.7109375" style="700" customWidth="1"/>
    <col min="10379" max="10379" width="9.140625" style="700" customWidth="1"/>
    <col min="10380" max="10380" width="11.7109375" style="700" customWidth="1"/>
    <col min="10381" max="10492" width="7" style="700"/>
    <col min="10493" max="10493" width="3.85546875" style="700" customWidth="1"/>
    <col min="10494" max="10494" width="14" style="700" customWidth="1"/>
    <col min="10495" max="10495" width="66.5703125" style="700" customWidth="1"/>
    <col min="10496" max="10496" width="9.42578125" style="700" customWidth="1"/>
    <col min="10497" max="10497" width="9.140625" style="700" customWidth="1"/>
    <col min="10498" max="10498" width="11.140625" style="700" bestFit="1" customWidth="1"/>
    <col min="10499" max="10499" width="9.140625" style="700" customWidth="1"/>
    <col min="10500" max="10500" width="10.42578125" style="700" customWidth="1"/>
    <col min="10501" max="10501" width="9.140625" style="700" customWidth="1"/>
    <col min="10502" max="10502" width="10.7109375" style="700" customWidth="1"/>
    <col min="10503" max="10503" width="9.140625" style="700" customWidth="1"/>
    <col min="10504" max="10504" width="10.140625" style="700" customWidth="1"/>
    <col min="10505" max="10505" width="11.140625" style="700" customWidth="1"/>
    <col min="10506" max="10625" width="9.140625" style="700" customWidth="1"/>
    <col min="10626" max="10626" width="2.5703125" style="700" customWidth="1"/>
    <col min="10627" max="10627" width="9.140625" style="700" customWidth="1"/>
    <col min="10628" max="10628" width="47.85546875" style="700" customWidth="1"/>
    <col min="10629" max="10629" width="6.7109375" style="700" customWidth="1"/>
    <col min="10630" max="10630" width="7.42578125" style="700" customWidth="1"/>
    <col min="10631" max="10631" width="7" style="700"/>
    <col min="10632" max="10632" width="8.5703125" style="700" customWidth="1"/>
    <col min="10633" max="10633" width="12" style="700" customWidth="1"/>
    <col min="10634" max="10634" width="4.7109375" style="700" customWidth="1"/>
    <col min="10635" max="10635" width="9.140625" style="700" customWidth="1"/>
    <col min="10636" max="10636" width="11.7109375" style="700" customWidth="1"/>
    <col min="10637" max="10748" width="7" style="700"/>
    <col min="10749" max="10749" width="3.85546875" style="700" customWidth="1"/>
    <col min="10750" max="10750" width="14" style="700" customWidth="1"/>
    <col min="10751" max="10751" width="66.5703125" style="700" customWidth="1"/>
    <col min="10752" max="10752" width="9.42578125" style="700" customWidth="1"/>
    <col min="10753" max="10753" width="9.140625" style="700" customWidth="1"/>
    <col min="10754" max="10754" width="11.140625" style="700" bestFit="1" customWidth="1"/>
    <col min="10755" max="10755" width="9.140625" style="700" customWidth="1"/>
    <col min="10756" max="10756" width="10.42578125" style="700" customWidth="1"/>
    <col min="10757" max="10757" width="9.140625" style="700" customWidth="1"/>
    <col min="10758" max="10758" width="10.7109375" style="700" customWidth="1"/>
    <col min="10759" max="10759" width="9.140625" style="700" customWidth="1"/>
    <col min="10760" max="10760" width="10.140625" style="700" customWidth="1"/>
    <col min="10761" max="10761" width="11.140625" style="700" customWidth="1"/>
    <col min="10762" max="10881" width="9.140625" style="700" customWidth="1"/>
    <col min="10882" max="10882" width="2.5703125" style="700" customWidth="1"/>
    <col min="10883" max="10883" width="9.140625" style="700" customWidth="1"/>
    <col min="10884" max="10884" width="47.85546875" style="700" customWidth="1"/>
    <col min="10885" max="10885" width="6.7109375" style="700" customWidth="1"/>
    <col min="10886" max="10886" width="7.42578125" style="700" customWidth="1"/>
    <col min="10887" max="10887" width="7" style="700"/>
    <col min="10888" max="10888" width="8.5703125" style="700" customWidth="1"/>
    <col min="10889" max="10889" width="12" style="700" customWidth="1"/>
    <col min="10890" max="10890" width="4.7109375" style="700" customWidth="1"/>
    <col min="10891" max="10891" width="9.140625" style="700" customWidth="1"/>
    <col min="10892" max="10892" width="11.7109375" style="700" customWidth="1"/>
    <col min="10893" max="11004" width="7" style="700"/>
    <col min="11005" max="11005" width="3.85546875" style="700" customWidth="1"/>
    <col min="11006" max="11006" width="14" style="700" customWidth="1"/>
    <col min="11007" max="11007" width="66.5703125" style="700" customWidth="1"/>
    <col min="11008" max="11008" width="9.42578125" style="700" customWidth="1"/>
    <col min="11009" max="11009" width="9.140625" style="700" customWidth="1"/>
    <col min="11010" max="11010" width="11.140625" style="700" bestFit="1" customWidth="1"/>
    <col min="11011" max="11011" width="9.140625" style="700" customWidth="1"/>
    <col min="11012" max="11012" width="10.42578125" style="700" customWidth="1"/>
    <col min="11013" max="11013" width="9.140625" style="700" customWidth="1"/>
    <col min="11014" max="11014" width="10.7109375" style="700" customWidth="1"/>
    <col min="11015" max="11015" width="9.140625" style="700" customWidth="1"/>
    <col min="11016" max="11016" width="10.140625" style="700" customWidth="1"/>
    <col min="11017" max="11017" width="11.140625" style="700" customWidth="1"/>
    <col min="11018" max="11137" width="9.140625" style="700" customWidth="1"/>
    <col min="11138" max="11138" width="2.5703125" style="700" customWidth="1"/>
    <col min="11139" max="11139" width="9.140625" style="700" customWidth="1"/>
    <col min="11140" max="11140" width="47.85546875" style="700" customWidth="1"/>
    <col min="11141" max="11141" width="6.7109375" style="700" customWidth="1"/>
    <col min="11142" max="11142" width="7.42578125" style="700" customWidth="1"/>
    <col min="11143" max="11143" width="7" style="700"/>
    <col min="11144" max="11144" width="8.5703125" style="700" customWidth="1"/>
    <col min="11145" max="11145" width="12" style="700" customWidth="1"/>
    <col min="11146" max="11146" width="4.7109375" style="700" customWidth="1"/>
    <col min="11147" max="11147" width="9.140625" style="700" customWidth="1"/>
    <col min="11148" max="11148" width="11.7109375" style="700" customWidth="1"/>
    <col min="11149" max="11260" width="7" style="700"/>
    <col min="11261" max="11261" width="3.85546875" style="700" customWidth="1"/>
    <col min="11262" max="11262" width="14" style="700" customWidth="1"/>
    <col min="11263" max="11263" width="66.5703125" style="700" customWidth="1"/>
    <col min="11264" max="11264" width="9.42578125" style="700" customWidth="1"/>
    <col min="11265" max="11265" width="9.140625" style="700" customWidth="1"/>
    <col min="11266" max="11266" width="11.140625" style="700" bestFit="1" customWidth="1"/>
    <col min="11267" max="11267" width="9.140625" style="700" customWidth="1"/>
    <col min="11268" max="11268" width="10.42578125" style="700" customWidth="1"/>
    <col min="11269" max="11269" width="9.140625" style="700" customWidth="1"/>
    <col min="11270" max="11270" width="10.7109375" style="700" customWidth="1"/>
    <col min="11271" max="11271" width="9.140625" style="700" customWidth="1"/>
    <col min="11272" max="11272" width="10.140625" style="700" customWidth="1"/>
    <col min="11273" max="11273" width="11.140625" style="700" customWidth="1"/>
    <col min="11274" max="11393" width="9.140625" style="700" customWidth="1"/>
    <col min="11394" max="11394" width="2.5703125" style="700" customWidth="1"/>
    <col min="11395" max="11395" width="9.140625" style="700" customWidth="1"/>
    <col min="11396" max="11396" width="47.85546875" style="700" customWidth="1"/>
    <col min="11397" max="11397" width="6.7109375" style="700" customWidth="1"/>
    <col min="11398" max="11398" width="7.42578125" style="700" customWidth="1"/>
    <col min="11399" max="11399" width="7" style="700"/>
    <col min="11400" max="11400" width="8.5703125" style="700" customWidth="1"/>
    <col min="11401" max="11401" width="12" style="700" customWidth="1"/>
    <col min="11402" max="11402" width="4.7109375" style="700" customWidth="1"/>
    <col min="11403" max="11403" width="9.140625" style="700" customWidth="1"/>
    <col min="11404" max="11404" width="11.7109375" style="700" customWidth="1"/>
    <col min="11405" max="11516" width="7" style="700"/>
    <col min="11517" max="11517" width="3.85546875" style="700" customWidth="1"/>
    <col min="11518" max="11518" width="14" style="700" customWidth="1"/>
    <col min="11519" max="11519" width="66.5703125" style="700" customWidth="1"/>
    <col min="11520" max="11520" width="9.42578125" style="700" customWidth="1"/>
    <col min="11521" max="11521" width="9.140625" style="700" customWidth="1"/>
    <col min="11522" max="11522" width="11.140625" style="700" bestFit="1" customWidth="1"/>
    <col min="11523" max="11523" width="9.140625" style="700" customWidth="1"/>
    <col min="11524" max="11524" width="10.42578125" style="700" customWidth="1"/>
    <col min="11525" max="11525" width="9.140625" style="700" customWidth="1"/>
    <col min="11526" max="11526" width="10.7109375" style="700" customWidth="1"/>
    <col min="11527" max="11527" width="9.140625" style="700" customWidth="1"/>
    <col min="11528" max="11528" width="10.140625" style="700" customWidth="1"/>
    <col min="11529" max="11529" width="11.140625" style="700" customWidth="1"/>
    <col min="11530" max="11649" width="9.140625" style="700" customWidth="1"/>
    <col min="11650" max="11650" width="2.5703125" style="700" customWidth="1"/>
    <col min="11651" max="11651" width="9.140625" style="700" customWidth="1"/>
    <col min="11652" max="11652" width="47.85546875" style="700" customWidth="1"/>
    <col min="11653" max="11653" width="6.7109375" style="700" customWidth="1"/>
    <col min="11654" max="11654" width="7.42578125" style="700" customWidth="1"/>
    <col min="11655" max="11655" width="7" style="700"/>
    <col min="11656" max="11656" width="8.5703125" style="700" customWidth="1"/>
    <col min="11657" max="11657" width="12" style="700" customWidth="1"/>
    <col min="11658" max="11658" width="4.7109375" style="700" customWidth="1"/>
    <col min="11659" max="11659" width="9.140625" style="700" customWidth="1"/>
    <col min="11660" max="11660" width="11.7109375" style="700" customWidth="1"/>
    <col min="11661" max="11772" width="7" style="700"/>
    <col min="11773" max="11773" width="3.85546875" style="700" customWidth="1"/>
    <col min="11774" max="11774" width="14" style="700" customWidth="1"/>
    <col min="11775" max="11775" width="66.5703125" style="700" customWidth="1"/>
    <col min="11776" max="11776" width="9.42578125" style="700" customWidth="1"/>
    <col min="11777" max="11777" width="9.140625" style="700" customWidth="1"/>
    <col min="11778" max="11778" width="11.140625" style="700" bestFit="1" customWidth="1"/>
    <col min="11779" max="11779" width="9.140625" style="700" customWidth="1"/>
    <col min="11780" max="11780" width="10.42578125" style="700" customWidth="1"/>
    <col min="11781" max="11781" width="9.140625" style="700" customWidth="1"/>
    <col min="11782" max="11782" width="10.7109375" style="700" customWidth="1"/>
    <col min="11783" max="11783" width="9.140625" style="700" customWidth="1"/>
    <col min="11784" max="11784" width="10.140625" style="700" customWidth="1"/>
    <col min="11785" max="11785" width="11.140625" style="700" customWidth="1"/>
    <col min="11786" max="11905" width="9.140625" style="700" customWidth="1"/>
    <col min="11906" max="11906" width="2.5703125" style="700" customWidth="1"/>
    <col min="11907" max="11907" width="9.140625" style="700" customWidth="1"/>
    <col min="11908" max="11908" width="47.85546875" style="700" customWidth="1"/>
    <col min="11909" max="11909" width="6.7109375" style="700" customWidth="1"/>
    <col min="11910" max="11910" width="7.42578125" style="700" customWidth="1"/>
    <col min="11911" max="11911" width="7" style="700"/>
    <col min="11912" max="11912" width="8.5703125" style="700" customWidth="1"/>
    <col min="11913" max="11913" width="12" style="700" customWidth="1"/>
    <col min="11914" max="11914" width="4.7109375" style="700" customWidth="1"/>
    <col min="11915" max="11915" width="9.140625" style="700" customWidth="1"/>
    <col min="11916" max="11916" width="11.7109375" style="700" customWidth="1"/>
    <col min="11917" max="12028" width="7" style="700"/>
    <col min="12029" max="12029" width="3.85546875" style="700" customWidth="1"/>
    <col min="12030" max="12030" width="14" style="700" customWidth="1"/>
    <col min="12031" max="12031" width="66.5703125" style="700" customWidth="1"/>
    <col min="12032" max="12032" width="9.42578125" style="700" customWidth="1"/>
    <col min="12033" max="12033" width="9.140625" style="700" customWidth="1"/>
    <col min="12034" max="12034" width="11.140625" style="700" bestFit="1" customWidth="1"/>
    <col min="12035" max="12035" width="9.140625" style="700" customWidth="1"/>
    <col min="12036" max="12036" width="10.42578125" style="700" customWidth="1"/>
    <col min="12037" max="12037" width="9.140625" style="700" customWidth="1"/>
    <col min="12038" max="12038" width="10.7109375" style="700" customWidth="1"/>
    <col min="12039" max="12039" width="9.140625" style="700" customWidth="1"/>
    <col min="12040" max="12040" width="10.140625" style="700" customWidth="1"/>
    <col min="12041" max="12041" width="11.140625" style="700" customWidth="1"/>
    <col min="12042" max="12161" width="9.140625" style="700" customWidth="1"/>
    <col min="12162" max="12162" width="2.5703125" style="700" customWidth="1"/>
    <col min="12163" max="12163" width="9.140625" style="700" customWidth="1"/>
    <col min="12164" max="12164" width="47.85546875" style="700" customWidth="1"/>
    <col min="12165" max="12165" width="6.7109375" style="700" customWidth="1"/>
    <col min="12166" max="12166" width="7.42578125" style="700" customWidth="1"/>
    <col min="12167" max="12167" width="7" style="700"/>
    <col min="12168" max="12168" width="8.5703125" style="700" customWidth="1"/>
    <col min="12169" max="12169" width="12" style="700" customWidth="1"/>
    <col min="12170" max="12170" width="4.7109375" style="700" customWidth="1"/>
    <col min="12171" max="12171" width="9.140625" style="700" customWidth="1"/>
    <col min="12172" max="12172" width="11.7109375" style="700" customWidth="1"/>
    <col min="12173" max="12284" width="7" style="700"/>
    <col min="12285" max="12285" width="3.85546875" style="700" customWidth="1"/>
    <col min="12286" max="12286" width="14" style="700" customWidth="1"/>
    <col min="12287" max="12287" width="66.5703125" style="700" customWidth="1"/>
    <col min="12288" max="12288" width="9.42578125" style="700" customWidth="1"/>
    <col min="12289" max="12289" width="9.140625" style="700" customWidth="1"/>
    <col min="12290" max="12290" width="11.140625" style="700" bestFit="1" customWidth="1"/>
    <col min="12291" max="12291" width="9.140625" style="700" customWidth="1"/>
    <col min="12292" max="12292" width="10.42578125" style="700" customWidth="1"/>
    <col min="12293" max="12293" width="9.140625" style="700" customWidth="1"/>
    <col min="12294" max="12294" width="10.7109375" style="700" customWidth="1"/>
    <col min="12295" max="12295" width="9.140625" style="700" customWidth="1"/>
    <col min="12296" max="12296" width="10.140625" style="700" customWidth="1"/>
    <col min="12297" max="12297" width="11.140625" style="700" customWidth="1"/>
    <col min="12298" max="12417" width="9.140625" style="700" customWidth="1"/>
    <col min="12418" max="12418" width="2.5703125" style="700" customWidth="1"/>
    <col min="12419" max="12419" width="9.140625" style="700" customWidth="1"/>
    <col min="12420" max="12420" width="47.85546875" style="700" customWidth="1"/>
    <col min="12421" max="12421" width="6.7109375" style="700" customWidth="1"/>
    <col min="12422" max="12422" width="7.42578125" style="700" customWidth="1"/>
    <col min="12423" max="12423" width="7" style="700"/>
    <col min="12424" max="12424" width="8.5703125" style="700" customWidth="1"/>
    <col min="12425" max="12425" width="12" style="700" customWidth="1"/>
    <col min="12426" max="12426" width="4.7109375" style="700" customWidth="1"/>
    <col min="12427" max="12427" width="9.140625" style="700" customWidth="1"/>
    <col min="12428" max="12428" width="11.7109375" style="700" customWidth="1"/>
    <col min="12429" max="12540" width="7" style="700"/>
    <col min="12541" max="12541" width="3.85546875" style="700" customWidth="1"/>
    <col min="12542" max="12542" width="14" style="700" customWidth="1"/>
    <col min="12543" max="12543" width="66.5703125" style="700" customWidth="1"/>
    <col min="12544" max="12544" width="9.42578125" style="700" customWidth="1"/>
    <col min="12545" max="12545" width="9.140625" style="700" customWidth="1"/>
    <col min="12546" max="12546" width="11.140625" style="700" bestFit="1" customWidth="1"/>
    <col min="12547" max="12547" width="9.140625" style="700" customWidth="1"/>
    <col min="12548" max="12548" width="10.42578125" style="700" customWidth="1"/>
    <col min="12549" max="12549" width="9.140625" style="700" customWidth="1"/>
    <col min="12550" max="12550" width="10.7109375" style="700" customWidth="1"/>
    <col min="12551" max="12551" width="9.140625" style="700" customWidth="1"/>
    <col min="12552" max="12552" width="10.140625" style="700" customWidth="1"/>
    <col min="12553" max="12553" width="11.140625" style="700" customWidth="1"/>
    <col min="12554" max="12673" width="9.140625" style="700" customWidth="1"/>
    <col min="12674" max="12674" width="2.5703125" style="700" customWidth="1"/>
    <col min="12675" max="12675" width="9.140625" style="700" customWidth="1"/>
    <col min="12676" max="12676" width="47.85546875" style="700" customWidth="1"/>
    <col min="12677" max="12677" width="6.7109375" style="700" customWidth="1"/>
    <col min="12678" max="12678" width="7.42578125" style="700" customWidth="1"/>
    <col min="12679" max="12679" width="7" style="700"/>
    <col min="12680" max="12680" width="8.5703125" style="700" customWidth="1"/>
    <col min="12681" max="12681" width="12" style="700" customWidth="1"/>
    <col min="12682" max="12682" width="4.7109375" style="700" customWidth="1"/>
    <col min="12683" max="12683" width="9.140625" style="700" customWidth="1"/>
    <col min="12684" max="12684" width="11.7109375" style="700" customWidth="1"/>
    <col min="12685" max="12796" width="7" style="700"/>
    <col min="12797" max="12797" width="3.85546875" style="700" customWidth="1"/>
    <col min="12798" max="12798" width="14" style="700" customWidth="1"/>
    <col min="12799" max="12799" width="66.5703125" style="700" customWidth="1"/>
    <col min="12800" max="12800" width="9.42578125" style="700" customWidth="1"/>
    <col min="12801" max="12801" width="9.140625" style="700" customWidth="1"/>
    <col min="12802" max="12802" width="11.140625" style="700" bestFit="1" customWidth="1"/>
    <col min="12803" max="12803" width="9.140625" style="700" customWidth="1"/>
    <col min="12804" max="12804" width="10.42578125" style="700" customWidth="1"/>
    <col min="12805" max="12805" width="9.140625" style="700" customWidth="1"/>
    <col min="12806" max="12806" width="10.7109375" style="700" customWidth="1"/>
    <col min="12807" max="12807" width="9.140625" style="700" customWidth="1"/>
    <col min="12808" max="12808" width="10.140625" style="700" customWidth="1"/>
    <col min="12809" max="12809" width="11.140625" style="700" customWidth="1"/>
    <col min="12810" max="12929" width="9.140625" style="700" customWidth="1"/>
    <col min="12930" max="12930" width="2.5703125" style="700" customWidth="1"/>
    <col min="12931" max="12931" width="9.140625" style="700" customWidth="1"/>
    <col min="12932" max="12932" width="47.85546875" style="700" customWidth="1"/>
    <col min="12933" max="12933" width="6.7109375" style="700" customWidth="1"/>
    <col min="12934" max="12934" width="7.42578125" style="700" customWidth="1"/>
    <col min="12935" max="12935" width="7" style="700"/>
    <col min="12936" max="12936" width="8.5703125" style="700" customWidth="1"/>
    <col min="12937" max="12937" width="12" style="700" customWidth="1"/>
    <col min="12938" max="12938" width="4.7109375" style="700" customWidth="1"/>
    <col min="12939" max="12939" width="9.140625" style="700" customWidth="1"/>
    <col min="12940" max="12940" width="11.7109375" style="700" customWidth="1"/>
    <col min="12941" max="13052" width="7" style="700"/>
    <col min="13053" max="13053" width="3.85546875" style="700" customWidth="1"/>
    <col min="13054" max="13054" width="14" style="700" customWidth="1"/>
    <col min="13055" max="13055" width="66.5703125" style="700" customWidth="1"/>
    <col min="13056" max="13056" width="9.42578125" style="700" customWidth="1"/>
    <col min="13057" max="13057" width="9.140625" style="700" customWidth="1"/>
    <col min="13058" max="13058" width="11.140625" style="700" bestFit="1" customWidth="1"/>
    <col min="13059" max="13059" width="9.140625" style="700" customWidth="1"/>
    <col min="13060" max="13060" width="10.42578125" style="700" customWidth="1"/>
    <col min="13061" max="13061" width="9.140625" style="700" customWidth="1"/>
    <col min="13062" max="13062" width="10.7109375" style="700" customWidth="1"/>
    <col min="13063" max="13063" width="9.140625" style="700" customWidth="1"/>
    <col min="13064" max="13064" width="10.140625" style="700" customWidth="1"/>
    <col min="13065" max="13065" width="11.140625" style="700" customWidth="1"/>
    <col min="13066" max="13185" width="9.140625" style="700" customWidth="1"/>
    <col min="13186" max="13186" width="2.5703125" style="700" customWidth="1"/>
    <col min="13187" max="13187" width="9.140625" style="700" customWidth="1"/>
    <col min="13188" max="13188" width="47.85546875" style="700" customWidth="1"/>
    <col min="13189" max="13189" width="6.7109375" style="700" customWidth="1"/>
    <col min="13190" max="13190" width="7.42578125" style="700" customWidth="1"/>
    <col min="13191" max="13191" width="7" style="700"/>
    <col min="13192" max="13192" width="8.5703125" style="700" customWidth="1"/>
    <col min="13193" max="13193" width="12" style="700" customWidth="1"/>
    <col min="13194" max="13194" width="4.7109375" style="700" customWidth="1"/>
    <col min="13195" max="13195" width="9.140625" style="700" customWidth="1"/>
    <col min="13196" max="13196" width="11.7109375" style="700" customWidth="1"/>
    <col min="13197" max="13308" width="7" style="700"/>
    <col min="13309" max="13309" width="3.85546875" style="700" customWidth="1"/>
    <col min="13310" max="13310" width="14" style="700" customWidth="1"/>
    <col min="13311" max="13311" width="66.5703125" style="700" customWidth="1"/>
    <col min="13312" max="13312" width="9.42578125" style="700" customWidth="1"/>
    <col min="13313" max="13313" width="9.140625" style="700" customWidth="1"/>
    <col min="13314" max="13314" width="11.140625" style="700" bestFit="1" customWidth="1"/>
    <col min="13315" max="13315" width="9.140625" style="700" customWidth="1"/>
    <col min="13316" max="13316" width="10.42578125" style="700" customWidth="1"/>
    <col min="13317" max="13317" width="9.140625" style="700" customWidth="1"/>
    <col min="13318" max="13318" width="10.7109375" style="700" customWidth="1"/>
    <col min="13319" max="13319" width="9.140625" style="700" customWidth="1"/>
    <col min="13320" max="13320" width="10.140625" style="700" customWidth="1"/>
    <col min="13321" max="13321" width="11.140625" style="700" customWidth="1"/>
    <col min="13322" max="13441" width="9.140625" style="700" customWidth="1"/>
    <col min="13442" max="13442" width="2.5703125" style="700" customWidth="1"/>
    <col min="13443" max="13443" width="9.140625" style="700" customWidth="1"/>
    <col min="13444" max="13444" width="47.85546875" style="700" customWidth="1"/>
    <col min="13445" max="13445" width="6.7109375" style="700" customWidth="1"/>
    <col min="13446" max="13446" width="7.42578125" style="700" customWidth="1"/>
    <col min="13447" max="13447" width="7" style="700"/>
    <col min="13448" max="13448" width="8.5703125" style="700" customWidth="1"/>
    <col min="13449" max="13449" width="12" style="700" customWidth="1"/>
    <col min="13450" max="13450" width="4.7109375" style="700" customWidth="1"/>
    <col min="13451" max="13451" width="9.140625" style="700" customWidth="1"/>
    <col min="13452" max="13452" width="11.7109375" style="700" customWidth="1"/>
    <col min="13453" max="13564" width="7" style="700"/>
    <col min="13565" max="13565" width="3.85546875" style="700" customWidth="1"/>
    <col min="13566" max="13566" width="14" style="700" customWidth="1"/>
    <col min="13567" max="13567" width="66.5703125" style="700" customWidth="1"/>
    <col min="13568" max="13568" width="9.42578125" style="700" customWidth="1"/>
    <col min="13569" max="13569" width="9.140625" style="700" customWidth="1"/>
    <col min="13570" max="13570" width="11.140625" style="700" bestFit="1" customWidth="1"/>
    <col min="13571" max="13571" width="9.140625" style="700" customWidth="1"/>
    <col min="13572" max="13572" width="10.42578125" style="700" customWidth="1"/>
    <col min="13573" max="13573" width="9.140625" style="700" customWidth="1"/>
    <col min="13574" max="13574" width="10.7109375" style="700" customWidth="1"/>
    <col min="13575" max="13575" width="9.140625" style="700" customWidth="1"/>
    <col min="13576" max="13576" width="10.140625" style="700" customWidth="1"/>
    <col min="13577" max="13577" width="11.140625" style="700" customWidth="1"/>
    <col min="13578" max="13697" width="9.140625" style="700" customWidth="1"/>
    <col min="13698" max="13698" width="2.5703125" style="700" customWidth="1"/>
    <col min="13699" max="13699" width="9.140625" style="700" customWidth="1"/>
    <col min="13700" max="13700" width="47.85546875" style="700" customWidth="1"/>
    <col min="13701" max="13701" width="6.7109375" style="700" customWidth="1"/>
    <col min="13702" max="13702" width="7.42578125" style="700" customWidth="1"/>
    <col min="13703" max="13703" width="7" style="700"/>
    <col min="13704" max="13704" width="8.5703125" style="700" customWidth="1"/>
    <col min="13705" max="13705" width="12" style="700" customWidth="1"/>
    <col min="13706" max="13706" width="4.7109375" style="700" customWidth="1"/>
    <col min="13707" max="13707" width="9.140625" style="700" customWidth="1"/>
    <col min="13708" max="13708" width="11.7109375" style="700" customWidth="1"/>
    <col min="13709" max="13820" width="7" style="700"/>
    <col min="13821" max="13821" width="3.85546875" style="700" customWidth="1"/>
    <col min="13822" max="13822" width="14" style="700" customWidth="1"/>
    <col min="13823" max="13823" width="66.5703125" style="700" customWidth="1"/>
    <col min="13824" max="13824" width="9.42578125" style="700" customWidth="1"/>
    <col min="13825" max="13825" width="9.140625" style="700" customWidth="1"/>
    <col min="13826" max="13826" width="11.140625" style="700" bestFit="1" customWidth="1"/>
    <col min="13827" max="13827" width="9.140625" style="700" customWidth="1"/>
    <col min="13828" max="13828" width="10.42578125" style="700" customWidth="1"/>
    <col min="13829" max="13829" width="9.140625" style="700" customWidth="1"/>
    <col min="13830" max="13830" width="10.7109375" style="700" customWidth="1"/>
    <col min="13831" max="13831" width="9.140625" style="700" customWidth="1"/>
    <col min="13832" max="13832" width="10.140625" style="700" customWidth="1"/>
    <col min="13833" max="13833" width="11.140625" style="700" customWidth="1"/>
    <col min="13834" max="13953" width="9.140625" style="700" customWidth="1"/>
    <col min="13954" max="13954" width="2.5703125" style="700" customWidth="1"/>
    <col min="13955" max="13955" width="9.140625" style="700" customWidth="1"/>
    <col min="13956" max="13956" width="47.85546875" style="700" customWidth="1"/>
    <col min="13957" max="13957" width="6.7109375" style="700" customWidth="1"/>
    <col min="13958" max="13958" width="7.42578125" style="700" customWidth="1"/>
    <col min="13959" max="13959" width="7" style="700"/>
    <col min="13960" max="13960" width="8.5703125" style="700" customWidth="1"/>
    <col min="13961" max="13961" width="12" style="700" customWidth="1"/>
    <col min="13962" max="13962" width="4.7109375" style="700" customWidth="1"/>
    <col min="13963" max="13963" width="9.140625" style="700" customWidth="1"/>
    <col min="13964" max="13964" width="11.7109375" style="700" customWidth="1"/>
    <col min="13965" max="14076" width="7" style="700"/>
    <col min="14077" max="14077" width="3.85546875" style="700" customWidth="1"/>
    <col min="14078" max="14078" width="14" style="700" customWidth="1"/>
    <col min="14079" max="14079" width="66.5703125" style="700" customWidth="1"/>
    <col min="14080" max="14080" width="9.42578125" style="700" customWidth="1"/>
    <col min="14081" max="14081" width="9.140625" style="700" customWidth="1"/>
    <col min="14082" max="14082" width="11.140625" style="700" bestFit="1" customWidth="1"/>
    <col min="14083" max="14083" width="9.140625" style="700" customWidth="1"/>
    <col min="14084" max="14084" width="10.42578125" style="700" customWidth="1"/>
    <col min="14085" max="14085" width="9.140625" style="700" customWidth="1"/>
    <col min="14086" max="14086" width="10.7109375" style="700" customWidth="1"/>
    <col min="14087" max="14087" width="9.140625" style="700" customWidth="1"/>
    <col min="14088" max="14088" width="10.140625" style="700" customWidth="1"/>
    <col min="14089" max="14089" width="11.140625" style="700" customWidth="1"/>
    <col min="14090" max="14209" width="9.140625" style="700" customWidth="1"/>
    <col min="14210" max="14210" width="2.5703125" style="700" customWidth="1"/>
    <col min="14211" max="14211" width="9.140625" style="700" customWidth="1"/>
    <col min="14212" max="14212" width="47.85546875" style="700" customWidth="1"/>
    <col min="14213" max="14213" width="6.7109375" style="700" customWidth="1"/>
    <col min="14214" max="14214" width="7.42578125" style="700" customWidth="1"/>
    <col min="14215" max="14215" width="7" style="700"/>
    <col min="14216" max="14216" width="8.5703125" style="700" customWidth="1"/>
    <col min="14217" max="14217" width="12" style="700" customWidth="1"/>
    <col min="14218" max="14218" width="4.7109375" style="700" customWidth="1"/>
    <col min="14219" max="14219" width="9.140625" style="700" customWidth="1"/>
    <col min="14220" max="14220" width="11.7109375" style="700" customWidth="1"/>
    <col min="14221" max="14332" width="7" style="700"/>
    <col min="14333" max="14333" width="3.85546875" style="700" customWidth="1"/>
    <col min="14334" max="14334" width="14" style="700" customWidth="1"/>
    <col min="14335" max="14335" width="66.5703125" style="700" customWidth="1"/>
    <col min="14336" max="14336" width="9.42578125" style="700" customWidth="1"/>
    <col min="14337" max="14337" width="9.140625" style="700" customWidth="1"/>
    <col min="14338" max="14338" width="11.140625" style="700" bestFit="1" customWidth="1"/>
    <col min="14339" max="14339" width="9.140625" style="700" customWidth="1"/>
    <col min="14340" max="14340" width="10.42578125" style="700" customWidth="1"/>
    <col min="14341" max="14341" width="9.140625" style="700" customWidth="1"/>
    <col min="14342" max="14342" width="10.7109375" style="700" customWidth="1"/>
    <col min="14343" max="14343" width="9.140625" style="700" customWidth="1"/>
    <col min="14344" max="14344" width="10.140625" style="700" customWidth="1"/>
    <col min="14345" max="14345" width="11.140625" style="700" customWidth="1"/>
    <col min="14346" max="14465" width="9.140625" style="700" customWidth="1"/>
    <col min="14466" max="14466" width="2.5703125" style="700" customWidth="1"/>
    <col min="14467" max="14467" width="9.140625" style="700" customWidth="1"/>
    <col min="14468" max="14468" width="47.85546875" style="700" customWidth="1"/>
    <col min="14469" max="14469" width="6.7109375" style="700" customWidth="1"/>
    <col min="14470" max="14470" width="7.42578125" style="700" customWidth="1"/>
    <col min="14471" max="14471" width="7" style="700"/>
    <col min="14472" max="14472" width="8.5703125" style="700" customWidth="1"/>
    <col min="14473" max="14473" width="12" style="700" customWidth="1"/>
    <col min="14474" max="14474" width="4.7109375" style="700" customWidth="1"/>
    <col min="14475" max="14475" width="9.140625" style="700" customWidth="1"/>
    <col min="14476" max="14476" width="11.7109375" style="700" customWidth="1"/>
    <col min="14477" max="14588" width="7" style="700"/>
    <col min="14589" max="14589" width="3.85546875" style="700" customWidth="1"/>
    <col min="14590" max="14590" width="14" style="700" customWidth="1"/>
    <col min="14591" max="14591" width="66.5703125" style="700" customWidth="1"/>
    <col min="14592" max="14592" width="9.42578125" style="700" customWidth="1"/>
    <col min="14593" max="14593" width="9.140625" style="700" customWidth="1"/>
    <col min="14594" max="14594" width="11.140625" style="700" bestFit="1" customWidth="1"/>
    <col min="14595" max="14595" width="9.140625" style="700" customWidth="1"/>
    <col min="14596" max="14596" width="10.42578125" style="700" customWidth="1"/>
    <col min="14597" max="14597" width="9.140625" style="700" customWidth="1"/>
    <col min="14598" max="14598" width="10.7109375" style="700" customWidth="1"/>
    <col min="14599" max="14599" width="9.140625" style="700" customWidth="1"/>
    <col min="14600" max="14600" width="10.140625" style="700" customWidth="1"/>
    <col min="14601" max="14601" width="11.140625" style="700" customWidth="1"/>
    <col min="14602" max="14721" width="9.140625" style="700" customWidth="1"/>
    <col min="14722" max="14722" width="2.5703125" style="700" customWidth="1"/>
    <col min="14723" max="14723" width="9.140625" style="700" customWidth="1"/>
    <col min="14724" max="14724" width="47.85546875" style="700" customWidth="1"/>
    <col min="14725" max="14725" width="6.7109375" style="700" customWidth="1"/>
    <col min="14726" max="14726" width="7.42578125" style="700" customWidth="1"/>
    <col min="14727" max="14727" width="7" style="700"/>
    <col min="14728" max="14728" width="8.5703125" style="700" customWidth="1"/>
    <col min="14729" max="14729" width="12" style="700" customWidth="1"/>
    <col min="14730" max="14730" width="4.7109375" style="700" customWidth="1"/>
    <col min="14731" max="14731" width="9.140625" style="700" customWidth="1"/>
    <col min="14732" max="14732" width="11.7109375" style="700" customWidth="1"/>
    <col min="14733" max="14844" width="7" style="700"/>
    <col min="14845" max="14845" width="3.85546875" style="700" customWidth="1"/>
    <col min="14846" max="14846" width="14" style="700" customWidth="1"/>
    <col min="14847" max="14847" width="66.5703125" style="700" customWidth="1"/>
    <col min="14848" max="14848" width="9.42578125" style="700" customWidth="1"/>
    <col min="14849" max="14849" width="9.140625" style="700" customWidth="1"/>
    <col min="14850" max="14850" width="11.140625" style="700" bestFit="1" customWidth="1"/>
    <col min="14851" max="14851" width="9.140625" style="700" customWidth="1"/>
    <col min="14852" max="14852" width="10.42578125" style="700" customWidth="1"/>
    <col min="14853" max="14853" width="9.140625" style="700" customWidth="1"/>
    <col min="14854" max="14854" width="10.7109375" style="700" customWidth="1"/>
    <col min="14855" max="14855" width="9.140625" style="700" customWidth="1"/>
    <col min="14856" max="14856" width="10.140625" style="700" customWidth="1"/>
    <col min="14857" max="14857" width="11.140625" style="700" customWidth="1"/>
    <col min="14858" max="14977" width="9.140625" style="700" customWidth="1"/>
    <col min="14978" max="14978" width="2.5703125" style="700" customWidth="1"/>
    <col min="14979" max="14979" width="9.140625" style="700" customWidth="1"/>
    <col min="14980" max="14980" width="47.85546875" style="700" customWidth="1"/>
    <col min="14981" max="14981" width="6.7109375" style="700" customWidth="1"/>
    <col min="14982" max="14982" width="7.42578125" style="700" customWidth="1"/>
    <col min="14983" max="14983" width="7" style="700"/>
    <col min="14984" max="14984" width="8.5703125" style="700" customWidth="1"/>
    <col min="14985" max="14985" width="12" style="700" customWidth="1"/>
    <col min="14986" max="14986" width="4.7109375" style="700" customWidth="1"/>
    <col min="14987" max="14987" width="9.140625" style="700" customWidth="1"/>
    <col min="14988" max="14988" width="11.7109375" style="700" customWidth="1"/>
    <col min="14989" max="15100" width="7" style="700"/>
    <col min="15101" max="15101" width="3.85546875" style="700" customWidth="1"/>
    <col min="15102" max="15102" width="14" style="700" customWidth="1"/>
    <col min="15103" max="15103" width="66.5703125" style="700" customWidth="1"/>
    <col min="15104" max="15104" width="9.42578125" style="700" customWidth="1"/>
    <col min="15105" max="15105" width="9.140625" style="700" customWidth="1"/>
    <col min="15106" max="15106" width="11.140625" style="700" bestFit="1" customWidth="1"/>
    <col min="15107" max="15107" width="9.140625" style="700" customWidth="1"/>
    <col min="15108" max="15108" width="10.42578125" style="700" customWidth="1"/>
    <col min="15109" max="15109" width="9.140625" style="700" customWidth="1"/>
    <col min="15110" max="15110" width="10.7109375" style="700" customWidth="1"/>
    <col min="15111" max="15111" width="9.140625" style="700" customWidth="1"/>
    <col min="15112" max="15112" width="10.140625" style="700" customWidth="1"/>
    <col min="15113" max="15113" width="11.140625" style="700" customWidth="1"/>
    <col min="15114" max="15233" width="9.140625" style="700" customWidth="1"/>
    <col min="15234" max="15234" width="2.5703125" style="700" customWidth="1"/>
    <col min="15235" max="15235" width="9.140625" style="700" customWidth="1"/>
    <col min="15236" max="15236" width="47.85546875" style="700" customWidth="1"/>
    <col min="15237" max="15237" width="6.7109375" style="700" customWidth="1"/>
    <col min="15238" max="15238" width="7.42578125" style="700" customWidth="1"/>
    <col min="15239" max="15239" width="7" style="700"/>
    <col min="15240" max="15240" width="8.5703125" style="700" customWidth="1"/>
    <col min="15241" max="15241" width="12" style="700" customWidth="1"/>
    <col min="15242" max="15242" width="4.7109375" style="700" customWidth="1"/>
    <col min="15243" max="15243" width="9.140625" style="700" customWidth="1"/>
    <col min="15244" max="15244" width="11.7109375" style="700" customWidth="1"/>
    <col min="15245" max="15356" width="7" style="700"/>
    <col min="15357" max="15357" width="3.85546875" style="700" customWidth="1"/>
    <col min="15358" max="15358" width="14" style="700" customWidth="1"/>
    <col min="15359" max="15359" width="66.5703125" style="700" customWidth="1"/>
    <col min="15360" max="15360" width="9.42578125" style="700" customWidth="1"/>
    <col min="15361" max="15361" width="9.140625" style="700" customWidth="1"/>
    <col min="15362" max="15362" width="11.140625" style="700" bestFit="1" customWidth="1"/>
    <col min="15363" max="15363" width="9.140625" style="700" customWidth="1"/>
    <col min="15364" max="15364" width="10.42578125" style="700" customWidth="1"/>
    <col min="15365" max="15365" width="9.140625" style="700" customWidth="1"/>
    <col min="15366" max="15366" width="10.7109375" style="700" customWidth="1"/>
    <col min="15367" max="15367" width="9.140625" style="700" customWidth="1"/>
    <col min="15368" max="15368" width="10.140625" style="700" customWidth="1"/>
    <col min="15369" max="15369" width="11.140625" style="700" customWidth="1"/>
    <col min="15370" max="15489" width="9.140625" style="700" customWidth="1"/>
    <col min="15490" max="15490" width="2.5703125" style="700" customWidth="1"/>
    <col min="15491" max="15491" width="9.140625" style="700" customWidth="1"/>
    <col min="15492" max="15492" width="47.85546875" style="700" customWidth="1"/>
    <col min="15493" max="15493" width="6.7109375" style="700" customWidth="1"/>
    <col min="15494" max="15494" width="7.42578125" style="700" customWidth="1"/>
    <col min="15495" max="15495" width="7" style="700"/>
    <col min="15496" max="15496" width="8.5703125" style="700" customWidth="1"/>
    <col min="15497" max="15497" width="12" style="700" customWidth="1"/>
    <col min="15498" max="15498" width="4.7109375" style="700" customWidth="1"/>
    <col min="15499" max="15499" width="9.140625" style="700" customWidth="1"/>
    <col min="15500" max="15500" width="11.7109375" style="700" customWidth="1"/>
    <col min="15501" max="15612" width="7" style="700"/>
    <col min="15613" max="15613" width="3.85546875" style="700" customWidth="1"/>
    <col min="15614" max="15614" width="14" style="700" customWidth="1"/>
    <col min="15615" max="15615" width="66.5703125" style="700" customWidth="1"/>
    <col min="15616" max="15616" width="9.42578125" style="700" customWidth="1"/>
    <col min="15617" max="15617" width="9.140625" style="700" customWidth="1"/>
    <col min="15618" max="15618" width="11.140625" style="700" bestFit="1" customWidth="1"/>
    <col min="15619" max="15619" width="9.140625" style="700" customWidth="1"/>
    <col min="15620" max="15620" width="10.42578125" style="700" customWidth="1"/>
    <col min="15621" max="15621" width="9.140625" style="700" customWidth="1"/>
    <col min="15622" max="15622" width="10.7109375" style="700" customWidth="1"/>
    <col min="15623" max="15623" width="9.140625" style="700" customWidth="1"/>
    <col min="15624" max="15624" width="10.140625" style="700" customWidth="1"/>
    <col min="15625" max="15625" width="11.140625" style="700" customWidth="1"/>
    <col min="15626" max="15745" width="9.140625" style="700" customWidth="1"/>
    <col min="15746" max="15746" width="2.5703125" style="700" customWidth="1"/>
    <col min="15747" max="15747" width="9.140625" style="700" customWidth="1"/>
    <col min="15748" max="15748" width="47.85546875" style="700" customWidth="1"/>
    <col min="15749" max="15749" width="6.7109375" style="700" customWidth="1"/>
    <col min="15750" max="15750" width="7.42578125" style="700" customWidth="1"/>
    <col min="15751" max="15751" width="7" style="700"/>
    <col min="15752" max="15752" width="8.5703125" style="700" customWidth="1"/>
    <col min="15753" max="15753" width="12" style="700" customWidth="1"/>
    <col min="15754" max="15754" width="4.7109375" style="700" customWidth="1"/>
    <col min="15755" max="15755" width="9.140625" style="700" customWidth="1"/>
    <col min="15756" max="15756" width="11.7109375" style="700" customWidth="1"/>
    <col min="15757" max="15868" width="7" style="700"/>
    <col min="15869" max="15869" width="3.85546875" style="700" customWidth="1"/>
    <col min="15870" max="15870" width="14" style="700" customWidth="1"/>
    <col min="15871" max="15871" width="66.5703125" style="700" customWidth="1"/>
    <col min="15872" max="15872" width="9.42578125" style="700" customWidth="1"/>
    <col min="15873" max="15873" width="9.140625" style="700" customWidth="1"/>
    <col min="15874" max="15874" width="11.140625" style="700" bestFit="1" customWidth="1"/>
    <col min="15875" max="15875" width="9.140625" style="700" customWidth="1"/>
    <col min="15876" max="15876" width="10.42578125" style="700" customWidth="1"/>
    <col min="15877" max="15877" width="9.140625" style="700" customWidth="1"/>
    <col min="15878" max="15878" width="10.7109375" style="700" customWidth="1"/>
    <col min="15879" max="15879" width="9.140625" style="700" customWidth="1"/>
    <col min="15880" max="15880" width="10.140625" style="700" customWidth="1"/>
    <col min="15881" max="15881" width="11.140625" style="700" customWidth="1"/>
    <col min="15882" max="16001" width="9.140625" style="700" customWidth="1"/>
    <col min="16002" max="16002" width="2.5703125" style="700" customWidth="1"/>
    <col min="16003" max="16003" width="9.140625" style="700" customWidth="1"/>
    <col min="16004" max="16004" width="47.85546875" style="700" customWidth="1"/>
    <col min="16005" max="16005" width="6.7109375" style="700" customWidth="1"/>
    <col min="16006" max="16006" width="7.42578125" style="700" customWidth="1"/>
    <col min="16007" max="16007" width="7" style="700"/>
    <col min="16008" max="16008" width="8.5703125" style="700" customWidth="1"/>
    <col min="16009" max="16009" width="12" style="700" customWidth="1"/>
    <col min="16010" max="16010" width="4.7109375" style="700" customWidth="1"/>
    <col min="16011" max="16011" width="9.140625" style="700" customWidth="1"/>
    <col min="16012" max="16012" width="11.7109375" style="700" customWidth="1"/>
    <col min="16013" max="16124" width="7" style="700"/>
    <col min="16125" max="16125" width="3.85546875" style="700" customWidth="1"/>
    <col min="16126" max="16126" width="14" style="700" customWidth="1"/>
    <col min="16127" max="16127" width="66.5703125" style="700" customWidth="1"/>
    <col min="16128" max="16128" width="9.42578125" style="700" customWidth="1"/>
    <col min="16129" max="16129" width="9.140625" style="700" customWidth="1"/>
    <col min="16130" max="16130" width="11.140625" style="700" bestFit="1" customWidth="1"/>
    <col min="16131" max="16131" width="9.140625" style="700" customWidth="1"/>
    <col min="16132" max="16132" width="10.42578125" style="700" customWidth="1"/>
    <col min="16133" max="16133" width="9.140625" style="700" customWidth="1"/>
    <col min="16134" max="16134" width="10.7109375" style="700" customWidth="1"/>
    <col min="16135" max="16135" width="9.140625" style="700" customWidth="1"/>
    <col min="16136" max="16136" width="10.140625" style="700" customWidth="1"/>
    <col min="16137" max="16137" width="11.140625" style="700" customWidth="1"/>
    <col min="16138" max="16257" width="9.140625" style="700" customWidth="1"/>
    <col min="16258" max="16258" width="2.5703125" style="700" customWidth="1"/>
    <col min="16259" max="16259" width="9.140625" style="700" customWidth="1"/>
    <col min="16260" max="16260" width="47.85546875" style="700" customWidth="1"/>
    <col min="16261" max="16261" width="6.7109375" style="700" customWidth="1"/>
    <col min="16262" max="16262" width="7.42578125" style="700" customWidth="1"/>
    <col min="16263" max="16263" width="7" style="700"/>
    <col min="16264" max="16264" width="8.5703125" style="700" customWidth="1"/>
    <col min="16265" max="16265" width="12" style="700" customWidth="1"/>
    <col min="16266" max="16266" width="4.7109375" style="700" customWidth="1"/>
    <col min="16267" max="16267" width="9.140625" style="700" customWidth="1"/>
    <col min="16268" max="16268" width="11.7109375" style="700" customWidth="1"/>
    <col min="16269" max="16384" width="7" style="700"/>
  </cols>
  <sheetData>
    <row r="1" spans="1:13" s="658" customFormat="1" ht="18">
      <c r="A1" s="1083" t="e">
        <f>#REF!</f>
        <v>#REF!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</row>
    <row r="2" spans="1:13" s="658" customFormat="1" ht="18">
      <c r="A2" s="1084" t="s">
        <v>7</v>
      </c>
      <c r="B2" s="1084"/>
      <c r="C2" s="1084"/>
      <c r="D2" s="1084"/>
      <c r="E2" s="1084"/>
      <c r="F2" s="1084"/>
      <c r="G2" s="421" t="str">
        <f>'B-3'!B11</f>
        <v>B-3.2</v>
      </c>
      <c r="H2" s="421"/>
      <c r="I2" s="421"/>
      <c r="J2" s="421"/>
      <c r="K2" s="421"/>
      <c r="L2" s="421"/>
      <c r="M2" s="421"/>
    </row>
    <row r="3" spans="1:13" s="658" customFormat="1" ht="18">
      <c r="A3" s="1094" t="str">
        <f>'B-3'!C11</f>
        <v>არსებული რეზერვუარის და საპროექტო საქლორატოროს შემოღობვა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3" s="658" customFormat="1" ht="15">
      <c r="A4" s="1086"/>
      <c r="B4" s="1086"/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</row>
    <row r="5" spans="1:13" s="658" customFormat="1" ht="29.25" customHeight="1">
      <c r="A5" s="659"/>
      <c r="B5" s="1087" t="e">
        <f>#REF!</f>
        <v>#REF!</v>
      </c>
      <c r="C5" s="1087"/>
      <c r="D5" s="1087"/>
      <c r="E5" s="1087"/>
      <c r="F5" s="1087"/>
      <c r="G5" s="1087"/>
      <c r="H5" s="422"/>
      <c r="I5" s="422"/>
      <c r="J5" s="422"/>
      <c r="K5" s="422"/>
      <c r="L5" s="422"/>
      <c r="M5" s="422"/>
    </row>
    <row r="6" spans="1:13" s="658" customFormat="1" ht="13.5">
      <c r="A6" s="660"/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</row>
    <row r="7" spans="1:13" s="658" customFormat="1" ht="13.5">
      <c r="A7" s="1178" t="s">
        <v>147</v>
      </c>
      <c r="B7" s="1180" t="s">
        <v>148</v>
      </c>
      <c r="C7" s="1178" t="s">
        <v>149</v>
      </c>
      <c r="D7" s="1178" t="s">
        <v>150</v>
      </c>
      <c r="E7" s="1178" t="s">
        <v>151</v>
      </c>
      <c r="F7" s="1178" t="s">
        <v>152</v>
      </c>
      <c r="G7" s="1179" t="s">
        <v>153</v>
      </c>
      <c r="H7" s="1179"/>
      <c r="I7" s="1179" t="s">
        <v>154</v>
      </c>
      <c r="J7" s="1179"/>
      <c r="K7" s="1178" t="s">
        <v>155</v>
      </c>
      <c r="L7" s="1178"/>
      <c r="M7" s="546" t="s">
        <v>156</v>
      </c>
    </row>
    <row r="8" spans="1:13" s="658" customFormat="1" ht="13.5">
      <c r="A8" s="1178"/>
      <c r="B8" s="1180"/>
      <c r="C8" s="1178"/>
      <c r="D8" s="1178"/>
      <c r="E8" s="1178"/>
      <c r="F8" s="1178"/>
      <c r="G8" s="546" t="s">
        <v>157</v>
      </c>
      <c r="H8" s="546" t="s">
        <v>158</v>
      </c>
      <c r="I8" s="546" t="s">
        <v>157</v>
      </c>
      <c r="J8" s="546" t="s">
        <v>158</v>
      </c>
      <c r="K8" s="546" t="s">
        <v>157</v>
      </c>
      <c r="L8" s="546" t="s">
        <v>159</v>
      </c>
      <c r="M8" s="546" t="s">
        <v>160</v>
      </c>
    </row>
    <row r="9" spans="1:13" s="663" customFormat="1" ht="13.5">
      <c r="A9" s="390">
        <v>1</v>
      </c>
      <c r="B9" s="662">
        <v>3</v>
      </c>
      <c r="C9" s="390">
        <v>2</v>
      </c>
      <c r="D9" s="390">
        <v>4</v>
      </c>
      <c r="E9" s="390">
        <v>5</v>
      </c>
      <c r="F9" s="390">
        <v>6</v>
      </c>
      <c r="G9" s="546">
        <v>7</v>
      </c>
      <c r="H9" s="546">
        <v>8</v>
      </c>
      <c r="I9" s="546">
        <v>9</v>
      </c>
      <c r="J9" s="546">
        <v>10</v>
      </c>
      <c r="K9" s="546">
        <v>11</v>
      </c>
      <c r="L9" s="546">
        <v>12</v>
      </c>
      <c r="M9" s="546">
        <v>13</v>
      </c>
    </row>
    <row r="10" spans="1:13" s="663" customFormat="1" ht="13.5">
      <c r="A10" s="664">
        <v>1</v>
      </c>
      <c r="B10" s="563" t="s">
        <v>182</v>
      </c>
      <c r="C10" s="510" t="s">
        <v>183</v>
      </c>
      <c r="D10" s="492" t="s">
        <v>15</v>
      </c>
      <c r="E10" s="492"/>
      <c r="F10" s="555">
        <v>7.02</v>
      </c>
      <c r="G10" s="492"/>
      <c r="H10" s="493"/>
      <c r="I10" s="492"/>
      <c r="J10" s="493"/>
      <c r="K10" s="492"/>
      <c r="L10" s="493"/>
      <c r="M10" s="493"/>
    </row>
    <row r="11" spans="1:13" s="663" customFormat="1" ht="13.5">
      <c r="A11" s="546" t="s">
        <v>586</v>
      </c>
      <c r="B11" s="665"/>
      <c r="C11" s="383" t="s">
        <v>86</v>
      </c>
      <c r="D11" s="494" t="s">
        <v>13</v>
      </c>
      <c r="E11" s="494">
        <v>3.88</v>
      </c>
      <c r="F11" s="511">
        <f>F10*E11</f>
        <v>27.237599999999997</v>
      </c>
      <c r="G11" s="494"/>
      <c r="H11" s="511"/>
      <c r="I11" s="494"/>
      <c r="J11" s="511"/>
      <c r="K11" s="494"/>
      <c r="L11" s="511"/>
      <c r="M11" s="511"/>
    </row>
    <row r="12" spans="1:13" s="663" customFormat="1" ht="27">
      <c r="A12" s="664">
        <v>2</v>
      </c>
      <c r="B12" s="563" t="s">
        <v>182</v>
      </c>
      <c r="C12" s="510" t="s">
        <v>184</v>
      </c>
      <c r="D12" s="492" t="s">
        <v>15</v>
      </c>
      <c r="E12" s="492"/>
      <c r="F12" s="555">
        <v>4.8</v>
      </c>
      <c r="G12" s="492"/>
      <c r="H12" s="493"/>
      <c r="I12" s="492"/>
      <c r="J12" s="493"/>
      <c r="K12" s="492"/>
      <c r="L12" s="493"/>
      <c r="M12" s="493"/>
    </row>
    <row r="13" spans="1:13" s="663" customFormat="1" ht="13.5">
      <c r="A13" s="546"/>
      <c r="B13" s="665"/>
      <c r="C13" s="383" t="s">
        <v>86</v>
      </c>
      <c r="D13" s="494" t="s">
        <v>13</v>
      </c>
      <c r="E13" s="494">
        <v>3.88</v>
      </c>
      <c r="F13" s="511">
        <f>F12*E13</f>
        <v>18.623999999999999</v>
      </c>
      <c r="G13" s="494"/>
      <c r="H13" s="511"/>
      <c r="I13" s="494"/>
      <c r="J13" s="511"/>
      <c r="K13" s="494"/>
      <c r="L13" s="511"/>
      <c r="M13" s="511"/>
    </row>
    <row r="14" spans="1:13" s="663" customFormat="1" ht="27">
      <c r="A14" s="664">
        <v>3</v>
      </c>
      <c r="B14" s="563" t="s">
        <v>165</v>
      </c>
      <c r="C14" s="528" t="s">
        <v>514</v>
      </c>
      <c r="D14" s="509" t="s">
        <v>15</v>
      </c>
      <c r="E14" s="509"/>
      <c r="F14" s="555">
        <v>4.32</v>
      </c>
      <c r="G14" s="509"/>
      <c r="H14" s="509"/>
      <c r="I14" s="509"/>
      <c r="J14" s="509"/>
      <c r="K14" s="509"/>
      <c r="L14" s="509"/>
      <c r="M14" s="526"/>
    </row>
    <row r="15" spans="1:13" s="663" customFormat="1" ht="13.5">
      <c r="A15" s="664"/>
      <c r="B15" s="666"/>
      <c r="C15" s="541" t="s">
        <v>96</v>
      </c>
      <c r="D15" s="494" t="s">
        <v>102</v>
      </c>
      <c r="E15" s="382">
        <v>1.37</v>
      </c>
      <c r="F15" s="386">
        <f>E15*F14</f>
        <v>5.918400000000001</v>
      </c>
      <c r="G15" s="382"/>
      <c r="H15" s="386"/>
      <c r="I15" s="494"/>
      <c r="J15" s="386"/>
      <c r="K15" s="382"/>
      <c r="L15" s="382"/>
      <c r="M15" s="386"/>
    </row>
    <row r="16" spans="1:13" s="663" customFormat="1" ht="13.5">
      <c r="A16" s="546"/>
      <c r="B16" s="665"/>
      <c r="C16" s="541" t="s">
        <v>97</v>
      </c>
      <c r="D16" s="494" t="s">
        <v>16</v>
      </c>
      <c r="E16" s="382">
        <v>0.28299999999999997</v>
      </c>
      <c r="F16" s="386">
        <f>E16*F15</f>
        <v>1.6749072</v>
      </c>
      <c r="G16" s="382"/>
      <c r="H16" s="382"/>
      <c r="I16" s="382"/>
      <c r="J16" s="382"/>
      <c r="K16" s="382"/>
      <c r="L16" s="386"/>
      <c r="M16" s="386"/>
    </row>
    <row r="17" spans="1:13" s="663" customFormat="1" ht="15.75">
      <c r="A17" s="546"/>
      <c r="B17" s="666" t="s">
        <v>675</v>
      </c>
      <c r="C17" s="541" t="s">
        <v>254</v>
      </c>
      <c r="D17" s="494" t="s">
        <v>391</v>
      </c>
      <c r="E17" s="382">
        <v>1.02</v>
      </c>
      <c r="F17" s="386">
        <f>E17*F14</f>
        <v>4.4064000000000005</v>
      </c>
      <c r="G17" s="400"/>
      <c r="H17" s="389"/>
      <c r="I17" s="545"/>
      <c r="J17" s="546"/>
      <c r="K17" s="400"/>
      <c r="L17" s="400"/>
      <c r="M17" s="386"/>
    </row>
    <row r="18" spans="1:13" s="663" customFormat="1" ht="13.5">
      <c r="A18" s="546"/>
      <c r="B18" s="662" t="s">
        <v>655</v>
      </c>
      <c r="C18" s="541" t="s">
        <v>264</v>
      </c>
      <c r="D18" s="494" t="s">
        <v>169</v>
      </c>
      <c r="E18" s="382" t="s">
        <v>205</v>
      </c>
      <c r="F18" s="386">
        <f>0.4*0.6*4*(F32/2.3)</f>
        <v>18.782608695652172</v>
      </c>
      <c r="G18" s="392"/>
      <c r="H18" s="389"/>
      <c r="I18" s="545"/>
      <c r="J18" s="546"/>
      <c r="K18" s="400"/>
      <c r="L18" s="400"/>
      <c r="M18" s="386"/>
    </row>
    <row r="19" spans="1:13" s="663" customFormat="1" ht="13.5">
      <c r="A19" s="546"/>
      <c r="B19" s="662" t="s">
        <v>736</v>
      </c>
      <c r="C19" s="541" t="s">
        <v>515</v>
      </c>
      <c r="D19" s="494" t="s">
        <v>587</v>
      </c>
      <c r="E19" s="382" t="s">
        <v>205</v>
      </c>
      <c r="F19" s="386">
        <f>F18*0.7%</f>
        <v>0.13147826086956518</v>
      </c>
      <c r="G19" s="392"/>
      <c r="H19" s="389"/>
      <c r="I19" s="545"/>
      <c r="J19" s="546"/>
      <c r="K19" s="400"/>
      <c r="L19" s="400"/>
      <c r="M19" s="386"/>
    </row>
    <row r="20" spans="1:13" s="663" customFormat="1" ht="13.5">
      <c r="A20" s="546"/>
      <c r="B20" s="666"/>
      <c r="C20" s="541" t="s">
        <v>89</v>
      </c>
      <c r="D20" s="494" t="s">
        <v>16</v>
      </c>
      <c r="E20" s="382">
        <v>0.62</v>
      </c>
      <c r="F20" s="386">
        <f>E20*F14</f>
        <v>2.6784000000000003</v>
      </c>
      <c r="G20" s="400"/>
      <c r="H20" s="389"/>
      <c r="I20" s="545"/>
      <c r="J20" s="546"/>
      <c r="K20" s="400"/>
      <c r="L20" s="400"/>
      <c r="M20" s="386"/>
    </row>
    <row r="21" spans="1:13" s="663" customFormat="1" ht="27">
      <c r="A21" s="664">
        <v>4</v>
      </c>
      <c r="B21" s="563" t="s">
        <v>165</v>
      </c>
      <c r="C21" s="528" t="s">
        <v>516</v>
      </c>
      <c r="D21" s="509" t="s">
        <v>15</v>
      </c>
      <c r="E21" s="509"/>
      <c r="F21" s="555">
        <v>6.4</v>
      </c>
      <c r="G21" s="509"/>
      <c r="H21" s="509"/>
      <c r="I21" s="509"/>
      <c r="J21" s="509"/>
      <c r="K21" s="509"/>
      <c r="L21" s="509"/>
      <c r="M21" s="526"/>
    </row>
    <row r="22" spans="1:13" s="663" customFormat="1" ht="13.5">
      <c r="A22" s="546"/>
      <c r="B22" s="666"/>
      <c r="C22" s="541" t="s">
        <v>96</v>
      </c>
      <c r="D22" s="494" t="s">
        <v>102</v>
      </c>
      <c r="E22" s="382">
        <v>1.37</v>
      </c>
      <c r="F22" s="386">
        <f>E22*F21</f>
        <v>8.7680000000000007</v>
      </c>
      <c r="G22" s="382"/>
      <c r="H22" s="386"/>
      <c r="I22" s="494"/>
      <c r="J22" s="386"/>
      <c r="K22" s="382"/>
      <c r="L22" s="382"/>
      <c r="M22" s="386"/>
    </row>
    <row r="23" spans="1:13" s="663" customFormat="1" ht="13.5">
      <c r="A23" s="546"/>
      <c r="B23" s="665"/>
      <c r="C23" s="541" t="s">
        <v>97</v>
      </c>
      <c r="D23" s="494" t="s">
        <v>16</v>
      </c>
      <c r="E23" s="382">
        <v>0.28299999999999997</v>
      </c>
      <c r="F23" s="386">
        <f>E23*F22</f>
        <v>2.481344</v>
      </c>
      <c r="G23" s="382"/>
      <c r="H23" s="382"/>
      <c r="I23" s="382"/>
      <c r="J23" s="382"/>
      <c r="K23" s="382"/>
      <c r="L23" s="386"/>
      <c r="M23" s="386"/>
    </row>
    <row r="24" spans="1:13" s="663" customFormat="1" ht="15.75">
      <c r="A24" s="546"/>
      <c r="B24" s="666" t="s">
        <v>675</v>
      </c>
      <c r="C24" s="541" t="s">
        <v>254</v>
      </c>
      <c r="D24" s="494" t="s">
        <v>391</v>
      </c>
      <c r="E24" s="382">
        <v>1.02</v>
      </c>
      <c r="F24" s="386">
        <f>E24*F21</f>
        <v>6.5280000000000005</v>
      </c>
      <c r="G24" s="400"/>
      <c r="H24" s="389"/>
      <c r="I24" s="545"/>
      <c r="J24" s="546"/>
      <c r="K24" s="400"/>
      <c r="L24" s="400"/>
      <c r="M24" s="386"/>
    </row>
    <row r="25" spans="1:13" s="663" customFormat="1" ht="13.5">
      <c r="A25" s="546"/>
      <c r="B25" s="662" t="s">
        <v>655</v>
      </c>
      <c r="C25" s="541" t="s">
        <v>264</v>
      </c>
      <c r="D25" s="494" t="s">
        <v>169</v>
      </c>
      <c r="E25" s="382" t="s">
        <v>205</v>
      </c>
      <c r="F25" s="386">
        <f>0.4*F28*2</f>
        <v>64</v>
      </c>
      <c r="G25" s="392"/>
      <c r="H25" s="389"/>
      <c r="I25" s="545"/>
      <c r="J25" s="546"/>
      <c r="K25" s="400"/>
      <c r="L25" s="400"/>
      <c r="M25" s="386"/>
    </row>
    <row r="26" spans="1:13" s="663" customFormat="1" ht="13.5">
      <c r="A26" s="546"/>
      <c r="B26" s="662" t="s">
        <v>736</v>
      </c>
      <c r="C26" s="541" t="s">
        <v>515</v>
      </c>
      <c r="D26" s="494" t="s">
        <v>15</v>
      </c>
      <c r="E26" s="382" t="s">
        <v>205</v>
      </c>
      <c r="F26" s="386">
        <f>F25*0.7%</f>
        <v>0.44799999999999995</v>
      </c>
      <c r="G26" s="392"/>
      <c r="H26" s="389"/>
      <c r="I26" s="545"/>
      <c r="J26" s="546"/>
      <c r="K26" s="400"/>
      <c r="L26" s="400"/>
      <c r="M26" s="386"/>
    </row>
    <row r="27" spans="1:13" s="663" customFormat="1" ht="13.5">
      <c r="A27" s="546"/>
      <c r="B27" s="666"/>
      <c r="C27" s="541" t="s">
        <v>89</v>
      </c>
      <c r="D27" s="494" t="s">
        <v>16</v>
      </c>
      <c r="E27" s="382">
        <v>0.62</v>
      </c>
      <c r="F27" s="386">
        <f>E27*F21</f>
        <v>3.968</v>
      </c>
      <c r="G27" s="400"/>
      <c r="H27" s="389"/>
      <c r="I27" s="545"/>
      <c r="J27" s="546"/>
      <c r="K27" s="400"/>
      <c r="L27" s="400"/>
      <c r="M27" s="386"/>
    </row>
    <row r="28" spans="1:13" s="663" customFormat="1" ht="27">
      <c r="A28" s="664">
        <v>5</v>
      </c>
      <c r="B28" s="554" t="s">
        <v>185</v>
      </c>
      <c r="C28" s="667" t="s">
        <v>517</v>
      </c>
      <c r="D28" s="509" t="s">
        <v>91</v>
      </c>
      <c r="E28" s="509"/>
      <c r="F28" s="668">
        <v>80</v>
      </c>
      <c r="G28" s="509"/>
      <c r="H28" s="509"/>
      <c r="I28" s="509"/>
      <c r="J28" s="509"/>
      <c r="K28" s="509"/>
      <c r="L28" s="509"/>
      <c r="M28" s="526"/>
    </row>
    <row r="29" spans="1:13" s="663" customFormat="1" ht="13.5">
      <c r="A29" s="546"/>
      <c r="B29" s="509"/>
      <c r="C29" s="541" t="s">
        <v>96</v>
      </c>
      <c r="D29" s="494" t="s">
        <v>13</v>
      </c>
      <c r="E29" s="382">
        <f>3.12</f>
        <v>3.12</v>
      </c>
      <c r="F29" s="386">
        <f>E29*F28</f>
        <v>249.60000000000002</v>
      </c>
      <c r="G29" s="382"/>
      <c r="H29" s="386"/>
      <c r="I29" s="382"/>
      <c r="J29" s="386"/>
      <c r="K29" s="382"/>
      <c r="L29" s="382"/>
      <c r="M29" s="386"/>
    </row>
    <row r="30" spans="1:13" s="663" customFormat="1" ht="13.5">
      <c r="A30" s="546"/>
      <c r="B30" s="649" t="s">
        <v>737</v>
      </c>
      <c r="C30" s="541" t="s">
        <v>186</v>
      </c>
      <c r="D30" s="494" t="s">
        <v>168</v>
      </c>
      <c r="E30" s="382">
        <f>0.407</f>
        <v>0.40699999999999997</v>
      </c>
      <c r="F30" s="386">
        <f>E30*F28</f>
        <v>32.559999999999995</v>
      </c>
      <c r="G30" s="382"/>
      <c r="H30" s="382"/>
      <c r="I30" s="382"/>
      <c r="J30" s="382"/>
      <c r="K30" s="256"/>
      <c r="L30" s="386"/>
      <c r="M30" s="386"/>
    </row>
    <row r="31" spans="1:13" s="663" customFormat="1" ht="13.5">
      <c r="A31" s="664"/>
      <c r="B31" s="669"/>
      <c r="C31" s="541" t="s">
        <v>97</v>
      </c>
      <c r="D31" s="494" t="s">
        <v>16</v>
      </c>
      <c r="E31" s="382">
        <v>0.09</v>
      </c>
      <c r="F31" s="386">
        <f>E31*F28</f>
        <v>7.1999999999999993</v>
      </c>
      <c r="G31" s="382"/>
      <c r="H31" s="382"/>
      <c r="I31" s="382"/>
      <c r="J31" s="382"/>
      <c r="K31" s="382"/>
      <c r="L31" s="386"/>
      <c r="M31" s="386"/>
    </row>
    <row r="32" spans="1:13" s="670" customFormat="1" ht="13.5">
      <c r="A32" s="546"/>
      <c r="B32" s="397" t="s">
        <v>518</v>
      </c>
      <c r="C32" s="541" t="s">
        <v>519</v>
      </c>
      <c r="D32" s="494" t="s">
        <v>98</v>
      </c>
      <c r="E32" s="382" t="s">
        <v>205</v>
      </c>
      <c r="F32" s="382">
        <v>45</v>
      </c>
      <c r="G32" s="389"/>
      <c r="H32" s="389"/>
      <c r="I32" s="545"/>
      <c r="J32" s="546"/>
      <c r="K32" s="400"/>
      <c r="L32" s="400"/>
      <c r="M32" s="386"/>
    </row>
    <row r="33" spans="1:153" s="670" customFormat="1" ht="13.5">
      <c r="A33" s="546"/>
      <c r="B33" s="397" t="s">
        <v>520</v>
      </c>
      <c r="C33" s="541" t="s">
        <v>187</v>
      </c>
      <c r="D33" s="494" t="s">
        <v>103</v>
      </c>
      <c r="E33" s="382" t="s">
        <v>176</v>
      </c>
      <c r="F33" s="386">
        <f>((F28*4)+(F32*1.5))*0.222/1000</f>
        <v>8.6025000000000004E-2</v>
      </c>
      <c r="G33" s="389"/>
      <c r="H33" s="389"/>
      <c r="I33" s="545"/>
      <c r="J33" s="546"/>
      <c r="K33" s="400"/>
      <c r="L33" s="400"/>
      <c r="M33" s="386"/>
    </row>
    <row r="34" spans="1:153" s="670" customFormat="1" ht="13.5">
      <c r="A34" s="546"/>
      <c r="B34" s="463" t="s">
        <v>507</v>
      </c>
      <c r="C34" s="541" t="s">
        <v>188</v>
      </c>
      <c r="D34" s="494" t="s">
        <v>103</v>
      </c>
      <c r="E34" s="382" t="s">
        <v>176</v>
      </c>
      <c r="F34" s="388">
        <f>F33*10%/1000</f>
        <v>8.6025000000000011E-6</v>
      </c>
      <c r="G34" s="400"/>
      <c r="H34" s="389"/>
      <c r="I34" s="545"/>
      <c r="J34" s="546"/>
      <c r="K34" s="400"/>
      <c r="L34" s="400"/>
      <c r="M34" s="386"/>
    </row>
    <row r="35" spans="1:153" s="670" customFormat="1" ht="13.5">
      <c r="A35" s="546"/>
      <c r="B35" s="463" t="s">
        <v>738</v>
      </c>
      <c r="C35" s="541" t="s">
        <v>521</v>
      </c>
      <c r="D35" s="494" t="s">
        <v>169</v>
      </c>
      <c r="E35" s="382">
        <v>1.5</v>
      </c>
      <c r="F35" s="386">
        <f>E35*F28</f>
        <v>120</v>
      </c>
      <c r="G35" s="400"/>
      <c r="H35" s="389"/>
      <c r="I35" s="545"/>
      <c r="J35" s="546"/>
      <c r="K35" s="400"/>
      <c r="L35" s="400"/>
      <c r="M35" s="386"/>
    </row>
    <row r="36" spans="1:153" s="670" customFormat="1" ht="13.5">
      <c r="A36" s="546"/>
      <c r="B36" s="463" t="s">
        <v>739</v>
      </c>
      <c r="C36" s="671" t="s">
        <v>523</v>
      </c>
      <c r="D36" s="672" t="s">
        <v>103</v>
      </c>
      <c r="E36" s="551" t="s">
        <v>176</v>
      </c>
      <c r="F36" s="673">
        <f>0.04*0.04*0.0035*8760*F32*2/1000</f>
        <v>4.4150400000000003E-3</v>
      </c>
      <c r="G36" s="400"/>
      <c r="H36" s="389"/>
      <c r="I36" s="545"/>
      <c r="J36" s="546"/>
      <c r="K36" s="400"/>
      <c r="L36" s="400"/>
      <c r="M36" s="386"/>
    </row>
    <row r="37" spans="1:153" s="670" customFormat="1" ht="13.5">
      <c r="A37" s="546"/>
      <c r="B37" s="674"/>
      <c r="C37" s="671" t="s">
        <v>89</v>
      </c>
      <c r="D37" s="672" t="s">
        <v>16</v>
      </c>
      <c r="E37" s="551">
        <v>0.05</v>
      </c>
      <c r="F37" s="552">
        <f>E37*F28</f>
        <v>4</v>
      </c>
      <c r="G37" s="675"/>
      <c r="H37" s="676"/>
      <c r="I37" s="677"/>
      <c r="J37" s="678"/>
      <c r="K37" s="675"/>
      <c r="L37" s="675"/>
      <c r="M37" s="552"/>
    </row>
    <row r="38" spans="1:153" s="663" customFormat="1" ht="27">
      <c r="A38" s="664">
        <v>6</v>
      </c>
      <c r="B38" s="563" t="s">
        <v>193</v>
      </c>
      <c r="C38" s="510" t="s">
        <v>524</v>
      </c>
      <c r="D38" s="492" t="s">
        <v>169</v>
      </c>
      <c r="E38" s="492"/>
      <c r="F38" s="956">
        <f>F35</f>
        <v>120</v>
      </c>
      <c r="G38" s="492"/>
      <c r="H38" s="493"/>
      <c r="I38" s="492"/>
      <c r="J38" s="493"/>
      <c r="K38" s="492"/>
      <c r="L38" s="493"/>
      <c r="M38" s="493"/>
      <c r="N38" s="680"/>
      <c r="O38" s="680"/>
      <c r="P38" s="680"/>
      <c r="Q38" s="680"/>
      <c r="R38" s="680"/>
      <c r="S38" s="680"/>
      <c r="T38" s="680"/>
      <c r="U38" s="680"/>
      <c r="V38" s="680"/>
      <c r="W38" s="680"/>
      <c r="X38" s="680"/>
      <c r="Y38" s="680"/>
      <c r="Z38" s="680"/>
      <c r="AA38" s="680"/>
      <c r="AB38" s="680"/>
      <c r="AC38" s="680"/>
      <c r="AD38" s="680"/>
      <c r="AE38" s="680"/>
      <c r="AF38" s="680"/>
      <c r="AG38" s="680"/>
      <c r="AH38" s="680"/>
      <c r="AI38" s="680"/>
      <c r="AJ38" s="680"/>
      <c r="AK38" s="680"/>
      <c r="AL38" s="680"/>
      <c r="AM38" s="680"/>
      <c r="AN38" s="680"/>
      <c r="AO38" s="680"/>
      <c r="AP38" s="680"/>
      <c r="AQ38" s="680"/>
      <c r="AR38" s="680"/>
      <c r="AS38" s="680"/>
      <c r="AT38" s="680"/>
      <c r="AU38" s="680"/>
      <c r="AV38" s="680"/>
      <c r="AW38" s="680"/>
      <c r="AX38" s="680"/>
      <c r="AY38" s="680"/>
      <c r="AZ38" s="680"/>
      <c r="BA38" s="680"/>
      <c r="BB38" s="680"/>
      <c r="BC38" s="680"/>
      <c r="BD38" s="680"/>
      <c r="BE38" s="680"/>
      <c r="BF38" s="680"/>
      <c r="BG38" s="680"/>
      <c r="BH38" s="680"/>
      <c r="BI38" s="680"/>
      <c r="BJ38" s="680"/>
      <c r="BK38" s="680"/>
      <c r="BL38" s="680"/>
      <c r="BM38" s="680"/>
      <c r="BN38" s="680"/>
      <c r="BO38" s="680"/>
      <c r="BP38" s="680"/>
      <c r="BQ38" s="680"/>
      <c r="BR38" s="680"/>
      <c r="BS38" s="680"/>
      <c r="BT38" s="680"/>
      <c r="BU38" s="680"/>
      <c r="BV38" s="680"/>
      <c r="BW38" s="680"/>
      <c r="BX38" s="680"/>
      <c r="BY38" s="680"/>
      <c r="BZ38" s="680"/>
      <c r="CA38" s="680"/>
      <c r="CB38" s="680"/>
      <c r="CC38" s="680"/>
      <c r="CD38" s="680"/>
      <c r="CE38" s="680"/>
      <c r="CF38" s="680"/>
      <c r="CG38" s="680"/>
      <c r="CH38" s="680"/>
      <c r="CI38" s="680"/>
      <c r="CJ38" s="680"/>
      <c r="CK38" s="680"/>
      <c r="CL38" s="680"/>
      <c r="CM38" s="680"/>
      <c r="CN38" s="680"/>
      <c r="CO38" s="680"/>
      <c r="CP38" s="680"/>
      <c r="CQ38" s="680"/>
      <c r="CR38" s="680"/>
      <c r="CS38" s="680"/>
      <c r="CT38" s="680"/>
      <c r="CU38" s="680"/>
      <c r="CV38" s="680"/>
      <c r="CW38" s="680"/>
      <c r="CX38" s="680"/>
      <c r="CY38" s="680"/>
      <c r="CZ38" s="680"/>
      <c r="DA38" s="680"/>
      <c r="DB38" s="680"/>
      <c r="DC38" s="680"/>
      <c r="DD38" s="680"/>
      <c r="DE38" s="680"/>
      <c r="DF38" s="680"/>
      <c r="DG38" s="680"/>
      <c r="DH38" s="680"/>
      <c r="DI38" s="680"/>
      <c r="DJ38" s="680"/>
      <c r="DK38" s="680"/>
      <c r="DL38" s="680"/>
      <c r="DM38" s="680"/>
      <c r="DN38" s="680"/>
      <c r="DO38" s="680"/>
      <c r="DP38" s="680"/>
      <c r="DQ38" s="680"/>
      <c r="DR38" s="680"/>
      <c r="DS38" s="680"/>
      <c r="DT38" s="680"/>
      <c r="DU38" s="680"/>
      <c r="DV38" s="680"/>
      <c r="DW38" s="680"/>
      <c r="DX38" s="680"/>
      <c r="DY38" s="680"/>
      <c r="DZ38" s="680"/>
      <c r="EA38" s="680"/>
      <c r="EB38" s="680"/>
      <c r="EC38" s="680"/>
      <c r="ED38" s="680"/>
      <c r="EE38" s="680"/>
      <c r="EF38" s="680"/>
      <c r="EG38" s="680"/>
      <c r="EH38" s="680"/>
      <c r="EI38" s="680"/>
      <c r="EJ38" s="680"/>
      <c r="EK38" s="680"/>
      <c r="EL38" s="680"/>
      <c r="EM38" s="680"/>
      <c r="EN38" s="680"/>
      <c r="EO38" s="680"/>
      <c r="EP38" s="680"/>
      <c r="EQ38" s="680"/>
      <c r="ER38" s="680"/>
      <c r="ES38" s="680"/>
      <c r="ET38" s="680"/>
      <c r="EU38" s="680"/>
      <c r="EV38" s="680"/>
      <c r="EW38" s="680"/>
    </row>
    <row r="39" spans="1:153" s="663" customFormat="1" ht="13.5">
      <c r="A39" s="546"/>
      <c r="B39" s="509"/>
      <c r="C39" s="383" t="s">
        <v>86</v>
      </c>
      <c r="D39" s="494" t="s">
        <v>13</v>
      </c>
      <c r="E39" s="382">
        <f>6.8/100</f>
        <v>6.8000000000000005E-2</v>
      </c>
      <c r="F39" s="386">
        <f>F38*E39</f>
        <v>8.16</v>
      </c>
      <c r="G39" s="382"/>
      <c r="H39" s="386"/>
      <c r="I39" s="382"/>
      <c r="J39" s="386"/>
      <c r="K39" s="417"/>
      <c r="L39" s="681"/>
      <c r="M39" s="552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  <c r="Y39" s="680"/>
      <c r="Z39" s="680"/>
      <c r="AA39" s="680"/>
      <c r="AB39" s="680"/>
      <c r="AC39" s="680"/>
      <c r="AD39" s="680"/>
      <c r="AE39" s="680"/>
      <c r="AF39" s="680"/>
      <c r="AG39" s="680"/>
      <c r="AH39" s="680"/>
      <c r="AI39" s="680"/>
      <c r="AJ39" s="680"/>
      <c r="AK39" s="680"/>
      <c r="AL39" s="680"/>
      <c r="AM39" s="680"/>
      <c r="AN39" s="680"/>
      <c r="AO39" s="680"/>
      <c r="AP39" s="680"/>
      <c r="AQ39" s="680"/>
      <c r="AR39" s="680"/>
      <c r="AS39" s="680"/>
      <c r="AT39" s="680"/>
      <c r="AU39" s="680"/>
      <c r="AV39" s="680"/>
      <c r="AW39" s="680"/>
      <c r="AX39" s="680"/>
      <c r="AY39" s="680"/>
      <c r="AZ39" s="680"/>
      <c r="BA39" s="680"/>
      <c r="BB39" s="680"/>
      <c r="BC39" s="680"/>
      <c r="BD39" s="680"/>
      <c r="BE39" s="680"/>
      <c r="BF39" s="680"/>
      <c r="BG39" s="680"/>
      <c r="BH39" s="680"/>
      <c r="BI39" s="680"/>
      <c r="BJ39" s="680"/>
      <c r="BK39" s="680"/>
      <c r="BL39" s="680"/>
      <c r="BM39" s="680"/>
      <c r="BN39" s="680"/>
      <c r="BO39" s="680"/>
      <c r="BP39" s="680"/>
      <c r="BQ39" s="680"/>
      <c r="BR39" s="680"/>
      <c r="BS39" s="680"/>
      <c r="BT39" s="680"/>
      <c r="BU39" s="680"/>
      <c r="BV39" s="680"/>
      <c r="BW39" s="680"/>
      <c r="BX39" s="680"/>
      <c r="BY39" s="680"/>
      <c r="BZ39" s="680"/>
      <c r="CA39" s="680"/>
      <c r="CB39" s="680"/>
      <c r="CC39" s="680"/>
      <c r="CD39" s="680"/>
      <c r="CE39" s="680"/>
      <c r="CF39" s="680"/>
      <c r="CG39" s="680"/>
      <c r="CH39" s="680"/>
      <c r="CI39" s="680"/>
      <c r="CJ39" s="680"/>
      <c r="CK39" s="680"/>
      <c r="CL39" s="680"/>
      <c r="CM39" s="680"/>
      <c r="CN39" s="680"/>
      <c r="CO39" s="680"/>
      <c r="CP39" s="680"/>
      <c r="CQ39" s="680"/>
      <c r="CR39" s="680"/>
      <c r="CS39" s="680"/>
      <c r="CT39" s="680"/>
      <c r="CU39" s="680"/>
      <c r="CV39" s="680"/>
      <c r="CW39" s="680"/>
      <c r="CX39" s="680"/>
      <c r="CY39" s="680"/>
      <c r="CZ39" s="680"/>
      <c r="DA39" s="680"/>
      <c r="DB39" s="680"/>
      <c r="DC39" s="680"/>
      <c r="DD39" s="680"/>
      <c r="DE39" s="680"/>
      <c r="DF39" s="680"/>
      <c r="DG39" s="680"/>
      <c r="DH39" s="680"/>
      <c r="DI39" s="680"/>
      <c r="DJ39" s="680"/>
      <c r="DK39" s="680"/>
      <c r="DL39" s="680"/>
      <c r="DM39" s="680"/>
      <c r="DN39" s="680"/>
      <c r="DO39" s="680"/>
      <c r="DP39" s="680"/>
      <c r="DQ39" s="680"/>
      <c r="DR39" s="680"/>
      <c r="DS39" s="680"/>
      <c r="DT39" s="680"/>
      <c r="DU39" s="680"/>
      <c r="DV39" s="680"/>
      <c r="DW39" s="680"/>
      <c r="DX39" s="680"/>
      <c r="DY39" s="680"/>
      <c r="DZ39" s="680"/>
      <c r="EA39" s="680"/>
      <c r="EB39" s="680"/>
      <c r="EC39" s="680"/>
      <c r="ED39" s="680"/>
      <c r="EE39" s="680"/>
      <c r="EF39" s="680"/>
      <c r="EG39" s="680"/>
      <c r="EH39" s="680"/>
      <c r="EI39" s="680"/>
      <c r="EJ39" s="680"/>
      <c r="EK39" s="680"/>
      <c r="EL39" s="680"/>
      <c r="EM39" s="680"/>
      <c r="EN39" s="680"/>
      <c r="EO39" s="680"/>
      <c r="EP39" s="680"/>
      <c r="EQ39" s="680"/>
      <c r="ER39" s="680"/>
      <c r="ES39" s="680"/>
      <c r="ET39" s="680"/>
      <c r="EU39" s="680"/>
      <c r="EV39" s="680"/>
      <c r="EW39" s="680"/>
    </row>
    <row r="40" spans="1:153" s="663" customFormat="1" ht="13.5">
      <c r="A40" s="546"/>
      <c r="B40" s="528"/>
      <c r="C40" s="383" t="s">
        <v>97</v>
      </c>
      <c r="D40" s="382" t="s">
        <v>16</v>
      </c>
      <c r="E40" s="494">
        <f>0.03/100</f>
        <v>2.9999999999999997E-4</v>
      </c>
      <c r="F40" s="557">
        <f>F38*E40</f>
        <v>3.5999999999999997E-2</v>
      </c>
      <c r="G40" s="494"/>
      <c r="H40" s="511"/>
      <c r="I40" s="494"/>
      <c r="J40" s="511"/>
      <c r="K40" s="494"/>
      <c r="L40" s="557"/>
      <c r="M40" s="552"/>
      <c r="N40" s="680"/>
      <c r="O40" s="680"/>
      <c r="P40" s="680"/>
      <c r="Q40" s="680"/>
      <c r="R40" s="680"/>
      <c r="S40" s="680"/>
      <c r="T40" s="680"/>
      <c r="U40" s="680"/>
      <c r="V40" s="680"/>
      <c r="W40" s="680"/>
      <c r="X40" s="680"/>
      <c r="Y40" s="680"/>
      <c r="Z40" s="680"/>
      <c r="AA40" s="680"/>
      <c r="AB40" s="680"/>
      <c r="AC40" s="680"/>
      <c r="AD40" s="680"/>
      <c r="AE40" s="680"/>
      <c r="AF40" s="680"/>
      <c r="AG40" s="680"/>
      <c r="AH40" s="680"/>
      <c r="AI40" s="680"/>
      <c r="AJ40" s="680"/>
      <c r="AK40" s="680"/>
      <c r="AL40" s="680"/>
      <c r="AM40" s="680"/>
      <c r="AN40" s="680"/>
      <c r="AO40" s="680"/>
      <c r="AP40" s="680"/>
      <c r="AQ40" s="680"/>
      <c r="AR40" s="680"/>
      <c r="AS40" s="680"/>
      <c r="AT40" s="680"/>
      <c r="AU40" s="680"/>
      <c r="AV40" s="680"/>
      <c r="AW40" s="680"/>
      <c r="AX40" s="680"/>
      <c r="AY40" s="680"/>
      <c r="AZ40" s="680"/>
      <c r="BA40" s="680"/>
      <c r="BB40" s="680"/>
      <c r="BC40" s="680"/>
      <c r="BD40" s="680"/>
      <c r="BE40" s="680"/>
      <c r="BF40" s="680"/>
      <c r="BG40" s="680"/>
      <c r="BH40" s="680"/>
      <c r="BI40" s="680"/>
      <c r="BJ40" s="680"/>
      <c r="BK40" s="680"/>
      <c r="BL40" s="680"/>
      <c r="BM40" s="680"/>
      <c r="BN40" s="680"/>
      <c r="BO40" s="680"/>
      <c r="BP40" s="680"/>
      <c r="BQ40" s="680"/>
      <c r="BR40" s="680"/>
      <c r="BS40" s="680"/>
      <c r="BT40" s="680"/>
      <c r="BU40" s="680"/>
      <c r="BV40" s="680"/>
      <c r="BW40" s="680"/>
      <c r="BX40" s="680"/>
      <c r="BY40" s="680"/>
      <c r="BZ40" s="680"/>
      <c r="CA40" s="680"/>
      <c r="CB40" s="680"/>
      <c r="CC40" s="680"/>
      <c r="CD40" s="680"/>
      <c r="CE40" s="680"/>
      <c r="CF40" s="680"/>
      <c r="CG40" s="680"/>
      <c r="CH40" s="680"/>
      <c r="CI40" s="680"/>
      <c r="CJ40" s="680"/>
      <c r="CK40" s="680"/>
      <c r="CL40" s="680"/>
      <c r="CM40" s="680"/>
      <c r="CN40" s="680"/>
      <c r="CO40" s="680"/>
      <c r="CP40" s="680"/>
      <c r="CQ40" s="680"/>
      <c r="CR40" s="680"/>
      <c r="CS40" s="680"/>
      <c r="CT40" s="680"/>
      <c r="CU40" s="680"/>
      <c r="CV40" s="680"/>
      <c r="CW40" s="680"/>
      <c r="CX40" s="680"/>
      <c r="CY40" s="680"/>
      <c r="CZ40" s="680"/>
      <c r="DA40" s="680"/>
      <c r="DB40" s="680"/>
      <c r="DC40" s="680"/>
      <c r="DD40" s="680"/>
      <c r="DE40" s="680"/>
      <c r="DF40" s="680"/>
      <c r="DG40" s="680"/>
      <c r="DH40" s="680"/>
      <c r="DI40" s="680"/>
      <c r="DJ40" s="680"/>
      <c r="DK40" s="680"/>
      <c r="DL40" s="680"/>
      <c r="DM40" s="680"/>
      <c r="DN40" s="680"/>
      <c r="DO40" s="680"/>
      <c r="DP40" s="680"/>
      <c r="DQ40" s="680"/>
      <c r="DR40" s="680"/>
      <c r="DS40" s="680"/>
      <c r="DT40" s="680"/>
      <c r="DU40" s="680"/>
      <c r="DV40" s="680"/>
      <c r="DW40" s="680"/>
      <c r="DX40" s="680"/>
      <c r="DY40" s="680"/>
      <c r="DZ40" s="680"/>
      <c r="EA40" s="680"/>
      <c r="EB40" s="680"/>
      <c r="EC40" s="680"/>
      <c r="ED40" s="680"/>
      <c r="EE40" s="680"/>
      <c r="EF40" s="680"/>
      <c r="EG40" s="680"/>
      <c r="EH40" s="680"/>
      <c r="EI40" s="680"/>
      <c r="EJ40" s="680"/>
      <c r="EK40" s="680"/>
      <c r="EL40" s="680"/>
      <c r="EM40" s="680"/>
      <c r="EN40" s="680"/>
      <c r="EO40" s="680"/>
      <c r="EP40" s="680"/>
      <c r="EQ40" s="680"/>
      <c r="ER40" s="680"/>
      <c r="ES40" s="680"/>
      <c r="ET40" s="680"/>
      <c r="EU40" s="680"/>
      <c r="EV40" s="680"/>
      <c r="EW40" s="680"/>
    </row>
    <row r="41" spans="1:153" s="663" customFormat="1" ht="13.5">
      <c r="A41" s="546"/>
      <c r="B41" s="682" t="s">
        <v>740</v>
      </c>
      <c r="C41" s="683" t="s">
        <v>171</v>
      </c>
      <c r="D41" s="417" t="s">
        <v>110</v>
      </c>
      <c r="E41" s="417">
        <f>2.73/100</f>
        <v>2.7300000000000001E-2</v>
      </c>
      <c r="F41" s="684">
        <f>E41*F38</f>
        <v>3.2760000000000002</v>
      </c>
      <c r="G41" s="417"/>
      <c r="H41" s="681"/>
      <c r="I41" s="494"/>
      <c r="J41" s="417"/>
      <c r="K41" s="417"/>
      <c r="L41" s="681"/>
      <c r="M41" s="552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680"/>
      <c r="AL41" s="680"/>
      <c r="AM41" s="680"/>
      <c r="AN41" s="680"/>
      <c r="AO41" s="680"/>
      <c r="AP41" s="680"/>
      <c r="AQ41" s="680"/>
      <c r="AR41" s="680"/>
      <c r="AS41" s="680"/>
      <c r="AT41" s="680"/>
      <c r="AU41" s="680"/>
      <c r="AV41" s="680"/>
      <c r="AW41" s="680"/>
      <c r="AX41" s="680"/>
      <c r="AY41" s="680"/>
      <c r="AZ41" s="680"/>
      <c r="BA41" s="680"/>
      <c r="BB41" s="680"/>
      <c r="BC41" s="680"/>
      <c r="BD41" s="680"/>
      <c r="BE41" s="680"/>
      <c r="BF41" s="680"/>
      <c r="BG41" s="680"/>
      <c r="BH41" s="680"/>
      <c r="BI41" s="680"/>
      <c r="BJ41" s="680"/>
      <c r="BK41" s="680"/>
      <c r="BL41" s="680"/>
      <c r="BM41" s="680"/>
      <c r="BN41" s="680"/>
      <c r="BO41" s="680"/>
      <c r="BP41" s="680"/>
      <c r="BQ41" s="680"/>
      <c r="BR41" s="680"/>
      <c r="BS41" s="680"/>
      <c r="BT41" s="680"/>
      <c r="BU41" s="680"/>
      <c r="BV41" s="680"/>
      <c r="BW41" s="680"/>
      <c r="BX41" s="680"/>
      <c r="BY41" s="680"/>
      <c r="BZ41" s="680"/>
      <c r="CA41" s="680"/>
      <c r="CB41" s="680"/>
      <c r="CC41" s="680"/>
      <c r="CD41" s="680"/>
      <c r="CE41" s="680"/>
      <c r="CF41" s="680"/>
      <c r="CG41" s="680"/>
      <c r="CH41" s="680"/>
      <c r="CI41" s="680"/>
      <c r="CJ41" s="680"/>
      <c r="CK41" s="680"/>
      <c r="CL41" s="680"/>
      <c r="CM41" s="680"/>
      <c r="CN41" s="680"/>
      <c r="CO41" s="680"/>
      <c r="CP41" s="680"/>
      <c r="CQ41" s="680"/>
      <c r="CR41" s="680"/>
      <c r="CS41" s="680"/>
      <c r="CT41" s="680"/>
      <c r="CU41" s="680"/>
      <c r="CV41" s="680"/>
      <c r="CW41" s="680"/>
      <c r="CX41" s="680"/>
      <c r="CY41" s="680"/>
      <c r="CZ41" s="680"/>
      <c r="DA41" s="680"/>
      <c r="DB41" s="680"/>
      <c r="DC41" s="680"/>
      <c r="DD41" s="680"/>
      <c r="DE41" s="680"/>
      <c r="DF41" s="680"/>
      <c r="DG41" s="680"/>
      <c r="DH41" s="680"/>
      <c r="DI41" s="680"/>
      <c r="DJ41" s="680"/>
      <c r="DK41" s="680"/>
      <c r="DL41" s="680"/>
      <c r="DM41" s="680"/>
      <c r="DN41" s="680"/>
      <c r="DO41" s="680"/>
      <c r="DP41" s="680"/>
      <c r="DQ41" s="680"/>
      <c r="DR41" s="680"/>
      <c r="DS41" s="680"/>
      <c r="DT41" s="680"/>
      <c r="DU41" s="680"/>
      <c r="DV41" s="680"/>
      <c r="DW41" s="680"/>
      <c r="DX41" s="680"/>
      <c r="DY41" s="680"/>
      <c r="DZ41" s="680"/>
      <c r="EA41" s="680"/>
      <c r="EB41" s="680"/>
      <c r="EC41" s="680"/>
      <c r="ED41" s="680"/>
      <c r="EE41" s="680"/>
      <c r="EF41" s="680"/>
      <c r="EG41" s="680"/>
      <c r="EH41" s="680"/>
      <c r="EI41" s="680"/>
      <c r="EJ41" s="680"/>
      <c r="EK41" s="680"/>
      <c r="EL41" s="680"/>
      <c r="EM41" s="680"/>
      <c r="EN41" s="680"/>
      <c r="EO41" s="680"/>
      <c r="EP41" s="680"/>
      <c r="EQ41" s="680"/>
      <c r="ER41" s="680"/>
      <c r="ES41" s="680"/>
      <c r="ET41" s="680"/>
      <c r="EU41" s="680"/>
      <c r="EV41" s="680"/>
      <c r="EW41" s="680"/>
    </row>
    <row r="42" spans="1:153" s="663" customFormat="1" ht="13.5">
      <c r="A42" s="546"/>
      <c r="B42" s="685"/>
      <c r="C42" s="683" t="s">
        <v>104</v>
      </c>
      <c r="D42" s="417" t="s">
        <v>16</v>
      </c>
      <c r="E42" s="417">
        <f>0.19/100</f>
        <v>1.9E-3</v>
      </c>
      <c r="F42" s="684">
        <f>E42*F38</f>
        <v>0.22800000000000001</v>
      </c>
      <c r="G42" s="417"/>
      <c r="H42" s="681"/>
      <c r="I42" s="494"/>
      <c r="J42" s="417"/>
      <c r="K42" s="417"/>
      <c r="L42" s="681"/>
      <c r="M42" s="552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0"/>
      <c r="Z42" s="680"/>
      <c r="AA42" s="680"/>
      <c r="AB42" s="680"/>
      <c r="AC42" s="680"/>
      <c r="AD42" s="680"/>
      <c r="AE42" s="680"/>
      <c r="AF42" s="680"/>
      <c r="AG42" s="680"/>
      <c r="AH42" s="680"/>
      <c r="AI42" s="680"/>
      <c r="AJ42" s="680"/>
      <c r="AK42" s="680"/>
      <c r="AL42" s="680"/>
      <c r="AM42" s="680"/>
      <c r="AN42" s="680"/>
      <c r="AO42" s="680"/>
      <c r="AP42" s="680"/>
      <c r="AQ42" s="680"/>
      <c r="AR42" s="680"/>
      <c r="AS42" s="680"/>
      <c r="AT42" s="680"/>
      <c r="AU42" s="680"/>
      <c r="AV42" s="680"/>
      <c r="AW42" s="680"/>
      <c r="AX42" s="680"/>
      <c r="AY42" s="680"/>
      <c r="AZ42" s="680"/>
      <c r="BA42" s="680"/>
      <c r="BB42" s="680"/>
      <c r="BC42" s="680"/>
      <c r="BD42" s="680"/>
      <c r="BE42" s="680"/>
      <c r="BF42" s="680"/>
      <c r="BG42" s="680"/>
      <c r="BH42" s="680"/>
      <c r="BI42" s="680"/>
      <c r="BJ42" s="680"/>
      <c r="BK42" s="680"/>
      <c r="BL42" s="680"/>
      <c r="BM42" s="680"/>
      <c r="BN42" s="680"/>
      <c r="BO42" s="680"/>
      <c r="BP42" s="680"/>
      <c r="BQ42" s="680"/>
      <c r="BR42" s="680"/>
      <c r="BS42" s="680"/>
      <c r="BT42" s="680"/>
      <c r="BU42" s="680"/>
      <c r="BV42" s="680"/>
      <c r="BW42" s="680"/>
      <c r="BX42" s="680"/>
      <c r="BY42" s="680"/>
      <c r="BZ42" s="680"/>
      <c r="CA42" s="680"/>
      <c r="CB42" s="680"/>
      <c r="CC42" s="680"/>
      <c r="CD42" s="680"/>
      <c r="CE42" s="680"/>
      <c r="CF42" s="680"/>
      <c r="CG42" s="680"/>
      <c r="CH42" s="680"/>
      <c r="CI42" s="680"/>
      <c r="CJ42" s="680"/>
      <c r="CK42" s="680"/>
      <c r="CL42" s="680"/>
      <c r="CM42" s="680"/>
      <c r="CN42" s="680"/>
      <c r="CO42" s="680"/>
      <c r="CP42" s="680"/>
      <c r="CQ42" s="680"/>
      <c r="CR42" s="680"/>
      <c r="CS42" s="680"/>
      <c r="CT42" s="680"/>
      <c r="CU42" s="680"/>
      <c r="CV42" s="680"/>
      <c r="CW42" s="680"/>
      <c r="CX42" s="680"/>
      <c r="CY42" s="680"/>
      <c r="CZ42" s="680"/>
      <c r="DA42" s="680"/>
      <c r="DB42" s="680"/>
      <c r="DC42" s="680"/>
      <c r="DD42" s="680"/>
      <c r="DE42" s="680"/>
      <c r="DF42" s="680"/>
      <c r="DG42" s="680"/>
      <c r="DH42" s="680"/>
      <c r="DI42" s="680"/>
      <c r="DJ42" s="680"/>
      <c r="DK42" s="680"/>
      <c r="DL42" s="680"/>
      <c r="DM42" s="680"/>
      <c r="DN42" s="680"/>
      <c r="DO42" s="680"/>
      <c r="DP42" s="680"/>
      <c r="DQ42" s="680"/>
      <c r="DR42" s="680"/>
      <c r="DS42" s="680"/>
      <c r="DT42" s="680"/>
      <c r="DU42" s="680"/>
      <c r="DV42" s="680"/>
      <c r="DW42" s="680"/>
      <c r="DX42" s="680"/>
      <c r="DY42" s="680"/>
      <c r="DZ42" s="680"/>
      <c r="EA42" s="680"/>
      <c r="EB42" s="680"/>
      <c r="EC42" s="680"/>
      <c r="ED42" s="680"/>
      <c r="EE42" s="680"/>
      <c r="EF42" s="680"/>
      <c r="EG42" s="680"/>
      <c r="EH42" s="680"/>
      <c r="EI42" s="680"/>
      <c r="EJ42" s="680"/>
      <c r="EK42" s="680"/>
      <c r="EL42" s="680"/>
      <c r="EM42" s="680"/>
      <c r="EN42" s="680"/>
      <c r="EO42" s="680"/>
      <c r="EP42" s="680"/>
      <c r="EQ42" s="680"/>
      <c r="ER42" s="680"/>
      <c r="ES42" s="680"/>
      <c r="ET42" s="680"/>
      <c r="EU42" s="680"/>
      <c r="EV42" s="680"/>
      <c r="EW42" s="680"/>
    </row>
    <row r="43" spans="1:153" s="663" customFormat="1" ht="13.5">
      <c r="A43" s="509">
        <v>7</v>
      </c>
      <c r="B43" s="563" t="s">
        <v>189</v>
      </c>
      <c r="C43" s="510" t="s">
        <v>527</v>
      </c>
      <c r="D43" s="509" t="s">
        <v>98</v>
      </c>
      <c r="E43" s="686"/>
      <c r="F43" s="526">
        <v>1</v>
      </c>
      <c r="G43" s="509"/>
      <c r="H43" s="509"/>
      <c r="I43" s="526"/>
      <c r="J43" s="509"/>
      <c r="K43" s="509"/>
      <c r="L43" s="509"/>
      <c r="M43" s="526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0"/>
      <c r="AI43" s="680"/>
      <c r="AJ43" s="680"/>
      <c r="AK43" s="680"/>
      <c r="AL43" s="680"/>
      <c r="AM43" s="680"/>
      <c r="AN43" s="680"/>
      <c r="AO43" s="680"/>
      <c r="AP43" s="680"/>
      <c r="AQ43" s="680"/>
      <c r="AR43" s="680"/>
      <c r="AS43" s="680"/>
      <c r="AT43" s="680"/>
      <c r="AU43" s="680"/>
      <c r="AV43" s="680"/>
      <c r="AW43" s="680"/>
      <c r="AX43" s="680"/>
      <c r="AY43" s="680"/>
      <c r="AZ43" s="680"/>
      <c r="BA43" s="680"/>
      <c r="BB43" s="680"/>
      <c r="BC43" s="680"/>
      <c r="BD43" s="680"/>
      <c r="BE43" s="680"/>
      <c r="BF43" s="680"/>
      <c r="BG43" s="680"/>
      <c r="BH43" s="680"/>
      <c r="BI43" s="680"/>
      <c r="BJ43" s="680"/>
      <c r="BK43" s="680"/>
      <c r="BL43" s="680"/>
      <c r="BM43" s="680"/>
      <c r="BN43" s="680"/>
      <c r="BO43" s="680"/>
      <c r="BP43" s="680"/>
      <c r="BQ43" s="680"/>
      <c r="BR43" s="680"/>
      <c r="BS43" s="680"/>
      <c r="BT43" s="680"/>
      <c r="BU43" s="680"/>
      <c r="BV43" s="680"/>
      <c r="BW43" s="680"/>
      <c r="BX43" s="680"/>
      <c r="BY43" s="680"/>
      <c r="BZ43" s="680"/>
      <c r="CA43" s="680"/>
      <c r="CB43" s="680"/>
      <c r="CC43" s="680"/>
      <c r="CD43" s="680"/>
      <c r="CE43" s="680"/>
      <c r="CF43" s="680"/>
      <c r="CG43" s="680"/>
      <c r="CH43" s="680"/>
      <c r="CI43" s="680"/>
      <c r="CJ43" s="680"/>
      <c r="CK43" s="680"/>
      <c r="CL43" s="680"/>
      <c r="CM43" s="680"/>
      <c r="CN43" s="680"/>
      <c r="CO43" s="680"/>
      <c r="CP43" s="680"/>
      <c r="CQ43" s="680"/>
      <c r="CR43" s="680"/>
      <c r="CS43" s="680"/>
      <c r="CT43" s="680"/>
      <c r="CU43" s="680"/>
      <c r="CV43" s="680"/>
      <c r="CW43" s="680"/>
      <c r="CX43" s="680"/>
      <c r="CY43" s="680"/>
      <c r="CZ43" s="680"/>
      <c r="DA43" s="680"/>
      <c r="DB43" s="680"/>
      <c r="DC43" s="680"/>
      <c r="DD43" s="680"/>
      <c r="DE43" s="680"/>
      <c r="DF43" s="680"/>
      <c r="DG43" s="680"/>
      <c r="DH43" s="680"/>
      <c r="DI43" s="680"/>
      <c r="DJ43" s="680"/>
      <c r="DK43" s="680"/>
      <c r="DL43" s="680"/>
      <c r="DM43" s="680"/>
      <c r="DN43" s="680"/>
      <c r="DO43" s="680"/>
      <c r="DP43" s="680"/>
      <c r="DQ43" s="680"/>
      <c r="DR43" s="680"/>
      <c r="DS43" s="680"/>
      <c r="DT43" s="680"/>
      <c r="DU43" s="680"/>
      <c r="DV43" s="680"/>
      <c r="DW43" s="680"/>
      <c r="DX43" s="680"/>
      <c r="DY43" s="680"/>
      <c r="DZ43" s="680"/>
      <c r="EA43" s="680"/>
      <c r="EB43" s="680"/>
      <c r="EC43" s="680"/>
      <c r="ED43" s="680"/>
      <c r="EE43" s="680"/>
      <c r="EF43" s="680"/>
      <c r="EG43" s="680"/>
      <c r="EH43" s="680"/>
      <c r="EI43" s="680"/>
      <c r="EJ43" s="680"/>
      <c r="EK43" s="680"/>
      <c r="EL43" s="680"/>
      <c r="EM43" s="680"/>
      <c r="EN43" s="680"/>
      <c r="EO43" s="680"/>
      <c r="EP43" s="680"/>
      <c r="EQ43" s="680"/>
      <c r="ER43" s="680"/>
      <c r="ES43" s="680"/>
      <c r="ET43" s="680"/>
      <c r="EU43" s="680"/>
      <c r="EV43" s="680"/>
      <c r="EW43" s="680"/>
    </row>
    <row r="44" spans="1:153" s="663" customFormat="1" ht="13.5">
      <c r="A44" s="509"/>
      <c r="B44" s="563"/>
      <c r="C44" s="687" t="s">
        <v>265</v>
      </c>
      <c r="D44" s="382" t="s">
        <v>102</v>
      </c>
      <c r="E44" s="688">
        <v>7.33</v>
      </c>
      <c r="F44" s="386">
        <f>F43*E44</f>
        <v>7.33</v>
      </c>
      <c r="G44" s="382"/>
      <c r="H44" s="689"/>
      <c r="I44" s="690"/>
      <c r="J44" s="386"/>
      <c r="K44" s="382"/>
      <c r="L44" s="382"/>
      <c r="M44" s="386"/>
      <c r="N44" s="680"/>
      <c r="O44" s="680"/>
      <c r="P44" s="680"/>
      <c r="Q44" s="680"/>
      <c r="R44" s="680"/>
      <c r="S44" s="680"/>
      <c r="T44" s="680"/>
      <c r="U44" s="680"/>
      <c r="V44" s="680"/>
      <c r="W44" s="680"/>
      <c r="X44" s="680"/>
      <c r="Y44" s="680"/>
      <c r="Z44" s="680"/>
      <c r="AA44" s="680"/>
      <c r="AB44" s="680"/>
      <c r="AC44" s="680"/>
      <c r="AD44" s="680"/>
      <c r="AE44" s="680"/>
      <c r="AF44" s="680"/>
      <c r="AG44" s="680"/>
      <c r="AH44" s="680"/>
      <c r="AI44" s="680"/>
      <c r="AJ44" s="680"/>
      <c r="AK44" s="680"/>
      <c r="AL44" s="680"/>
      <c r="AM44" s="680"/>
      <c r="AN44" s="680"/>
      <c r="AO44" s="680"/>
      <c r="AP44" s="680"/>
      <c r="AQ44" s="680"/>
      <c r="AR44" s="680"/>
      <c r="AS44" s="680"/>
      <c r="AT44" s="680"/>
      <c r="AU44" s="680"/>
      <c r="AV44" s="680"/>
      <c r="AW44" s="680"/>
      <c r="AX44" s="680"/>
      <c r="AY44" s="680"/>
      <c r="AZ44" s="680"/>
      <c r="BA44" s="680"/>
      <c r="BB44" s="680"/>
      <c r="BC44" s="680"/>
      <c r="BD44" s="680"/>
      <c r="BE44" s="680"/>
      <c r="BF44" s="680"/>
      <c r="BG44" s="680"/>
      <c r="BH44" s="680"/>
      <c r="BI44" s="680"/>
      <c r="BJ44" s="680"/>
      <c r="BK44" s="680"/>
      <c r="BL44" s="680"/>
      <c r="BM44" s="680"/>
      <c r="BN44" s="680"/>
      <c r="BO44" s="680"/>
      <c r="BP44" s="680"/>
      <c r="BQ44" s="680"/>
      <c r="BR44" s="680"/>
      <c r="BS44" s="680"/>
      <c r="BT44" s="680"/>
      <c r="BU44" s="680"/>
      <c r="BV44" s="680"/>
      <c r="BW44" s="680"/>
      <c r="BX44" s="680"/>
      <c r="BY44" s="680"/>
      <c r="BZ44" s="680"/>
      <c r="CA44" s="680"/>
      <c r="CB44" s="680"/>
      <c r="CC44" s="680"/>
      <c r="CD44" s="680"/>
      <c r="CE44" s="680"/>
      <c r="CF44" s="680"/>
      <c r="CG44" s="680"/>
      <c r="CH44" s="680"/>
      <c r="CI44" s="680"/>
      <c r="CJ44" s="680"/>
      <c r="CK44" s="680"/>
      <c r="CL44" s="680"/>
      <c r="CM44" s="680"/>
      <c r="CN44" s="680"/>
      <c r="CO44" s="680"/>
      <c r="CP44" s="680"/>
      <c r="CQ44" s="680"/>
      <c r="CR44" s="680"/>
      <c r="CS44" s="680"/>
      <c r="CT44" s="680"/>
      <c r="CU44" s="680"/>
      <c r="CV44" s="680"/>
      <c r="CW44" s="680"/>
      <c r="CX44" s="680"/>
      <c r="CY44" s="680"/>
      <c r="CZ44" s="680"/>
      <c r="DA44" s="680"/>
      <c r="DB44" s="680"/>
      <c r="DC44" s="680"/>
      <c r="DD44" s="680"/>
      <c r="DE44" s="680"/>
      <c r="DF44" s="680"/>
      <c r="DG44" s="680"/>
      <c r="DH44" s="680"/>
      <c r="DI44" s="680"/>
      <c r="DJ44" s="680"/>
      <c r="DK44" s="680"/>
      <c r="DL44" s="680"/>
      <c r="DM44" s="680"/>
      <c r="DN44" s="680"/>
      <c r="DO44" s="680"/>
      <c r="DP44" s="680"/>
      <c r="DQ44" s="680"/>
      <c r="DR44" s="680"/>
      <c r="DS44" s="680"/>
      <c r="DT44" s="680"/>
      <c r="DU44" s="680"/>
      <c r="DV44" s="680"/>
      <c r="DW44" s="680"/>
      <c r="DX44" s="680"/>
      <c r="DY44" s="680"/>
      <c r="DZ44" s="680"/>
      <c r="EA44" s="680"/>
      <c r="EB44" s="680"/>
      <c r="EC44" s="680"/>
      <c r="ED44" s="680"/>
      <c r="EE44" s="680"/>
      <c r="EF44" s="680"/>
      <c r="EG44" s="680"/>
      <c r="EH44" s="680"/>
      <c r="EI44" s="680"/>
      <c r="EJ44" s="680"/>
      <c r="EK44" s="680"/>
      <c r="EL44" s="680"/>
      <c r="EM44" s="680"/>
      <c r="EN44" s="680"/>
      <c r="EO44" s="680"/>
      <c r="EP44" s="680"/>
      <c r="EQ44" s="680"/>
      <c r="ER44" s="680"/>
      <c r="ES44" s="680"/>
      <c r="ET44" s="680"/>
      <c r="EU44" s="680"/>
      <c r="EV44" s="680"/>
      <c r="EW44" s="680"/>
    </row>
    <row r="45" spans="1:153" s="663" customFormat="1" ht="13.5">
      <c r="A45" s="509"/>
      <c r="B45" s="687"/>
      <c r="C45" s="687" t="s">
        <v>191</v>
      </c>
      <c r="D45" s="691" t="s">
        <v>16</v>
      </c>
      <c r="E45" s="688">
        <v>0.11</v>
      </c>
      <c r="F45" s="386">
        <f>E45*F43</f>
        <v>0.11</v>
      </c>
      <c r="G45" s="382"/>
      <c r="H45" s="689"/>
      <c r="I45" s="386"/>
      <c r="J45" s="382"/>
      <c r="K45" s="386"/>
      <c r="L45" s="386"/>
      <c r="M45" s="386"/>
      <c r="N45" s="680"/>
      <c r="O45" s="680"/>
      <c r="P45" s="680"/>
      <c r="Q45" s="680"/>
      <c r="R45" s="680"/>
      <c r="S45" s="680"/>
      <c r="T45" s="680"/>
      <c r="U45" s="680"/>
      <c r="V45" s="680"/>
      <c r="W45" s="680"/>
      <c r="X45" s="680"/>
      <c r="Y45" s="680"/>
      <c r="Z45" s="680"/>
      <c r="AA45" s="680"/>
      <c r="AB45" s="680"/>
      <c r="AC45" s="680"/>
      <c r="AD45" s="680"/>
      <c r="AE45" s="680"/>
      <c r="AF45" s="680"/>
      <c r="AG45" s="680"/>
      <c r="AH45" s="680"/>
      <c r="AI45" s="680"/>
      <c r="AJ45" s="680"/>
      <c r="AK45" s="680"/>
      <c r="AL45" s="680"/>
      <c r="AM45" s="680"/>
      <c r="AN45" s="680"/>
      <c r="AO45" s="680"/>
      <c r="AP45" s="680"/>
      <c r="AQ45" s="680"/>
      <c r="AR45" s="680"/>
      <c r="AS45" s="680"/>
      <c r="AT45" s="680"/>
      <c r="AU45" s="680"/>
      <c r="AV45" s="680"/>
      <c r="AW45" s="680"/>
      <c r="AX45" s="680"/>
      <c r="AY45" s="680"/>
      <c r="AZ45" s="680"/>
      <c r="BA45" s="680"/>
      <c r="BB45" s="680"/>
      <c r="BC45" s="680"/>
      <c r="BD45" s="680"/>
      <c r="BE45" s="680"/>
      <c r="BF45" s="680"/>
      <c r="BG45" s="680"/>
      <c r="BH45" s="680"/>
      <c r="BI45" s="680"/>
      <c r="BJ45" s="680"/>
      <c r="BK45" s="680"/>
      <c r="BL45" s="680"/>
      <c r="BM45" s="680"/>
      <c r="BN45" s="680"/>
      <c r="BO45" s="680"/>
      <c r="BP45" s="680"/>
      <c r="BQ45" s="680"/>
      <c r="BR45" s="680"/>
      <c r="BS45" s="680"/>
      <c r="BT45" s="680"/>
      <c r="BU45" s="680"/>
      <c r="BV45" s="680"/>
      <c r="BW45" s="680"/>
      <c r="BX45" s="680"/>
      <c r="BY45" s="680"/>
      <c r="BZ45" s="680"/>
      <c r="CA45" s="680"/>
      <c r="CB45" s="680"/>
      <c r="CC45" s="680"/>
      <c r="CD45" s="680"/>
      <c r="CE45" s="680"/>
      <c r="CF45" s="680"/>
      <c r="CG45" s="680"/>
      <c r="CH45" s="680"/>
      <c r="CI45" s="680"/>
      <c r="CJ45" s="680"/>
      <c r="CK45" s="680"/>
      <c r="CL45" s="680"/>
      <c r="CM45" s="680"/>
      <c r="CN45" s="680"/>
      <c r="CO45" s="680"/>
      <c r="CP45" s="680"/>
      <c r="CQ45" s="680"/>
      <c r="CR45" s="680"/>
      <c r="CS45" s="680"/>
      <c r="CT45" s="680"/>
      <c r="CU45" s="680"/>
      <c r="CV45" s="680"/>
      <c r="CW45" s="680"/>
      <c r="CX45" s="680"/>
      <c r="CY45" s="680"/>
      <c r="CZ45" s="680"/>
      <c r="DA45" s="680"/>
      <c r="DB45" s="680"/>
      <c r="DC45" s="680"/>
      <c r="DD45" s="680"/>
      <c r="DE45" s="680"/>
      <c r="DF45" s="680"/>
      <c r="DG45" s="680"/>
      <c r="DH45" s="680"/>
      <c r="DI45" s="680"/>
      <c r="DJ45" s="680"/>
      <c r="DK45" s="680"/>
      <c r="DL45" s="680"/>
      <c r="DM45" s="680"/>
      <c r="DN45" s="680"/>
      <c r="DO45" s="680"/>
      <c r="DP45" s="680"/>
      <c r="DQ45" s="680"/>
      <c r="DR45" s="680"/>
      <c r="DS45" s="680"/>
      <c r="DT45" s="680"/>
      <c r="DU45" s="680"/>
      <c r="DV45" s="680"/>
      <c r="DW45" s="680"/>
      <c r="DX45" s="680"/>
      <c r="DY45" s="680"/>
      <c r="DZ45" s="680"/>
      <c r="EA45" s="680"/>
      <c r="EB45" s="680"/>
      <c r="EC45" s="680"/>
      <c r="ED45" s="680"/>
      <c r="EE45" s="680"/>
      <c r="EF45" s="680"/>
      <c r="EG45" s="680"/>
      <c r="EH45" s="680"/>
      <c r="EI45" s="680"/>
      <c r="EJ45" s="680"/>
      <c r="EK45" s="680"/>
      <c r="EL45" s="680"/>
      <c r="EM45" s="680"/>
      <c r="EN45" s="680"/>
      <c r="EO45" s="680"/>
      <c r="EP45" s="680"/>
      <c r="EQ45" s="680"/>
      <c r="ER45" s="680"/>
      <c r="ES45" s="680"/>
      <c r="ET45" s="680"/>
      <c r="EU45" s="680"/>
      <c r="EV45" s="680"/>
      <c r="EW45" s="680"/>
    </row>
    <row r="46" spans="1:153" s="663" customFormat="1" ht="13.5">
      <c r="A46" s="664"/>
      <c r="B46" s="397" t="s">
        <v>505</v>
      </c>
      <c r="C46" s="541" t="s">
        <v>525</v>
      </c>
      <c r="D46" s="494" t="s">
        <v>103</v>
      </c>
      <c r="E46" s="382" t="s">
        <v>176</v>
      </c>
      <c r="F46" s="388">
        <f>(7.26+9.2)/1000</f>
        <v>1.6460000000000002E-2</v>
      </c>
      <c r="G46" s="389"/>
      <c r="H46" s="389"/>
      <c r="I46" s="545"/>
      <c r="J46" s="546"/>
      <c r="K46" s="400"/>
      <c r="L46" s="400"/>
      <c r="M46" s="386"/>
      <c r="N46" s="680"/>
      <c r="O46" s="680"/>
      <c r="P46" s="680"/>
      <c r="Q46" s="680"/>
      <c r="R46" s="680"/>
      <c r="S46" s="680"/>
      <c r="T46" s="680"/>
      <c r="U46" s="680"/>
      <c r="V46" s="680"/>
      <c r="W46" s="680"/>
      <c r="X46" s="680"/>
      <c r="Y46" s="680"/>
      <c r="Z46" s="680"/>
      <c r="AA46" s="680"/>
      <c r="AB46" s="680"/>
      <c r="AC46" s="680"/>
      <c r="AD46" s="680"/>
      <c r="AE46" s="680"/>
      <c r="AF46" s="680"/>
      <c r="AG46" s="680"/>
      <c r="AH46" s="680"/>
      <c r="AI46" s="680"/>
      <c r="AJ46" s="680"/>
      <c r="AK46" s="680"/>
      <c r="AL46" s="680"/>
      <c r="AM46" s="680"/>
      <c r="AN46" s="680"/>
      <c r="AO46" s="680"/>
      <c r="AP46" s="680"/>
      <c r="AQ46" s="680"/>
      <c r="AR46" s="680"/>
      <c r="AS46" s="680"/>
      <c r="AT46" s="680"/>
      <c r="AU46" s="680"/>
      <c r="AV46" s="680"/>
      <c r="AW46" s="680"/>
      <c r="AX46" s="680"/>
      <c r="AY46" s="680"/>
      <c r="AZ46" s="680"/>
      <c r="BA46" s="680"/>
      <c r="BB46" s="680"/>
      <c r="BC46" s="680"/>
      <c r="BD46" s="680"/>
      <c r="BE46" s="680"/>
      <c r="BF46" s="680"/>
      <c r="BG46" s="680"/>
      <c r="BH46" s="680"/>
      <c r="BI46" s="680"/>
      <c r="BJ46" s="680"/>
      <c r="BK46" s="680"/>
      <c r="BL46" s="680"/>
      <c r="BM46" s="680"/>
      <c r="BN46" s="680"/>
      <c r="BO46" s="680"/>
      <c r="BP46" s="680"/>
      <c r="BQ46" s="680"/>
      <c r="BR46" s="680"/>
      <c r="BS46" s="680"/>
      <c r="BT46" s="680"/>
      <c r="BU46" s="680"/>
      <c r="BV46" s="680"/>
      <c r="BW46" s="680"/>
      <c r="BX46" s="680"/>
      <c r="BY46" s="680"/>
      <c r="BZ46" s="680"/>
      <c r="CA46" s="680"/>
      <c r="CB46" s="680"/>
      <c r="CC46" s="680"/>
      <c r="CD46" s="680"/>
      <c r="CE46" s="680"/>
      <c r="CF46" s="680"/>
      <c r="CG46" s="680"/>
      <c r="CH46" s="680"/>
      <c r="CI46" s="680"/>
      <c r="CJ46" s="680"/>
      <c r="CK46" s="680"/>
      <c r="CL46" s="680"/>
      <c r="CM46" s="680"/>
      <c r="CN46" s="680"/>
      <c r="CO46" s="680"/>
      <c r="CP46" s="680"/>
      <c r="CQ46" s="680"/>
      <c r="CR46" s="680"/>
      <c r="CS46" s="680"/>
      <c r="CT46" s="680"/>
      <c r="CU46" s="680"/>
      <c r="CV46" s="680"/>
      <c r="CW46" s="680"/>
      <c r="CX46" s="680"/>
      <c r="CY46" s="680"/>
      <c r="CZ46" s="680"/>
      <c r="DA46" s="680"/>
      <c r="DB46" s="680"/>
      <c r="DC46" s="680"/>
      <c r="DD46" s="680"/>
      <c r="DE46" s="680"/>
      <c r="DF46" s="680"/>
      <c r="DG46" s="680"/>
      <c r="DH46" s="680"/>
      <c r="DI46" s="680"/>
      <c r="DJ46" s="680"/>
      <c r="DK46" s="680"/>
      <c r="DL46" s="680"/>
      <c r="DM46" s="680"/>
      <c r="DN46" s="680"/>
      <c r="DO46" s="680"/>
      <c r="DP46" s="680"/>
      <c r="DQ46" s="680"/>
      <c r="DR46" s="680"/>
      <c r="DS46" s="680"/>
      <c r="DT46" s="680"/>
      <c r="DU46" s="680"/>
      <c r="DV46" s="680"/>
      <c r="DW46" s="680"/>
      <c r="DX46" s="680"/>
      <c r="DY46" s="680"/>
      <c r="DZ46" s="680"/>
      <c r="EA46" s="680"/>
      <c r="EB46" s="680"/>
      <c r="EC46" s="680"/>
      <c r="ED46" s="680"/>
      <c r="EE46" s="680"/>
      <c r="EF46" s="680"/>
      <c r="EG46" s="680"/>
      <c r="EH46" s="680"/>
      <c r="EI46" s="680"/>
      <c r="EJ46" s="680"/>
      <c r="EK46" s="680"/>
      <c r="EL46" s="680"/>
      <c r="EM46" s="680"/>
      <c r="EN46" s="680"/>
      <c r="EO46" s="680"/>
      <c r="EP46" s="680"/>
      <c r="EQ46" s="680"/>
      <c r="ER46" s="680"/>
      <c r="ES46" s="680"/>
      <c r="ET46" s="680"/>
      <c r="EU46" s="680"/>
      <c r="EV46" s="680"/>
      <c r="EW46" s="680"/>
    </row>
    <row r="47" spans="1:153" s="663" customFormat="1" ht="13.5">
      <c r="A47" s="546"/>
      <c r="B47" s="463" t="s">
        <v>739</v>
      </c>
      <c r="C47" s="541" t="s">
        <v>266</v>
      </c>
      <c r="D47" s="494" t="s">
        <v>103</v>
      </c>
      <c r="E47" s="382" t="s">
        <v>176</v>
      </c>
      <c r="F47" s="692">
        <v>1E-3</v>
      </c>
      <c r="G47" s="400"/>
      <c r="H47" s="389"/>
      <c r="I47" s="545"/>
      <c r="J47" s="546"/>
      <c r="K47" s="400"/>
      <c r="L47" s="400"/>
      <c r="M47" s="386"/>
      <c r="N47" s="680"/>
      <c r="O47" s="680"/>
      <c r="P47" s="680"/>
      <c r="Q47" s="680"/>
      <c r="R47" s="680"/>
      <c r="S47" s="680"/>
      <c r="T47" s="680"/>
      <c r="U47" s="680"/>
      <c r="V47" s="680"/>
      <c r="W47" s="680"/>
      <c r="X47" s="680"/>
      <c r="Y47" s="680"/>
      <c r="Z47" s="680"/>
      <c r="AA47" s="680"/>
      <c r="AB47" s="680"/>
      <c r="AC47" s="680"/>
      <c r="AD47" s="680"/>
      <c r="AE47" s="680"/>
      <c r="AF47" s="680"/>
      <c r="AG47" s="680"/>
      <c r="AH47" s="680"/>
      <c r="AI47" s="680"/>
      <c r="AJ47" s="680"/>
      <c r="AK47" s="680"/>
      <c r="AL47" s="680"/>
      <c r="AM47" s="680"/>
      <c r="AN47" s="680"/>
      <c r="AO47" s="680"/>
      <c r="AP47" s="680"/>
      <c r="AQ47" s="680"/>
      <c r="AR47" s="680"/>
      <c r="AS47" s="680"/>
      <c r="AT47" s="680"/>
      <c r="AU47" s="680"/>
      <c r="AV47" s="680"/>
      <c r="AW47" s="680"/>
      <c r="AX47" s="680"/>
      <c r="AY47" s="680"/>
      <c r="AZ47" s="680"/>
      <c r="BA47" s="680"/>
      <c r="BB47" s="680"/>
      <c r="BC47" s="680"/>
      <c r="BD47" s="680"/>
      <c r="BE47" s="680"/>
      <c r="BF47" s="680"/>
      <c r="BG47" s="680"/>
      <c r="BH47" s="680"/>
      <c r="BI47" s="680"/>
      <c r="BJ47" s="680"/>
      <c r="BK47" s="680"/>
      <c r="BL47" s="680"/>
      <c r="BM47" s="680"/>
      <c r="BN47" s="680"/>
      <c r="BO47" s="680"/>
      <c r="BP47" s="680"/>
      <c r="BQ47" s="680"/>
      <c r="BR47" s="680"/>
      <c r="BS47" s="680"/>
      <c r="BT47" s="680"/>
      <c r="BU47" s="680"/>
      <c r="BV47" s="680"/>
      <c r="BW47" s="680"/>
      <c r="BX47" s="680"/>
      <c r="BY47" s="680"/>
      <c r="BZ47" s="680"/>
      <c r="CA47" s="680"/>
      <c r="CB47" s="680"/>
      <c r="CC47" s="680"/>
      <c r="CD47" s="680"/>
      <c r="CE47" s="680"/>
      <c r="CF47" s="680"/>
      <c r="CG47" s="680"/>
      <c r="CH47" s="680"/>
      <c r="CI47" s="680"/>
      <c r="CJ47" s="680"/>
      <c r="CK47" s="680"/>
      <c r="CL47" s="680"/>
      <c r="CM47" s="680"/>
      <c r="CN47" s="680"/>
      <c r="CO47" s="680"/>
      <c r="CP47" s="680"/>
      <c r="CQ47" s="680"/>
      <c r="CR47" s="680"/>
      <c r="CS47" s="680"/>
      <c r="CT47" s="680"/>
      <c r="CU47" s="680"/>
      <c r="CV47" s="680"/>
      <c r="CW47" s="680"/>
      <c r="CX47" s="680"/>
      <c r="CY47" s="680"/>
      <c r="CZ47" s="680"/>
      <c r="DA47" s="680"/>
      <c r="DB47" s="680"/>
      <c r="DC47" s="680"/>
      <c r="DD47" s="680"/>
      <c r="DE47" s="680"/>
      <c r="DF47" s="680"/>
      <c r="DG47" s="680"/>
      <c r="DH47" s="680"/>
      <c r="DI47" s="680"/>
      <c r="DJ47" s="680"/>
      <c r="DK47" s="680"/>
      <c r="DL47" s="680"/>
      <c r="DM47" s="680"/>
      <c r="DN47" s="680"/>
      <c r="DO47" s="680"/>
      <c r="DP47" s="680"/>
      <c r="DQ47" s="680"/>
      <c r="DR47" s="680"/>
      <c r="DS47" s="680"/>
      <c r="DT47" s="680"/>
      <c r="DU47" s="680"/>
      <c r="DV47" s="680"/>
      <c r="DW47" s="680"/>
      <c r="DX47" s="680"/>
      <c r="DY47" s="680"/>
      <c r="DZ47" s="680"/>
      <c r="EA47" s="680"/>
      <c r="EB47" s="680"/>
      <c r="EC47" s="680"/>
      <c r="ED47" s="680"/>
      <c r="EE47" s="680"/>
      <c r="EF47" s="680"/>
      <c r="EG47" s="680"/>
      <c r="EH47" s="680"/>
      <c r="EI47" s="680"/>
      <c r="EJ47" s="680"/>
      <c r="EK47" s="680"/>
      <c r="EL47" s="680"/>
      <c r="EM47" s="680"/>
      <c r="EN47" s="680"/>
      <c r="EO47" s="680"/>
      <c r="EP47" s="680"/>
      <c r="EQ47" s="680"/>
      <c r="ER47" s="680"/>
      <c r="ES47" s="680"/>
      <c r="ET47" s="680"/>
      <c r="EU47" s="680"/>
      <c r="EV47" s="680"/>
      <c r="EW47" s="680"/>
    </row>
    <row r="48" spans="1:153" s="663" customFormat="1" ht="13.5">
      <c r="A48" s="546"/>
      <c r="B48" s="397" t="s">
        <v>520</v>
      </c>
      <c r="C48" s="541" t="s">
        <v>187</v>
      </c>
      <c r="D48" s="494" t="s">
        <v>103</v>
      </c>
      <c r="E48" s="382" t="s">
        <v>176</v>
      </c>
      <c r="F48" s="692">
        <f>(0.63+0.81)/1000</f>
        <v>1.4399999999999999E-3</v>
      </c>
      <c r="G48" s="389"/>
      <c r="H48" s="389"/>
      <c r="I48" s="545"/>
      <c r="J48" s="546"/>
      <c r="K48" s="400"/>
      <c r="L48" s="400"/>
      <c r="M48" s="386"/>
      <c r="N48" s="680"/>
      <c r="O48" s="680"/>
      <c r="P48" s="680"/>
      <c r="Q48" s="680"/>
      <c r="R48" s="680"/>
      <c r="S48" s="680"/>
      <c r="T48" s="680"/>
      <c r="U48" s="680"/>
      <c r="V48" s="680"/>
      <c r="W48" s="680"/>
      <c r="X48" s="680"/>
      <c r="Y48" s="680"/>
      <c r="Z48" s="680"/>
      <c r="AA48" s="680"/>
      <c r="AB48" s="680"/>
      <c r="AC48" s="680"/>
      <c r="AD48" s="680"/>
      <c r="AE48" s="680"/>
      <c r="AF48" s="680"/>
      <c r="AG48" s="680"/>
      <c r="AH48" s="680"/>
      <c r="AI48" s="680"/>
      <c r="AJ48" s="680"/>
      <c r="AK48" s="680"/>
      <c r="AL48" s="680"/>
      <c r="AM48" s="680"/>
      <c r="AN48" s="680"/>
      <c r="AO48" s="680"/>
      <c r="AP48" s="680"/>
      <c r="AQ48" s="680"/>
      <c r="AR48" s="680"/>
      <c r="AS48" s="680"/>
      <c r="AT48" s="680"/>
      <c r="AU48" s="680"/>
      <c r="AV48" s="680"/>
      <c r="AW48" s="680"/>
      <c r="AX48" s="680"/>
      <c r="AY48" s="680"/>
      <c r="AZ48" s="680"/>
      <c r="BA48" s="680"/>
      <c r="BB48" s="680"/>
      <c r="BC48" s="680"/>
      <c r="BD48" s="680"/>
      <c r="BE48" s="680"/>
      <c r="BF48" s="680"/>
      <c r="BG48" s="680"/>
      <c r="BH48" s="680"/>
      <c r="BI48" s="680"/>
      <c r="BJ48" s="680"/>
      <c r="BK48" s="680"/>
      <c r="BL48" s="680"/>
      <c r="BM48" s="680"/>
      <c r="BN48" s="680"/>
      <c r="BO48" s="680"/>
      <c r="BP48" s="680"/>
      <c r="BQ48" s="680"/>
      <c r="BR48" s="680"/>
      <c r="BS48" s="680"/>
      <c r="BT48" s="680"/>
      <c r="BU48" s="680"/>
      <c r="BV48" s="680"/>
      <c r="BW48" s="680"/>
      <c r="BX48" s="680"/>
      <c r="BY48" s="680"/>
      <c r="BZ48" s="680"/>
      <c r="CA48" s="680"/>
      <c r="CB48" s="680"/>
      <c r="CC48" s="680"/>
      <c r="CD48" s="680"/>
      <c r="CE48" s="680"/>
      <c r="CF48" s="680"/>
      <c r="CG48" s="680"/>
      <c r="CH48" s="680"/>
      <c r="CI48" s="680"/>
      <c r="CJ48" s="680"/>
      <c r="CK48" s="680"/>
      <c r="CL48" s="680"/>
      <c r="CM48" s="680"/>
      <c r="CN48" s="680"/>
      <c r="CO48" s="680"/>
      <c r="CP48" s="680"/>
      <c r="CQ48" s="680"/>
      <c r="CR48" s="680"/>
      <c r="CS48" s="680"/>
      <c r="CT48" s="680"/>
      <c r="CU48" s="680"/>
      <c r="CV48" s="680"/>
      <c r="CW48" s="680"/>
      <c r="CX48" s="680"/>
      <c r="CY48" s="680"/>
      <c r="CZ48" s="680"/>
      <c r="DA48" s="680"/>
      <c r="DB48" s="680"/>
      <c r="DC48" s="680"/>
      <c r="DD48" s="680"/>
      <c r="DE48" s="680"/>
      <c r="DF48" s="680"/>
      <c r="DG48" s="680"/>
      <c r="DH48" s="680"/>
      <c r="DI48" s="680"/>
      <c r="DJ48" s="680"/>
      <c r="DK48" s="680"/>
      <c r="DL48" s="680"/>
      <c r="DM48" s="680"/>
      <c r="DN48" s="680"/>
      <c r="DO48" s="680"/>
      <c r="DP48" s="680"/>
      <c r="DQ48" s="680"/>
      <c r="DR48" s="680"/>
      <c r="DS48" s="680"/>
      <c r="DT48" s="680"/>
      <c r="DU48" s="680"/>
      <c r="DV48" s="680"/>
      <c r="DW48" s="680"/>
      <c r="DX48" s="680"/>
      <c r="DY48" s="680"/>
      <c r="DZ48" s="680"/>
      <c r="EA48" s="680"/>
      <c r="EB48" s="680"/>
      <c r="EC48" s="680"/>
      <c r="ED48" s="680"/>
      <c r="EE48" s="680"/>
      <c r="EF48" s="680"/>
      <c r="EG48" s="680"/>
      <c r="EH48" s="680"/>
      <c r="EI48" s="680"/>
      <c r="EJ48" s="680"/>
      <c r="EK48" s="680"/>
      <c r="EL48" s="680"/>
      <c r="EM48" s="680"/>
      <c r="EN48" s="680"/>
      <c r="EO48" s="680"/>
      <c r="EP48" s="680"/>
      <c r="EQ48" s="680"/>
      <c r="ER48" s="680"/>
      <c r="ES48" s="680"/>
      <c r="ET48" s="680"/>
      <c r="EU48" s="680"/>
      <c r="EV48" s="680"/>
      <c r="EW48" s="680"/>
    </row>
    <row r="49" spans="1:153" s="663" customFormat="1" ht="13.5">
      <c r="A49" s="546"/>
      <c r="B49" s="463" t="s">
        <v>738</v>
      </c>
      <c r="C49" s="541" t="s">
        <v>521</v>
      </c>
      <c r="D49" s="494" t="s">
        <v>169</v>
      </c>
      <c r="E49" s="382" t="s">
        <v>176</v>
      </c>
      <c r="F49" s="386">
        <f>1*1.5</f>
        <v>1.5</v>
      </c>
      <c r="G49" s="400"/>
      <c r="H49" s="389"/>
      <c r="I49" s="545"/>
      <c r="J49" s="546"/>
      <c r="K49" s="400"/>
      <c r="L49" s="400"/>
      <c r="M49" s="386"/>
      <c r="N49" s="680"/>
      <c r="O49" s="680"/>
      <c r="P49" s="680"/>
      <c r="Q49" s="680"/>
      <c r="R49" s="680"/>
      <c r="S49" s="680"/>
      <c r="T49" s="680"/>
      <c r="U49" s="680"/>
      <c r="V49" s="680"/>
      <c r="W49" s="680"/>
      <c r="X49" s="680"/>
      <c r="Y49" s="680"/>
      <c r="Z49" s="680"/>
      <c r="AA49" s="680"/>
      <c r="AB49" s="680"/>
      <c r="AC49" s="680"/>
      <c r="AD49" s="680"/>
      <c r="AE49" s="680"/>
      <c r="AF49" s="680"/>
      <c r="AG49" s="680"/>
      <c r="AH49" s="680"/>
      <c r="AI49" s="680"/>
      <c r="AJ49" s="680"/>
      <c r="AK49" s="680"/>
      <c r="AL49" s="680"/>
      <c r="AM49" s="680"/>
      <c r="AN49" s="680"/>
      <c r="AO49" s="680"/>
      <c r="AP49" s="680"/>
      <c r="AQ49" s="680"/>
      <c r="AR49" s="680"/>
      <c r="AS49" s="680"/>
      <c r="AT49" s="680"/>
      <c r="AU49" s="680"/>
      <c r="AV49" s="680"/>
      <c r="AW49" s="680"/>
      <c r="AX49" s="680"/>
      <c r="AY49" s="680"/>
      <c r="AZ49" s="680"/>
      <c r="BA49" s="680"/>
      <c r="BB49" s="680"/>
      <c r="BC49" s="680"/>
      <c r="BD49" s="680"/>
      <c r="BE49" s="680"/>
      <c r="BF49" s="680"/>
      <c r="BG49" s="680"/>
      <c r="BH49" s="680"/>
      <c r="BI49" s="680"/>
      <c r="BJ49" s="680"/>
      <c r="BK49" s="680"/>
      <c r="BL49" s="680"/>
      <c r="BM49" s="680"/>
      <c r="BN49" s="680"/>
      <c r="BO49" s="680"/>
      <c r="BP49" s="680"/>
      <c r="BQ49" s="680"/>
      <c r="BR49" s="680"/>
      <c r="BS49" s="680"/>
      <c r="BT49" s="680"/>
      <c r="BU49" s="680"/>
      <c r="BV49" s="680"/>
      <c r="BW49" s="680"/>
      <c r="BX49" s="680"/>
      <c r="BY49" s="680"/>
      <c r="BZ49" s="680"/>
      <c r="CA49" s="680"/>
      <c r="CB49" s="680"/>
      <c r="CC49" s="680"/>
      <c r="CD49" s="680"/>
      <c r="CE49" s="680"/>
      <c r="CF49" s="680"/>
      <c r="CG49" s="680"/>
      <c r="CH49" s="680"/>
      <c r="CI49" s="680"/>
      <c r="CJ49" s="680"/>
      <c r="CK49" s="680"/>
      <c r="CL49" s="680"/>
      <c r="CM49" s="680"/>
      <c r="CN49" s="680"/>
      <c r="CO49" s="680"/>
      <c r="CP49" s="680"/>
      <c r="CQ49" s="680"/>
      <c r="CR49" s="680"/>
      <c r="CS49" s="680"/>
      <c r="CT49" s="680"/>
      <c r="CU49" s="680"/>
      <c r="CV49" s="680"/>
      <c r="CW49" s="680"/>
      <c r="CX49" s="680"/>
      <c r="CY49" s="680"/>
      <c r="CZ49" s="680"/>
      <c r="DA49" s="680"/>
      <c r="DB49" s="680"/>
      <c r="DC49" s="680"/>
      <c r="DD49" s="680"/>
      <c r="DE49" s="680"/>
      <c r="DF49" s="680"/>
      <c r="DG49" s="680"/>
      <c r="DH49" s="680"/>
      <c r="DI49" s="680"/>
      <c r="DJ49" s="680"/>
      <c r="DK49" s="680"/>
      <c r="DL49" s="680"/>
      <c r="DM49" s="680"/>
      <c r="DN49" s="680"/>
      <c r="DO49" s="680"/>
      <c r="DP49" s="680"/>
      <c r="DQ49" s="680"/>
      <c r="DR49" s="680"/>
      <c r="DS49" s="680"/>
      <c r="DT49" s="680"/>
      <c r="DU49" s="680"/>
      <c r="DV49" s="680"/>
      <c r="DW49" s="680"/>
      <c r="DX49" s="680"/>
      <c r="DY49" s="680"/>
      <c r="DZ49" s="680"/>
      <c r="EA49" s="680"/>
      <c r="EB49" s="680"/>
      <c r="EC49" s="680"/>
      <c r="ED49" s="680"/>
      <c r="EE49" s="680"/>
      <c r="EF49" s="680"/>
      <c r="EG49" s="680"/>
      <c r="EH49" s="680"/>
      <c r="EI49" s="680"/>
      <c r="EJ49" s="680"/>
      <c r="EK49" s="680"/>
      <c r="EL49" s="680"/>
      <c r="EM49" s="680"/>
      <c r="EN49" s="680"/>
      <c r="EO49" s="680"/>
      <c r="EP49" s="680"/>
      <c r="EQ49" s="680"/>
      <c r="ER49" s="680"/>
      <c r="ES49" s="680"/>
      <c r="ET49" s="680"/>
      <c r="EU49" s="680"/>
      <c r="EV49" s="680"/>
      <c r="EW49" s="680"/>
    </row>
    <row r="50" spans="1:153" s="663" customFormat="1" ht="13.5">
      <c r="A50" s="546"/>
      <c r="B50" s="397" t="s">
        <v>741</v>
      </c>
      <c r="C50" s="541" t="s">
        <v>526</v>
      </c>
      <c r="D50" s="494" t="s">
        <v>98</v>
      </c>
      <c r="E50" s="382" t="s">
        <v>176</v>
      </c>
      <c r="F50" s="386">
        <v>1</v>
      </c>
      <c r="G50" s="389"/>
      <c r="H50" s="389"/>
      <c r="I50" s="545"/>
      <c r="J50" s="546"/>
      <c r="K50" s="400"/>
      <c r="L50" s="400"/>
      <c r="M50" s="386"/>
      <c r="N50" s="680"/>
      <c r="O50" s="680"/>
      <c r="P50" s="680"/>
      <c r="Q50" s="680"/>
      <c r="R50" s="680"/>
      <c r="S50" s="680"/>
      <c r="T50" s="680"/>
      <c r="U50" s="680"/>
      <c r="V50" s="680"/>
      <c r="W50" s="680"/>
      <c r="X50" s="680"/>
      <c r="Y50" s="680"/>
      <c r="Z50" s="680"/>
      <c r="AA50" s="680"/>
      <c r="AB50" s="680"/>
      <c r="AC50" s="680"/>
      <c r="AD50" s="680"/>
      <c r="AE50" s="680"/>
      <c r="AF50" s="680"/>
      <c r="AG50" s="680"/>
      <c r="AH50" s="680"/>
      <c r="AI50" s="680"/>
      <c r="AJ50" s="680"/>
      <c r="AK50" s="680"/>
      <c r="AL50" s="680"/>
      <c r="AM50" s="680"/>
      <c r="AN50" s="680"/>
      <c r="AO50" s="680"/>
      <c r="AP50" s="680"/>
      <c r="AQ50" s="680"/>
      <c r="AR50" s="680"/>
      <c r="AS50" s="680"/>
      <c r="AT50" s="680"/>
      <c r="AU50" s="680"/>
      <c r="AV50" s="680"/>
      <c r="AW50" s="680"/>
      <c r="AX50" s="680"/>
      <c r="AY50" s="680"/>
      <c r="AZ50" s="680"/>
      <c r="BA50" s="680"/>
      <c r="BB50" s="680"/>
      <c r="BC50" s="680"/>
      <c r="BD50" s="680"/>
      <c r="BE50" s="680"/>
      <c r="BF50" s="680"/>
      <c r="BG50" s="680"/>
      <c r="BH50" s="680"/>
      <c r="BI50" s="680"/>
      <c r="BJ50" s="680"/>
      <c r="BK50" s="680"/>
      <c r="BL50" s="680"/>
      <c r="BM50" s="680"/>
      <c r="BN50" s="680"/>
      <c r="BO50" s="680"/>
      <c r="BP50" s="680"/>
      <c r="BQ50" s="680"/>
      <c r="BR50" s="680"/>
      <c r="BS50" s="680"/>
      <c r="BT50" s="680"/>
      <c r="BU50" s="680"/>
      <c r="BV50" s="680"/>
      <c r="BW50" s="680"/>
      <c r="BX50" s="680"/>
      <c r="BY50" s="680"/>
      <c r="BZ50" s="680"/>
      <c r="CA50" s="680"/>
      <c r="CB50" s="680"/>
      <c r="CC50" s="680"/>
      <c r="CD50" s="680"/>
      <c r="CE50" s="680"/>
      <c r="CF50" s="680"/>
      <c r="CG50" s="680"/>
      <c r="CH50" s="680"/>
      <c r="CI50" s="680"/>
      <c r="CJ50" s="680"/>
      <c r="CK50" s="680"/>
      <c r="CL50" s="680"/>
      <c r="CM50" s="680"/>
      <c r="CN50" s="680"/>
      <c r="CO50" s="680"/>
      <c r="CP50" s="680"/>
      <c r="CQ50" s="680"/>
      <c r="CR50" s="680"/>
      <c r="CS50" s="680"/>
      <c r="CT50" s="680"/>
      <c r="CU50" s="680"/>
      <c r="CV50" s="680"/>
      <c r="CW50" s="680"/>
      <c r="CX50" s="680"/>
      <c r="CY50" s="680"/>
      <c r="CZ50" s="680"/>
      <c r="DA50" s="680"/>
      <c r="DB50" s="680"/>
      <c r="DC50" s="680"/>
      <c r="DD50" s="680"/>
      <c r="DE50" s="680"/>
      <c r="DF50" s="680"/>
      <c r="DG50" s="680"/>
      <c r="DH50" s="680"/>
      <c r="DI50" s="680"/>
      <c r="DJ50" s="680"/>
      <c r="DK50" s="680"/>
      <c r="DL50" s="680"/>
      <c r="DM50" s="680"/>
      <c r="DN50" s="680"/>
      <c r="DO50" s="680"/>
      <c r="DP50" s="680"/>
      <c r="DQ50" s="680"/>
      <c r="DR50" s="680"/>
      <c r="DS50" s="680"/>
      <c r="DT50" s="680"/>
      <c r="DU50" s="680"/>
      <c r="DV50" s="680"/>
      <c r="DW50" s="680"/>
      <c r="DX50" s="680"/>
      <c r="DY50" s="680"/>
      <c r="DZ50" s="680"/>
      <c r="EA50" s="680"/>
      <c r="EB50" s="680"/>
      <c r="EC50" s="680"/>
      <c r="ED50" s="680"/>
      <c r="EE50" s="680"/>
      <c r="EF50" s="680"/>
      <c r="EG50" s="680"/>
      <c r="EH50" s="680"/>
      <c r="EI50" s="680"/>
      <c r="EJ50" s="680"/>
      <c r="EK50" s="680"/>
      <c r="EL50" s="680"/>
      <c r="EM50" s="680"/>
      <c r="EN50" s="680"/>
      <c r="EO50" s="680"/>
      <c r="EP50" s="680"/>
      <c r="EQ50" s="680"/>
      <c r="ER50" s="680"/>
      <c r="ES50" s="680"/>
      <c r="ET50" s="680"/>
      <c r="EU50" s="680"/>
      <c r="EV50" s="680"/>
      <c r="EW50" s="680"/>
    </row>
    <row r="51" spans="1:153" s="663" customFormat="1" ht="13.5">
      <c r="A51" s="546"/>
      <c r="B51" s="463" t="s">
        <v>742</v>
      </c>
      <c r="C51" s="541" t="s">
        <v>190</v>
      </c>
      <c r="D51" s="494" t="s">
        <v>98</v>
      </c>
      <c r="E51" s="382" t="s">
        <v>176</v>
      </c>
      <c r="F51" s="386">
        <v>2</v>
      </c>
      <c r="G51" s="400"/>
      <c r="H51" s="389"/>
      <c r="I51" s="545"/>
      <c r="J51" s="546"/>
      <c r="K51" s="400"/>
      <c r="L51" s="400"/>
      <c r="M51" s="386"/>
      <c r="N51" s="680"/>
      <c r="O51" s="680"/>
      <c r="P51" s="680"/>
      <c r="Q51" s="680"/>
      <c r="R51" s="680"/>
      <c r="S51" s="680"/>
      <c r="T51" s="680"/>
      <c r="U51" s="680"/>
      <c r="V51" s="680"/>
      <c r="W51" s="680"/>
      <c r="X51" s="680"/>
      <c r="Y51" s="680"/>
      <c r="Z51" s="680"/>
      <c r="AA51" s="680"/>
      <c r="AB51" s="680"/>
      <c r="AC51" s="680"/>
      <c r="AD51" s="680"/>
      <c r="AE51" s="680"/>
      <c r="AF51" s="680"/>
      <c r="AG51" s="680"/>
      <c r="AH51" s="680"/>
      <c r="AI51" s="680"/>
      <c r="AJ51" s="680"/>
      <c r="AK51" s="680"/>
      <c r="AL51" s="680"/>
      <c r="AM51" s="680"/>
      <c r="AN51" s="680"/>
      <c r="AO51" s="680"/>
      <c r="AP51" s="680"/>
      <c r="AQ51" s="680"/>
      <c r="AR51" s="680"/>
      <c r="AS51" s="680"/>
      <c r="AT51" s="680"/>
      <c r="AU51" s="680"/>
      <c r="AV51" s="680"/>
      <c r="AW51" s="680"/>
      <c r="AX51" s="680"/>
      <c r="AY51" s="680"/>
      <c r="AZ51" s="680"/>
      <c r="BA51" s="680"/>
      <c r="BB51" s="680"/>
      <c r="BC51" s="680"/>
      <c r="BD51" s="680"/>
      <c r="BE51" s="680"/>
      <c r="BF51" s="680"/>
      <c r="BG51" s="680"/>
      <c r="BH51" s="680"/>
      <c r="BI51" s="680"/>
      <c r="BJ51" s="680"/>
      <c r="BK51" s="680"/>
      <c r="BL51" s="680"/>
      <c r="BM51" s="680"/>
      <c r="BN51" s="680"/>
      <c r="BO51" s="680"/>
      <c r="BP51" s="680"/>
      <c r="BQ51" s="680"/>
      <c r="BR51" s="680"/>
      <c r="BS51" s="680"/>
      <c r="BT51" s="680"/>
      <c r="BU51" s="680"/>
      <c r="BV51" s="680"/>
      <c r="BW51" s="680"/>
      <c r="BX51" s="680"/>
      <c r="BY51" s="680"/>
      <c r="BZ51" s="680"/>
      <c r="CA51" s="680"/>
      <c r="CB51" s="680"/>
      <c r="CC51" s="680"/>
      <c r="CD51" s="680"/>
      <c r="CE51" s="680"/>
      <c r="CF51" s="680"/>
      <c r="CG51" s="680"/>
      <c r="CH51" s="680"/>
      <c r="CI51" s="680"/>
      <c r="CJ51" s="680"/>
      <c r="CK51" s="680"/>
      <c r="CL51" s="680"/>
      <c r="CM51" s="680"/>
      <c r="CN51" s="680"/>
      <c r="CO51" s="680"/>
      <c r="CP51" s="680"/>
      <c r="CQ51" s="680"/>
      <c r="CR51" s="680"/>
      <c r="CS51" s="680"/>
      <c r="CT51" s="680"/>
      <c r="CU51" s="680"/>
      <c r="CV51" s="680"/>
      <c r="CW51" s="680"/>
      <c r="CX51" s="680"/>
      <c r="CY51" s="680"/>
      <c r="CZ51" s="680"/>
      <c r="DA51" s="680"/>
      <c r="DB51" s="680"/>
      <c r="DC51" s="680"/>
      <c r="DD51" s="680"/>
      <c r="DE51" s="680"/>
      <c r="DF51" s="680"/>
      <c r="DG51" s="680"/>
      <c r="DH51" s="680"/>
      <c r="DI51" s="680"/>
      <c r="DJ51" s="680"/>
      <c r="DK51" s="680"/>
      <c r="DL51" s="680"/>
      <c r="DM51" s="680"/>
      <c r="DN51" s="680"/>
      <c r="DO51" s="680"/>
      <c r="DP51" s="680"/>
      <c r="DQ51" s="680"/>
      <c r="DR51" s="680"/>
      <c r="DS51" s="680"/>
      <c r="DT51" s="680"/>
      <c r="DU51" s="680"/>
      <c r="DV51" s="680"/>
      <c r="DW51" s="680"/>
      <c r="DX51" s="680"/>
      <c r="DY51" s="680"/>
      <c r="DZ51" s="680"/>
      <c r="EA51" s="680"/>
      <c r="EB51" s="680"/>
      <c r="EC51" s="680"/>
      <c r="ED51" s="680"/>
      <c r="EE51" s="680"/>
      <c r="EF51" s="680"/>
      <c r="EG51" s="680"/>
      <c r="EH51" s="680"/>
      <c r="EI51" s="680"/>
      <c r="EJ51" s="680"/>
      <c r="EK51" s="680"/>
      <c r="EL51" s="680"/>
      <c r="EM51" s="680"/>
      <c r="EN51" s="680"/>
      <c r="EO51" s="680"/>
      <c r="EP51" s="680"/>
      <c r="EQ51" s="680"/>
      <c r="ER51" s="680"/>
      <c r="ES51" s="680"/>
      <c r="ET51" s="680"/>
      <c r="EU51" s="680"/>
      <c r="EV51" s="680"/>
      <c r="EW51" s="680"/>
    </row>
    <row r="52" spans="1:153" s="663" customFormat="1" ht="13.5">
      <c r="A52" s="509"/>
      <c r="B52" s="693"/>
      <c r="C52" s="687" t="s">
        <v>192</v>
      </c>
      <c r="D52" s="691" t="s">
        <v>16</v>
      </c>
      <c r="E52" s="688">
        <v>0.02</v>
      </c>
      <c r="F52" s="691">
        <f>E52*F43</f>
        <v>0.02</v>
      </c>
      <c r="G52" s="386"/>
      <c r="H52" s="694"/>
      <c r="I52" s="382"/>
      <c r="J52" s="382"/>
      <c r="K52" s="382"/>
      <c r="L52" s="695"/>
      <c r="M52" s="386"/>
      <c r="N52" s="680"/>
      <c r="O52" s="680"/>
      <c r="P52" s="680"/>
      <c r="Q52" s="680"/>
      <c r="R52" s="680"/>
      <c r="S52" s="680"/>
      <c r="T52" s="680"/>
      <c r="U52" s="680"/>
      <c r="V52" s="680"/>
      <c r="W52" s="680"/>
      <c r="X52" s="680"/>
      <c r="Y52" s="680"/>
      <c r="Z52" s="680"/>
      <c r="AA52" s="680"/>
      <c r="AB52" s="680"/>
      <c r="AC52" s="680"/>
      <c r="AD52" s="680"/>
      <c r="AE52" s="680"/>
      <c r="AF52" s="680"/>
      <c r="AG52" s="680"/>
      <c r="AH52" s="680"/>
      <c r="AI52" s="680"/>
      <c r="AJ52" s="680"/>
      <c r="AK52" s="680"/>
      <c r="AL52" s="680"/>
      <c r="AM52" s="680"/>
      <c r="AN52" s="680"/>
      <c r="AO52" s="680"/>
      <c r="AP52" s="680"/>
      <c r="AQ52" s="680"/>
      <c r="AR52" s="680"/>
      <c r="AS52" s="680"/>
      <c r="AT52" s="680"/>
      <c r="AU52" s="680"/>
      <c r="AV52" s="680"/>
      <c r="AW52" s="680"/>
      <c r="AX52" s="680"/>
      <c r="AY52" s="680"/>
      <c r="AZ52" s="680"/>
      <c r="BA52" s="680"/>
      <c r="BB52" s="680"/>
      <c r="BC52" s="680"/>
      <c r="BD52" s="680"/>
      <c r="BE52" s="680"/>
      <c r="BF52" s="680"/>
      <c r="BG52" s="680"/>
      <c r="BH52" s="680"/>
      <c r="BI52" s="680"/>
      <c r="BJ52" s="680"/>
      <c r="BK52" s="680"/>
      <c r="BL52" s="680"/>
      <c r="BM52" s="680"/>
      <c r="BN52" s="680"/>
      <c r="BO52" s="680"/>
      <c r="BP52" s="680"/>
      <c r="BQ52" s="680"/>
      <c r="BR52" s="680"/>
      <c r="BS52" s="680"/>
      <c r="BT52" s="680"/>
      <c r="BU52" s="680"/>
      <c r="BV52" s="680"/>
      <c r="BW52" s="680"/>
      <c r="BX52" s="680"/>
      <c r="BY52" s="680"/>
      <c r="BZ52" s="680"/>
      <c r="CA52" s="680"/>
      <c r="CB52" s="680"/>
      <c r="CC52" s="680"/>
      <c r="CD52" s="680"/>
      <c r="CE52" s="680"/>
      <c r="CF52" s="680"/>
      <c r="CG52" s="680"/>
      <c r="CH52" s="680"/>
      <c r="CI52" s="680"/>
      <c r="CJ52" s="680"/>
      <c r="CK52" s="680"/>
      <c r="CL52" s="680"/>
      <c r="CM52" s="680"/>
      <c r="CN52" s="680"/>
      <c r="CO52" s="680"/>
      <c r="CP52" s="680"/>
      <c r="CQ52" s="680"/>
      <c r="CR52" s="680"/>
      <c r="CS52" s="680"/>
      <c r="CT52" s="680"/>
      <c r="CU52" s="680"/>
      <c r="CV52" s="680"/>
      <c r="CW52" s="680"/>
      <c r="CX52" s="680"/>
      <c r="CY52" s="680"/>
      <c r="CZ52" s="680"/>
      <c r="DA52" s="680"/>
      <c r="DB52" s="680"/>
      <c r="DC52" s="680"/>
      <c r="DD52" s="680"/>
      <c r="DE52" s="680"/>
      <c r="DF52" s="680"/>
      <c r="DG52" s="680"/>
      <c r="DH52" s="680"/>
      <c r="DI52" s="680"/>
      <c r="DJ52" s="680"/>
      <c r="DK52" s="680"/>
      <c r="DL52" s="680"/>
      <c r="DM52" s="680"/>
      <c r="DN52" s="680"/>
      <c r="DO52" s="680"/>
      <c r="DP52" s="680"/>
      <c r="DQ52" s="680"/>
      <c r="DR52" s="680"/>
      <c r="DS52" s="680"/>
      <c r="DT52" s="680"/>
      <c r="DU52" s="680"/>
      <c r="DV52" s="680"/>
      <c r="DW52" s="680"/>
      <c r="DX52" s="680"/>
      <c r="DY52" s="680"/>
      <c r="DZ52" s="680"/>
      <c r="EA52" s="680"/>
      <c r="EB52" s="680"/>
      <c r="EC52" s="680"/>
      <c r="ED52" s="680"/>
      <c r="EE52" s="680"/>
      <c r="EF52" s="680"/>
      <c r="EG52" s="680"/>
      <c r="EH52" s="680"/>
      <c r="EI52" s="680"/>
      <c r="EJ52" s="680"/>
      <c r="EK52" s="680"/>
      <c r="EL52" s="680"/>
      <c r="EM52" s="680"/>
      <c r="EN52" s="680"/>
      <c r="EO52" s="680"/>
      <c r="EP52" s="680"/>
      <c r="EQ52" s="680"/>
      <c r="ER52" s="680"/>
      <c r="ES52" s="680"/>
      <c r="ET52" s="680"/>
      <c r="EU52" s="680"/>
      <c r="EV52" s="680"/>
      <c r="EW52" s="680"/>
    </row>
    <row r="53" spans="1:153" s="663" customFormat="1" ht="13.5">
      <c r="A53" s="509">
        <v>8</v>
      </c>
      <c r="B53" s="563" t="s">
        <v>189</v>
      </c>
      <c r="C53" s="510" t="s">
        <v>528</v>
      </c>
      <c r="D53" s="509" t="s">
        <v>98</v>
      </c>
      <c r="E53" s="686"/>
      <c r="F53" s="526">
        <v>1</v>
      </c>
      <c r="G53" s="509"/>
      <c r="H53" s="509"/>
      <c r="I53" s="526"/>
      <c r="J53" s="509"/>
      <c r="K53" s="509"/>
      <c r="L53" s="509"/>
      <c r="M53" s="526"/>
      <c r="N53" s="680"/>
      <c r="O53" s="680"/>
      <c r="P53" s="680"/>
      <c r="Q53" s="680"/>
      <c r="R53" s="680"/>
      <c r="S53" s="680"/>
      <c r="T53" s="680"/>
      <c r="U53" s="680"/>
      <c r="V53" s="680"/>
      <c r="W53" s="680"/>
      <c r="X53" s="680"/>
      <c r="Y53" s="680"/>
      <c r="Z53" s="680"/>
      <c r="AA53" s="680"/>
      <c r="AB53" s="680"/>
      <c r="AC53" s="680"/>
      <c r="AD53" s="680"/>
      <c r="AE53" s="680"/>
      <c r="AF53" s="680"/>
      <c r="AG53" s="680"/>
      <c r="AH53" s="680"/>
      <c r="AI53" s="680"/>
      <c r="AJ53" s="680"/>
      <c r="AK53" s="680"/>
      <c r="AL53" s="680"/>
      <c r="AM53" s="680"/>
      <c r="AN53" s="680"/>
      <c r="AO53" s="680"/>
      <c r="AP53" s="680"/>
      <c r="AQ53" s="680"/>
      <c r="AR53" s="680"/>
      <c r="AS53" s="680"/>
      <c r="AT53" s="680"/>
      <c r="AU53" s="680"/>
      <c r="AV53" s="680"/>
      <c r="AW53" s="680"/>
      <c r="AX53" s="680"/>
      <c r="AY53" s="680"/>
      <c r="AZ53" s="680"/>
      <c r="BA53" s="680"/>
      <c r="BB53" s="680"/>
      <c r="BC53" s="680"/>
      <c r="BD53" s="680"/>
      <c r="BE53" s="680"/>
      <c r="BF53" s="680"/>
      <c r="BG53" s="680"/>
      <c r="BH53" s="680"/>
      <c r="BI53" s="680"/>
      <c r="BJ53" s="680"/>
      <c r="BK53" s="680"/>
      <c r="BL53" s="680"/>
      <c r="BM53" s="680"/>
      <c r="BN53" s="680"/>
      <c r="BO53" s="680"/>
      <c r="BP53" s="680"/>
      <c r="BQ53" s="680"/>
      <c r="BR53" s="680"/>
      <c r="BS53" s="680"/>
      <c r="BT53" s="680"/>
      <c r="BU53" s="680"/>
      <c r="BV53" s="680"/>
      <c r="BW53" s="680"/>
      <c r="BX53" s="680"/>
      <c r="BY53" s="680"/>
      <c r="BZ53" s="680"/>
      <c r="CA53" s="680"/>
      <c r="CB53" s="680"/>
      <c r="CC53" s="680"/>
      <c r="CD53" s="680"/>
      <c r="CE53" s="680"/>
      <c r="CF53" s="680"/>
      <c r="CG53" s="680"/>
      <c r="CH53" s="680"/>
      <c r="CI53" s="680"/>
      <c r="CJ53" s="680"/>
      <c r="CK53" s="680"/>
      <c r="CL53" s="680"/>
      <c r="CM53" s="680"/>
      <c r="CN53" s="680"/>
      <c r="CO53" s="680"/>
      <c r="CP53" s="680"/>
      <c r="CQ53" s="680"/>
      <c r="CR53" s="680"/>
      <c r="CS53" s="680"/>
      <c r="CT53" s="680"/>
      <c r="CU53" s="680"/>
      <c r="CV53" s="680"/>
      <c r="CW53" s="680"/>
      <c r="CX53" s="680"/>
      <c r="CY53" s="680"/>
      <c r="CZ53" s="680"/>
      <c r="DA53" s="680"/>
      <c r="DB53" s="680"/>
      <c r="DC53" s="680"/>
      <c r="DD53" s="680"/>
      <c r="DE53" s="680"/>
      <c r="DF53" s="680"/>
      <c r="DG53" s="680"/>
      <c r="DH53" s="680"/>
      <c r="DI53" s="680"/>
      <c r="DJ53" s="680"/>
      <c r="DK53" s="680"/>
      <c r="DL53" s="680"/>
      <c r="DM53" s="680"/>
      <c r="DN53" s="680"/>
      <c r="DO53" s="680"/>
      <c r="DP53" s="680"/>
      <c r="DQ53" s="680"/>
      <c r="DR53" s="680"/>
      <c r="DS53" s="680"/>
      <c r="DT53" s="680"/>
      <c r="DU53" s="680"/>
      <c r="DV53" s="680"/>
      <c r="DW53" s="680"/>
      <c r="DX53" s="680"/>
      <c r="DY53" s="680"/>
      <c r="DZ53" s="680"/>
      <c r="EA53" s="680"/>
      <c r="EB53" s="680"/>
      <c r="EC53" s="680"/>
      <c r="ED53" s="680"/>
      <c r="EE53" s="680"/>
      <c r="EF53" s="680"/>
      <c r="EG53" s="680"/>
      <c r="EH53" s="680"/>
      <c r="EI53" s="680"/>
      <c r="EJ53" s="680"/>
      <c r="EK53" s="680"/>
      <c r="EL53" s="680"/>
      <c r="EM53" s="680"/>
      <c r="EN53" s="680"/>
      <c r="EO53" s="680"/>
      <c r="EP53" s="680"/>
      <c r="EQ53" s="680"/>
      <c r="ER53" s="680"/>
      <c r="ES53" s="680"/>
      <c r="ET53" s="680"/>
      <c r="EU53" s="680"/>
      <c r="EV53" s="680"/>
      <c r="EW53" s="680"/>
    </row>
    <row r="54" spans="1:153" s="663" customFormat="1" ht="13.5">
      <c r="A54" s="509"/>
      <c r="B54" s="563"/>
      <c r="C54" s="687" t="s">
        <v>265</v>
      </c>
      <c r="D54" s="382" t="s">
        <v>102</v>
      </c>
      <c r="E54" s="688">
        <v>7.33</v>
      </c>
      <c r="F54" s="386">
        <f>F53*E54</f>
        <v>7.33</v>
      </c>
      <c r="G54" s="382"/>
      <c r="H54" s="689"/>
      <c r="I54" s="690"/>
      <c r="J54" s="386"/>
      <c r="K54" s="382"/>
      <c r="L54" s="382"/>
      <c r="M54" s="386"/>
      <c r="N54" s="680"/>
      <c r="O54" s="680"/>
      <c r="P54" s="680"/>
      <c r="Q54" s="680"/>
      <c r="R54" s="680"/>
      <c r="S54" s="680"/>
      <c r="T54" s="680"/>
      <c r="U54" s="680"/>
      <c r="V54" s="680"/>
      <c r="W54" s="680"/>
      <c r="X54" s="680"/>
      <c r="Y54" s="680"/>
      <c r="Z54" s="680"/>
      <c r="AA54" s="680"/>
      <c r="AB54" s="680"/>
      <c r="AC54" s="680"/>
      <c r="AD54" s="680"/>
      <c r="AE54" s="680"/>
      <c r="AF54" s="680"/>
      <c r="AG54" s="680"/>
      <c r="AH54" s="680"/>
      <c r="AI54" s="680"/>
      <c r="AJ54" s="680"/>
      <c r="AK54" s="680"/>
      <c r="AL54" s="680"/>
      <c r="AM54" s="680"/>
      <c r="AN54" s="680"/>
      <c r="AO54" s="680"/>
      <c r="AP54" s="680"/>
      <c r="AQ54" s="680"/>
      <c r="AR54" s="680"/>
      <c r="AS54" s="680"/>
      <c r="AT54" s="680"/>
      <c r="AU54" s="680"/>
      <c r="AV54" s="680"/>
      <c r="AW54" s="680"/>
      <c r="AX54" s="680"/>
      <c r="AY54" s="680"/>
      <c r="AZ54" s="680"/>
      <c r="BA54" s="680"/>
      <c r="BB54" s="680"/>
      <c r="BC54" s="680"/>
      <c r="BD54" s="680"/>
      <c r="BE54" s="680"/>
      <c r="BF54" s="680"/>
      <c r="BG54" s="680"/>
      <c r="BH54" s="680"/>
      <c r="BI54" s="680"/>
      <c r="BJ54" s="680"/>
      <c r="BK54" s="680"/>
      <c r="BL54" s="680"/>
      <c r="BM54" s="680"/>
      <c r="BN54" s="680"/>
      <c r="BO54" s="680"/>
      <c r="BP54" s="680"/>
      <c r="BQ54" s="680"/>
      <c r="BR54" s="680"/>
      <c r="BS54" s="680"/>
      <c r="BT54" s="680"/>
      <c r="BU54" s="680"/>
      <c r="BV54" s="680"/>
      <c r="BW54" s="680"/>
      <c r="BX54" s="680"/>
      <c r="BY54" s="680"/>
      <c r="BZ54" s="680"/>
      <c r="CA54" s="680"/>
      <c r="CB54" s="680"/>
      <c r="CC54" s="680"/>
      <c r="CD54" s="680"/>
      <c r="CE54" s="680"/>
      <c r="CF54" s="680"/>
      <c r="CG54" s="680"/>
      <c r="CH54" s="680"/>
      <c r="CI54" s="680"/>
      <c r="CJ54" s="680"/>
      <c r="CK54" s="680"/>
      <c r="CL54" s="680"/>
      <c r="CM54" s="680"/>
      <c r="CN54" s="680"/>
      <c r="CO54" s="680"/>
      <c r="CP54" s="680"/>
      <c r="CQ54" s="680"/>
      <c r="CR54" s="680"/>
      <c r="CS54" s="680"/>
      <c r="CT54" s="680"/>
      <c r="CU54" s="680"/>
      <c r="CV54" s="680"/>
      <c r="CW54" s="680"/>
      <c r="CX54" s="680"/>
      <c r="CY54" s="680"/>
      <c r="CZ54" s="680"/>
      <c r="DA54" s="680"/>
      <c r="DB54" s="680"/>
      <c r="DC54" s="680"/>
      <c r="DD54" s="680"/>
      <c r="DE54" s="680"/>
      <c r="DF54" s="680"/>
      <c r="DG54" s="680"/>
      <c r="DH54" s="680"/>
      <c r="DI54" s="680"/>
      <c r="DJ54" s="680"/>
      <c r="DK54" s="680"/>
      <c r="DL54" s="680"/>
      <c r="DM54" s="680"/>
      <c r="DN54" s="680"/>
      <c r="DO54" s="680"/>
      <c r="DP54" s="680"/>
      <c r="DQ54" s="680"/>
      <c r="DR54" s="680"/>
      <c r="DS54" s="680"/>
      <c r="DT54" s="680"/>
      <c r="DU54" s="680"/>
      <c r="DV54" s="680"/>
      <c r="DW54" s="680"/>
      <c r="DX54" s="680"/>
      <c r="DY54" s="680"/>
      <c r="DZ54" s="680"/>
      <c r="EA54" s="680"/>
      <c r="EB54" s="680"/>
      <c r="EC54" s="680"/>
      <c r="ED54" s="680"/>
      <c r="EE54" s="680"/>
      <c r="EF54" s="680"/>
      <c r="EG54" s="680"/>
      <c r="EH54" s="680"/>
      <c r="EI54" s="680"/>
      <c r="EJ54" s="680"/>
      <c r="EK54" s="680"/>
      <c r="EL54" s="680"/>
      <c r="EM54" s="680"/>
      <c r="EN54" s="680"/>
      <c r="EO54" s="680"/>
      <c r="EP54" s="680"/>
      <c r="EQ54" s="680"/>
      <c r="ER54" s="680"/>
      <c r="ES54" s="680"/>
      <c r="ET54" s="680"/>
      <c r="EU54" s="680"/>
      <c r="EV54" s="680"/>
      <c r="EW54" s="680"/>
    </row>
    <row r="55" spans="1:153" s="663" customFormat="1" ht="13.5">
      <c r="A55" s="509"/>
      <c r="B55" s="687"/>
      <c r="C55" s="687" t="s">
        <v>191</v>
      </c>
      <c r="D55" s="691" t="s">
        <v>16</v>
      </c>
      <c r="E55" s="688">
        <v>0.11</v>
      </c>
      <c r="F55" s="386">
        <f>E55*F53</f>
        <v>0.11</v>
      </c>
      <c r="G55" s="382"/>
      <c r="H55" s="689"/>
      <c r="I55" s="386"/>
      <c r="J55" s="382"/>
      <c r="K55" s="386"/>
      <c r="L55" s="386"/>
      <c r="M55" s="386"/>
      <c r="N55" s="680"/>
      <c r="O55" s="680"/>
      <c r="P55" s="680"/>
      <c r="Q55" s="680"/>
      <c r="R55" s="680"/>
      <c r="S55" s="680"/>
      <c r="T55" s="680"/>
      <c r="U55" s="680"/>
      <c r="V55" s="680"/>
      <c r="W55" s="680"/>
      <c r="X55" s="680"/>
      <c r="Y55" s="680"/>
      <c r="Z55" s="680"/>
      <c r="AA55" s="680"/>
      <c r="AB55" s="680"/>
      <c r="AC55" s="680"/>
      <c r="AD55" s="680"/>
      <c r="AE55" s="680"/>
      <c r="AF55" s="680"/>
      <c r="AG55" s="680"/>
      <c r="AH55" s="680"/>
      <c r="AI55" s="680"/>
      <c r="AJ55" s="680"/>
      <c r="AK55" s="680"/>
      <c r="AL55" s="680"/>
      <c r="AM55" s="680"/>
      <c r="AN55" s="680"/>
      <c r="AO55" s="680"/>
      <c r="AP55" s="680"/>
      <c r="AQ55" s="680"/>
      <c r="AR55" s="680"/>
      <c r="AS55" s="680"/>
      <c r="AT55" s="680"/>
      <c r="AU55" s="680"/>
      <c r="AV55" s="680"/>
      <c r="AW55" s="680"/>
      <c r="AX55" s="680"/>
      <c r="AY55" s="680"/>
      <c r="AZ55" s="680"/>
      <c r="BA55" s="680"/>
      <c r="BB55" s="680"/>
      <c r="BC55" s="680"/>
      <c r="BD55" s="680"/>
      <c r="BE55" s="680"/>
      <c r="BF55" s="680"/>
      <c r="BG55" s="680"/>
      <c r="BH55" s="680"/>
      <c r="BI55" s="680"/>
      <c r="BJ55" s="680"/>
      <c r="BK55" s="680"/>
      <c r="BL55" s="680"/>
      <c r="BM55" s="680"/>
      <c r="BN55" s="680"/>
      <c r="BO55" s="680"/>
      <c r="BP55" s="680"/>
      <c r="BQ55" s="680"/>
      <c r="BR55" s="680"/>
      <c r="BS55" s="680"/>
      <c r="BT55" s="680"/>
      <c r="BU55" s="680"/>
      <c r="BV55" s="680"/>
      <c r="BW55" s="680"/>
      <c r="BX55" s="680"/>
      <c r="BY55" s="680"/>
      <c r="BZ55" s="680"/>
      <c r="CA55" s="680"/>
      <c r="CB55" s="680"/>
      <c r="CC55" s="680"/>
      <c r="CD55" s="680"/>
      <c r="CE55" s="680"/>
      <c r="CF55" s="680"/>
      <c r="CG55" s="680"/>
      <c r="CH55" s="680"/>
      <c r="CI55" s="680"/>
      <c r="CJ55" s="680"/>
      <c r="CK55" s="680"/>
      <c r="CL55" s="680"/>
      <c r="CM55" s="680"/>
      <c r="CN55" s="680"/>
      <c r="CO55" s="680"/>
      <c r="CP55" s="680"/>
      <c r="CQ55" s="680"/>
      <c r="CR55" s="680"/>
      <c r="CS55" s="680"/>
      <c r="CT55" s="680"/>
      <c r="CU55" s="680"/>
      <c r="CV55" s="680"/>
      <c r="CW55" s="680"/>
      <c r="CX55" s="680"/>
      <c r="CY55" s="680"/>
      <c r="CZ55" s="680"/>
      <c r="DA55" s="680"/>
      <c r="DB55" s="680"/>
      <c r="DC55" s="680"/>
      <c r="DD55" s="680"/>
      <c r="DE55" s="680"/>
      <c r="DF55" s="680"/>
      <c r="DG55" s="680"/>
      <c r="DH55" s="680"/>
      <c r="DI55" s="680"/>
      <c r="DJ55" s="680"/>
      <c r="DK55" s="680"/>
      <c r="DL55" s="680"/>
      <c r="DM55" s="680"/>
      <c r="DN55" s="680"/>
      <c r="DO55" s="680"/>
      <c r="DP55" s="680"/>
      <c r="DQ55" s="680"/>
      <c r="DR55" s="680"/>
      <c r="DS55" s="680"/>
      <c r="DT55" s="680"/>
      <c r="DU55" s="680"/>
      <c r="DV55" s="680"/>
      <c r="DW55" s="680"/>
      <c r="DX55" s="680"/>
      <c r="DY55" s="680"/>
      <c r="DZ55" s="680"/>
      <c r="EA55" s="680"/>
      <c r="EB55" s="680"/>
      <c r="EC55" s="680"/>
      <c r="ED55" s="680"/>
      <c r="EE55" s="680"/>
      <c r="EF55" s="680"/>
      <c r="EG55" s="680"/>
      <c r="EH55" s="680"/>
      <c r="EI55" s="680"/>
      <c r="EJ55" s="680"/>
      <c r="EK55" s="680"/>
      <c r="EL55" s="680"/>
      <c r="EM55" s="680"/>
      <c r="EN55" s="680"/>
      <c r="EO55" s="680"/>
      <c r="EP55" s="680"/>
      <c r="EQ55" s="680"/>
      <c r="ER55" s="680"/>
      <c r="ES55" s="680"/>
      <c r="ET55" s="680"/>
      <c r="EU55" s="680"/>
      <c r="EV55" s="680"/>
      <c r="EW55" s="680"/>
    </row>
    <row r="56" spans="1:153" s="663" customFormat="1" ht="13.5">
      <c r="A56" s="664"/>
      <c r="B56" s="397" t="s">
        <v>505</v>
      </c>
      <c r="C56" s="541" t="s">
        <v>525</v>
      </c>
      <c r="D56" s="494" t="s">
        <v>103</v>
      </c>
      <c r="E56" s="382" t="s">
        <v>176</v>
      </c>
      <c r="F56" s="388">
        <f>(65.86+20.16+38.71)/1000</f>
        <v>0.12472999999999999</v>
      </c>
      <c r="G56" s="389"/>
      <c r="H56" s="389"/>
      <c r="I56" s="545"/>
      <c r="J56" s="546"/>
      <c r="K56" s="400"/>
      <c r="L56" s="400"/>
      <c r="M56" s="386"/>
      <c r="N56" s="680"/>
      <c r="O56" s="680"/>
      <c r="P56" s="680"/>
      <c r="Q56" s="680"/>
      <c r="R56" s="680"/>
      <c r="S56" s="680"/>
      <c r="T56" s="680"/>
      <c r="U56" s="680"/>
      <c r="V56" s="680"/>
      <c r="W56" s="680"/>
      <c r="X56" s="680"/>
      <c r="Y56" s="680"/>
      <c r="Z56" s="680"/>
      <c r="AA56" s="680"/>
      <c r="AB56" s="680"/>
      <c r="AC56" s="680"/>
      <c r="AD56" s="680"/>
      <c r="AE56" s="680"/>
      <c r="AF56" s="680"/>
      <c r="AG56" s="680"/>
      <c r="AH56" s="680"/>
      <c r="AI56" s="680"/>
      <c r="AJ56" s="680"/>
      <c r="AK56" s="680"/>
      <c r="AL56" s="680"/>
      <c r="AM56" s="680"/>
      <c r="AN56" s="680"/>
      <c r="AO56" s="680"/>
      <c r="AP56" s="680"/>
      <c r="AQ56" s="680"/>
      <c r="AR56" s="680"/>
      <c r="AS56" s="680"/>
      <c r="AT56" s="680"/>
      <c r="AU56" s="680"/>
      <c r="AV56" s="680"/>
      <c r="AW56" s="680"/>
      <c r="AX56" s="680"/>
      <c r="AY56" s="680"/>
      <c r="AZ56" s="680"/>
      <c r="BA56" s="680"/>
      <c r="BB56" s="680"/>
      <c r="BC56" s="680"/>
      <c r="BD56" s="680"/>
      <c r="BE56" s="680"/>
      <c r="BF56" s="680"/>
      <c r="BG56" s="680"/>
      <c r="BH56" s="680"/>
      <c r="BI56" s="680"/>
      <c r="BJ56" s="680"/>
      <c r="BK56" s="680"/>
      <c r="BL56" s="680"/>
      <c r="BM56" s="680"/>
      <c r="BN56" s="680"/>
      <c r="BO56" s="680"/>
      <c r="BP56" s="680"/>
      <c r="BQ56" s="680"/>
      <c r="BR56" s="680"/>
      <c r="BS56" s="680"/>
      <c r="BT56" s="680"/>
      <c r="BU56" s="680"/>
      <c r="BV56" s="680"/>
      <c r="BW56" s="680"/>
      <c r="BX56" s="680"/>
      <c r="BY56" s="680"/>
      <c r="BZ56" s="680"/>
      <c r="CA56" s="680"/>
      <c r="CB56" s="680"/>
      <c r="CC56" s="680"/>
      <c r="CD56" s="680"/>
      <c r="CE56" s="680"/>
      <c r="CF56" s="680"/>
      <c r="CG56" s="680"/>
      <c r="CH56" s="680"/>
      <c r="CI56" s="680"/>
      <c r="CJ56" s="680"/>
      <c r="CK56" s="680"/>
      <c r="CL56" s="680"/>
      <c r="CM56" s="680"/>
      <c r="CN56" s="680"/>
      <c r="CO56" s="680"/>
      <c r="CP56" s="680"/>
      <c r="CQ56" s="680"/>
      <c r="CR56" s="680"/>
      <c r="CS56" s="680"/>
      <c r="CT56" s="680"/>
      <c r="CU56" s="680"/>
      <c r="CV56" s="680"/>
      <c r="CW56" s="680"/>
      <c r="CX56" s="680"/>
      <c r="CY56" s="680"/>
      <c r="CZ56" s="680"/>
      <c r="DA56" s="680"/>
      <c r="DB56" s="680"/>
      <c r="DC56" s="680"/>
      <c r="DD56" s="680"/>
      <c r="DE56" s="680"/>
      <c r="DF56" s="680"/>
      <c r="DG56" s="680"/>
      <c r="DH56" s="680"/>
      <c r="DI56" s="680"/>
      <c r="DJ56" s="680"/>
      <c r="DK56" s="680"/>
      <c r="DL56" s="680"/>
      <c r="DM56" s="680"/>
      <c r="DN56" s="680"/>
      <c r="DO56" s="680"/>
      <c r="DP56" s="680"/>
      <c r="DQ56" s="680"/>
      <c r="DR56" s="680"/>
      <c r="DS56" s="680"/>
      <c r="DT56" s="680"/>
      <c r="DU56" s="680"/>
      <c r="DV56" s="680"/>
      <c r="DW56" s="680"/>
      <c r="DX56" s="680"/>
      <c r="DY56" s="680"/>
      <c r="DZ56" s="680"/>
      <c r="EA56" s="680"/>
      <c r="EB56" s="680"/>
      <c r="EC56" s="680"/>
      <c r="ED56" s="680"/>
      <c r="EE56" s="680"/>
      <c r="EF56" s="680"/>
      <c r="EG56" s="680"/>
      <c r="EH56" s="680"/>
      <c r="EI56" s="680"/>
      <c r="EJ56" s="680"/>
      <c r="EK56" s="680"/>
      <c r="EL56" s="680"/>
      <c r="EM56" s="680"/>
      <c r="EN56" s="680"/>
      <c r="EO56" s="680"/>
      <c r="EP56" s="680"/>
      <c r="EQ56" s="680"/>
      <c r="ER56" s="680"/>
      <c r="ES56" s="680"/>
      <c r="ET56" s="680"/>
      <c r="EU56" s="680"/>
      <c r="EV56" s="680"/>
      <c r="EW56" s="680"/>
    </row>
    <row r="57" spans="1:153" s="663" customFormat="1" ht="13.5">
      <c r="A57" s="546"/>
      <c r="B57" s="463" t="s">
        <v>739</v>
      </c>
      <c r="C57" s="541" t="s">
        <v>266</v>
      </c>
      <c r="D57" s="494" t="s">
        <v>103</v>
      </c>
      <c r="E57" s="382" t="s">
        <v>176</v>
      </c>
      <c r="F57" s="692">
        <v>1E-3</v>
      </c>
      <c r="G57" s="400"/>
      <c r="H57" s="389"/>
      <c r="I57" s="545"/>
      <c r="J57" s="546"/>
      <c r="K57" s="400"/>
      <c r="L57" s="400"/>
      <c r="M57" s="386"/>
      <c r="N57" s="680"/>
      <c r="O57" s="680"/>
      <c r="P57" s="680"/>
      <c r="Q57" s="680"/>
      <c r="R57" s="680"/>
      <c r="S57" s="680"/>
      <c r="T57" s="680"/>
      <c r="U57" s="680"/>
      <c r="V57" s="680"/>
      <c r="W57" s="680"/>
      <c r="X57" s="680"/>
      <c r="Y57" s="680"/>
      <c r="Z57" s="680"/>
      <c r="AA57" s="680"/>
      <c r="AB57" s="680"/>
      <c r="AC57" s="680"/>
      <c r="AD57" s="680"/>
      <c r="AE57" s="680"/>
      <c r="AF57" s="680"/>
      <c r="AG57" s="680"/>
      <c r="AH57" s="680"/>
      <c r="AI57" s="680"/>
      <c r="AJ57" s="680"/>
      <c r="AK57" s="680"/>
      <c r="AL57" s="680"/>
      <c r="AM57" s="680"/>
      <c r="AN57" s="680"/>
      <c r="AO57" s="680"/>
      <c r="AP57" s="680"/>
      <c r="AQ57" s="680"/>
      <c r="AR57" s="680"/>
      <c r="AS57" s="680"/>
      <c r="AT57" s="680"/>
      <c r="AU57" s="680"/>
      <c r="AV57" s="680"/>
      <c r="AW57" s="680"/>
      <c r="AX57" s="680"/>
      <c r="AY57" s="680"/>
      <c r="AZ57" s="680"/>
      <c r="BA57" s="680"/>
      <c r="BB57" s="680"/>
      <c r="BC57" s="680"/>
      <c r="BD57" s="680"/>
      <c r="BE57" s="680"/>
      <c r="BF57" s="680"/>
      <c r="BG57" s="680"/>
      <c r="BH57" s="680"/>
      <c r="BI57" s="680"/>
      <c r="BJ57" s="680"/>
      <c r="BK57" s="680"/>
      <c r="BL57" s="680"/>
      <c r="BM57" s="680"/>
      <c r="BN57" s="680"/>
      <c r="BO57" s="680"/>
      <c r="BP57" s="680"/>
      <c r="BQ57" s="680"/>
      <c r="BR57" s="680"/>
      <c r="BS57" s="680"/>
      <c r="BT57" s="680"/>
      <c r="BU57" s="680"/>
      <c r="BV57" s="680"/>
      <c r="BW57" s="680"/>
      <c r="BX57" s="680"/>
      <c r="BY57" s="680"/>
      <c r="BZ57" s="680"/>
      <c r="CA57" s="680"/>
      <c r="CB57" s="680"/>
      <c r="CC57" s="680"/>
      <c r="CD57" s="680"/>
      <c r="CE57" s="680"/>
      <c r="CF57" s="680"/>
      <c r="CG57" s="680"/>
      <c r="CH57" s="680"/>
      <c r="CI57" s="680"/>
      <c r="CJ57" s="680"/>
      <c r="CK57" s="680"/>
      <c r="CL57" s="680"/>
      <c r="CM57" s="680"/>
      <c r="CN57" s="680"/>
      <c r="CO57" s="680"/>
      <c r="CP57" s="680"/>
      <c r="CQ57" s="680"/>
      <c r="CR57" s="680"/>
      <c r="CS57" s="680"/>
      <c r="CT57" s="680"/>
      <c r="CU57" s="680"/>
      <c r="CV57" s="680"/>
      <c r="CW57" s="680"/>
      <c r="CX57" s="680"/>
      <c r="CY57" s="680"/>
      <c r="CZ57" s="680"/>
      <c r="DA57" s="680"/>
      <c r="DB57" s="680"/>
      <c r="DC57" s="680"/>
      <c r="DD57" s="680"/>
      <c r="DE57" s="680"/>
      <c r="DF57" s="680"/>
      <c r="DG57" s="680"/>
      <c r="DH57" s="680"/>
      <c r="DI57" s="680"/>
      <c r="DJ57" s="680"/>
      <c r="DK57" s="680"/>
      <c r="DL57" s="680"/>
      <c r="DM57" s="680"/>
      <c r="DN57" s="680"/>
      <c r="DO57" s="680"/>
      <c r="DP57" s="680"/>
      <c r="DQ57" s="680"/>
      <c r="DR57" s="680"/>
      <c r="DS57" s="680"/>
      <c r="DT57" s="680"/>
      <c r="DU57" s="680"/>
      <c r="DV57" s="680"/>
      <c r="DW57" s="680"/>
      <c r="DX57" s="680"/>
      <c r="DY57" s="680"/>
      <c r="DZ57" s="680"/>
      <c r="EA57" s="680"/>
      <c r="EB57" s="680"/>
      <c r="EC57" s="680"/>
      <c r="ED57" s="680"/>
      <c r="EE57" s="680"/>
      <c r="EF57" s="680"/>
      <c r="EG57" s="680"/>
      <c r="EH57" s="680"/>
      <c r="EI57" s="680"/>
      <c r="EJ57" s="680"/>
      <c r="EK57" s="680"/>
      <c r="EL57" s="680"/>
      <c r="EM57" s="680"/>
      <c r="EN57" s="680"/>
      <c r="EO57" s="680"/>
      <c r="EP57" s="680"/>
      <c r="EQ57" s="680"/>
      <c r="ER57" s="680"/>
      <c r="ES57" s="680"/>
      <c r="ET57" s="680"/>
      <c r="EU57" s="680"/>
      <c r="EV57" s="680"/>
      <c r="EW57" s="680"/>
    </row>
    <row r="58" spans="1:153" s="663" customFormat="1" ht="13.5">
      <c r="A58" s="546"/>
      <c r="B58" s="397" t="s">
        <v>520</v>
      </c>
      <c r="C58" s="541" t="s">
        <v>187</v>
      </c>
      <c r="D58" s="494" t="s">
        <v>103</v>
      </c>
      <c r="E58" s="382" t="s">
        <v>176</v>
      </c>
      <c r="F58" s="692">
        <f>(4.28+1.26)/1000</f>
        <v>5.5399999999999998E-3</v>
      </c>
      <c r="G58" s="389"/>
      <c r="H58" s="389"/>
      <c r="I58" s="545"/>
      <c r="J58" s="546"/>
      <c r="K58" s="400"/>
      <c r="L58" s="400"/>
      <c r="M58" s="386"/>
      <c r="N58" s="680"/>
      <c r="O58" s="680"/>
      <c r="P58" s="680"/>
      <c r="Q58" s="680"/>
      <c r="R58" s="680"/>
      <c r="S58" s="680"/>
      <c r="T58" s="680"/>
      <c r="U58" s="680"/>
      <c r="V58" s="680"/>
      <c r="W58" s="680"/>
      <c r="X58" s="680"/>
      <c r="Y58" s="680"/>
      <c r="Z58" s="680"/>
      <c r="AA58" s="680"/>
      <c r="AB58" s="680"/>
      <c r="AC58" s="680"/>
      <c r="AD58" s="680"/>
      <c r="AE58" s="680"/>
      <c r="AF58" s="680"/>
      <c r="AG58" s="680"/>
      <c r="AH58" s="680"/>
      <c r="AI58" s="680"/>
      <c r="AJ58" s="680"/>
      <c r="AK58" s="680"/>
      <c r="AL58" s="680"/>
      <c r="AM58" s="680"/>
      <c r="AN58" s="680"/>
      <c r="AO58" s="680"/>
      <c r="AP58" s="680"/>
      <c r="AQ58" s="680"/>
      <c r="AR58" s="680"/>
      <c r="AS58" s="680"/>
      <c r="AT58" s="680"/>
      <c r="AU58" s="680"/>
      <c r="AV58" s="680"/>
      <c r="AW58" s="680"/>
      <c r="AX58" s="680"/>
      <c r="AY58" s="680"/>
      <c r="AZ58" s="680"/>
      <c r="BA58" s="680"/>
      <c r="BB58" s="680"/>
      <c r="BC58" s="680"/>
      <c r="BD58" s="680"/>
      <c r="BE58" s="680"/>
      <c r="BF58" s="680"/>
      <c r="BG58" s="680"/>
      <c r="BH58" s="680"/>
      <c r="BI58" s="680"/>
      <c r="BJ58" s="680"/>
      <c r="BK58" s="680"/>
      <c r="BL58" s="680"/>
      <c r="BM58" s="680"/>
      <c r="BN58" s="680"/>
      <c r="BO58" s="680"/>
      <c r="BP58" s="680"/>
      <c r="BQ58" s="680"/>
      <c r="BR58" s="680"/>
      <c r="BS58" s="680"/>
      <c r="BT58" s="680"/>
      <c r="BU58" s="680"/>
      <c r="BV58" s="680"/>
      <c r="BW58" s="680"/>
      <c r="BX58" s="680"/>
      <c r="BY58" s="680"/>
      <c r="BZ58" s="680"/>
      <c r="CA58" s="680"/>
      <c r="CB58" s="680"/>
      <c r="CC58" s="680"/>
      <c r="CD58" s="680"/>
      <c r="CE58" s="680"/>
      <c r="CF58" s="680"/>
      <c r="CG58" s="680"/>
      <c r="CH58" s="680"/>
      <c r="CI58" s="680"/>
      <c r="CJ58" s="680"/>
      <c r="CK58" s="680"/>
      <c r="CL58" s="680"/>
      <c r="CM58" s="680"/>
      <c r="CN58" s="680"/>
      <c r="CO58" s="680"/>
      <c r="CP58" s="680"/>
      <c r="CQ58" s="680"/>
      <c r="CR58" s="680"/>
      <c r="CS58" s="680"/>
      <c r="CT58" s="680"/>
      <c r="CU58" s="680"/>
      <c r="CV58" s="680"/>
      <c r="CW58" s="680"/>
      <c r="CX58" s="680"/>
      <c r="CY58" s="680"/>
      <c r="CZ58" s="680"/>
      <c r="DA58" s="680"/>
      <c r="DB58" s="680"/>
      <c r="DC58" s="680"/>
      <c r="DD58" s="680"/>
      <c r="DE58" s="680"/>
      <c r="DF58" s="680"/>
      <c r="DG58" s="680"/>
      <c r="DH58" s="680"/>
      <c r="DI58" s="680"/>
      <c r="DJ58" s="680"/>
      <c r="DK58" s="680"/>
      <c r="DL58" s="680"/>
      <c r="DM58" s="680"/>
      <c r="DN58" s="680"/>
      <c r="DO58" s="680"/>
      <c r="DP58" s="680"/>
      <c r="DQ58" s="680"/>
      <c r="DR58" s="680"/>
      <c r="DS58" s="680"/>
      <c r="DT58" s="680"/>
      <c r="DU58" s="680"/>
      <c r="DV58" s="680"/>
      <c r="DW58" s="680"/>
      <c r="DX58" s="680"/>
      <c r="DY58" s="680"/>
      <c r="DZ58" s="680"/>
      <c r="EA58" s="680"/>
      <c r="EB58" s="680"/>
      <c r="EC58" s="680"/>
      <c r="ED58" s="680"/>
      <c r="EE58" s="680"/>
      <c r="EF58" s="680"/>
      <c r="EG58" s="680"/>
      <c r="EH58" s="680"/>
      <c r="EI58" s="680"/>
      <c r="EJ58" s="680"/>
      <c r="EK58" s="680"/>
      <c r="EL58" s="680"/>
      <c r="EM58" s="680"/>
      <c r="EN58" s="680"/>
      <c r="EO58" s="680"/>
      <c r="EP58" s="680"/>
      <c r="EQ58" s="680"/>
      <c r="ER58" s="680"/>
      <c r="ES58" s="680"/>
      <c r="ET58" s="680"/>
      <c r="EU58" s="680"/>
      <c r="EV58" s="680"/>
      <c r="EW58" s="680"/>
    </row>
    <row r="59" spans="1:153" s="663" customFormat="1" ht="13.5">
      <c r="A59" s="546"/>
      <c r="B59" s="463" t="s">
        <v>738</v>
      </c>
      <c r="C59" s="541" t="s">
        <v>521</v>
      </c>
      <c r="D59" s="494" t="s">
        <v>169</v>
      </c>
      <c r="E59" s="382" t="s">
        <v>176</v>
      </c>
      <c r="F59" s="386">
        <f>1*7.5</f>
        <v>7.5</v>
      </c>
      <c r="G59" s="400"/>
      <c r="H59" s="389"/>
      <c r="I59" s="545"/>
      <c r="J59" s="546"/>
      <c r="K59" s="400"/>
      <c r="L59" s="400"/>
      <c r="M59" s="386"/>
      <c r="N59" s="680"/>
      <c r="O59" s="680"/>
      <c r="P59" s="680"/>
      <c r="Q59" s="680"/>
      <c r="R59" s="680"/>
      <c r="S59" s="680"/>
      <c r="T59" s="680"/>
      <c r="U59" s="680"/>
      <c r="V59" s="680"/>
      <c r="W59" s="680"/>
      <c r="X59" s="680"/>
      <c r="Y59" s="680"/>
      <c r="Z59" s="680"/>
      <c r="AA59" s="680"/>
      <c r="AB59" s="680"/>
      <c r="AC59" s="680"/>
      <c r="AD59" s="680"/>
      <c r="AE59" s="680"/>
      <c r="AF59" s="680"/>
      <c r="AG59" s="680"/>
      <c r="AH59" s="680"/>
      <c r="AI59" s="680"/>
      <c r="AJ59" s="680"/>
      <c r="AK59" s="680"/>
      <c r="AL59" s="680"/>
      <c r="AM59" s="680"/>
      <c r="AN59" s="680"/>
      <c r="AO59" s="680"/>
      <c r="AP59" s="680"/>
      <c r="AQ59" s="680"/>
      <c r="AR59" s="680"/>
      <c r="AS59" s="680"/>
      <c r="AT59" s="680"/>
      <c r="AU59" s="680"/>
      <c r="AV59" s="680"/>
      <c r="AW59" s="680"/>
      <c r="AX59" s="680"/>
      <c r="AY59" s="680"/>
      <c r="AZ59" s="680"/>
      <c r="BA59" s="680"/>
      <c r="BB59" s="680"/>
      <c r="BC59" s="680"/>
      <c r="BD59" s="680"/>
      <c r="BE59" s="680"/>
      <c r="BF59" s="680"/>
      <c r="BG59" s="680"/>
      <c r="BH59" s="680"/>
      <c r="BI59" s="680"/>
      <c r="BJ59" s="680"/>
      <c r="BK59" s="680"/>
      <c r="BL59" s="680"/>
      <c r="BM59" s="680"/>
      <c r="BN59" s="680"/>
      <c r="BO59" s="680"/>
      <c r="BP59" s="680"/>
      <c r="BQ59" s="680"/>
      <c r="BR59" s="680"/>
      <c r="BS59" s="680"/>
      <c r="BT59" s="680"/>
      <c r="BU59" s="680"/>
      <c r="BV59" s="680"/>
      <c r="BW59" s="680"/>
      <c r="BX59" s="680"/>
      <c r="BY59" s="680"/>
      <c r="BZ59" s="680"/>
      <c r="CA59" s="680"/>
      <c r="CB59" s="680"/>
      <c r="CC59" s="680"/>
      <c r="CD59" s="680"/>
      <c r="CE59" s="680"/>
      <c r="CF59" s="680"/>
      <c r="CG59" s="680"/>
      <c r="CH59" s="680"/>
      <c r="CI59" s="680"/>
      <c r="CJ59" s="680"/>
      <c r="CK59" s="680"/>
      <c r="CL59" s="680"/>
      <c r="CM59" s="680"/>
      <c r="CN59" s="680"/>
      <c r="CO59" s="680"/>
      <c r="CP59" s="680"/>
      <c r="CQ59" s="680"/>
      <c r="CR59" s="680"/>
      <c r="CS59" s="680"/>
      <c r="CT59" s="680"/>
      <c r="CU59" s="680"/>
      <c r="CV59" s="680"/>
      <c r="CW59" s="680"/>
      <c r="CX59" s="680"/>
      <c r="CY59" s="680"/>
      <c r="CZ59" s="680"/>
      <c r="DA59" s="680"/>
      <c r="DB59" s="680"/>
      <c r="DC59" s="680"/>
      <c r="DD59" s="680"/>
      <c r="DE59" s="680"/>
      <c r="DF59" s="680"/>
      <c r="DG59" s="680"/>
      <c r="DH59" s="680"/>
      <c r="DI59" s="680"/>
      <c r="DJ59" s="680"/>
      <c r="DK59" s="680"/>
      <c r="DL59" s="680"/>
      <c r="DM59" s="680"/>
      <c r="DN59" s="680"/>
      <c r="DO59" s="680"/>
      <c r="DP59" s="680"/>
      <c r="DQ59" s="680"/>
      <c r="DR59" s="680"/>
      <c r="DS59" s="680"/>
      <c r="DT59" s="680"/>
      <c r="DU59" s="680"/>
      <c r="DV59" s="680"/>
      <c r="DW59" s="680"/>
      <c r="DX59" s="680"/>
      <c r="DY59" s="680"/>
      <c r="DZ59" s="680"/>
      <c r="EA59" s="680"/>
      <c r="EB59" s="680"/>
      <c r="EC59" s="680"/>
      <c r="ED59" s="680"/>
      <c r="EE59" s="680"/>
      <c r="EF59" s="680"/>
      <c r="EG59" s="680"/>
      <c r="EH59" s="680"/>
      <c r="EI59" s="680"/>
      <c r="EJ59" s="680"/>
      <c r="EK59" s="680"/>
      <c r="EL59" s="680"/>
      <c r="EM59" s="680"/>
      <c r="EN59" s="680"/>
      <c r="EO59" s="680"/>
      <c r="EP59" s="680"/>
      <c r="EQ59" s="680"/>
      <c r="ER59" s="680"/>
      <c r="ES59" s="680"/>
      <c r="ET59" s="680"/>
      <c r="EU59" s="680"/>
      <c r="EV59" s="680"/>
      <c r="EW59" s="680"/>
    </row>
    <row r="60" spans="1:153" s="663" customFormat="1" ht="13.5">
      <c r="A60" s="546"/>
      <c r="B60" s="397" t="s">
        <v>741</v>
      </c>
      <c r="C60" s="541" t="s">
        <v>526</v>
      </c>
      <c r="D60" s="494" t="s">
        <v>98</v>
      </c>
      <c r="E60" s="382" t="s">
        <v>176</v>
      </c>
      <c r="F60" s="386">
        <v>1</v>
      </c>
      <c r="G60" s="389"/>
      <c r="H60" s="389"/>
      <c r="I60" s="545"/>
      <c r="J60" s="546"/>
      <c r="K60" s="400"/>
      <c r="L60" s="400"/>
      <c r="M60" s="386"/>
      <c r="N60" s="680"/>
      <c r="O60" s="680"/>
      <c r="P60" s="680"/>
      <c r="Q60" s="680"/>
      <c r="R60" s="680"/>
      <c r="S60" s="680"/>
      <c r="T60" s="680"/>
      <c r="U60" s="680"/>
      <c r="V60" s="680"/>
      <c r="W60" s="680"/>
      <c r="X60" s="680"/>
      <c r="Y60" s="680"/>
      <c r="Z60" s="680"/>
      <c r="AA60" s="680"/>
      <c r="AB60" s="680"/>
      <c r="AC60" s="680"/>
      <c r="AD60" s="680"/>
      <c r="AE60" s="680"/>
      <c r="AF60" s="680"/>
      <c r="AG60" s="680"/>
      <c r="AH60" s="680"/>
      <c r="AI60" s="680"/>
      <c r="AJ60" s="680"/>
      <c r="AK60" s="680"/>
      <c r="AL60" s="680"/>
      <c r="AM60" s="680"/>
      <c r="AN60" s="680"/>
      <c r="AO60" s="680"/>
      <c r="AP60" s="680"/>
      <c r="AQ60" s="680"/>
      <c r="AR60" s="680"/>
      <c r="AS60" s="680"/>
      <c r="AT60" s="680"/>
      <c r="AU60" s="680"/>
      <c r="AV60" s="680"/>
      <c r="AW60" s="680"/>
      <c r="AX60" s="680"/>
      <c r="AY60" s="680"/>
      <c r="AZ60" s="680"/>
      <c r="BA60" s="680"/>
      <c r="BB60" s="680"/>
      <c r="BC60" s="680"/>
      <c r="BD60" s="680"/>
      <c r="BE60" s="680"/>
      <c r="BF60" s="680"/>
      <c r="BG60" s="680"/>
      <c r="BH60" s="680"/>
      <c r="BI60" s="680"/>
      <c r="BJ60" s="680"/>
      <c r="BK60" s="680"/>
      <c r="BL60" s="680"/>
      <c r="BM60" s="680"/>
      <c r="BN60" s="680"/>
      <c r="BO60" s="680"/>
      <c r="BP60" s="680"/>
      <c r="BQ60" s="680"/>
      <c r="BR60" s="680"/>
      <c r="BS60" s="680"/>
      <c r="BT60" s="680"/>
      <c r="BU60" s="680"/>
      <c r="BV60" s="680"/>
      <c r="BW60" s="680"/>
      <c r="BX60" s="680"/>
      <c r="BY60" s="680"/>
      <c r="BZ60" s="680"/>
      <c r="CA60" s="680"/>
      <c r="CB60" s="680"/>
      <c r="CC60" s="680"/>
      <c r="CD60" s="680"/>
      <c r="CE60" s="680"/>
      <c r="CF60" s="680"/>
      <c r="CG60" s="680"/>
      <c r="CH60" s="680"/>
      <c r="CI60" s="680"/>
      <c r="CJ60" s="680"/>
      <c r="CK60" s="680"/>
      <c r="CL60" s="680"/>
      <c r="CM60" s="680"/>
      <c r="CN60" s="680"/>
      <c r="CO60" s="680"/>
      <c r="CP60" s="680"/>
      <c r="CQ60" s="680"/>
      <c r="CR60" s="680"/>
      <c r="CS60" s="680"/>
      <c r="CT60" s="680"/>
      <c r="CU60" s="680"/>
      <c r="CV60" s="680"/>
      <c r="CW60" s="680"/>
      <c r="CX60" s="680"/>
      <c r="CY60" s="680"/>
      <c r="CZ60" s="680"/>
      <c r="DA60" s="680"/>
      <c r="DB60" s="680"/>
      <c r="DC60" s="680"/>
      <c r="DD60" s="680"/>
      <c r="DE60" s="680"/>
      <c r="DF60" s="680"/>
      <c r="DG60" s="680"/>
      <c r="DH60" s="680"/>
      <c r="DI60" s="680"/>
      <c r="DJ60" s="680"/>
      <c r="DK60" s="680"/>
      <c r="DL60" s="680"/>
      <c r="DM60" s="680"/>
      <c r="DN60" s="680"/>
      <c r="DO60" s="680"/>
      <c r="DP60" s="680"/>
      <c r="DQ60" s="680"/>
      <c r="DR60" s="680"/>
      <c r="DS60" s="680"/>
      <c r="DT60" s="680"/>
      <c r="DU60" s="680"/>
      <c r="DV60" s="680"/>
      <c r="DW60" s="680"/>
      <c r="DX60" s="680"/>
      <c r="DY60" s="680"/>
      <c r="DZ60" s="680"/>
      <c r="EA60" s="680"/>
      <c r="EB60" s="680"/>
      <c r="EC60" s="680"/>
      <c r="ED60" s="680"/>
      <c r="EE60" s="680"/>
      <c r="EF60" s="680"/>
      <c r="EG60" s="680"/>
      <c r="EH60" s="680"/>
      <c r="EI60" s="680"/>
      <c r="EJ60" s="680"/>
      <c r="EK60" s="680"/>
      <c r="EL60" s="680"/>
      <c r="EM60" s="680"/>
      <c r="EN60" s="680"/>
      <c r="EO60" s="680"/>
      <c r="EP60" s="680"/>
      <c r="EQ60" s="680"/>
      <c r="ER60" s="680"/>
      <c r="ES60" s="680"/>
      <c r="ET60" s="680"/>
      <c r="EU60" s="680"/>
      <c r="EV60" s="680"/>
      <c r="EW60" s="680"/>
    </row>
    <row r="61" spans="1:153" s="663" customFormat="1" ht="13.5">
      <c r="A61" s="546"/>
      <c r="B61" s="463" t="s">
        <v>742</v>
      </c>
      <c r="C61" s="541" t="s">
        <v>190</v>
      </c>
      <c r="D61" s="494" t="s">
        <v>98</v>
      </c>
      <c r="E61" s="382" t="s">
        <v>176</v>
      </c>
      <c r="F61" s="386">
        <v>4</v>
      </c>
      <c r="G61" s="400"/>
      <c r="H61" s="389"/>
      <c r="I61" s="545"/>
      <c r="J61" s="546"/>
      <c r="K61" s="400"/>
      <c r="L61" s="400"/>
      <c r="M61" s="386"/>
      <c r="N61" s="680"/>
      <c r="O61" s="680"/>
      <c r="P61" s="680"/>
      <c r="Q61" s="680"/>
      <c r="R61" s="680"/>
      <c r="S61" s="680"/>
      <c r="T61" s="680"/>
      <c r="U61" s="680"/>
      <c r="V61" s="680"/>
      <c r="W61" s="680"/>
      <c r="X61" s="680"/>
      <c r="Y61" s="680"/>
      <c r="Z61" s="680"/>
      <c r="AA61" s="680"/>
      <c r="AB61" s="680"/>
      <c r="AC61" s="680"/>
      <c r="AD61" s="680"/>
      <c r="AE61" s="680"/>
      <c r="AF61" s="680"/>
      <c r="AG61" s="680"/>
      <c r="AH61" s="680"/>
      <c r="AI61" s="680"/>
      <c r="AJ61" s="680"/>
      <c r="AK61" s="680"/>
      <c r="AL61" s="680"/>
      <c r="AM61" s="680"/>
      <c r="AN61" s="680"/>
      <c r="AO61" s="680"/>
      <c r="AP61" s="680"/>
      <c r="AQ61" s="680"/>
      <c r="AR61" s="680"/>
      <c r="AS61" s="680"/>
      <c r="AT61" s="680"/>
      <c r="AU61" s="680"/>
      <c r="AV61" s="680"/>
      <c r="AW61" s="680"/>
      <c r="AX61" s="680"/>
      <c r="AY61" s="680"/>
      <c r="AZ61" s="680"/>
      <c r="BA61" s="680"/>
      <c r="BB61" s="680"/>
      <c r="BC61" s="680"/>
      <c r="BD61" s="680"/>
      <c r="BE61" s="680"/>
      <c r="BF61" s="680"/>
      <c r="BG61" s="680"/>
      <c r="BH61" s="680"/>
      <c r="BI61" s="680"/>
      <c r="BJ61" s="680"/>
      <c r="BK61" s="680"/>
      <c r="BL61" s="680"/>
      <c r="BM61" s="680"/>
      <c r="BN61" s="680"/>
      <c r="BO61" s="680"/>
      <c r="BP61" s="680"/>
      <c r="BQ61" s="680"/>
      <c r="BR61" s="680"/>
      <c r="BS61" s="680"/>
      <c r="BT61" s="680"/>
      <c r="BU61" s="680"/>
      <c r="BV61" s="680"/>
      <c r="BW61" s="680"/>
      <c r="BX61" s="680"/>
      <c r="BY61" s="680"/>
      <c r="BZ61" s="680"/>
      <c r="CA61" s="680"/>
      <c r="CB61" s="680"/>
      <c r="CC61" s="680"/>
      <c r="CD61" s="680"/>
      <c r="CE61" s="680"/>
      <c r="CF61" s="680"/>
      <c r="CG61" s="680"/>
      <c r="CH61" s="680"/>
      <c r="CI61" s="680"/>
      <c r="CJ61" s="680"/>
      <c r="CK61" s="680"/>
      <c r="CL61" s="680"/>
      <c r="CM61" s="680"/>
      <c r="CN61" s="680"/>
      <c r="CO61" s="680"/>
      <c r="CP61" s="680"/>
      <c r="CQ61" s="680"/>
      <c r="CR61" s="680"/>
      <c r="CS61" s="680"/>
      <c r="CT61" s="680"/>
      <c r="CU61" s="680"/>
      <c r="CV61" s="680"/>
      <c r="CW61" s="680"/>
      <c r="CX61" s="680"/>
      <c r="CY61" s="680"/>
      <c r="CZ61" s="680"/>
      <c r="DA61" s="680"/>
      <c r="DB61" s="680"/>
      <c r="DC61" s="680"/>
      <c r="DD61" s="680"/>
      <c r="DE61" s="680"/>
      <c r="DF61" s="680"/>
      <c r="DG61" s="680"/>
      <c r="DH61" s="680"/>
      <c r="DI61" s="680"/>
      <c r="DJ61" s="680"/>
      <c r="DK61" s="680"/>
      <c r="DL61" s="680"/>
      <c r="DM61" s="680"/>
      <c r="DN61" s="680"/>
      <c r="DO61" s="680"/>
      <c r="DP61" s="680"/>
      <c r="DQ61" s="680"/>
      <c r="DR61" s="680"/>
      <c r="DS61" s="680"/>
      <c r="DT61" s="680"/>
      <c r="DU61" s="680"/>
      <c r="DV61" s="680"/>
      <c r="DW61" s="680"/>
      <c r="DX61" s="680"/>
      <c r="DY61" s="680"/>
      <c r="DZ61" s="680"/>
      <c r="EA61" s="680"/>
      <c r="EB61" s="680"/>
      <c r="EC61" s="680"/>
      <c r="ED61" s="680"/>
      <c r="EE61" s="680"/>
      <c r="EF61" s="680"/>
      <c r="EG61" s="680"/>
      <c r="EH61" s="680"/>
      <c r="EI61" s="680"/>
      <c r="EJ61" s="680"/>
      <c r="EK61" s="680"/>
      <c r="EL61" s="680"/>
      <c r="EM61" s="680"/>
      <c r="EN61" s="680"/>
      <c r="EO61" s="680"/>
      <c r="EP61" s="680"/>
      <c r="EQ61" s="680"/>
      <c r="ER61" s="680"/>
      <c r="ES61" s="680"/>
      <c r="ET61" s="680"/>
      <c r="EU61" s="680"/>
      <c r="EV61" s="680"/>
      <c r="EW61" s="680"/>
    </row>
    <row r="62" spans="1:153" s="663" customFormat="1" ht="13.5">
      <c r="A62" s="509"/>
      <c r="B62" s="693"/>
      <c r="C62" s="687" t="s">
        <v>192</v>
      </c>
      <c r="D62" s="691" t="s">
        <v>16</v>
      </c>
      <c r="E62" s="688">
        <v>0.02</v>
      </c>
      <c r="F62" s="691">
        <f>E62*F53</f>
        <v>0.02</v>
      </c>
      <c r="G62" s="386"/>
      <c r="H62" s="694"/>
      <c r="I62" s="382"/>
      <c r="J62" s="382"/>
      <c r="K62" s="382"/>
      <c r="L62" s="695"/>
      <c r="M62" s="386"/>
      <c r="N62" s="680"/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80"/>
      <c r="Z62" s="680"/>
      <c r="AA62" s="680"/>
      <c r="AB62" s="680"/>
      <c r="AC62" s="680"/>
      <c r="AD62" s="680"/>
      <c r="AE62" s="680"/>
      <c r="AF62" s="680"/>
      <c r="AG62" s="680"/>
      <c r="AH62" s="680"/>
      <c r="AI62" s="680"/>
      <c r="AJ62" s="680"/>
      <c r="AK62" s="680"/>
      <c r="AL62" s="680"/>
      <c r="AM62" s="680"/>
      <c r="AN62" s="680"/>
      <c r="AO62" s="680"/>
      <c r="AP62" s="680"/>
      <c r="AQ62" s="680"/>
      <c r="AR62" s="680"/>
      <c r="AS62" s="680"/>
      <c r="AT62" s="680"/>
      <c r="AU62" s="680"/>
      <c r="AV62" s="680"/>
      <c r="AW62" s="680"/>
      <c r="AX62" s="680"/>
      <c r="AY62" s="680"/>
      <c r="AZ62" s="680"/>
      <c r="BA62" s="680"/>
      <c r="BB62" s="680"/>
      <c r="BC62" s="680"/>
      <c r="BD62" s="680"/>
      <c r="BE62" s="680"/>
      <c r="BF62" s="680"/>
      <c r="BG62" s="680"/>
      <c r="BH62" s="680"/>
      <c r="BI62" s="680"/>
      <c r="BJ62" s="680"/>
      <c r="BK62" s="680"/>
      <c r="BL62" s="680"/>
      <c r="BM62" s="680"/>
      <c r="BN62" s="680"/>
      <c r="BO62" s="680"/>
      <c r="BP62" s="680"/>
      <c r="BQ62" s="680"/>
      <c r="BR62" s="680"/>
      <c r="BS62" s="680"/>
      <c r="BT62" s="680"/>
      <c r="BU62" s="680"/>
      <c r="BV62" s="680"/>
      <c r="BW62" s="680"/>
      <c r="BX62" s="680"/>
      <c r="BY62" s="680"/>
      <c r="BZ62" s="680"/>
      <c r="CA62" s="680"/>
      <c r="CB62" s="680"/>
      <c r="CC62" s="680"/>
      <c r="CD62" s="680"/>
      <c r="CE62" s="680"/>
      <c r="CF62" s="680"/>
      <c r="CG62" s="680"/>
      <c r="CH62" s="680"/>
      <c r="CI62" s="680"/>
      <c r="CJ62" s="680"/>
      <c r="CK62" s="680"/>
      <c r="CL62" s="680"/>
      <c r="CM62" s="680"/>
      <c r="CN62" s="680"/>
      <c r="CO62" s="680"/>
      <c r="CP62" s="680"/>
      <c r="CQ62" s="680"/>
      <c r="CR62" s="680"/>
      <c r="CS62" s="680"/>
      <c r="CT62" s="680"/>
      <c r="CU62" s="680"/>
      <c r="CV62" s="680"/>
      <c r="CW62" s="680"/>
      <c r="CX62" s="680"/>
      <c r="CY62" s="680"/>
      <c r="CZ62" s="680"/>
      <c r="DA62" s="680"/>
      <c r="DB62" s="680"/>
      <c r="DC62" s="680"/>
      <c r="DD62" s="680"/>
      <c r="DE62" s="680"/>
      <c r="DF62" s="680"/>
      <c r="DG62" s="680"/>
      <c r="DH62" s="680"/>
      <c r="DI62" s="680"/>
      <c r="DJ62" s="680"/>
      <c r="DK62" s="680"/>
      <c r="DL62" s="680"/>
      <c r="DM62" s="680"/>
      <c r="DN62" s="680"/>
      <c r="DO62" s="680"/>
      <c r="DP62" s="680"/>
      <c r="DQ62" s="680"/>
      <c r="DR62" s="680"/>
      <c r="DS62" s="680"/>
      <c r="DT62" s="680"/>
      <c r="DU62" s="680"/>
      <c r="DV62" s="680"/>
      <c r="DW62" s="680"/>
      <c r="DX62" s="680"/>
      <c r="DY62" s="680"/>
      <c r="DZ62" s="680"/>
      <c r="EA62" s="680"/>
      <c r="EB62" s="680"/>
      <c r="EC62" s="680"/>
      <c r="ED62" s="680"/>
      <c r="EE62" s="680"/>
      <c r="EF62" s="680"/>
      <c r="EG62" s="680"/>
      <c r="EH62" s="680"/>
      <c r="EI62" s="680"/>
      <c r="EJ62" s="680"/>
      <c r="EK62" s="680"/>
      <c r="EL62" s="680"/>
      <c r="EM62" s="680"/>
      <c r="EN62" s="680"/>
      <c r="EO62" s="680"/>
      <c r="EP62" s="680"/>
      <c r="EQ62" s="680"/>
      <c r="ER62" s="680"/>
      <c r="ES62" s="680"/>
      <c r="ET62" s="680"/>
      <c r="EU62" s="680"/>
      <c r="EV62" s="680"/>
      <c r="EW62" s="680"/>
    </row>
    <row r="63" spans="1:153">
      <c r="A63" s="696"/>
      <c r="B63" s="697"/>
      <c r="C63" s="698" t="s">
        <v>9</v>
      </c>
      <c r="D63" s="697"/>
      <c r="E63" s="699"/>
      <c r="F63" s="699"/>
      <c r="G63" s="699"/>
      <c r="H63" s="699"/>
      <c r="I63" s="699"/>
      <c r="J63" s="699"/>
      <c r="K63" s="699"/>
      <c r="L63" s="699"/>
      <c r="M63" s="699"/>
    </row>
    <row r="64" spans="1:153" s="706" customFormat="1">
      <c r="A64" s="701"/>
      <c r="B64" s="698"/>
      <c r="C64" s="702" t="s">
        <v>206</v>
      </c>
      <c r="D64" s="703" t="s">
        <v>851</v>
      </c>
      <c r="E64" s="704"/>
      <c r="F64" s="705"/>
      <c r="G64" s="705"/>
      <c r="H64" s="705"/>
      <c r="I64" s="705"/>
      <c r="J64" s="705"/>
      <c r="K64" s="705"/>
      <c r="L64" s="705"/>
      <c r="M64" s="704"/>
    </row>
    <row r="65" spans="1:252" s="709" customFormat="1">
      <c r="A65" s="638"/>
      <c r="B65" s="638"/>
      <c r="C65" s="643" t="s">
        <v>9</v>
      </c>
      <c r="D65" s="642"/>
      <c r="E65" s="707"/>
      <c r="F65" s="708"/>
      <c r="G65" s="708"/>
      <c r="H65" s="708"/>
      <c r="I65" s="708"/>
      <c r="J65" s="708"/>
      <c r="K65" s="708"/>
      <c r="L65" s="708"/>
      <c r="M65" s="707"/>
    </row>
    <row r="66" spans="1:252" s="712" customFormat="1">
      <c r="A66" s="701"/>
      <c r="B66" s="710"/>
      <c r="C66" s="711" t="s">
        <v>10</v>
      </c>
      <c r="D66" s="703" t="s">
        <v>851</v>
      </c>
      <c r="E66" s="704"/>
      <c r="F66" s="705"/>
      <c r="G66" s="705"/>
      <c r="H66" s="705"/>
      <c r="I66" s="705"/>
      <c r="J66" s="705"/>
      <c r="K66" s="705"/>
      <c r="L66" s="705"/>
      <c r="M66" s="704"/>
    </row>
    <row r="67" spans="1:252" s="712" customFormat="1">
      <c r="A67" s="638"/>
      <c r="B67" s="646"/>
      <c r="C67" s="643" t="s">
        <v>9</v>
      </c>
      <c r="D67" s="642"/>
      <c r="E67" s="707"/>
      <c r="F67" s="708"/>
      <c r="G67" s="708"/>
      <c r="H67" s="708"/>
      <c r="I67" s="708"/>
      <c r="J67" s="708"/>
      <c r="K67" s="708"/>
      <c r="L67" s="708"/>
      <c r="M67" s="707"/>
    </row>
    <row r="68" spans="1:252" s="712" customFormat="1">
      <c r="A68" s="701"/>
      <c r="B68" s="710"/>
      <c r="C68" s="711" t="s">
        <v>207</v>
      </c>
      <c r="D68" s="703" t="s">
        <v>851</v>
      </c>
      <c r="E68" s="704"/>
      <c r="F68" s="705"/>
      <c r="G68" s="705"/>
      <c r="H68" s="705"/>
      <c r="I68" s="705"/>
      <c r="J68" s="705"/>
      <c r="K68" s="705"/>
      <c r="L68" s="705"/>
      <c r="M68" s="704"/>
    </row>
    <row r="69" spans="1:252" s="712" customFormat="1">
      <c r="A69" s="638"/>
      <c r="B69" s="646"/>
      <c r="C69" s="643" t="s">
        <v>9</v>
      </c>
      <c r="D69" s="642"/>
      <c r="E69" s="707"/>
      <c r="F69" s="708"/>
      <c r="G69" s="708"/>
      <c r="H69" s="708"/>
      <c r="I69" s="708"/>
      <c r="J69" s="708"/>
      <c r="K69" s="708"/>
      <c r="L69" s="708"/>
      <c r="M69" s="707"/>
    </row>
    <row r="70" spans="1:252">
      <c r="B70" s="714"/>
    </row>
    <row r="71" spans="1:252">
      <c r="B71" s="714"/>
    </row>
    <row r="72" spans="1:252" ht="13.5">
      <c r="A72" s="547"/>
      <c r="B72" s="547"/>
      <c r="C72" s="188" t="e">
        <f>#REF!</f>
        <v>#REF!</v>
      </c>
      <c r="D72" s="188"/>
      <c r="E72" s="368"/>
      <c r="F72" s="188"/>
      <c r="G72" s="658"/>
      <c r="H72" s="658"/>
      <c r="I72" s="658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7"/>
      <c r="AK72" s="547"/>
      <c r="AL72" s="547"/>
      <c r="AM72" s="547"/>
      <c r="AN72" s="547"/>
      <c r="AO72" s="547"/>
      <c r="AP72" s="547"/>
      <c r="AQ72" s="547"/>
      <c r="AR72" s="547"/>
      <c r="AS72" s="547"/>
      <c r="AT72" s="547"/>
      <c r="AU72" s="547"/>
      <c r="AV72" s="547"/>
      <c r="AW72" s="547"/>
      <c r="AX72" s="547"/>
      <c r="AY72" s="547"/>
      <c r="AZ72" s="547"/>
      <c r="BA72" s="547"/>
      <c r="BB72" s="547"/>
      <c r="BC72" s="547"/>
      <c r="BD72" s="547"/>
      <c r="BE72" s="547"/>
      <c r="BF72" s="547"/>
      <c r="BG72" s="547"/>
      <c r="BH72" s="547"/>
      <c r="BI72" s="547"/>
      <c r="BJ72" s="547"/>
      <c r="BK72" s="547"/>
      <c r="BL72" s="547"/>
      <c r="BM72" s="547"/>
      <c r="BN72" s="547"/>
      <c r="BO72" s="547"/>
      <c r="BP72" s="547"/>
      <c r="BQ72" s="547"/>
      <c r="BR72" s="547"/>
      <c r="BS72" s="547"/>
      <c r="BT72" s="547"/>
      <c r="BU72" s="547"/>
      <c r="BV72" s="547"/>
      <c r="BW72" s="547"/>
      <c r="BX72" s="547"/>
      <c r="BY72" s="547"/>
      <c r="BZ72" s="547"/>
      <c r="CA72" s="547"/>
      <c r="CB72" s="547"/>
      <c r="CC72" s="547"/>
      <c r="CD72" s="547"/>
      <c r="CE72" s="547"/>
      <c r="CF72" s="547"/>
      <c r="CG72" s="547"/>
      <c r="CH72" s="547"/>
      <c r="CI72" s="547"/>
      <c r="CJ72" s="547"/>
      <c r="CK72" s="547"/>
      <c r="CL72" s="547"/>
      <c r="CM72" s="547"/>
      <c r="CN72" s="547"/>
      <c r="CO72" s="547"/>
      <c r="CP72" s="547"/>
      <c r="CQ72" s="547"/>
      <c r="CR72" s="547"/>
      <c r="CS72" s="547"/>
      <c r="CT72" s="547"/>
      <c r="CU72" s="547"/>
      <c r="CV72" s="547"/>
      <c r="CW72" s="547"/>
      <c r="CX72" s="547"/>
      <c r="CY72" s="547"/>
      <c r="CZ72" s="547"/>
      <c r="DA72" s="547"/>
      <c r="DB72" s="547"/>
      <c r="DC72" s="547"/>
      <c r="DD72" s="547"/>
      <c r="DE72" s="547"/>
      <c r="DF72" s="547"/>
      <c r="DG72" s="547"/>
      <c r="DH72" s="547"/>
      <c r="DI72" s="547"/>
      <c r="DJ72" s="547"/>
      <c r="DK72" s="547"/>
      <c r="DL72" s="547"/>
      <c r="DM72" s="547"/>
      <c r="DN72" s="547"/>
      <c r="DO72" s="547"/>
      <c r="DP72" s="547"/>
      <c r="DQ72" s="547"/>
      <c r="DR72" s="547"/>
      <c r="DS72" s="547"/>
      <c r="DT72" s="547"/>
      <c r="DU72" s="547"/>
      <c r="DV72" s="547"/>
      <c r="DW72" s="547"/>
      <c r="DX72" s="547"/>
      <c r="DY72" s="547"/>
      <c r="DZ72" s="547"/>
      <c r="EA72" s="547"/>
      <c r="EB72" s="547"/>
      <c r="EC72" s="547"/>
      <c r="ED72" s="547"/>
      <c r="EE72" s="547"/>
      <c r="EF72" s="547"/>
      <c r="EG72" s="547"/>
      <c r="EH72" s="547"/>
      <c r="EI72" s="547"/>
      <c r="EJ72" s="547"/>
      <c r="EK72" s="547"/>
      <c r="EL72" s="547"/>
      <c r="EM72" s="547"/>
      <c r="EN72" s="547"/>
      <c r="EO72" s="547"/>
      <c r="EP72" s="547"/>
      <c r="EQ72" s="547"/>
      <c r="ER72" s="547"/>
      <c r="ES72" s="547"/>
      <c r="ET72" s="547"/>
      <c r="EU72" s="547"/>
      <c r="EV72" s="547"/>
      <c r="EW72" s="547"/>
      <c r="EX72" s="547"/>
      <c r="EY72" s="547"/>
      <c r="EZ72" s="547"/>
      <c r="FA72" s="547"/>
      <c r="FB72" s="547"/>
      <c r="FC72" s="547"/>
      <c r="FD72" s="547"/>
      <c r="FE72" s="547"/>
      <c r="FF72" s="547"/>
      <c r="FG72" s="547"/>
      <c r="FH72" s="547"/>
      <c r="FI72" s="547"/>
      <c r="FJ72" s="547"/>
      <c r="FK72" s="547"/>
      <c r="FL72" s="547"/>
      <c r="FM72" s="547"/>
      <c r="FN72" s="547"/>
      <c r="FO72" s="547"/>
      <c r="FP72" s="547"/>
      <c r="FQ72" s="547"/>
      <c r="FR72" s="547"/>
      <c r="FS72" s="547"/>
      <c r="FT72" s="547"/>
      <c r="FU72" s="547"/>
      <c r="FV72" s="547"/>
      <c r="FW72" s="547"/>
      <c r="FX72" s="547"/>
      <c r="FY72" s="547"/>
      <c r="FZ72" s="547"/>
      <c r="GA72" s="547"/>
      <c r="GB72" s="547"/>
      <c r="GC72" s="547"/>
      <c r="GD72" s="547"/>
      <c r="GE72" s="547"/>
      <c r="GF72" s="547"/>
      <c r="GG72" s="547"/>
      <c r="GH72" s="547"/>
      <c r="GI72" s="547"/>
      <c r="GJ72" s="547"/>
      <c r="GK72" s="547"/>
      <c r="GL72" s="547"/>
      <c r="GM72" s="547"/>
      <c r="GN72" s="547"/>
      <c r="GO72" s="547"/>
      <c r="GP72" s="547"/>
      <c r="GQ72" s="547"/>
      <c r="GR72" s="547"/>
      <c r="GS72" s="547"/>
      <c r="GT72" s="547"/>
      <c r="GU72" s="547"/>
      <c r="GV72" s="547"/>
      <c r="GW72" s="547"/>
      <c r="GX72" s="547"/>
      <c r="GY72" s="547"/>
      <c r="GZ72" s="547"/>
      <c r="HA72" s="547"/>
      <c r="HB72" s="547"/>
      <c r="HC72" s="547"/>
      <c r="HD72" s="547"/>
      <c r="HE72" s="547"/>
      <c r="HF72" s="547"/>
      <c r="HG72" s="547"/>
      <c r="HH72" s="547"/>
      <c r="HI72" s="547"/>
      <c r="HJ72" s="547"/>
      <c r="HK72" s="547"/>
      <c r="HL72" s="547"/>
      <c r="HM72" s="547"/>
      <c r="HN72" s="547"/>
      <c r="HO72" s="547"/>
      <c r="HP72" s="547"/>
      <c r="HQ72" s="547"/>
      <c r="HR72" s="547"/>
      <c r="HS72" s="547"/>
      <c r="HT72" s="547"/>
      <c r="HU72" s="547"/>
      <c r="HV72" s="547"/>
      <c r="HW72" s="547"/>
      <c r="HX72" s="547"/>
      <c r="HY72" s="547"/>
      <c r="HZ72" s="547"/>
      <c r="IA72" s="547"/>
      <c r="IB72" s="547"/>
      <c r="IC72" s="547"/>
      <c r="ID72" s="547"/>
      <c r="IE72" s="547"/>
      <c r="IF72" s="547"/>
      <c r="IG72" s="547"/>
      <c r="IH72" s="547"/>
      <c r="II72" s="547"/>
      <c r="IJ72" s="547"/>
      <c r="IK72" s="547"/>
      <c r="IL72" s="547"/>
      <c r="IM72" s="547"/>
      <c r="IN72" s="547"/>
      <c r="IO72" s="547"/>
      <c r="IP72" s="547"/>
      <c r="IQ72" s="547"/>
      <c r="IR72" s="547"/>
    </row>
    <row r="73" spans="1:252" ht="13.5">
      <c r="A73" s="547"/>
      <c r="B73" s="547"/>
      <c r="C73" s="188" t="e">
        <f>#REF!</f>
        <v>#REF!</v>
      </c>
      <c r="D73" s="188" t="e">
        <f>#REF!</f>
        <v>#REF!</v>
      </c>
      <c r="E73" s="368"/>
      <c r="F73" s="658"/>
      <c r="G73" s="658"/>
      <c r="H73" s="658"/>
      <c r="I73" s="658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7"/>
      <c r="AK73" s="547"/>
      <c r="AL73" s="547"/>
      <c r="AM73" s="547"/>
      <c r="AN73" s="547"/>
      <c r="AO73" s="547"/>
      <c r="AP73" s="547"/>
      <c r="AQ73" s="547"/>
      <c r="AR73" s="547"/>
      <c r="AS73" s="547"/>
      <c r="AT73" s="547"/>
      <c r="AU73" s="547"/>
      <c r="AV73" s="547"/>
      <c r="AW73" s="547"/>
      <c r="AX73" s="547"/>
      <c r="AY73" s="547"/>
      <c r="AZ73" s="547"/>
      <c r="BA73" s="547"/>
      <c r="BB73" s="547"/>
      <c r="BC73" s="547"/>
      <c r="BD73" s="547"/>
      <c r="BE73" s="547"/>
      <c r="BF73" s="547"/>
      <c r="BG73" s="547"/>
      <c r="BH73" s="547"/>
      <c r="BI73" s="547"/>
      <c r="BJ73" s="547"/>
      <c r="BK73" s="547"/>
      <c r="BL73" s="547"/>
      <c r="BM73" s="547"/>
      <c r="BN73" s="547"/>
      <c r="BO73" s="547"/>
      <c r="BP73" s="547"/>
      <c r="BQ73" s="547"/>
      <c r="BR73" s="547"/>
      <c r="BS73" s="547"/>
      <c r="BT73" s="547"/>
      <c r="BU73" s="547"/>
      <c r="BV73" s="547"/>
      <c r="BW73" s="547"/>
      <c r="BX73" s="547"/>
      <c r="BY73" s="547"/>
      <c r="BZ73" s="547"/>
      <c r="CA73" s="547"/>
      <c r="CB73" s="547"/>
      <c r="CC73" s="547"/>
      <c r="CD73" s="547"/>
      <c r="CE73" s="547"/>
      <c r="CF73" s="547"/>
      <c r="CG73" s="547"/>
      <c r="CH73" s="547"/>
      <c r="CI73" s="547"/>
      <c r="CJ73" s="547"/>
      <c r="CK73" s="547"/>
      <c r="CL73" s="547"/>
      <c r="CM73" s="547"/>
      <c r="CN73" s="547"/>
      <c r="CO73" s="547"/>
      <c r="CP73" s="547"/>
      <c r="CQ73" s="547"/>
      <c r="CR73" s="547"/>
      <c r="CS73" s="547"/>
      <c r="CT73" s="547"/>
      <c r="CU73" s="547"/>
      <c r="CV73" s="547"/>
      <c r="CW73" s="547"/>
      <c r="CX73" s="547"/>
      <c r="CY73" s="547"/>
      <c r="CZ73" s="547"/>
      <c r="DA73" s="547"/>
      <c r="DB73" s="547"/>
      <c r="DC73" s="547"/>
      <c r="DD73" s="547"/>
      <c r="DE73" s="547"/>
      <c r="DF73" s="547"/>
      <c r="DG73" s="547"/>
      <c r="DH73" s="547"/>
      <c r="DI73" s="547"/>
      <c r="DJ73" s="547"/>
      <c r="DK73" s="547"/>
      <c r="DL73" s="547"/>
      <c r="DM73" s="547"/>
      <c r="DN73" s="547"/>
      <c r="DO73" s="547"/>
      <c r="DP73" s="547"/>
      <c r="DQ73" s="547"/>
      <c r="DR73" s="547"/>
      <c r="DS73" s="547"/>
      <c r="DT73" s="547"/>
      <c r="DU73" s="547"/>
      <c r="DV73" s="547"/>
      <c r="DW73" s="547"/>
      <c r="DX73" s="547"/>
      <c r="DY73" s="547"/>
      <c r="DZ73" s="547"/>
      <c r="EA73" s="547"/>
      <c r="EB73" s="547"/>
      <c r="EC73" s="547"/>
      <c r="ED73" s="547"/>
      <c r="EE73" s="547"/>
      <c r="EF73" s="547"/>
      <c r="EG73" s="547"/>
      <c r="EH73" s="547"/>
      <c r="EI73" s="547"/>
      <c r="EJ73" s="547"/>
      <c r="EK73" s="547"/>
      <c r="EL73" s="547"/>
      <c r="EM73" s="547"/>
      <c r="EN73" s="547"/>
      <c r="EO73" s="547"/>
      <c r="EP73" s="547"/>
      <c r="EQ73" s="547"/>
      <c r="ER73" s="547"/>
      <c r="ES73" s="547"/>
      <c r="ET73" s="547"/>
      <c r="EU73" s="547"/>
      <c r="EV73" s="547"/>
      <c r="EW73" s="547"/>
      <c r="EX73" s="547"/>
      <c r="EY73" s="547"/>
      <c r="EZ73" s="547"/>
      <c r="FA73" s="547"/>
      <c r="FB73" s="547"/>
      <c r="FC73" s="547"/>
      <c r="FD73" s="547"/>
      <c r="FE73" s="547"/>
      <c r="FF73" s="547"/>
      <c r="FG73" s="547"/>
      <c r="FH73" s="547"/>
      <c r="FI73" s="547"/>
      <c r="FJ73" s="547"/>
      <c r="FK73" s="547"/>
      <c r="FL73" s="547"/>
      <c r="FM73" s="547"/>
      <c r="FN73" s="547"/>
      <c r="FO73" s="547"/>
      <c r="FP73" s="547"/>
      <c r="FQ73" s="547"/>
      <c r="FR73" s="547"/>
      <c r="FS73" s="547"/>
      <c r="FT73" s="547"/>
      <c r="FU73" s="547"/>
      <c r="FV73" s="547"/>
      <c r="FW73" s="547"/>
      <c r="FX73" s="547"/>
      <c r="FY73" s="547"/>
      <c r="FZ73" s="547"/>
      <c r="GA73" s="547"/>
      <c r="GB73" s="547"/>
      <c r="GC73" s="547"/>
      <c r="GD73" s="547"/>
      <c r="GE73" s="547"/>
      <c r="GF73" s="547"/>
      <c r="GG73" s="547"/>
      <c r="GH73" s="547"/>
      <c r="GI73" s="547"/>
      <c r="GJ73" s="547"/>
      <c r="GK73" s="547"/>
      <c r="GL73" s="547"/>
      <c r="GM73" s="547"/>
      <c r="GN73" s="547"/>
      <c r="GO73" s="547"/>
      <c r="GP73" s="547"/>
      <c r="GQ73" s="547"/>
      <c r="GR73" s="547"/>
      <c r="GS73" s="547"/>
      <c r="GT73" s="547"/>
      <c r="GU73" s="547"/>
      <c r="GV73" s="547"/>
      <c r="GW73" s="547"/>
      <c r="GX73" s="547"/>
      <c r="GY73" s="547"/>
      <c r="GZ73" s="547"/>
      <c r="HA73" s="547"/>
      <c r="HB73" s="547"/>
      <c r="HC73" s="547"/>
      <c r="HD73" s="547"/>
      <c r="HE73" s="547"/>
      <c r="HF73" s="547"/>
      <c r="HG73" s="547"/>
      <c r="HH73" s="547"/>
      <c r="HI73" s="547"/>
      <c r="HJ73" s="547"/>
      <c r="HK73" s="547"/>
      <c r="HL73" s="547"/>
      <c r="HM73" s="547"/>
      <c r="HN73" s="547"/>
      <c r="HO73" s="547"/>
      <c r="HP73" s="547"/>
      <c r="HQ73" s="547"/>
      <c r="HR73" s="547"/>
      <c r="HS73" s="547"/>
      <c r="HT73" s="547"/>
      <c r="HU73" s="547"/>
      <c r="HV73" s="547"/>
      <c r="HW73" s="547"/>
      <c r="HX73" s="547"/>
      <c r="HY73" s="547"/>
      <c r="HZ73" s="547"/>
      <c r="IA73" s="547"/>
      <c r="IB73" s="547"/>
      <c r="IC73" s="547"/>
      <c r="ID73" s="547"/>
      <c r="IE73" s="547"/>
      <c r="IF73" s="547"/>
      <c r="IG73" s="547"/>
      <c r="IH73" s="547"/>
      <c r="II73" s="547"/>
      <c r="IJ73" s="547"/>
      <c r="IK73" s="547"/>
      <c r="IL73" s="547"/>
      <c r="IM73" s="547"/>
      <c r="IN73" s="547"/>
      <c r="IO73" s="547"/>
      <c r="IP73" s="547"/>
      <c r="IQ73" s="547"/>
      <c r="IR73" s="547"/>
    </row>
  </sheetData>
  <protectedRanges>
    <protectedRange sqref="D63:J69" name="Range3"/>
    <protectedRange sqref="G10:M69" name="Range1"/>
    <protectedRange sqref="D63:J69" name="Range2"/>
  </protectedRanges>
  <mergeCells count="14">
    <mergeCell ref="F7:F8"/>
    <mergeCell ref="G7:H7"/>
    <mergeCell ref="I7:J7"/>
    <mergeCell ref="K7:L7"/>
    <mergeCell ref="A1:M1"/>
    <mergeCell ref="A2:F2"/>
    <mergeCell ref="A3:M3"/>
    <mergeCell ref="A4:M4"/>
    <mergeCell ref="B5:G5"/>
    <mergeCell ref="A7:A8"/>
    <mergeCell ref="B7:B8"/>
    <mergeCell ref="C7:C8"/>
    <mergeCell ref="D7:D8"/>
    <mergeCell ref="E7:E8"/>
  </mergeCells>
  <conditionalFormatting sqref="A11:M11 M14 H14 M21 H21 A13:M13 B15:M16 B20:M20 B22:M23 B27:M29 C24:F26 H24:M26 A15:A42 C17:F19 H17:M19 B37:B40 C31:M31 C30:J30 L30:M30 C38:M40 C32:F37 H32:M37 B42:M42 C41:F41 H41:M41">
    <cfRule type="cellIs" dxfId="80" priority="42" stopIfTrue="1" operator="equal">
      <formula>8223.307275</formula>
    </cfRule>
  </conditionalFormatting>
  <conditionalFormatting sqref="B43:B44 C44:L44 M44:M52 A43:A52 C43:M43 B52:L52 C46:F51 H46:L51">
    <cfRule type="cellIs" dxfId="79" priority="37" stopIfTrue="1" operator="equal">
      <formula>8223.307275</formula>
    </cfRule>
  </conditionalFormatting>
  <conditionalFormatting sqref="B45">
    <cfRule type="cellIs" dxfId="78" priority="36" stopIfTrue="1" operator="equal">
      <formula>8223.307275</formula>
    </cfRule>
  </conditionalFormatting>
  <conditionalFormatting sqref="C45:L45">
    <cfRule type="cellIs" dxfId="77" priority="35" stopIfTrue="1" operator="equal">
      <formula>8223.307275</formula>
    </cfRule>
  </conditionalFormatting>
  <conditionalFormatting sqref="B53:B54 C54:L54 M54:M62 A53:A62 C53:M53 C56:F57 B62:L62 C58:E58 C59:F61 H56:L61">
    <cfRule type="cellIs" dxfId="76" priority="34" stopIfTrue="1" operator="equal">
      <formula>8223.307275</formula>
    </cfRule>
  </conditionalFormatting>
  <conditionalFormatting sqref="B55">
    <cfRule type="cellIs" dxfId="75" priority="33" stopIfTrue="1" operator="equal">
      <formula>8223.307275</formula>
    </cfRule>
  </conditionalFormatting>
  <conditionalFormatting sqref="C55:L55">
    <cfRule type="cellIs" dxfId="74" priority="32" stopIfTrue="1" operator="equal">
      <formula>8223.307275</formula>
    </cfRule>
  </conditionalFormatting>
  <conditionalFormatting sqref="F58">
    <cfRule type="cellIs" dxfId="73" priority="31" stopIfTrue="1" operator="equal">
      <formula>8223.307275</formula>
    </cfRule>
  </conditionalFormatting>
  <conditionalFormatting sqref="B17">
    <cfRule type="cellIs" dxfId="72" priority="26" stopIfTrue="1" operator="equal">
      <formula>8223.307275</formula>
    </cfRule>
  </conditionalFormatting>
  <conditionalFormatting sqref="B19">
    <cfRule type="cellIs" dxfId="71" priority="25" stopIfTrue="1" operator="equal">
      <formula>8223.307275</formula>
    </cfRule>
  </conditionalFormatting>
  <conditionalFormatting sqref="G17:G19">
    <cfRule type="cellIs" dxfId="70" priority="24" stopIfTrue="1" operator="equal">
      <formula>8223.307275</formula>
    </cfRule>
  </conditionalFormatting>
  <conditionalFormatting sqref="B24">
    <cfRule type="cellIs" dxfId="69" priority="23" stopIfTrue="1" operator="equal">
      <formula>8223.307275</formula>
    </cfRule>
  </conditionalFormatting>
  <conditionalFormatting sqref="B26">
    <cfRule type="cellIs" dxfId="68" priority="22" stopIfTrue="1" operator="equal">
      <formula>8223.307275</formula>
    </cfRule>
  </conditionalFormatting>
  <conditionalFormatting sqref="G24:G26">
    <cfRule type="cellIs" dxfId="67" priority="21" stopIfTrue="1" operator="equal">
      <formula>8223.307275</formula>
    </cfRule>
  </conditionalFormatting>
  <conditionalFormatting sqref="B30:B36">
    <cfRule type="cellIs" dxfId="66" priority="20" stopIfTrue="1" operator="equal">
      <formula>8223.307275</formula>
    </cfRule>
  </conditionalFormatting>
  <conditionalFormatting sqref="K30">
    <cfRule type="cellIs" dxfId="65" priority="19" stopIfTrue="1" operator="equal">
      <formula>8223.307275</formula>
    </cfRule>
  </conditionalFormatting>
  <conditionalFormatting sqref="G32:G37">
    <cfRule type="cellIs" dxfId="64" priority="18" stopIfTrue="1" operator="equal">
      <formula>8223.307275</formula>
    </cfRule>
  </conditionalFormatting>
  <conditionalFormatting sqref="G41">
    <cfRule type="cellIs" dxfId="63" priority="17" stopIfTrue="1" operator="equal">
      <formula>8223.307275</formula>
    </cfRule>
  </conditionalFormatting>
  <conditionalFormatting sqref="B46 B50:B51">
    <cfRule type="cellIs" dxfId="62" priority="16" stopIfTrue="1" operator="equal">
      <formula>8223.307275</formula>
    </cfRule>
  </conditionalFormatting>
  <conditionalFormatting sqref="B47">
    <cfRule type="cellIs" dxfId="61" priority="15" stopIfTrue="1" operator="equal">
      <formula>8223.307275</formula>
    </cfRule>
  </conditionalFormatting>
  <conditionalFormatting sqref="B48">
    <cfRule type="cellIs" dxfId="60" priority="14" stopIfTrue="1" operator="equal">
      <formula>8223.307275</formula>
    </cfRule>
  </conditionalFormatting>
  <conditionalFormatting sqref="B49">
    <cfRule type="cellIs" dxfId="59" priority="13" stopIfTrue="1" operator="equal">
      <formula>8223.307275</formula>
    </cfRule>
  </conditionalFormatting>
  <conditionalFormatting sqref="G46 G50:G51">
    <cfRule type="cellIs" dxfId="58" priority="12" stopIfTrue="1" operator="equal">
      <formula>8223.307275</formula>
    </cfRule>
  </conditionalFormatting>
  <conditionalFormatting sqref="G47">
    <cfRule type="cellIs" dxfId="57" priority="11" stopIfTrue="1" operator="equal">
      <formula>8223.307275</formula>
    </cfRule>
  </conditionalFormatting>
  <conditionalFormatting sqref="G48">
    <cfRule type="cellIs" dxfId="56" priority="10" stopIfTrue="1" operator="equal">
      <formula>8223.307275</formula>
    </cfRule>
  </conditionalFormatting>
  <conditionalFormatting sqref="G49">
    <cfRule type="cellIs" dxfId="55" priority="9" stopIfTrue="1" operator="equal">
      <formula>8223.307275</formula>
    </cfRule>
  </conditionalFormatting>
  <conditionalFormatting sqref="G56 G60:G61">
    <cfRule type="cellIs" dxfId="54" priority="8" stopIfTrue="1" operator="equal">
      <formula>8223.307275</formula>
    </cfRule>
  </conditionalFormatting>
  <conditionalFormatting sqref="G57">
    <cfRule type="cellIs" dxfId="53" priority="7" stopIfTrue="1" operator="equal">
      <formula>8223.307275</formula>
    </cfRule>
  </conditionalFormatting>
  <conditionalFormatting sqref="G58">
    <cfRule type="cellIs" dxfId="52" priority="6" stopIfTrue="1" operator="equal">
      <formula>8223.307275</formula>
    </cfRule>
  </conditionalFormatting>
  <conditionalFormatting sqref="G59">
    <cfRule type="cellIs" dxfId="51" priority="5" stopIfTrue="1" operator="equal">
      <formula>8223.307275</formula>
    </cfRule>
  </conditionalFormatting>
  <conditionalFormatting sqref="B56 B60:B61">
    <cfRule type="cellIs" dxfId="50" priority="4" stopIfTrue="1" operator="equal">
      <formula>8223.307275</formula>
    </cfRule>
  </conditionalFormatting>
  <conditionalFormatting sqref="B57">
    <cfRule type="cellIs" dxfId="49" priority="3" stopIfTrue="1" operator="equal">
      <formula>8223.307275</formula>
    </cfRule>
  </conditionalFormatting>
  <conditionalFormatting sqref="B58">
    <cfRule type="cellIs" dxfId="48" priority="2" stopIfTrue="1" operator="equal">
      <formula>8223.307275</formula>
    </cfRule>
  </conditionalFormatting>
  <conditionalFormatting sqref="B59">
    <cfRule type="cellIs" dxfId="47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9" orientation="landscape" r:id="rId1"/>
  <rowBreaks count="1" manualBreakCount="1">
    <brk id="42" max="1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4"/>
  <sheetViews>
    <sheetView view="pageBreakPreview" topLeftCell="C28" zoomScaleNormal="100" zoomScaleSheetLayoutView="100" workbookViewId="0">
      <selection activeCell="D45" sqref="D45:H50"/>
    </sheetView>
  </sheetViews>
  <sheetFormatPr defaultColWidth="7" defaultRowHeight="12.75"/>
  <cols>
    <col min="1" max="1" width="4.5703125" style="713" customWidth="1"/>
    <col min="2" max="2" width="11.140625" style="713" customWidth="1"/>
    <col min="3" max="3" width="71.85546875" style="709" customWidth="1"/>
    <col min="4" max="4" width="12.42578125" style="715" customWidth="1"/>
    <col min="5" max="5" width="9.140625" style="715" customWidth="1"/>
    <col min="6" max="6" width="10.28515625" style="715" customWidth="1"/>
    <col min="7" max="7" width="8.85546875" style="715" customWidth="1"/>
    <col min="8" max="8" width="8.85546875" style="716" customWidth="1"/>
    <col min="9" max="9" width="8.85546875" style="715" customWidth="1"/>
    <col min="10" max="10" width="8.85546875" style="716" customWidth="1"/>
    <col min="11" max="11" width="8.85546875" style="715" customWidth="1"/>
    <col min="12" max="12" width="8.85546875" style="716" customWidth="1"/>
    <col min="13" max="13" width="10.42578125" style="716" customWidth="1"/>
    <col min="14" max="129" width="9.140625" style="700" customWidth="1"/>
    <col min="130" max="130" width="2.5703125" style="700" customWidth="1"/>
    <col min="131" max="131" width="9.140625" style="700" customWidth="1"/>
    <col min="132" max="132" width="47.85546875" style="700" customWidth="1"/>
    <col min="133" max="133" width="6.7109375" style="700" customWidth="1"/>
    <col min="134" max="134" width="7.42578125" style="700" customWidth="1"/>
    <col min="135" max="135" width="7" style="700"/>
    <col min="136" max="136" width="8.5703125" style="700" customWidth="1"/>
    <col min="137" max="137" width="12" style="700" customWidth="1"/>
    <col min="138" max="138" width="4.7109375" style="700" customWidth="1"/>
    <col min="139" max="139" width="9.140625" style="700" customWidth="1"/>
    <col min="140" max="140" width="11.7109375" style="700" customWidth="1"/>
    <col min="141" max="252" width="7" style="700"/>
    <col min="253" max="253" width="3.85546875" style="700" customWidth="1"/>
    <col min="254" max="254" width="14" style="700" customWidth="1"/>
    <col min="255" max="255" width="66.5703125" style="700" customWidth="1"/>
    <col min="256" max="256" width="9.42578125" style="700" customWidth="1"/>
    <col min="257" max="257" width="9.140625" style="700" customWidth="1"/>
    <col min="258" max="258" width="11.140625" style="700" bestFit="1" customWidth="1"/>
    <col min="259" max="259" width="9.140625" style="700" customWidth="1"/>
    <col min="260" max="260" width="10.42578125" style="700" customWidth="1"/>
    <col min="261" max="261" width="9.140625" style="700" customWidth="1"/>
    <col min="262" max="262" width="10.7109375" style="700" customWidth="1"/>
    <col min="263" max="263" width="9.140625" style="700" customWidth="1"/>
    <col min="264" max="264" width="10.140625" style="700" customWidth="1"/>
    <col min="265" max="265" width="11.140625" style="700" customWidth="1"/>
    <col min="266" max="385" width="9.140625" style="700" customWidth="1"/>
    <col min="386" max="386" width="2.5703125" style="700" customWidth="1"/>
    <col min="387" max="387" width="9.140625" style="700" customWidth="1"/>
    <col min="388" max="388" width="47.85546875" style="700" customWidth="1"/>
    <col min="389" max="389" width="6.7109375" style="700" customWidth="1"/>
    <col min="390" max="390" width="7.42578125" style="700" customWidth="1"/>
    <col min="391" max="391" width="7" style="700"/>
    <col min="392" max="392" width="8.5703125" style="700" customWidth="1"/>
    <col min="393" max="393" width="12" style="700" customWidth="1"/>
    <col min="394" max="394" width="4.7109375" style="700" customWidth="1"/>
    <col min="395" max="395" width="9.140625" style="700" customWidth="1"/>
    <col min="396" max="396" width="11.7109375" style="700" customWidth="1"/>
    <col min="397" max="508" width="7" style="700"/>
    <col min="509" max="509" width="3.85546875" style="700" customWidth="1"/>
    <col min="510" max="510" width="14" style="700" customWidth="1"/>
    <col min="511" max="511" width="66.5703125" style="700" customWidth="1"/>
    <col min="512" max="512" width="9.42578125" style="700" customWidth="1"/>
    <col min="513" max="513" width="9.140625" style="700" customWidth="1"/>
    <col min="514" max="514" width="11.140625" style="700" bestFit="1" customWidth="1"/>
    <col min="515" max="515" width="9.140625" style="700" customWidth="1"/>
    <col min="516" max="516" width="10.42578125" style="700" customWidth="1"/>
    <col min="517" max="517" width="9.140625" style="700" customWidth="1"/>
    <col min="518" max="518" width="10.7109375" style="700" customWidth="1"/>
    <col min="519" max="519" width="9.140625" style="700" customWidth="1"/>
    <col min="520" max="520" width="10.140625" style="700" customWidth="1"/>
    <col min="521" max="521" width="11.140625" style="700" customWidth="1"/>
    <col min="522" max="641" width="9.140625" style="700" customWidth="1"/>
    <col min="642" max="642" width="2.5703125" style="700" customWidth="1"/>
    <col min="643" max="643" width="9.140625" style="700" customWidth="1"/>
    <col min="644" max="644" width="47.85546875" style="700" customWidth="1"/>
    <col min="645" max="645" width="6.7109375" style="700" customWidth="1"/>
    <col min="646" max="646" width="7.42578125" style="700" customWidth="1"/>
    <col min="647" max="647" width="7" style="700"/>
    <col min="648" max="648" width="8.5703125" style="700" customWidth="1"/>
    <col min="649" max="649" width="12" style="700" customWidth="1"/>
    <col min="650" max="650" width="4.7109375" style="700" customWidth="1"/>
    <col min="651" max="651" width="9.140625" style="700" customWidth="1"/>
    <col min="652" max="652" width="11.7109375" style="700" customWidth="1"/>
    <col min="653" max="764" width="7" style="700"/>
    <col min="765" max="765" width="3.85546875" style="700" customWidth="1"/>
    <col min="766" max="766" width="14" style="700" customWidth="1"/>
    <col min="767" max="767" width="66.5703125" style="700" customWidth="1"/>
    <col min="768" max="768" width="9.42578125" style="700" customWidth="1"/>
    <col min="769" max="769" width="9.140625" style="700" customWidth="1"/>
    <col min="770" max="770" width="11.140625" style="700" bestFit="1" customWidth="1"/>
    <col min="771" max="771" width="9.140625" style="700" customWidth="1"/>
    <col min="772" max="772" width="10.42578125" style="700" customWidth="1"/>
    <col min="773" max="773" width="9.140625" style="700" customWidth="1"/>
    <col min="774" max="774" width="10.7109375" style="700" customWidth="1"/>
    <col min="775" max="775" width="9.140625" style="700" customWidth="1"/>
    <col min="776" max="776" width="10.140625" style="700" customWidth="1"/>
    <col min="777" max="777" width="11.140625" style="700" customWidth="1"/>
    <col min="778" max="897" width="9.140625" style="700" customWidth="1"/>
    <col min="898" max="898" width="2.5703125" style="700" customWidth="1"/>
    <col min="899" max="899" width="9.140625" style="700" customWidth="1"/>
    <col min="900" max="900" width="47.85546875" style="700" customWidth="1"/>
    <col min="901" max="901" width="6.7109375" style="700" customWidth="1"/>
    <col min="902" max="902" width="7.42578125" style="700" customWidth="1"/>
    <col min="903" max="903" width="7" style="700"/>
    <col min="904" max="904" width="8.5703125" style="700" customWidth="1"/>
    <col min="905" max="905" width="12" style="700" customWidth="1"/>
    <col min="906" max="906" width="4.7109375" style="700" customWidth="1"/>
    <col min="907" max="907" width="9.140625" style="700" customWidth="1"/>
    <col min="908" max="908" width="11.7109375" style="700" customWidth="1"/>
    <col min="909" max="1020" width="7" style="700"/>
    <col min="1021" max="1021" width="3.85546875" style="700" customWidth="1"/>
    <col min="1022" max="1022" width="14" style="700" customWidth="1"/>
    <col min="1023" max="1023" width="66.5703125" style="700" customWidth="1"/>
    <col min="1024" max="1024" width="9.42578125" style="700" customWidth="1"/>
    <col min="1025" max="1025" width="9.140625" style="700" customWidth="1"/>
    <col min="1026" max="1026" width="11.140625" style="700" bestFit="1" customWidth="1"/>
    <col min="1027" max="1027" width="9.140625" style="700" customWidth="1"/>
    <col min="1028" max="1028" width="10.42578125" style="700" customWidth="1"/>
    <col min="1029" max="1029" width="9.140625" style="700" customWidth="1"/>
    <col min="1030" max="1030" width="10.7109375" style="700" customWidth="1"/>
    <col min="1031" max="1031" width="9.140625" style="700" customWidth="1"/>
    <col min="1032" max="1032" width="10.140625" style="700" customWidth="1"/>
    <col min="1033" max="1033" width="11.140625" style="700" customWidth="1"/>
    <col min="1034" max="1153" width="9.140625" style="700" customWidth="1"/>
    <col min="1154" max="1154" width="2.5703125" style="700" customWidth="1"/>
    <col min="1155" max="1155" width="9.140625" style="700" customWidth="1"/>
    <col min="1156" max="1156" width="47.85546875" style="700" customWidth="1"/>
    <col min="1157" max="1157" width="6.7109375" style="700" customWidth="1"/>
    <col min="1158" max="1158" width="7.42578125" style="700" customWidth="1"/>
    <col min="1159" max="1159" width="7" style="700"/>
    <col min="1160" max="1160" width="8.5703125" style="700" customWidth="1"/>
    <col min="1161" max="1161" width="12" style="700" customWidth="1"/>
    <col min="1162" max="1162" width="4.7109375" style="700" customWidth="1"/>
    <col min="1163" max="1163" width="9.140625" style="700" customWidth="1"/>
    <col min="1164" max="1164" width="11.7109375" style="700" customWidth="1"/>
    <col min="1165" max="1276" width="7" style="700"/>
    <col min="1277" max="1277" width="3.85546875" style="700" customWidth="1"/>
    <col min="1278" max="1278" width="14" style="700" customWidth="1"/>
    <col min="1279" max="1279" width="66.5703125" style="700" customWidth="1"/>
    <col min="1280" max="1280" width="9.42578125" style="700" customWidth="1"/>
    <col min="1281" max="1281" width="9.140625" style="700" customWidth="1"/>
    <col min="1282" max="1282" width="11.140625" style="700" bestFit="1" customWidth="1"/>
    <col min="1283" max="1283" width="9.140625" style="700" customWidth="1"/>
    <col min="1284" max="1284" width="10.42578125" style="700" customWidth="1"/>
    <col min="1285" max="1285" width="9.140625" style="700" customWidth="1"/>
    <col min="1286" max="1286" width="10.7109375" style="700" customWidth="1"/>
    <col min="1287" max="1287" width="9.140625" style="700" customWidth="1"/>
    <col min="1288" max="1288" width="10.140625" style="700" customWidth="1"/>
    <col min="1289" max="1289" width="11.140625" style="700" customWidth="1"/>
    <col min="1290" max="1409" width="9.140625" style="700" customWidth="1"/>
    <col min="1410" max="1410" width="2.5703125" style="700" customWidth="1"/>
    <col min="1411" max="1411" width="9.140625" style="700" customWidth="1"/>
    <col min="1412" max="1412" width="47.85546875" style="700" customWidth="1"/>
    <col min="1413" max="1413" width="6.7109375" style="700" customWidth="1"/>
    <col min="1414" max="1414" width="7.42578125" style="700" customWidth="1"/>
    <col min="1415" max="1415" width="7" style="700"/>
    <col min="1416" max="1416" width="8.5703125" style="700" customWidth="1"/>
    <col min="1417" max="1417" width="12" style="700" customWidth="1"/>
    <col min="1418" max="1418" width="4.7109375" style="700" customWidth="1"/>
    <col min="1419" max="1419" width="9.140625" style="700" customWidth="1"/>
    <col min="1420" max="1420" width="11.7109375" style="700" customWidth="1"/>
    <col min="1421" max="1532" width="7" style="700"/>
    <col min="1533" max="1533" width="3.85546875" style="700" customWidth="1"/>
    <col min="1534" max="1534" width="14" style="700" customWidth="1"/>
    <col min="1535" max="1535" width="66.5703125" style="700" customWidth="1"/>
    <col min="1536" max="1536" width="9.42578125" style="700" customWidth="1"/>
    <col min="1537" max="1537" width="9.140625" style="700" customWidth="1"/>
    <col min="1538" max="1538" width="11.140625" style="700" bestFit="1" customWidth="1"/>
    <col min="1539" max="1539" width="9.140625" style="700" customWidth="1"/>
    <col min="1540" max="1540" width="10.42578125" style="700" customWidth="1"/>
    <col min="1541" max="1541" width="9.140625" style="700" customWidth="1"/>
    <col min="1542" max="1542" width="10.7109375" style="700" customWidth="1"/>
    <col min="1543" max="1543" width="9.140625" style="700" customWidth="1"/>
    <col min="1544" max="1544" width="10.140625" style="700" customWidth="1"/>
    <col min="1545" max="1545" width="11.140625" style="700" customWidth="1"/>
    <col min="1546" max="1665" width="9.140625" style="700" customWidth="1"/>
    <col min="1666" max="1666" width="2.5703125" style="700" customWidth="1"/>
    <col min="1667" max="1667" width="9.140625" style="700" customWidth="1"/>
    <col min="1668" max="1668" width="47.85546875" style="700" customWidth="1"/>
    <col min="1669" max="1669" width="6.7109375" style="700" customWidth="1"/>
    <col min="1670" max="1670" width="7.42578125" style="700" customWidth="1"/>
    <col min="1671" max="1671" width="7" style="700"/>
    <col min="1672" max="1672" width="8.5703125" style="700" customWidth="1"/>
    <col min="1673" max="1673" width="12" style="700" customWidth="1"/>
    <col min="1674" max="1674" width="4.7109375" style="700" customWidth="1"/>
    <col min="1675" max="1675" width="9.140625" style="700" customWidth="1"/>
    <col min="1676" max="1676" width="11.7109375" style="700" customWidth="1"/>
    <col min="1677" max="1788" width="7" style="700"/>
    <col min="1789" max="1789" width="3.85546875" style="700" customWidth="1"/>
    <col min="1790" max="1790" width="14" style="700" customWidth="1"/>
    <col min="1791" max="1791" width="66.5703125" style="700" customWidth="1"/>
    <col min="1792" max="1792" width="9.42578125" style="700" customWidth="1"/>
    <col min="1793" max="1793" width="9.140625" style="700" customWidth="1"/>
    <col min="1794" max="1794" width="11.140625" style="700" bestFit="1" customWidth="1"/>
    <col min="1795" max="1795" width="9.140625" style="700" customWidth="1"/>
    <col min="1796" max="1796" width="10.42578125" style="700" customWidth="1"/>
    <col min="1797" max="1797" width="9.140625" style="700" customWidth="1"/>
    <col min="1798" max="1798" width="10.7109375" style="700" customWidth="1"/>
    <col min="1799" max="1799" width="9.140625" style="700" customWidth="1"/>
    <col min="1800" max="1800" width="10.140625" style="700" customWidth="1"/>
    <col min="1801" max="1801" width="11.140625" style="700" customWidth="1"/>
    <col min="1802" max="1921" width="9.140625" style="700" customWidth="1"/>
    <col min="1922" max="1922" width="2.5703125" style="700" customWidth="1"/>
    <col min="1923" max="1923" width="9.140625" style="700" customWidth="1"/>
    <col min="1924" max="1924" width="47.85546875" style="700" customWidth="1"/>
    <col min="1925" max="1925" width="6.7109375" style="700" customWidth="1"/>
    <col min="1926" max="1926" width="7.42578125" style="700" customWidth="1"/>
    <col min="1927" max="1927" width="7" style="700"/>
    <col min="1928" max="1928" width="8.5703125" style="700" customWidth="1"/>
    <col min="1929" max="1929" width="12" style="700" customWidth="1"/>
    <col min="1930" max="1930" width="4.7109375" style="700" customWidth="1"/>
    <col min="1931" max="1931" width="9.140625" style="700" customWidth="1"/>
    <col min="1932" max="1932" width="11.7109375" style="700" customWidth="1"/>
    <col min="1933" max="2044" width="7" style="700"/>
    <col min="2045" max="2045" width="3.85546875" style="700" customWidth="1"/>
    <col min="2046" max="2046" width="14" style="700" customWidth="1"/>
    <col min="2047" max="2047" width="66.5703125" style="700" customWidth="1"/>
    <col min="2048" max="2048" width="9.42578125" style="700" customWidth="1"/>
    <col min="2049" max="2049" width="9.140625" style="700" customWidth="1"/>
    <col min="2050" max="2050" width="11.140625" style="700" bestFit="1" customWidth="1"/>
    <col min="2051" max="2051" width="9.140625" style="700" customWidth="1"/>
    <col min="2052" max="2052" width="10.42578125" style="700" customWidth="1"/>
    <col min="2053" max="2053" width="9.140625" style="700" customWidth="1"/>
    <col min="2054" max="2054" width="10.7109375" style="700" customWidth="1"/>
    <col min="2055" max="2055" width="9.140625" style="700" customWidth="1"/>
    <col min="2056" max="2056" width="10.140625" style="700" customWidth="1"/>
    <col min="2057" max="2057" width="11.140625" style="700" customWidth="1"/>
    <col min="2058" max="2177" width="9.140625" style="700" customWidth="1"/>
    <col min="2178" max="2178" width="2.5703125" style="700" customWidth="1"/>
    <col min="2179" max="2179" width="9.140625" style="700" customWidth="1"/>
    <col min="2180" max="2180" width="47.85546875" style="700" customWidth="1"/>
    <col min="2181" max="2181" width="6.7109375" style="700" customWidth="1"/>
    <col min="2182" max="2182" width="7.42578125" style="700" customWidth="1"/>
    <col min="2183" max="2183" width="7" style="700"/>
    <col min="2184" max="2184" width="8.5703125" style="700" customWidth="1"/>
    <col min="2185" max="2185" width="12" style="700" customWidth="1"/>
    <col min="2186" max="2186" width="4.7109375" style="700" customWidth="1"/>
    <col min="2187" max="2187" width="9.140625" style="700" customWidth="1"/>
    <col min="2188" max="2188" width="11.7109375" style="700" customWidth="1"/>
    <col min="2189" max="2300" width="7" style="700"/>
    <col min="2301" max="2301" width="3.85546875" style="700" customWidth="1"/>
    <col min="2302" max="2302" width="14" style="700" customWidth="1"/>
    <col min="2303" max="2303" width="66.5703125" style="700" customWidth="1"/>
    <col min="2304" max="2304" width="9.42578125" style="700" customWidth="1"/>
    <col min="2305" max="2305" width="9.140625" style="700" customWidth="1"/>
    <col min="2306" max="2306" width="11.140625" style="700" bestFit="1" customWidth="1"/>
    <col min="2307" max="2307" width="9.140625" style="700" customWidth="1"/>
    <col min="2308" max="2308" width="10.42578125" style="700" customWidth="1"/>
    <col min="2309" max="2309" width="9.140625" style="700" customWidth="1"/>
    <col min="2310" max="2310" width="10.7109375" style="700" customWidth="1"/>
    <col min="2311" max="2311" width="9.140625" style="700" customWidth="1"/>
    <col min="2312" max="2312" width="10.140625" style="700" customWidth="1"/>
    <col min="2313" max="2313" width="11.140625" style="700" customWidth="1"/>
    <col min="2314" max="2433" width="9.140625" style="700" customWidth="1"/>
    <col min="2434" max="2434" width="2.5703125" style="700" customWidth="1"/>
    <col min="2435" max="2435" width="9.140625" style="700" customWidth="1"/>
    <col min="2436" max="2436" width="47.85546875" style="700" customWidth="1"/>
    <col min="2437" max="2437" width="6.7109375" style="700" customWidth="1"/>
    <col min="2438" max="2438" width="7.42578125" style="700" customWidth="1"/>
    <col min="2439" max="2439" width="7" style="700"/>
    <col min="2440" max="2440" width="8.5703125" style="700" customWidth="1"/>
    <col min="2441" max="2441" width="12" style="700" customWidth="1"/>
    <col min="2442" max="2442" width="4.7109375" style="700" customWidth="1"/>
    <col min="2443" max="2443" width="9.140625" style="700" customWidth="1"/>
    <col min="2444" max="2444" width="11.7109375" style="700" customWidth="1"/>
    <col min="2445" max="2556" width="7" style="700"/>
    <col min="2557" max="2557" width="3.85546875" style="700" customWidth="1"/>
    <col min="2558" max="2558" width="14" style="700" customWidth="1"/>
    <col min="2559" max="2559" width="66.5703125" style="700" customWidth="1"/>
    <col min="2560" max="2560" width="9.42578125" style="700" customWidth="1"/>
    <col min="2561" max="2561" width="9.140625" style="700" customWidth="1"/>
    <col min="2562" max="2562" width="11.140625" style="700" bestFit="1" customWidth="1"/>
    <col min="2563" max="2563" width="9.140625" style="700" customWidth="1"/>
    <col min="2564" max="2564" width="10.42578125" style="700" customWidth="1"/>
    <col min="2565" max="2565" width="9.140625" style="700" customWidth="1"/>
    <col min="2566" max="2566" width="10.7109375" style="700" customWidth="1"/>
    <col min="2567" max="2567" width="9.140625" style="700" customWidth="1"/>
    <col min="2568" max="2568" width="10.140625" style="700" customWidth="1"/>
    <col min="2569" max="2569" width="11.140625" style="700" customWidth="1"/>
    <col min="2570" max="2689" width="9.140625" style="700" customWidth="1"/>
    <col min="2690" max="2690" width="2.5703125" style="700" customWidth="1"/>
    <col min="2691" max="2691" width="9.140625" style="700" customWidth="1"/>
    <col min="2692" max="2692" width="47.85546875" style="700" customWidth="1"/>
    <col min="2693" max="2693" width="6.7109375" style="700" customWidth="1"/>
    <col min="2694" max="2694" width="7.42578125" style="700" customWidth="1"/>
    <col min="2695" max="2695" width="7" style="700"/>
    <col min="2696" max="2696" width="8.5703125" style="700" customWidth="1"/>
    <col min="2697" max="2697" width="12" style="700" customWidth="1"/>
    <col min="2698" max="2698" width="4.7109375" style="700" customWidth="1"/>
    <col min="2699" max="2699" width="9.140625" style="700" customWidth="1"/>
    <col min="2700" max="2700" width="11.7109375" style="700" customWidth="1"/>
    <col min="2701" max="2812" width="7" style="700"/>
    <col min="2813" max="2813" width="3.85546875" style="700" customWidth="1"/>
    <col min="2814" max="2814" width="14" style="700" customWidth="1"/>
    <col min="2815" max="2815" width="66.5703125" style="700" customWidth="1"/>
    <col min="2816" max="2816" width="9.42578125" style="700" customWidth="1"/>
    <col min="2817" max="2817" width="9.140625" style="700" customWidth="1"/>
    <col min="2818" max="2818" width="11.140625" style="700" bestFit="1" customWidth="1"/>
    <col min="2819" max="2819" width="9.140625" style="700" customWidth="1"/>
    <col min="2820" max="2820" width="10.42578125" style="700" customWidth="1"/>
    <col min="2821" max="2821" width="9.140625" style="700" customWidth="1"/>
    <col min="2822" max="2822" width="10.7109375" style="700" customWidth="1"/>
    <col min="2823" max="2823" width="9.140625" style="700" customWidth="1"/>
    <col min="2824" max="2824" width="10.140625" style="700" customWidth="1"/>
    <col min="2825" max="2825" width="11.140625" style="700" customWidth="1"/>
    <col min="2826" max="2945" width="9.140625" style="700" customWidth="1"/>
    <col min="2946" max="2946" width="2.5703125" style="700" customWidth="1"/>
    <col min="2947" max="2947" width="9.140625" style="700" customWidth="1"/>
    <col min="2948" max="2948" width="47.85546875" style="700" customWidth="1"/>
    <col min="2949" max="2949" width="6.7109375" style="700" customWidth="1"/>
    <col min="2950" max="2950" width="7.42578125" style="700" customWidth="1"/>
    <col min="2951" max="2951" width="7" style="700"/>
    <col min="2952" max="2952" width="8.5703125" style="700" customWidth="1"/>
    <col min="2953" max="2953" width="12" style="700" customWidth="1"/>
    <col min="2954" max="2954" width="4.7109375" style="700" customWidth="1"/>
    <col min="2955" max="2955" width="9.140625" style="700" customWidth="1"/>
    <col min="2956" max="2956" width="11.7109375" style="700" customWidth="1"/>
    <col min="2957" max="3068" width="7" style="700"/>
    <col min="3069" max="3069" width="3.85546875" style="700" customWidth="1"/>
    <col min="3070" max="3070" width="14" style="700" customWidth="1"/>
    <col min="3071" max="3071" width="66.5703125" style="700" customWidth="1"/>
    <col min="3072" max="3072" width="9.42578125" style="700" customWidth="1"/>
    <col min="3073" max="3073" width="9.140625" style="700" customWidth="1"/>
    <col min="3074" max="3074" width="11.140625" style="700" bestFit="1" customWidth="1"/>
    <col min="3075" max="3075" width="9.140625" style="700" customWidth="1"/>
    <col min="3076" max="3076" width="10.42578125" style="700" customWidth="1"/>
    <col min="3077" max="3077" width="9.140625" style="700" customWidth="1"/>
    <col min="3078" max="3078" width="10.7109375" style="700" customWidth="1"/>
    <col min="3079" max="3079" width="9.140625" style="700" customWidth="1"/>
    <col min="3080" max="3080" width="10.140625" style="700" customWidth="1"/>
    <col min="3081" max="3081" width="11.140625" style="700" customWidth="1"/>
    <col min="3082" max="3201" width="9.140625" style="700" customWidth="1"/>
    <col min="3202" max="3202" width="2.5703125" style="700" customWidth="1"/>
    <col min="3203" max="3203" width="9.140625" style="700" customWidth="1"/>
    <col min="3204" max="3204" width="47.85546875" style="700" customWidth="1"/>
    <col min="3205" max="3205" width="6.7109375" style="700" customWidth="1"/>
    <col min="3206" max="3206" width="7.42578125" style="700" customWidth="1"/>
    <col min="3207" max="3207" width="7" style="700"/>
    <col min="3208" max="3208" width="8.5703125" style="700" customWidth="1"/>
    <col min="3209" max="3209" width="12" style="700" customWidth="1"/>
    <col min="3210" max="3210" width="4.7109375" style="700" customWidth="1"/>
    <col min="3211" max="3211" width="9.140625" style="700" customWidth="1"/>
    <col min="3212" max="3212" width="11.7109375" style="700" customWidth="1"/>
    <col min="3213" max="3324" width="7" style="700"/>
    <col min="3325" max="3325" width="3.85546875" style="700" customWidth="1"/>
    <col min="3326" max="3326" width="14" style="700" customWidth="1"/>
    <col min="3327" max="3327" width="66.5703125" style="700" customWidth="1"/>
    <col min="3328" max="3328" width="9.42578125" style="700" customWidth="1"/>
    <col min="3329" max="3329" width="9.140625" style="700" customWidth="1"/>
    <col min="3330" max="3330" width="11.140625" style="700" bestFit="1" customWidth="1"/>
    <col min="3331" max="3331" width="9.140625" style="700" customWidth="1"/>
    <col min="3332" max="3332" width="10.42578125" style="700" customWidth="1"/>
    <col min="3333" max="3333" width="9.140625" style="700" customWidth="1"/>
    <col min="3334" max="3334" width="10.7109375" style="700" customWidth="1"/>
    <col min="3335" max="3335" width="9.140625" style="700" customWidth="1"/>
    <col min="3336" max="3336" width="10.140625" style="700" customWidth="1"/>
    <col min="3337" max="3337" width="11.140625" style="700" customWidth="1"/>
    <col min="3338" max="3457" width="9.140625" style="700" customWidth="1"/>
    <col min="3458" max="3458" width="2.5703125" style="700" customWidth="1"/>
    <col min="3459" max="3459" width="9.140625" style="700" customWidth="1"/>
    <col min="3460" max="3460" width="47.85546875" style="700" customWidth="1"/>
    <col min="3461" max="3461" width="6.7109375" style="700" customWidth="1"/>
    <col min="3462" max="3462" width="7.42578125" style="700" customWidth="1"/>
    <col min="3463" max="3463" width="7" style="700"/>
    <col min="3464" max="3464" width="8.5703125" style="700" customWidth="1"/>
    <col min="3465" max="3465" width="12" style="700" customWidth="1"/>
    <col min="3466" max="3466" width="4.7109375" style="700" customWidth="1"/>
    <col min="3467" max="3467" width="9.140625" style="700" customWidth="1"/>
    <col min="3468" max="3468" width="11.7109375" style="700" customWidth="1"/>
    <col min="3469" max="3580" width="7" style="700"/>
    <col min="3581" max="3581" width="3.85546875" style="700" customWidth="1"/>
    <col min="3582" max="3582" width="14" style="700" customWidth="1"/>
    <col min="3583" max="3583" width="66.5703125" style="700" customWidth="1"/>
    <col min="3584" max="3584" width="9.42578125" style="700" customWidth="1"/>
    <col min="3585" max="3585" width="9.140625" style="700" customWidth="1"/>
    <col min="3586" max="3586" width="11.140625" style="700" bestFit="1" customWidth="1"/>
    <col min="3587" max="3587" width="9.140625" style="700" customWidth="1"/>
    <col min="3588" max="3588" width="10.42578125" style="700" customWidth="1"/>
    <col min="3589" max="3589" width="9.140625" style="700" customWidth="1"/>
    <col min="3590" max="3590" width="10.7109375" style="700" customWidth="1"/>
    <col min="3591" max="3591" width="9.140625" style="700" customWidth="1"/>
    <col min="3592" max="3592" width="10.140625" style="700" customWidth="1"/>
    <col min="3593" max="3593" width="11.140625" style="700" customWidth="1"/>
    <col min="3594" max="3713" width="9.140625" style="700" customWidth="1"/>
    <col min="3714" max="3714" width="2.5703125" style="700" customWidth="1"/>
    <col min="3715" max="3715" width="9.140625" style="700" customWidth="1"/>
    <col min="3716" max="3716" width="47.85546875" style="700" customWidth="1"/>
    <col min="3717" max="3717" width="6.7109375" style="700" customWidth="1"/>
    <col min="3718" max="3718" width="7.42578125" style="700" customWidth="1"/>
    <col min="3719" max="3719" width="7" style="700"/>
    <col min="3720" max="3720" width="8.5703125" style="700" customWidth="1"/>
    <col min="3721" max="3721" width="12" style="700" customWidth="1"/>
    <col min="3722" max="3722" width="4.7109375" style="700" customWidth="1"/>
    <col min="3723" max="3723" width="9.140625" style="700" customWidth="1"/>
    <col min="3724" max="3724" width="11.7109375" style="700" customWidth="1"/>
    <col min="3725" max="3836" width="7" style="700"/>
    <col min="3837" max="3837" width="3.85546875" style="700" customWidth="1"/>
    <col min="3838" max="3838" width="14" style="700" customWidth="1"/>
    <col min="3839" max="3839" width="66.5703125" style="700" customWidth="1"/>
    <col min="3840" max="3840" width="9.42578125" style="700" customWidth="1"/>
    <col min="3841" max="3841" width="9.140625" style="700" customWidth="1"/>
    <col min="3842" max="3842" width="11.140625" style="700" bestFit="1" customWidth="1"/>
    <col min="3843" max="3843" width="9.140625" style="700" customWidth="1"/>
    <col min="3844" max="3844" width="10.42578125" style="700" customWidth="1"/>
    <col min="3845" max="3845" width="9.140625" style="700" customWidth="1"/>
    <col min="3846" max="3846" width="10.7109375" style="700" customWidth="1"/>
    <col min="3847" max="3847" width="9.140625" style="700" customWidth="1"/>
    <col min="3848" max="3848" width="10.140625" style="700" customWidth="1"/>
    <col min="3849" max="3849" width="11.140625" style="700" customWidth="1"/>
    <col min="3850" max="3969" width="9.140625" style="700" customWidth="1"/>
    <col min="3970" max="3970" width="2.5703125" style="700" customWidth="1"/>
    <col min="3971" max="3971" width="9.140625" style="700" customWidth="1"/>
    <col min="3972" max="3972" width="47.85546875" style="700" customWidth="1"/>
    <col min="3973" max="3973" width="6.7109375" style="700" customWidth="1"/>
    <col min="3974" max="3974" width="7.42578125" style="700" customWidth="1"/>
    <col min="3975" max="3975" width="7" style="700"/>
    <col min="3976" max="3976" width="8.5703125" style="700" customWidth="1"/>
    <col min="3977" max="3977" width="12" style="700" customWidth="1"/>
    <col min="3978" max="3978" width="4.7109375" style="700" customWidth="1"/>
    <col min="3979" max="3979" width="9.140625" style="700" customWidth="1"/>
    <col min="3980" max="3980" width="11.7109375" style="700" customWidth="1"/>
    <col min="3981" max="4092" width="7" style="700"/>
    <col min="4093" max="4093" width="3.85546875" style="700" customWidth="1"/>
    <col min="4094" max="4094" width="14" style="700" customWidth="1"/>
    <col min="4095" max="4095" width="66.5703125" style="700" customWidth="1"/>
    <col min="4096" max="4096" width="9.42578125" style="700" customWidth="1"/>
    <col min="4097" max="4097" width="9.140625" style="700" customWidth="1"/>
    <col min="4098" max="4098" width="11.140625" style="700" bestFit="1" customWidth="1"/>
    <col min="4099" max="4099" width="9.140625" style="700" customWidth="1"/>
    <col min="4100" max="4100" width="10.42578125" style="700" customWidth="1"/>
    <col min="4101" max="4101" width="9.140625" style="700" customWidth="1"/>
    <col min="4102" max="4102" width="10.7109375" style="700" customWidth="1"/>
    <col min="4103" max="4103" width="9.140625" style="700" customWidth="1"/>
    <col min="4104" max="4104" width="10.140625" style="700" customWidth="1"/>
    <col min="4105" max="4105" width="11.140625" style="700" customWidth="1"/>
    <col min="4106" max="4225" width="9.140625" style="700" customWidth="1"/>
    <col min="4226" max="4226" width="2.5703125" style="700" customWidth="1"/>
    <col min="4227" max="4227" width="9.140625" style="700" customWidth="1"/>
    <col min="4228" max="4228" width="47.85546875" style="700" customWidth="1"/>
    <col min="4229" max="4229" width="6.7109375" style="700" customWidth="1"/>
    <col min="4230" max="4230" width="7.42578125" style="700" customWidth="1"/>
    <col min="4231" max="4231" width="7" style="700"/>
    <col min="4232" max="4232" width="8.5703125" style="700" customWidth="1"/>
    <col min="4233" max="4233" width="12" style="700" customWidth="1"/>
    <col min="4234" max="4234" width="4.7109375" style="700" customWidth="1"/>
    <col min="4235" max="4235" width="9.140625" style="700" customWidth="1"/>
    <col min="4236" max="4236" width="11.7109375" style="700" customWidth="1"/>
    <col min="4237" max="4348" width="7" style="700"/>
    <col min="4349" max="4349" width="3.85546875" style="700" customWidth="1"/>
    <col min="4350" max="4350" width="14" style="700" customWidth="1"/>
    <col min="4351" max="4351" width="66.5703125" style="700" customWidth="1"/>
    <col min="4352" max="4352" width="9.42578125" style="700" customWidth="1"/>
    <col min="4353" max="4353" width="9.140625" style="700" customWidth="1"/>
    <col min="4354" max="4354" width="11.140625" style="700" bestFit="1" customWidth="1"/>
    <col min="4355" max="4355" width="9.140625" style="700" customWidth="1"/>
    <col min="4356" max="4356" width="10.42578125" style="700" customWidth="1"/>
    <col min="4357" max="4357" width="9.140625" style="700" customWidth="1"/>
    <col min="4358" max="4358" width="10.7109375" style="700" customWidth="1"/>
    <col min="4359" max="4359" width="9.140625" style="700" customWidth="1"/>
    <col min="4360" max="4360" width="10.140625" style="700" customWidth="1"/>
    <col min="4361" max="4361" width="11.140625" style="700" customWidth="1"/>
    <col min="4362" max="4481" width="9.140625" style="700" customWidth="1"/>
    <col min="4482" max="4482" width="2.5703125" style="700" customWidth="1"/>
    <col min="4483" max="4483" width="9.140625" style="700" customWidth="1"/>
    <col min="4484" max="4484" width="47.85546875" style="700" customWidth="1"/>
    <col min="4485" max="4485" width="6.7109375" style="700" customWidth="1"/>
    <col min="4486" max="4486" width="7.42578125" style="700" customWidth="1"/>
    <col min="4487" max="4487" width="7" style="700"/>
    <col min="4488" max="4488" width="8.5703125" style="700" customWidth="1"/>
    <col min="4489" max="4489" width="12" style="700" customWidth="1"/>
    <col min="4490" max="4490" width="4.7109375" style="700" customWidth="1"/>
    <col min="4491" max="4491" width="9.140625" style="700" customWidth="1"/>
    <col min="4492" max="4492" width="11.7109375" style="700" customWidth="1"/>
    <col min="4493" max="4604" width="7" style="700"/>
    <col min="4605" max="4605" width="3.85546875" style="700" customWidth="1"/>
    <col min="4606" max="4606" width="14" style="700" customWidth="1"/>
    <col min="4607" max="4607" width="66.5703125" style="700" customWidth="1"/>
    <col min="4608" max="4608" width="9.42578125" style="700" customWidth="1"/>
    <col min="4609" max="4609" width="9.140625" style="700" customWidth="1"/>
    <col min="4610" max="4610" width="11.140625" style="700" bestFit="1" customWidth="1"/>
    <col min="4611" max="4611" width="9.140625" style="700" customWidth="1"/>
    <col min="4612" max="4612" width="10.42578125" style="700" customWidth="1"/>
    <col min="4613" max="4613" width="9.140625" style="700" customWidth="1"/>
    <col min="4614" max="4614" width="10.7109375" style="700" customWidth="1"/>
    <col min="4615" max="4615" width="9.140625" style="700" customWidth="1"/>
    <col min="4616" max="4616" width="10.140625" style="700" customWidth="1"/>
    <col min="4617" max="4617" width="11.140625" style="700" customWidth="1"/>
    <col min="4618" max="4737" width="9.140625" style="700" customWidth="1"/>
    <col min="4738" max="4738" width="2.5703125" style="700" customWidth="1"/>
    <col min="4739" max="4739" width="9.140625" style="700" customWidth="1"/>
    <col min="4740" max="4740" width="47.85546875" style="700" customWidth="1"/>
    <col min="4741" max="4741" width="6.7109375" style="700" customWidth="1"/>
    <col min="4742" max="4742" width="7.42578125" style="700" customWidth="1"/>
    <col min="4743" max="4743" width="7" style="700"/>
    <col min="4744" max="4744" width="8.5703125" style="700" customWidth="1"/>
    <col min="4745" max="4745" width="12" style="700" customWidth="1"/>
    <col min="4746" max="4746" width="4.7109375" style="700" customWidth="1"/>
    <col min="4747" max="4747" width="9.140625" style="700" customWidth="1"/>
    <col min="4748" max="4748" width="11.7109375" style="700" customWidth="1"/>
    <col min="4749" max="4860" width="7" style="700"/>
    <col min="4861" max="4861" width="3.85546875" style="700" customWidth="1"/>
    <col min="4862" max="4862" width="14" style="700" customWidth="1"/>
    <col min="4863" max="4863" width="66.5703125" style="700" customWidth="1"/>
    <col min="4864" max="4864" width="9.42578125" style="700" customWidth="1"/>
    <col min="4865" max="4865" width="9.140625" style="700" customWidth="1"/>
    <col min="4866" max="4866" width="11.140625" style="700" bestFit="1" customWidth="1"/>
    <col min="4867" max="4867" width="9.140625" style="700" customWidth="1"/>
    <col min="4868" max="4868" width="10.42578125" style="700" customWidth="1"/>
    <col min="4869" max="4869" width="9.140625" style="700" customWidth="1"/>
    <col min="4870" max="4870" width="10.7109375" style="700" customWidth="1"/>
    <col min="4871" max="4871" width="9.140625" style="700" customWidth="1"/>
    <col min="4872" max="4872" width="10.140625" style="700" customWidth="1"/>
    <col min="4873" max="4873" width="11.140625" style="700" customWidth="1"/>
    <col min="4874" max="4993" width="9.140625" style="700" customWidth="1"/>
    <col min="4994" max="4994" width="2.5703125" style="700" customWidth="1"/>
    <col min="4995" max="4995" width="9.140625" style="700" customWidth="1"/>
    <col min="4996" max="4996" width="47.85546875" style="700" customWidth="1"/>
    <col min="4997" max="4997" width="6.7109375" style="700" customWidth="1"/>
    <col min="4998" max="4998" width="7.42578125" style="700" customWidth="1"/>
    <col min="4999" max="4999" width="7" style="700"/>
    <col min="5000" max="5000" width="8.5703125" style="700" customWidth="1"/>
    <col min="5001" max="5001" width="12" style="700" customWidth="1"/>
    <col min="5002" max="5002" width="4.7109375" style="700" customWidth="1"/>
    <col min="5003" max="5003" width="9.140625" style="700" customWidth="1"/>
    <col min="5004" max="5004" width="11.7109375" style="700" customWidth="1"/>
    <col min="5005" max="5116" width="7" style="700"/>
    <col min="5117" max="5117" width="3.85546875" style="700" customWidth="1"/>
    <col min="5118" max="5118" width="14" style="700" customWidth="1"/>
    <col min="5119" max="5119" width="66.5703125" style="700" customWidth="1"/>
    <col min="5120" max="5120" width="9.42578125" style="700" customWidth="1"/>
    <col min="5121" max="5121" width="9.140625" style="700" customWidth="1"/>
    <col min="5122" max="5122" width="11.140625" style="700" bestFit="1" customWidth="1"/>
    <col min="5123" max="5123" width="9.140625" style="700" customWidth="1"/>
    <col min="5124" max="5124" width="10.42578125" style="700" customWidth="1"/>
    <col min="5125" max="5125" width="9.140625" style="700" customWidth="1"/>
    <col min="5126" max="5126" width="10.7109375" style="700" customWidth="1"/>
    <col min="5127" max="5127" width="9.140625" style="700" customWidth="1"/>
    <col min="5128" max="5128" width="10.140625" style="700" customWidth="1"/>
    <col min="5129" max="5129" width="11.140625" style="700" customWidth="1"/>
    <col min="5130" max="5249" width="9.140625" style="700" customWidth="1"/>
    <col min="5250" max="5250" width="2.5703125" style="700" customWidth="1"/>
    <col min="5251" max="5251" width="9.140625" style="700" customWidth="1"/>
    <col min="5252" max="5252" width="47.85546875" style="700" customWidth="1"/>
    <col min="5253" max="5253" width="6.7109375" style="700" customWidth="1"/>
    <col min="5254" max="5254" width="7.42578125" style="700" customWidth="1"/>
    <col min="5255" max="5255" width="7" style="700"/>
    <col min="5256" max="5256" width="8.5703125" style="700" customWidth="1"/>
    <col min="5257" max="5257" width="12" style="700" customWidth="1"/>
    <col min="5258" max="5258" width="4.7109375" style="700" customWidth="1"/>
    <col min="5259" max="5259" width="9.140625" style="700" customWidth="1"/>
    <col min="5260" max="5260" width="11.7109375" style="700" customWidth="1"/>
    <col min="5261" max="5372" width="7" style="700"/>
    <col min="5373" max="5373" width="3.85546875" style="700" customWidth="1"/>
    <col min="5374" max="5374" width="14" style="700" customWidth="1"/>
    <col min="5375" max="5375" width="66.5703125" style="700" customWidth="1"/>
    <col min="5376" max="5376" width="9.42578125" style="700" customWidth="1"/>
    <col min="5377" max="5377" width="9.140625" style="700" customWidth="1"/>
    <col min="5378" max="5378" width="11.140625" style="700" bestFit="1" customWidth="1"/>
    <col min="5379" max="5379" width="9.140625" style="700" customWidth="1"/>
    <col min="5380" max="5380" width="10.42578125" style="700" customWidth="1"/>
    <col min="5381" max="5381" width="9.140625" style="700" customWidth="1"/>
    <col min="5382" max="5382" width="10.7109375" style="700" customWidth="1"/>
    <col min="5383" max="5383" width="9.140625" style="700" customWidth="1"/>
    <col min="5384" max="5384" width="10.140625" style="700" customWidth="1"/>
    <col min="5385" max="5385" width="11.140625" style="700" customWidth="1"/>
    <col min="5386" max="5505" width="9.140625" style="700" customWidth="1"/>
    <col min="5506" max="5506" width="2.5703125" style="700" customWidth="1"/>
    <col min="5507" max="5507" width="9.140625" style="700" customWidth="1"/>
    <col min="5508" max="5508" width="47.85546875" style="700" customWidth="1"/>
    <col min="5509" max="5509" width="6.7109375" style="700" customWidth="1"/>
    <col min="5510" max="5510" width="7.42578125" style="700" customWidth="1"/>
    <col min="5511" max="5511" width="7" style="700"/>
    <col min="5512" max="5512" width="8.5703125" style="700" customWidth="1"/>
    <col min="5513" max="5513" width="12" style="700" customWidth="1"/>
    <col min="5514" max="5514" width="4.7109375" style="700" customWidth="1"/>
    <col min="5515" max="5515" width="9.140625" style="700" customWidth="1"/>
    <col min="5516" max="5516" width="11.7109375" style="700" customWidth="1"/>
    <col min="5517" max="5628" width="7" style="700"/>
    <col min="5629" max="5629" width="3.85546875" style="700" customWidth="1"/>
    <col min="5630" max="5630" width="14" style="700" customWidth="1"/>
    <col min="5631" max="5631" width="66.5703125" style="700" customWidth="1"/>
    <col min="5632" max="5632" width="9.42578125" style="700" customWidth="1"/>
    <col min="5633" max="5633" width="9.140625" style="700" customWidth="1"/>
    <col min="5634" max="5634" width="11.140625" style="700" bestFit="1" customWidth="1"/>
    <col min="5635" max="5635" width="9.140625" style="700" customWidth="1"/>
    <col min="5636" max="5636" width="10.42578125" style="700" customWidth="1"/>
    <col min="5637" max="5637" width="9.140625" style="700" customWidth="1"/>
    <col min="5638" max="5638" width="10.7109375" style="700" customWidth="1"/>
    <col min="5639" max="5639" width="9.140625" style="700" customWidth="1"/>
    <col min="5640" max="5640" width="10.140625" style="700" customWidth="1"/>
    <col min="5641" max="5641" width="11.140625" style="700" customWidth="1"/>
    <col min="5642" max="5761" width="9.140625" style="700" customWidth="1"/>
    <col min="5762" max="5762" width="2.5703125" style="700" customWidth="1"/>
    <col min="5763" max="5763" width="9.140625" style="700" customWidth="1"/>
    <col min="5764" max="5764" width="47.85546875" style="700" customWidth="1"/>
    <col min="5765" max="5765" width="6.7109375" style="700" customWidth="1"/>
    <col min="5766" max="5766" width="7.42578125" style="700" customWidth="1"/>
    <col min="5767" max="5767" width="7" style="700"/>
    <col min="5768" max="5768" width="8.5703125" style="700" customWidth="1"/>
    <col min="5769" max="5769" width="12" style="700" customWidth="1"/>
    <col min="5770" max="5770" width="4.7109375" style="700" customWidth="1"/>
    <col min="5771" max="5771" width="9.140625" style="700" customWidth="1"/>
    <col min="5772" max="5772" width="11.7109375" style="700" customWidth="1"/>
    <col min="5773" max="5884" width="7" style="700"/>
    <col min="5885" max="5885" width="3.85546875" style="700" customWidth="1"/>
    <col min="5886" max="5886" width="14" style="700" customWidth="1"/>
    <col min="5887" max="5887" width="66.5703125" style="700" customWidth="1"/>
    <col min="5888" max="5888" width="9.42578125" style="700" customWidth="1"/>
    <col min="5889" max="5889" width="9.140625" style="700" customWidth="1"/>
    <col min="5890" max="5890" width="11.140625" style="700" bestFit="1" customWidth="1"/>
    <col min="5891" max="5891" width="9.140625" style="700" customWidth="1"/>
    <col min="5892" max="5892" width="10.42578125" style="700" customWidth="1"/>
    <col min="5893" max="5893" width="9.140625" style="700" customWidth="1"/>
    <col min="5894" max="5894" width="10.7109375" style="700" customWidth="1"/>
    <col min="5895" max="5895" width="9.140625" style="700" customWidth="1"/>
    <col min="5896" max="5896" width="10.140625" style="700" customWidth="1"/>
    <col min="5897" max="5897" width="11.140625" style="700" customWidth="1"/>
    <col min="5898" max="6017" width="9.140625" style="700" customWidth="1"/>
    <col min="6018" max="6018" width="2.5703125" style="700" customWidth="1"/>
    <col min="6019" max="6019" width="9.140625" style="700" customWidth="1"/>
    <col min="6020" max="6020" width="47.85546875" style="700" customWidth="1"/>
    <col min="6021" max="6021" width="6.7109375" style="700" customWidth="1"/>
    <col min="6022" max="6022" width="7.42578125" style="700" customWidth="1"/>
    <col min="6023" max="6023" width="7" style="700"/>
    <col min="6024" max="6024" width="8.5703125" style="700" customWidth="1"/>
    <col min="6025" max="6025" width="12" style="700" customWidth="1"/>
    <col min="6026" max="6026" width="4.7109375" style="700" customWidth="1"/>
    <col min="6027" max="6027" width="9.140625" style="700" customWidth="1"/>
    <col min="6028" max="6028" width="11.7109375" style="700" customWidth="1"/>
    <col min="6029" max="6140" width="7" style="700"/>
    <col min="6141" max="6141" width="3.85546875" style="700" customWidth="1"/>
    <col min="6142" max="6142" width="14" style="700" customWidth="1"/>
    <col min="6143" max="6143" width="66.5703125" style="700" customWidth="1"/>
    <col min="6144" max="6144" width="9.42578125" style="700" customWidth="1"/>
    <col min="6145" max="6145" width="9.140625" style="700" customWidth="1"/>
    <col min="6146" max="6146" width="11.140625" style="700" bestFit="1" customWidth="1"/>
    <col min="6147" max="6147" width="9.140625" style="700" customWidth="1"/>
    <col min="6148" max="6148" width="10.42578125" style="700" customWidth="1"/>
    <col min="6149" max="6149" width="9.140625" style="700" customWidth="1"/>
    <col min="6150" max="6150" width="10.7109375" style="700" customWidth="1"/>
    <col min="6151" max="6151" width="9.140625" style="700" customWidth="1"/>
    <col min="6152" max="6152" width="10.140625" style="700" customWidth="1"/>
    <col min="6153" max="6153" width="11.140625" style="700" customWidth="1"/>
    <col min="6154" max="6273" width="9.140625" style="700" customWidth="1"/>
    <col min="6274" max="6274" width="2.5703125" style="700" customWidth="1"/>
    <col min="6275" max="6275" width="9.140625" style="700" customWidth="1"/>
    <col min="6276" max="6276" width="47.85546875" style="700" customWidth="1"/>
    <col min="6277" max="6277" width="6.7109375" style="700" customWidth="1"/>
    <col min="6278" max="6278" width="7.42578125" style="700" customWidth="1"/>
    <col min="6279" max="6279" width="7" style="700"/>
    <col min="6280" max="6280" width="8.5703125" style="700" customWidth="1"/>
    <col min="6281" max="6281" width="12" style="700" customWidth="1"/>
    <col min="6282" max="6282" width="4.7109375" style="700" customWidth="1"/>
    <col min="6283" max="6283" width="9.140625" style="700" customWidth="1"/>
    <col min="6284" max="6284" width="11.7109375" style="700" customWidth="1"/>
    <col min="6285" max="6396" width="7" style="700"/>
    <col min="6397" max="6397" width="3.85546875" style="700" customWidth="1"/>
    <col min="6398" max="6398" width="14" style="700" customWidth="1"/>
    <col min="6399" max="6399" width="66.5703125" style="700" customWidth="1"/>
    <col min="6400" max="6400" width="9.42578125" style="700" customWidth="1"/>
    <col min="6401" max="6401" width="9.140625" style="700" customWidth="1"/>
    <col min="6402" max="6402" width="11.140625" style="700" bestFit="1" customWidth="1"/>
    <col min="6403" max="6403" width="9.140625" style="700" customWidth="1"/>
    <col min="6404" max="6404" width="10.42578125" style="700" customWidth="1"/>
    <col min="6405" max="6405" width="9.140625" style="700" customWidth="1"/>
    <col min="6406" max="6406" width="10.7109375" style="700" customWidth="1"/>
    <col min="6407" max="6407" width="9.140625" style="700" customWidth="1"/>
    <col min="6408" max="6408" width="10.140625" style="700" customWidth="1"/>
    <col min="6409" max="6409" width="11.140625" style="700" customWidth="1"/>
    <col min="6410" max="6529" width="9.140625" style="700" customWidth="1"/>
    <col min="6530" max="6530" width="2.5703125" style="700" customWidth="1"/>
    <col min="6531" max="6531" width="9.140625" style="700" customWidth="1"/>
    <col min="6532" max="6532" width="47.85546875" style="700" customWidth="1"/>
    <col min="6533" max="6533" width="6.7109375" style="700" customWidth="1"/>
    <col min="6534" max="6534" width="7.42578125" style="700" customWidth="1"/>
    <col min="6535" max="6535" width="7" style="700"/>
    <col min="6536" max="6536" width="8.5703125" style="700" customWidth="1"/>
    <col min="6537" max="6537" width="12" style="700" customWidth="1"/>
    <col min="6538" max="6538" width="4.7109375" style="700" customWidth="1"/>
    <col min="6539" max="6539" width="9.140625" style="700" customWidth="1"/>
    <col min="6540" max="6540" width="11.7109375" style="700" customWidth="1"/>
    <col min="6541" max="6652" width="7" style="700"/>
    <col min="6653" max="6653" width="3.85546875" style="700" customWidth="1"/>
    <col min="6654" max="6654" width="14" style="700" customWidth="1"/>
    <col min="6655" max="6655" width="66.5703125" style="700" customWidth="1"/>
    <col min="6656" max="6656" width="9.42578125" style="700" customWidth="1"/>
    <col min="6657" max="6657" width="9.140625" style="700" customWidth="1"/>
    <col min="6658" max="6658" width="11.140625" style="700" bestFit="1" customWidth="1"/>
    <col min="6659" max="6659" width="9.140625" style="700" customWidth="1"/>
    <col min="6660" max="6660" width="10.42578125" style="700" customWidth="1"/>
    <col min="6661" max="6661" width="9.140625" style="700" customWidth="1"/>
    <col min="6662" max="6662" width="10.7109375" style="700" customWidth="1"/>
    <col min="6663" max="6663" width="9.140625" style="700" customWidth="1"/>
    <col min="6664" max="6664" width="10.140625" style="700" customWidth="1"/>
    <col min="6665" max="6665" width="11.140625" style="700" customWidth="1"/>
    <col min="6666" max="6785" width="9.140625" style="700" customWidth="1"/>
    <col min="6786" max="6786" width="2.5703125" style="700" customWidth="1"/>
    <col min="6787" max="6787" width="9.140625" style="700" customWidth="1"/>
    <col min="6788" max="6788" width="47.85546875" style="700" customWidth="1"/>
    <col min="6789" max="6789" width="6.7109375" style="700" customWidth="1"/>
    <col min="6790" max="6790" width="7.42578125" style="700" customWidth="1"/>
    <col min="6791" max="6791" width="7" style="700"/>
    <col min="6792" max="6792" width="8.5703125" style="700" customWidth="1"/>
    <col min="6793" max="6793" width="12" style="700" customWidth="1"/>
    <col min="6794" max="6794" width="4.7109375" style="700" customWidth="1"/>
    <col min="6795" max="6795" width="9.140625" style="700" customWidth="1"/>
    <col min="6796" max="6796" width="11.7109375" style="700" customWidth="1"/>
    <col min="6797" max="6908" width="7" style="700"/>
    <col min="6909" max="6909" width="3.85546875" style="700" customWidth="1"/>
    <col min="6910" max="6910" width="14" style="700" customWidth="1"/>
    <col min="6911" max="6911" width="66.5703125" style="700" customWidth="1"/>
    <col min="6912" max="6912" width="9.42578125" style="700" customWidth="1"/>
    <col min="6913" max="6913" width="9.140625" style="700" customWidth="1"/>
    <col min="6914" max="6914" width="11.140625" style="700" bestFit="1" customWidth="1"/>
    <col min="6915" max="6915" width="9.140625" style="700" customWidth="1"/>
    <col min="6916" max="6916" width="10.42578125" style="700" customWidth="1"/>
    <col min="6917" max="6917" width="9.140625" style="700" customWidth="1"/>
    <col min="6918" max="6918" width="10.7109375" style="700" customWidth="1"/>
    <col min="6919" max="6919" width="9.140625" style="700" customWidth="1"/>
    <col min="6920" max="6920" width="10.140625" style="700" customWidth="1"/>
    <col min="6921" max="6921" width="11.140625" style="700" customWidth="1"/>
    <col min="6922" max="7041" width="9.140625" style="700" customWidth="1"/>
    <col min="7042" max="7042" width="2.5703125" style="700" customWidth="1"/>
    <col min="7043" max="7043" width="9.140625" style="700" customWidth="1"/>
    <col min="7044" max="7044" width="47.85546875" style="700" customWidth="1"/>
    <col min="7045" max="7045" width="6.7109375" style="700" customWidth="1"/>
    <col min="7046" max="7046" width="7.42578125" style="700" customWidth="1"/>
    <col min="7047" max="7047" width="7" style="700"/>
    <col min="7048" max="7048" width="8.5703125" style="700" customWidth="1"/>
    <col min="7049" max="7049" width="12" style="700" customWidth="1"/>
    <col min="7050" max="7050" width="4.7109375" style="700" customWidth="1"/>
    <col min="7051" max="7051" width="9.140625" style="700" customWidth="1"/>
    <col min="7052" max="7052" width="11.7109375" style="700" customWidth="1"/>
    <col min="7053" max="7164" width="7" style="700"/>
    <col min="7165" max="7165" width="3.85546875" style="700" customWidth="1"/>
    <col min="7166" max="7166" width="14" style="700" customWidth="1"/>
    <col min="7167" max="7167" width="66.5703125" style="700" customWidth="1"/>
    <col min="7168" max="7168" width="9.42578125" style="700" customWidth="1"/>
    <col min="7169" max="7169" width="9.140625" style="700" customWidth="1"/>
    <col min="7170" max="7170" width="11.140625" style="700" bestFit="1" customWidth="1"/>
    <col min="7171" max="7171" width="9.140625" style="700" customWidth="1"/>
    <col min="7172" max="7172" width="10.42578125" style="700" customWidth="1"/>
    <col min="7173" max="7173" width="9.140625" style="700" customWidth="1"/>
    <col min="7174" max="7174" width="10.7109375" style="700" customWidth="1"/>
    <col min="7175" max="7175" width="9.140625" style="700" customWidth="1"/>
    <col min="7176" max="7176" width="10.140625" style="700" customWidth="1"/>
    <col min="7177" max="7177" width="11.140625" style="700" customWidth="1"/>
    <col min="7178" max="7297" width="9.140625" style="700" customWidth="1"/>
    <col min="7298" max="7298" width="2.5703125" style="700" customWidth="1"/>
    <col min="7299" max="7299" width="9.140625" style="700" customWidth="1"/>
    <col min="7300" max="7300" width="47.85546875" style="700" customWidth="1"/>
    <col min="7301" max="7301" width="6.7109375" style="700" customWidth="1"/>
    <col min="7302" max="7302" width="7.42578125" style="700" customWidth="1"/>
    <col min="7303" max="7303" width="7" style="700"/>
    <col min="7304" max="7304" width="8.5703125" style="700" customWidth="1"/>
    <col min="7305" max="7305" width="12" style="700" customWidth="1"/>
    <col min="7306" max="7306" width="4.7109375" style="700" customWidth="1"/>
    <col min="7307" max="7307" width="9.140625" style="700" customWidth="1"/>
    <col min="7308" max="7308" width="11.7109375" style="700" customWidth="1"/>
    <col min="7309" max="7420" width="7" style="700"/>
    <col min="7421" max="7421" width="3.85546875" style="700" customWidth="1"/>
    <col min="7422" max="7422" width="14" style="700" customWidth="1"/>
    <col min="7423" max="7423" width="66.5703125" style="700" customWidth="1"/>
    <col min="7424" max="7424" width="9.42578125" style="700" customWidth="1"/>
    <col min="7425" max="7425" width="9.140625" style="700" customWidth="1"/>
    <col min="7426" max="7426" width="11.140625" style="700" bestFit="1" customWidth="1"/>
    <col min="7427" max="7427" width="9.140625" style="700" customWidth="1"/>
    <col min="7428" max="7428" width="10.42578125" style="700" customWidth="1"/>
    <col min="7429" max="7429" width="9.140625" style="700" customWidth="1"/>
    <col min="7430" max="7430" width="10.7109375" style="700" customWidth="1"/>
    <col min="7431" max="7431" width="9.140625" style="700" customWidth="1"/>
    <col min="7432" max="7432" width="10.140625" style="700" customWidth="1"/>
    <col min="7433" max="7433" width="11.140625" style="700" customWidth="1"/>
    <col min="7434" max="7553" width="9.140625" style="700" customWidth="1"/>
    <col min="7554" max="7554" width="2.5703125" style="700" customWidth="1"/>
    <col min="7555" max="7555" width="9.140625" style="700" customWidth="1"/>
    <col min="7556" max="7556" width="47.85546875" style="700" customWidth="1"/>
    <col min="7557" max="7557" width="6.7109375" style="700" customWidth="1"/>
    <col min="7558" max="7558" width="7.42578125" style="700" customWidth="1"/>
    <col min="7559" max="7559" width="7" style="700"/>
    <col min="7560" max="7560" width="8.5703125" style="700" customWidth="1"/>
    <col min="7561" max="7561" width="12" style="700" customWidth="1"/>
    <col min="7562" max="7562" width="4.7109375" style="700" customWidth="1"/>
    <col min="7563" max="7563" width="9.140625" style="700" customWidth="1"/>
    <col min="7564" max="7564" width="11.7109375" style="700" customWidth="1"/>
    <col min="7565" max="7676" width="7" style="700"/>
    <col min="7677" max="7677" width="3.85546875" style="700" customWidth="1"/>
    <col min="7678" max="7678" width="14" style="700" customWidth="1"/>
    <col min="7679" max="7679" width="66.5703125" style="700" customWidth="1"/>
    <col min="7680" max="7680" width="9.42578125" style="700" customWidth="1"/>
    <col min="7681" max="7681" width="9.140625" style="700" customWidth="1"/>
    <col min="7682" max="7682" width="11.140625" style="700" bestFit="1" customWidth="1"/>
    <col min="7683" max="7683" width="9.140625" style="700" customWidth="1"/>
    <col min="7684" max="7684" width="10.42578125" style="700" customWidth="1"/>
    <col min="7685" max="7685" width="9.140625" style="700" customWidth="1"/>
    <col min="7686" max="7686" width="10.7109375" style="700" customWidth="1"/>
    <col min="7687" max="7687" width="9.140625" style="700" customWidth="1"/>
    <col min="7688" max="7688" width="10.140625" style="700" customWidth="1"/>
    <col min="7689" max="7689" width="11.140625" style="700" customWidth="1"/>
    <col min="7690" max="7809" width="9.140625" style="700" customWidth="1"/>
    <col min="7810" max="7810" width="2.5703125" style="700" customWidth="1"/>
    <col min="7811" max="7811" width="9.140625" style="700" customWidth="1"/>
    <col min="7812" max="7812" width="47.85546875" style="700" customWidth="1"/>
    <col min="7813" max="7813" width="6.7109375" style="700" customWidth="1"/>
    <col min="7814" max="7814" width="7.42578125" style="700" customWidth="1"/>
    <col min="7815" max="7815" width="7" style="700"/>
    <col min="7816" max="7816" width="8.5703125" style="700" customWidth="1"/>
    <col min="7817" max="7817" width="12" style="700" customWidth="1"/>
    <col min="7818" max="7818" width="4.7109375" style="700" customWidth="1"/>
    <col min="7819" max="7819" width="9.140625" style="700" customWidth="1"/>
    <col min="7820" max="7820" width="11.7109375" style="700" customWidth="1"/>
    <col min="7821" max="7932" width="7" style="700"/>
    <col min="7933" max="7933" width="3.85546875" style="700" customWidth="1"/>
    <col min="7934" max="7934" width="14" style="700" customWidth="1"/>
    <col min="7935" max="7935" width="66.5703125" style="700" customWidth="1"/>
    <col min="7936" max="7936" width="9.42578125" style="700" customWidth="1"/>
    <col min="7937" max="7937" width="9.140625" style="700" customWidth="1"/>
    <col min="7938" max="7938" width="11.140625" style="700" bestFit="1" customWidth="1"/>
    <col min="7939" max="7939" width="9.140625" style="700" customWidth="1"/>
    <col min="7940" max="7940" width="10.42578125" style="700" customWidth="1"/>
    <col min="7941" max="7941" width="9.140625" style="700" customWidth="1"/>
    <col min="7942" max="7942" width="10.7109375" style="700" customWidth="1"/>
    <col min="7943" max="7943" width="9.140625" style="700" customWidth="1"/>
    <col min="7944" max="7944" width="10.140625" style="700" customWidth="1"/>
    <col min="7945" max="7945" width="11.140625" style="700" customWidth="1"/>
    <col min="7946" max="8065" width="9.140625" style="700" customWidth="1"/>
    <col min="8066" max="8066" width="2.5703125" style="700" customWidth="1"/>
    <col min="8067" max="8067" width="9.140625" style="700" customWidth="1"/>
    <col min="8068" max="8068" width="47.85546875" style="700" customWidth="1"/>
    <col min="8069" max="8069" width="6.7109375" style="700" customWidth="1"/>
    <col min="8070" max="8070" width="7.42578125" style="700" customWidth="1"/>
    <col min="8071" max="8071" width="7" style="700"/>
    <col min="8072" max="8072" width="8.5703125" style="700" customWidth="1"/>
    <col min="8073" max="8073" width="12" style="700" customWidth="1"/>
    <col min="8074" max="8074" width="4.7109375" style="700" customWidth="1"/>
    <col min="8075" max="8075" width="9.140625" style="700" customWidth="1"/>
    <col min="8076" max="8076" width="11.7109375" style="700" customWidth="1"/>
    <col min="8077" max="8188" width="7" style="700"/>
    <col min="8189" max="8189" width="3.85546875" style="700" customWidth="1"/>
    <col min="8190" max="8190" width="14" style="700" customWidth="1"/>
    <col min="8191" max="8191" width="66.5703125" style="700" customWidth="1"/>
    <col min="8192" max="8192" width="9.42578125" style="700" customWidth="1"/>
    <col min="8193" max="8193" width="9.140625" style="700" customWidth="1"/>
    <col min="8194" max="8194" width="11.140625" style="700" bestFit="1" customWidth="1"/>
    <col min="8195" max="8195" width="9.140625" style="700" customWidth="1"/>
    <col min="8196" max="8196" width="10.42578125" style="700" customWidth="1"/>
    <col min="8197" max="8197" width="9.140625" style="700" customWidth="1"/>
    <col min="8198" max="8198" width="10.7109375" style="700" customWidth="1"/>
    <col min="8199" max="8199" width="9.140625" style="700" customWidth="1"/>
    <col min="8200" max="8200" width="10.140625" style="700" customWidth="1"/>
    <col min="8201" max="8201" width="11.140625" style="700" customWidth="1"/>
    <col min="8202" max="8321" width="9.140625" style="700" customWidth="1"/>
    <col min="8322" max="8322" width="2.5703125" style="700" customWidth="1"/>
    <col min="8323" max="8323" width="9.140625" style="700" customWidth="1"/>
    <col min="8324" max="8324" width="47.85546875" style="700" customWidth="1"/>
    <col min="8325" max="8325" width="6.7109375" style="700" customWidth="1"/>
    <col min="8326" max="8326" width="7.42578125" style="700" customWidth="1"/>
    <col min="8327" max="8327" width="7" style="700"/>
    <col min="8328" max="8328" width="8.5703125" style="700" customWidth="1"/>
    <col min="8329" max="8329" width="12" style="700" customWidth="1"/>
    <col min="8330" max="8330" width="4.7109375" style="700" customWidth="1"/>
    <col min="8331" max="8331" width="9.140625" style="700" customWidth="1"/>
    <col min="8332" max="8332" width="11.7109375" style="700" customWidth="1"/>
    <col min="8333" max="8444" width="7" style="700"/>
    <col min="8445" max="8445" width="3.85546875" style="700" customWidth="1"/>
    <col min="8446" max="8446" width="14" style="700" customWidth="1"/>
    <col min="8447" max="8447" width="66.5703125" style="700" customWidth="1"/>
    <col min="8448" max="8448" width="9.42578125" style="700" customWidth="1"/>
    <col min="8449" max="8449" width="9.140625" style="700" customWidth="1"/>
    <col min="8450" max="8450" width="11.140625" style="700" bestFit="1" customWidth="1"/>
    <col min="8451" max="8451" width="9.140625" style="700" customWidth="1"/>
    <col min="8452" max="8452" width="10.42578125" style="700" customWidth="1"/>
    <col min="8453" max="8453" width="9.140625" style="700" customWidth="1"/>
    <col min="8454" max="8454" width="10.7109375" style="700" customWidth="1"/>
    <col min="8455" max="8455" width="9.140625" style="700" customWidth="1"/>
    <col min="8456" max="8456" width="10.140625" style="700" customWidth="1"/>
    <col min="8457" max="8457" width="11.140625" style="700" customWidth="1"/>
    <col min="8458" max="8577" width="9.140625" style="700" customWidth="1"/>
    <col min="8578" max="8578" width="2.5703125" style="700" customWidth="1"/>
    <col min="8579" max="8579" width="9.140625" style="700" customWidth="1"/>
    <col min="8580" max="8580" width="47.85546875" style="700" customWidth="1"/>
    <col min="8581" max="8581" width="6.7109375" style="700" customWidth="1"/>
    <col min="8582" max="8582" width="7.42578125" style="700" customWidth="1"/>
    <col min="8583" max="8583" width="7" style="700"/>
    <col min="8584" max="8584" width="8.5703125" style="700" customWidth="1"/>
    <col min="8585" max="8585" width="12" style="700" customWidth="1"/>
    <col min="8586" max="8586" width="4.7109375" style="700" customWidth="1"/>
    <col min="8587" max="8587" width="9.140625" style="700" customWidth="1"/>
    <col min="8588" max="8588" width="11.7109375" style="700" customWidth="1"/>
    <col min="8589" max="8700" width="7" style="700"/>
    <col min="8701" max="8701" width="3.85546875" style="700" customWidth="1"/>
    <col min="8702" max="8702" width="14" style="700" customWidth="1"/>
    <col min="8703" max="8703" width="66.5703125" style="700" customWidth="1"/>
    <col min="8704" max="8704" width="9.42578125" style="700" customWidth="1"/>
    <col min="8705" max="8705" width="9.140625" style="700" customWidth="1"/>
    <col min="8706" max="8706" width="11.140625" style="700" bestFit="1" customWidth="1"/>
    <col min="8707" max="8707" width="9.140625" style="700" customWidth="1"/>
    <col min="8708" max="8708" width="10.42578125" style="700" customWidth="1"/>
    <col min="8709" max="8709" width="9.140625" style="700" customWidth="1"/>
    <col min="8710" max="8710" width="10.7109375" style="700" customWidth="1"/>
    <col min="8711" max="8711" width="9.140625" style="700" customWidth="1"/>
    <col min="8712" max="8712" width="10.140625" style="700" customWidth="1"/>
    <col min="8713" max="8713" width="11.140625" style="700" customWidth="1"/>
    <col min="8714" max="8833" width="9.140625" style="700" customWidth="1"/>
    <col min="8834" max="8834" width="2.5703125" style="700" customWidth="1"/>
    <col min="8835" max="8835" width="9.140625" style="700" customWidth="1"/>
    <col min="8836" max="8836" width="47.85546875" style="700" customWidth="1"/>
    <col min="8837" max="8837" width="6.7109375" style="700" customWidth="1"/>
    <col min="8838" max="8838" width="7.42578125" style="700" customWidth="1"/>
    <col min="8839" max="8839" width="7" style="700"/>
    <col min="8840" max="8840" width="8.5703125" style="700" customWidth="1"/>
    <col min="8841" max="8841" width="12" style="700" customWidth="1"/>
    <col min="8842" max="8842" width="4.7109375" style="700" customWidth="1"/>
    <col min="8843" max="8843" width="9.140625" style="700" customWidth="1"/>
    <col min="8844" max="8844" width="11.7109375" style="700" customWidth="1"/>
    <col min="8845" max="8956" width="7" style="700"/>
    <col min="8957" max="8957" width="3.85546875" style="700" customWidth="1"/>
    <col min="8958" max="8958" width="14" style="700" customWidth="1"/>
    <col min="8959" max="8959" width="66.5703125" style="700" customWidth="1"/>
    <col min="8960" max="8960" width="9.42578125" style="700" customWidth="1"/>
    <col min="8961" max="8961" width="9.140625" style="700" customWidth="1"/>
    <col min="8962" max="8962" width="11.140625" style="700" bestFit="1" customWidth="1"/>
    <col min="8963" max="8963" width="9.140625" style="700" customWidth="1"/>
    <col min="8964" max="8964" width="10.42578125" style="700" customWidth="1"/>
    <col min="8965" max="8965" width="9.140625" style="700" customWidth="1"/>
    <col min="8966" max="8966" width="10.7109375" style="700" customWidth="1"/>
    <col min="8967" max="8967" width="9.140625" style="700" customWidth="1"/>
    <col min="8968" max="8968" width="10.140625" style="700" customWidth="1"/>
    <col min="8969" max="8969" width="11.140625" style="700" customWidth="1"/>
    <col min="8970" max="9089" width="9.140625" style="700" customWidth="1"/>
    <col min="9090" max="9090" width="2.5703125" style="700" customWidth="1"/>
    <col min="9091" max="9091" width="9.140625" style="700" customWidth="1"/>
    <col min="9092" max="9092" width="47.85546875" style="700" customWidth="1"/>
    <col min="9093" max="9093" width="6.7109375" style="700" customWidth="1"/>
    <col min="9094" max="9094" width="7.42578125" style="700" customWidth="1"/>
    <col min="9095" max="9095" width="7" style="700"/>
    <col min="9096" max="9096" width="8.5703125" style="700" customWidth="1"/>
    <col min="9097" max="9097" width="12" style="700" customWidth="1"/>
    <col min="9098" max="9098" width="4.7109375" style="700" customWidth="1"/>
    <col min="9099" max="9099" width="9.140625" style="700" customWidth="1"/>
    <col min="9100" max="9100" width="11.7109375" style="700" customWidth="1"/>
    <col min="9101" max="9212" width="7" style="700"/>
    <col min="9213" max="9213" width="3.85546875" style="700" customWidth="1"/>
    <col min="9214" max="9214" width="14" style="700" customWidth="1"/>
    <col min="9215" max="9215" width="66.5703125" style="700" customWidth="1"/>
    <col min="9216" max="9216" width="9.42578125" style="700" customWidth="1"/>
    <col min="9217" max="9217" width="9.140625" style="700" customWidth="1"/>
    <col min="9218" max="9218" width="11.140625" style="700" bestFit="1" customWidth="1"/>
    <col min="9219" max="9219" width="9.140625" style="700" customWidth="1"/>
    <col min="9220" max="9220" width="10.42578125" style="700" customWidth="1"/>
    <col min="9221" max="9221" width="9.140625" style="700" customWidth="1"/>
    <col min="9222" max="9222" width="10.7109375" style="700" customWidth="1"/>
    <col min="9223" max="9223" width="9.140625" style="700" customWidth="1"/>
    <col min="9224" max="9224" width="10.140625" style="700" customWidth="1"/>
    <col min="9225" max="9225" width="11.140625" style="700" customWidth="1"/>
    <col min="9226" max="9345" width="9.140625" style="700" customWidth="1"/>
    <col min="9346" max="9346" width="2.5703125" style="700" customWidth="1"/>
    <col min="9347" max="9347" width="9.140625" style="700" customWidth="1"/>
    <col min="9348" max="9348" width="47.85546875" style="700" customWidth="1"/>
    <col min="9349" max="9349" width="6.7109375" style="700" customWidth="1"/>
    <col min="9350" max="9350" width="7.42578125" style="700" customWidth="1"/>
    <col min="9351" max="9351" width="7" style="700"/>
    <col min="9352" max="9352" width="8.5703125" style="700" customWidth="1"/>
    <col min="9353" max="9353" width="12" style="700" customWidth="1"/>
    <col min="9354" max="9354" width="4.7109375" style="700" customWidth="1"/>
    <col min="9355" max="9355" width="9.140625" style="700" customWidth="1"/>
    <col min="9356" max="9356" width="11.7109375" style="700" customWidth="1"/>
    <col min="9357" max="9468" width="7" style="700"/>
    <col min="9469" max="9469" width="3.85546875" style="700" customWidth="1"/>
    <col min="9470" max="9470" width="14" style="700" customWidth="1"/>
    <col min="9471" max="9471" width="66.5703125" style="700" customWidth="1"/>
    <col min="9472" max="9472" width="9.42578125" style="700" customWidth="1"/>
    <col min="9473" max="9473" width="9.140625" style="700" customWidth="1"/>
    <col min="9474" max="9474" width="11.140625" style="700" bestFit="1" customWidth="1"/>
    <col min="9475" max="9475" width="9.140625" style="700" customWidth="1"/>
    <col min="9476" max="9476" width="10.42578125" style="700" customWidth="1"/>
    <col min="9477" max="9477" width="9.140625" style="700" customWidth="1"/>
    <col min="9478" max="9478" width="10.7109375" style="700" customWidth="1"/>
    <col min="9479" max="9479" width="9.140625" style="700" customWidth="1"/>
    <col min="9480" max="9480" width="10.140625" style="700" customWidth="1"/>
    <col min="9481" max="9481" width="11.140625" style="700" customWidth="1"/>
    <col min="9482" max="9601" width="9.140625" style="700" customWidth="1"/>
    <col min="9602" max="9602" width="2.5703125" style="700" customWidth="1"/>
    <col min="9603" max="9603" width="9.140625" style="700" customWidth="1"/>
    <col min="9604" max="9604" width="47.85546875" style="700" customWidth="1"/>
    <col min="9605" max="9605" width="6.7109375" style="700" customWidth="1"/>
    <col min="9606" max="9606" width="7.42578125" style="700" customWidth="1"/>
    <col min="9607" max="9607" width="7" style="700"/>
    <col min="9608" max="9608" width="8.5703125" style="700" customWidth="1"/>
    <col min="9609" max="9609" width="12" style="700" customWidth="1"/>
    <col min="9610" max="9610" width="4.7109375" style="700" customWidth="1"/>
    <col min="9611" max="9611" width="9.140625" style="700" customWidth="1"/>
    <col min="9612" max="9612" width="11.7109375" style="700" customWidth="1"/>
    <col min="9613" max="9724" width="7" style="700"/>
    <col min="9725" max="9725" width="3.85546875" style="700" customWidth="1"/>
    <col min="9726" max="9726" width="14" style="700" customWidth="1"/>
    <col min="9727" max="9727" width="66.5703125" style="700" customWidth="1"/>
    <col min="9728" max="9728" width="9.42578125" style="700" customWidth="1"/>
    <col min="9729" max="9729" width="9.140625" style="700" customWidth="1"/>
    <col min="9730" max="9730" width="11.140625" style="700" bestFit="1" customWidth="1"/>
    <col min="9731" max="9731" width="9.140625" style="700" customWidth="1"/>
    <col min="9732" max="9732" width="10.42578125" style="700" customWidth="1"/>
    <col min="9733" max="9733" width="9.140625" style="700" customWidth="1"/>
    <col min="9734" max="9734" width="10.7109375" style="700" customWidth="1"/>
    <col min="9735" max="9735" width="9.140625" style="700" customWidth="1"/>
    <col min="9736" max="9736" width="10.140625" style="700" customWidth="1"/>
    <col min="9737" max="9737" width="11.140625" style="700" customWidth="1"/>
    <col min="9738" max="9857" width="9.140625" style="700" customWidth="1"/>
    <col min="9858" max="9858" width="2.5703125" style="700" customWidth="1"/>
    <col min="9859" max="9859" width="9.140625" style="700" customWidth="1"/>
    <col min="9860" max="9860" width="47.85546875" style="700" customWidth="1"/>
    <col min="9861" max="9861" width="6.7109375" style="700" customWidth="1"/>
    <col min="9862" max="9862" width="7.42578125" style="700" customWidth="1"/>
    <col min="9863" max="9863" width="7" style="700"/>
    <col min="9864" max="9864" width="8.5703125" style="700" customWidth="1"/>
    <col min="9865" max="9865" width="12" style="700" customWidth="1"/>
    <col min="9866" max="9866" width="4.7109375" style="700" customWidth="1"/>
    <col min="9867" max="9867" width="9.140625" style="700" customWidth="1"/>
    <col min="9868" max="9868" width="11.7109375" style="700" customWidth="1"/>
    <col min="9869" max="9980" width="7" style="700"/>
    <col min="9981" max="9981" width="3.85546875" style="700" customWidth="1"/>
    <col min="9982" max="9982" width="14" style="700" customWidth="1"/>
    <col min="9983" max="9983" width="66.5703125" style="700" customWidth="1"/>
    <col min="9984" max="9984" width="9.42578125" style="700" customWidth="1"/>
    <col min="9985" max="9985" width="9.140625" style="700" customWidth="1"/>
    <col min="9986" max="9986" width="11.140625" style="700" bestFit="1" customWidth="1"/>
    <col min="9987" max="9987" width="9.140625" style="700" customWidth="1"/>
    <col min="9988" max="9988" width="10.42578125" style="700" customWidth="1"/>
    <col min="9989" max="9989" width="9.140625" style="700" customWidth="1"/>
    <col min="9990" max="9990" width="10.7109375" style="700" customWidth="1"/>
    <col min="9991" max="9991" width="9.140625" style="700" customWidth="1"/>
    <col min="9992" max="9992" width="10.140625" style="700" customWidth="1"/>
    <col min="9993" max="9993" width="11.140625" style="700" customWidth="1"/>
    <col min="9994" max="10113" width="9.140625" style="700" customWidth="1"/>
    <col min="10114" max="10114" width="2.5703125" style="700" customWidth="1"/>
    <col min="10115" max="10115" width="9.140625" style="700" customWidth="1"/>
    <col min="10116" max="10116" width="47.85546875" style="700" customWidth="1"/>
    <col min="10117" max="10117" width="6.7109375" style="700" customWidth="1"/>
    <col min="10118" max="10118" width="7.42578125" style="700" customWidth="1"/>
    <col min="10119" max="10119" width="7" style="700"/>
    <col min="10120" max="10120" width="8.5703125" style="700" customWidth="1"/>
    <col min="10121" max="10121" width="12" style="700" customWidth="1"/>
    <col min="10122" max="10122" width="4.7109375" style="700" customWidth="1"/>
    <col min="10123" max="10123" width="9.140625" style="700" customWidth="1"/>
    <col min="10124" max="10124" width="11.7109375" style="700" customWidth="1"/>
    <col min="10125" max="10236" width="7" style="700"/>
    <col min="10237" max="10237" width="3.85546875" style="700" customWidth="1"/>
    <col min="10238" max="10238" width="14" style="700" customWidth="1"/>
    <col min="10239" max="10239" width="66.5703125" style="700" customWidth="1"/>
    <col min="10240" max="10240" width="9.42578125" style="700" customWidth="1"/>
    <col min="10241" max="10241" width="9.140625" style="700" customWidth="1"/>
    <col min="10242" max="10242" width="11.140625" style="700" bestFit="1" customWidth="1"/>
    <col min="10243" max="10243" width="9.140625" style="700" customWidth="1"/>
    <col min="10244" max="10244" width="10.42578125" style="700" customWidth="1"/>
    <col min="10245" max="10245" width="9.140625" style="700" customWidth="1"/>
    <col min="10246" max="10246" width="10.7109375" style="700" customWidth="1"/>
    <col min="10247" max="10247" width="9.140625" style="700" customWidth="1"/>
    <col min="10248" max="10248" width="10.140625" style="700" customWidth="1"/>
    <col min="10249" max="10249" width="11.140625" style="700" customWidth="1"/>
    <col min="10250" max="10369" width="9.140625" style="700" customWidth="1"/>
    <col min="10370" max="10370" width="2.5703125" style="700" customWidth="1"/>
    <col min="10371" max="10371" width="9.140625" style="700" customWidth="1"/>
    <col min="10372" max="10372" width="47.85546875" style="700" customWidth="1"/>
    <col min="10373" max="10373" width="6.7109375" style="700" customWidth="1"/>
    <col min="10374" max="10374" width="7.42578125" style="700" customWidth="1"/>
    <col min="10375" max="10375" width="7" style="700"/>
    <col min="10376" max="10376" width="8.5703125" style="700" customWidth="1"/>
    <col min="10377" max="10377" width="12" style="700" customWidth="1"/>
    <col min="10378" max="10378" width="4.7109375" style="700" customWidth="1"/>
    <col min="10379" max="10379" width="9.140625" style="700" customWidth="1"/>
    <col min="10380" max="10380" width="11.7109375" style="700" customWidth="1"/>
    <col min="10381" max="10492" width="7" style="700"/>
    <col min="10493" max="10493" width="3.85546875" style="700" customWidth="1"/>
    <col min="10494" max="10494" width="14" style="700" customWidth="1"/>
    <col min="10495" max="10495" width="66.5703125" style="700" customWidth="1"/>
    <col min="10496" max="10496" width="9.42578125" style="700" customWidth="1"/>
    <col min="10497" max="10497" width="9.140625" style="700" customWidth="1"/>
    <col min="10498" max="10498" width="11.140625" style="700" bestFit="1" customWidth="1"/>
    <col min="10499" max="10499" width="9.140625" style="700" customWidth="1"/>
    <col min="10500" max="10500" width="10.42578125" style="700" customWidth="1"/>
    <col min="10501" max="10501" width="9.140625" style="700" customWidth="1"/>
    <col min="10502" max="10502" width="10.7109375" style="700" customWidth="1"/>
    <col min="10503" max="10503" width="9.140625" style="700" customWidth="1"/>
    <col min="10504" max="10504" width="10.140625" style="700" customWidth="1"/>
    <col min="10505" max="10505" width="11.140625" style="700" customWidth="1"/>
    <col min="10506" max="10625" width="9.140625" style="700" customWidth="1"/>
    <col min="10626" max="10626" width="2.5703125" style="700" customWidth="1"/>
    <col min="10627" max="10627" width="9.140625" style="700" customWidth="1"/>
    <col min="10628" max="10628" width="47.85546875" style="700" customWidth="1"/>
    <col min="10629" max="10629" width="6.7109375" style="700" customWidth="1"/>
    <col min="10630" max="10630" width="7.42578125" style="700" customWidth="1"/>
    <col min="10631" max="10631" width="7" style="700"/>
    <col min="10632" max="10632" width="8.5703125" style="700" customWidth="1"/>
    <col min="10633" max="10633" width="12" style="700" customWidth="1"/>
    <col min="10634" max="10634" width="4.7109375" style="700" customWidth="1"/>
    <col min="10635" max="10635" width="9.140625" style="700" customWidth="1"/>
    <col min="10636" max="10636" width="11.7109375" style="700" customWidth="1"/>
    <col min="10637" max="10748" width="7" style="700"/>
    <col min="10749" max="10749" width="3.85546875" style="700" customWidth="1"/>
    <col min="10750" max="10750" width="14" style="700" customWidth="1"/>
    <col min="10751" max="10751" width="66.5703125" style="700" customWidth="1"/>
    <col min="10752" max="10752" width="9.42578125" style="700" customWidth="1"/>
    <col min="10753" max="10753" width="9.140625" style="700" customWidth="1"/>
    <col min="10754" max="10754" width="11.140625" style="700" bestFit="1" customWidth="1"/>
    <col min="10755" max="10755" width="9.140625" style="700" customWidth="1"/>
    <col min="10756" max="10756" width="10.42578125" style="700" customWidth="1"/>
    <col min="10757" max="10757" width="9.140625" style="700" customWidth="1"/>
    <col min="10758" max="10758" width="10.7109375" style="700" customWidth="1"/>
    <col min="10759" max="10759" width="9.140625" style="700" customWidth="1"/>
    <col min="10760" max="10760" width="10.140625" style="700" customWidth="1"/>
    <col min="10761" max="10761" width="11.140625" style="700" customWidth="1"/>
    <col min="10762" max="10881" width="9.140625" style="700" customWidth="1"/>
    <col min="10882" max="10882" width="2.5703125" style="700" customWidth="1"/>
    <col min="10883" max="10883" width="9.140625" style="700" customWidth="1"/>
    <col min="10884" max="10884" width="47.85546875" style="700" customWidth="1"/>
    <col min="10885" max="10885" width="6.7109375" style="700" customWidth="1"/>
    <col min="10886" max="10886" width="7.42578125" style="700" customWidth="1"/>
    <col min="10887" max="10887" width="7" style="700"/>
    <col min="10888" max="10888" width="8.5703125" style="700" customWidth="1"/>
    <col min="10889" max="10889" width="12" style="700" customWidth="1"/>
    <col min="10890" max="10890" width="4.7109375" style="700" customWidth="1"/>
    <col min="10891" max="10891" width="9.140625" style="700" customWidth="1"/>
    <col min="10892" max="10892" width="11.7109375" style="700" customWidth="1"/>
    <col min="10893" max="11004" width="7" style="700"/>
    <col min="11005" max="11005" width="3.85546875" style="700" customWidth="1"/>
    <col min="11006" max="11006" width="14" style="700" customWidth="1"/>
    <col min="11007" max="11007" width="66.5703125" style="700" customWidth="1"/>
    <col min="11008" max="11008" width="9.42578125" style="700" customWidth="1"/>
    <col min="11009" max="11009" width="9.140625" style="700" customWidth="1"/>
    <col min="11010" max="11010" width="11.140625" style="700" bestFit="1" customWidth="1"/>
    <col min="11011" max="11011" width="9.140625" style="700" customWidth="1"/>
    <col min="11012" max="11012" width="10.42578125" style="700" customWidth="1"/>
    <col min="11013" max="11013" width="9.140625" style="700" customWidth="1"/>
    <col min="11014" max="11014" width="10.7109375" style="700" customWidth="1"/>
    <col min="11015" max="11015" width="9.140625" style="700" customWidth="1"/>
    <col min="11016" max="11016" width="10.140625" style="700" customWidth="1"/>
    <col min="11017" max="11017" width="11.140625" style="700" customWidth="1"/>
    <col min="11018" max="11137" width="9.140625" style="700" customWidth="1"/>
    <col min="11138" max="11138" width="2.5703125" style="700" customWidth="1"/>
    <col min="11139" max="11139" width="9.140625" style="700" customWidth="1"/>
    <col min="11140" max="11140" width="47.85546875" style="700" customWidth="1"/>
    <col min="11141" max="11141" width="6.7109375" style="700" customWidth="1"/>
    <col min="11142" max="11142" width="7.42578125" style="700" customWidth="1"/>
    <col min="11143" max="11143" width="7" style="700"/>
    <col min="11144" max="11144" width="8.5703125" style="700" customWidth="1"/>
    <col min="11145" max="11145" width="12" style="700" customWidth="1"/>
    <col min="11146" max="11146" width="4.7109375" style="700" customWidth="1"/>
    <col min="11147" max="11147" width="9.140625" style="700" customWidth="1"/>
    <col min="11148" max="11148" width="11.7109375" style="700" customWidth="1"/>
    <col min="11149" max="11260" width="7" style="700"/>
    <col min="11261" max="11261" width="3.85546875" style="700" customWidth="1"/>
    <col min="11262" max="11262" width="14" style="700" customWidth="1"/>
    <col min="11263" max="11263" width="66.5703125" style="700" customWidth="1"/>
    <col min="11264" max="11264" width="9.42578125" style="700" customWidth="1"/>
    <col min="11265" max="11265" width="9.140625" style="700" customWidth="1"/>
    <col min="11266" max="11266" width="11.140625" style="700" bestFit="1" customWidth="1"/>
    <col min="11267" max="11267" width="9.140625" style="700" customWidth="1"/>
    <col min="11268" max="11268" width="10.42578125" style="700" customWidth="1"/>
    <col min="11269" max="11269" width="9.140625" style="700" customWidth="1"/>
    <col min="11270" max="11270" width="10.7109375" style="700" customWidth="1"/>
    <col min="11271" max="11271" width="9.140625" style="700" customWidth="1"/>
    <col min="11272" max="11272" width="10.140625" style="700" customWidth="1"/>
    <col min="11273" max="11273" width="11.140625" style="700" customWidth="1"/>
    <col min="11274" max="11393" width="9.140625" style="700" customWidth="1"/>
    <col min="11394" max="11394" width="2.5703125" style="700" customWidth="1"/>
    <col min="11395" max="11395" width="9.140625" style="700" customWidth="1"/>
    <col min="11396" max="11396" width="47.85546875" style="700" customWidth="1"/>
    <col min="11397" max="11397" width="6.7109375" style="700" customWidth="1"/>
    <col min="11398" max="11398" width="7.42578125" style="700" customWidth="1"/>
    <col min="11399" max="11399" width="7" style="700"/>
    <col min="11400" max="11400" width="8.5703125" style="700" customWidth="1"/>
    <col min="11401" max="11401" width="12" style="700" customWidth="1"/>
    <col min="11402" max="11402" width="4.7109375" style="700" customWidth="1"/>
    <col min="11403" max="11403" width="9.140625" style="700" customWidth="1"/>
    <col min="11404" max="11404" width="11.7109375" style="700" customWidth="1"/>
    <col min="11405" max="11516" width="7" style="700"/>
    <col min="11517" max="11517" width="3.85546875" style="700" customWidth="1"/>
    <col min="11518" max="11518" width="14" style="700" customWidth="1"/>
    <col min="11519" max="11519" width="66.5703125" style="700" customWidth="1"/>
    <col min="11520" max="11520" width="9.42578125" style="700" customWidth="1"/>
    <col min="11521" max="11521" width="9.140625" style="700" customWidth="1"/>
    <col min="11522" max="11522" width="11.140625" style="700" bestFit="1" customWidth="1"/>
    <col min="11523" max="11523" width="9.140625" style="700" customWidth="1"/>
    <col min="11524" max="11524" width="10.42578125" style="700" customWidth="1"/>
    <col min="11525" max="11525" width="9.140625" style="700" customWidth="1"/>
    <col min="11526" max="11526" width="10.7109375" style="700" customWidth="1"/>
    <col min="11527" max="11527" width="9.140625" style="700" customWidth="1"/>
    <col min="11528" max="11528" width="10.140625" style="700" customWidth="1"/>
    <col min="11529" max="11529" width="11.140625" style="700" customWidth="1"/>
    <col min="11530" max="11649" width="9.140625" style="700" customWidth="1"/>
    <col min="11650" max="11650" width="2.5703125" style="700" customWidth="1"/>
    <col min="11651" max="11651" width="9.140625" style="700" customWidth="1"/>
    <col min="11652" max="11652" width="47.85546875" style="700" customWidth="1"/>
    <col min="11653" max="11653" width="6.7109375" style="700" customWidth="1"/>
    <col min="11654" max="11654" width="7.42578125" style="700" customWidth="1"/>
    <col min="11655" max="11655" width="7" style="700"/>
    <col min="11656" max="11656" width="8.5703125" style="700" customWidth="1"/>
    <col min="11657" max="11657" width="12" style="700" customWidth="1"/>
    <col min="11658" max="11658" width="4.7109375" style="700" customWidth="1"/>
    <col min="11659" max="11659" width="9.140625" style="700" customWidth="1"/>
    <col min="11660" max="11660" width="11.7109375" style="700" customWidth="1"/>
    <col min="11661" max="11772" width="7" style="700"/>
    <col min="11773" max="11773" width="3.85546875" style="700" customWidth="1"/>
    <col min="11774" max="11774" width="14" style="700" customWidth="1"/>
    <col min="11775" max="11775" width="66.5703125" style="700" customWidth="1"/>
    <col min="11776" max="11776" width="9.42578125" style="700" customWidth="1"/>
    <col min="11777" max="11777" width="9.140625" style="700" customWidth="1"/>
    <col min="11778" max="11778" width="11.140625" style="700" bestFit="1" customWidth="1"/>
    <col min="11779" max="11779" width="9.140625" style="700" customWidth="1"/>
    <col min="11780" max="11780" width="10.42578125" style="700" customWidth="1"/>
    <col min="11781" max="11781" width="9.140625" style="700" customWidth="1"/>
    <col min="11782" max="11782" width="10.7109375" style="700" customWidth="1"/>
    <col min="11783" max="11783" width="9.140625" style="700" customWidth="1"/>
    <col min="11784" max="11784" width="10.140625" style="700" customWidth="1"/>
    <col min="11785" max="11785" width="11.140625" style="700" customWidth="1"/>
    <col min="11786" max="11905" width="9.140625" style="700" customWidth="1"/>
    <col min="11906" max="11906" width="2.5703125" style="700" customWidth="1"/>
    <col min="11907" max="11907" width="9.140625" style="700" customWidth="1"/>
    <col min="11908" max="11908" width="47.85546875" style="700" customWidth="1"/>
    <col min="11909" max="11909" width="6.7109375" style="700" customWidth="1"/>
    <col min="11910" max="11910" width="7.42578125" style="700" customWidth="1"/>
    <col min="11911" max="11911" width="7" style="700"/>
    <col min="11912" max="11912" width="8.5703125" style="700" customWidth="1"/>
    <col min="11913" max="11913" width="12" style="700" customWidth="1"/>
    <col min="11914" max="11914" width="4.7109375" style="700" customWidth="1"/>
    <col min="11915" max="11915" width="9.140625" style="700" customWidth="1"/>
    <col min="11916" max="11916" width="11.7109375" style="700" customWidth="1"/>
    <col min="11917" max="12028" width="7" style="700"/>
    <col min="12029" max="12029" width="3.85546875" style="700" customWidth="1"/>
    <col min="12030" max="12030" width="14" style="700" customWidth="1"/>
    <col min="12031" max="12031" width="66.5703125" style="700" customWidth="1"/>
    <col min="12032" max="12032" width="9.42578125" style="700" customWidth="1"/>
    <col min="12033" max="12033" width="9.140625" style="700" customWidth="1"/>
    <col min="12034" max="12034" width="11.140625" style="700" bestFit="1" customWidth="1"/>
    <col min="12035" max="12035" width="9.140625" style="700" customWidth="1"/>
    <col min="12036" max="12036" width="10.42578125" style="700" customWidth="1"/>
    <col min="12037" max="12037" width="9.140625" style="700" customWidth="1"/>
    <col min="12038" max="12038" width="10.7109375" style="700" customWidth="1"/>
    <col min="12039" max="12039" width="9.140625" style="700" customWidth="1"/>
    <col min="12040" max="12040" width="10.140625" style="700" customWidth="1"/>
    <col min="12041" max="12041" width="11.140625" style="700" customWidth="1"/>
    <col min="12042" max="12161" width="9.140625" style="700" customWidth="1"/>
    <col min="12162" max="12162" width="2.5703125" style="700" customWidth="1"/>
    <col min="12163" max="12163" width="9.140625" style="700" customWidth="1"/>
    <col min="12164" max="12164" width="47.85546875" style="700" customWidth="1"/>
    <col min="12165" max="12165" width="6.7109375" style="700" customWidth="1"/>
    <col min="12166" max="12166" width="7.42578125" style="700" customWidth="1"/>
    <col min="12167" max="12167" width="7" style="700"/>
    <col min="12168" max="12168" width="8.5703125" style="700" customWidth="1"/>
    <col min="12169" max="12169" width="12" style="700" customWidth="1"/>
    <col min="12170" max="12170" width="4.7109375" style="700" customWidth="1"/>
    <col min="12171" max="12171" width="9.140625" style="700" customWidth="1"/>
    <col min="12172" max="12172" width="11.7109375" style="700" customWidth="1"/>
    <col min="12173" max="12284" width="7" style="700"/>
    <col min="12285" max="12285" width="3.85546875" style="700" customWidth="1"/>
    <col min="12286" max="12286" width="14" style="700" customWidth="1"/>
    <col min="12287" max="12287" width="66.5703125" style="700" customWidth="1"/>
    <col min="12288" max="12288" width="9.42578125" style="700" customWidth="1"/>
    <col min="12289" max="12289" width="9.140625" style="700" customWidth="1"/>
    <col min="12290" max="12290" width="11.140625" style="700" bestFit="1" customWidth="1"/>
    <col min="12291" max="12291" width="9.140625" style="700" customWidth="1"/>
    <col min="12292" max="12292" width="10.42578125" style="700" customWidth="1"/>
    <col min="12293" max="12293" width="9.140625" style="700" customWidth="1"/>
    <col min="12294" max="12294" width="10.7109375" style="700" customWidth="1"/>
    <col min="12295" max="12295" width="9.140625" style="700" customWidth="1"/>
    <col min="12296" max="12296" width="10.140625" style="700" customWidth="1"/>
    <col min="12297" max="12297" width="11.140625" style="700" customWidth="1"/>
    <col min="12298" max="12417" width="9.140625" style="700" customWidth="1"/>
    <col min="12418" max="12418" width="2.5703125" style="700" customWidth="1"/>
    <col min="12419" max="12419" width="9.140625" style="700" customWidth="1"/>
    <col min="12420" max="12420" width="47.85546875" style="700" customWidth="1"/>
    <col min="12421" max="12421" width="6.7109375" style="700" customWidth="1"/>
    <col min="12422" max="12422" width="7.42578125" style="700" customWidth="1"/>
    <col min="12423" max="12423" width="7" style="700"/>
    <col min="12424" max="12424" width="8.5703125" style="700" customWidth="1"/>
    <col min="12425" max="12425" width="12" style="700" customWidth="1"/>
    <col min="12426" max="12426" width="4.7109375" style="700" customWidth="1"/>
    <col min="12427" max="12427" width="9.140625" style="700" customWidth="1"/>
    <col min="12428" max="12428" width="11.7109375" style="700" customWidth="1"/>
    <col min="12429" max="12540" width="7" style="700"/>
    <col min="12541" max="12541" width="3.85546875" style="700" customWidth="1"/>
    <col min="12542" max="12542" width="14" style="700" customWidth="1"/>
    <col min="12543" max="12543" width="66.5703125" style="700" customWidth="1"/>
    <col min="12544" max="12544" width="9.42578125" style="700" customWidth="1"/>
    <col min="12545" max="12545" width="9.140625" style="700" customWidth="1"/>
    <col min="12546" max="12546" width="11.140625" style="700" bestFit="1" customWidth="1"/>
    <col min="12547" max="12547" width="9.140625" style="700" customWidth="1"/>
    <col min="12548" max="12548" width="10.42578125" style="700" customWidth="1"/>
    <col min="12549" max="12549" width="9.140625" style="700" customWidth="1"/>
    <col min="12550" max="12550" width="10.7109375" style="700" customWidth="1"/>
    <col min="12551" max="12551" width="9.140625" style="700" customWidth="1"/>
    <col min="12552" max="12552" width="10.140625" style="700" customWidth="1"/>
    <col min="12553" max="12553" width="11.140625" style="700" customWidth="1"/>
    <col min="12554" max="12673" width="9.140625" style="700" customWidth="1"/>
    <col min="12674" max="12674" width="2.5703125" style="700" customWidth="1"/>
    <col min="12675" max="12675" width="9.140625" style="700" customWidth="1"/>
    <col min="12676" max="12676" width="47.85546875" style="700" customWidth="1"/>
    <col min="12677" max="12677" width="6.7109375" style="700" customWidth="1"/>
    <col min="12678" max="12678" width="7.42578125" style="700" customWidth="1"/>
    <col min="12679" max="12679" width="7" style="700"/>
    <col min="12680" max="12680" width="8.5703125" style="700" customWidth="1"/>
    <col min="12681" max="12681" width="12" style="700" customWidth="1"/>
    <col min="12682" max="12682" width="4.7109375" style="700" customWidth="1"/>
    <col min="12683" max="12683" width="9.140625" style="700" customWidth="1"/>
    <col min="12684" max="12684" width="11.7109375" style="700" customWidth="1"/>
    <col min="12685" max="12796" width="7" style="700"/>
    <col min="12797" max="12797" width="3.85546875" style="700" customWidth="1"/>
    <col min="12798" max="12798" width="14" style="700" customWidth="1"/>
    <col min="12799" max="12799" width="66.5703125" style="700" customWidth="1"/>
    <col min="12800" max="12800" width="9.42578125" style="700" customWidth="1"/>
    <col min="12801" max="12801" width="9.140625" style="700" customWidth="1"/>
    <col min="12802" max="12802" width="11.140625" style="700" bestFit="1" customWidth="1"/>
    <col min="12803" max="12803" width="9.140625" style="700" customWidth="1"/>
    <col min="12804" max="12804" width="10.42578125" style="700" customWidth="1"/>
    <col min="12805" max="12805" width="9.140625" style="700" customWidth="1"/>
    <col min="12806" max="12806" width="10.7109375" style="700" customWidth="1"/>
    <col min="12807" max="12807" width="9.140625" style="700" customWidth="1"/>
    <col min="12808" max="12808" width="10.140625" style="700" customWidth="1"/>
    <col min="12809" max="12809" width="11.140625" style="700" customWidth="1"/>
    <col min="12810" max="12929" width="9.140625" style="700" customWidth="1"/>
    <col min="12930" max="12930" width="2.5703125" style="700" customWidth="1"/>
    <col min="12931" max="12931" width="9.140625" style="700" customWidth="1"/>
    <col min="12932" max="12932" width="47.85546875" style="700" customWidth="1"/>
    <col min="12933" max="12933" width="6.7109375" style="700" customWidth="1"/>
    <col min="12934" max="12934" width="7.42578125" style="700" customWidth="1"/>
    <col min="12935" max="12935" width="7" style="700"/>
    <col min="12936" max="12936" width="8.5703125" style="700" customWidth="1"/>
    <col min="12937" max="12937" width="12" style="700" customWidth="1"/>
    <col min="12938" max="12938" width="4.7109375" style="700" customWidth="1"/>
    <col min="12939" max="12939" width="9.140625" style="700" customWidth="1"/>
    <col min="12940" max="12940" width="11.7109375" style="700" customWidth="1"/>
    <col min="12941" max="13052" width="7" style="700"/>
    <col min="13053" max="13053" width="3.85546875" style="700" customWidth="1"/>
    <col min="13054" max="13054" width="14" style="700" customWidth="1"/>
    <col min="13055" max="13055" width="66.5703125" style="700" customWidth="1"/>
    <col min="13056" max="13056" width="9.42578125" style="700" customWidth="1"/>
    <col min="13057" max="13057" width="9.140625" style="700" customWidth="1"/>
    <col min="13058" max="13058" width="11.140625" style="700" bestFit="1" customWidth="1"/>
    <col min="13059" max="13059" width="9.140625" style="700" customWidth="1"/>
    <col min="13060" max="13060" width="10.42578125" style="700" customWidth="1"/>
    <col min="13061" max="13061" width="9.140625" style="700" customWidth="1"/>
    <col min="13062" max="13062" width="10.7109375" style="700" customWidth="1"/>
    <col min="13063" max="13063" width="9.140625" style="700" customWidth="1"/>
    <col min="13064" max="13064" width="10.140625" style="700" customWidth="1"/>
    <col min="13065" max="13065" width="11.140625" style="700" customWidth="1"/>
    <col min="13066" max="13185" width="9.140625" style="700" customWidth="1"/>
    <col min="13186" max="13186" width="2.5703125" style="700" customWidth="1"/>
    <col min="13187" max="13187" width="9.140625" style="700" customWidth="1"/>
    <col min="13188" max="13188" width="47.85546875" style="700" customWidth="1"/>
    <col min="13189" max="13189" width="6.7109375" style="700" customWidth="1"/>
    <col min="13190" max="13190" width="7.42578125" style="700" customWidth="1"/>
    <col min="13191" max="13191" width="7" style="700"/>
    <col min="13192" max="13192" width="8.5703125" style="700" customWidth="1"/>
    <col min="13193" max="13193" width="12" style="700" customWidth="1"/>
    <col min="13194" max="13194" width="4.7109375" style="700" customWidth="1"/>
    <col min="13195" max="13195" width="9.140625" style="700" customWidth="1"/>
    <col min="13196" max="13196" width="11.7109375" style="700" customWidth="1"/>
    <col min="13197" max="13308" width="7" style="700"/>
    <col min="13309" max="13309" width="3.85546875" style="700" customWidth="1"/>
    <col min="13310" max="13310" width="14" style="700" customWidth="1"/>
    <col min="13311" max="13311" width="66.5703125" style="700" customWidth="1"/>
    <col min="13312" max="13312" width="9.42578125" style="700" customWidth="1"/>
    <col min="13313" max="13313" width="9.140625" style="700" customWidth="1"/>
    <col min="13314" max="13314" width="11.140625" style="700" bestFit="1" customWidth="1"/>
    <col min="13315" max="13315" width="9.140625" style="700" customWidth="1"/>
    <col min="13316" max="13316" width="10.42578125" style="700" customWidth="1"/>
    <col min="13317" max="13317" width="9.140625" style="700" customWidth="1"/>
    <col min="13318" max="13318" width="10.7109375" style="700" customWidth="1"/>
    <col min="13319" max="13319" width="9.140625" style="700" customWidth="1"/>
    <col min="13320" max="13320" width="10.140625" style="700" customWidth="1"/>
    <col min="13321" max="13321" width="11.140625" style="700" customWidth="1"/>
    <col min="13322" max="13441" width="9.140625" style="700" customWidth="1"/>
    <col min="13442" max="13442" width="2.5703125" style="700" customWidth="1"/>
    <col min="13443" max="13443" width="9.140625" style="700" customWidth="1"/>
    <col min="13444" max="13444" width="47.85546875" style="700" customWidth="1"/>
    <col min="13445" max="13445" width="6.7109375" style="700" customWidth="1"/>
    <col min="13446" max="13446" width="7.42578125" style="700" customWidth="1"/>
    <col min="13447" max="13447" width="7" style="700"/>
    <col min="13448" max="13448" width="8.5703125" style="700" customWidth="1"/>
    <col min="13449" max="13449" width="12" style="700" customWidth="1"/>
    <col min="13450" max="13450" width="4.7109375" style="700" customWidth="1"/>
    <col min="13451" max="13451" width="9.140625" style="700" customWidth="1"/>
    <col min="13452" max="13452" width="11.7109375" style="700" customWidth="1"/>
    <col min="13453" max="13564" width="7" style="700"/>
    <col min="13565" max="13565" width="3.85546875" style="700" customWidth="1"/>
    <col min="13566" max="13566" width="14" style="700" customWidth="1"/>
    <col min="13567" max="13567" width="66.5703125" style="700" customWidth="1"/>
    <col min="13568" max="13568" width="9.42578125" style="700" customWidth="1"/>
    <col min="13569" max="13569" width="9.140625" style="700" customWidth="1"/>
    <col min="13570" max="13570" width="11.140625" style="700" bestFit="1" customWidth="1"/>
    <col min="13571" max="13571" width="9.140625" style="700" customWidth="1"/>
    <col min="13572" max="13572" width="10.42578125" style="700" customWidth="1"/>
    <col min="13573" max="13573" width="9.140625" style="700" customWidth="1"/>
    <col min="13574" max="13574" width="10.7109375" style="700" customWidth="1"/>
    <col min="13575" max="13575" width="9.140625" style="700" customWidth="1"/>
    <col min="13576" max="13576" width="10.140625" style="700" customWidth="1"/>
    <col min="13577" max="13577" width="11.140625" style="700" customWidth="1"/>
    <col min="13578" max="13697" width="9.140625" style="700" customWidth="1"/>
    <col min="13698" max="13698" width="2.5703125" style="700" customWidth="1"/>
    <col min="13699" max="13699" width="9.140625" style="700" customWidth="1"/>
    <col min="13700" max="13700" width="47.85546875" style="700" customWidth="1"/>
    <col min="13701" max="13701" width="6.7109375" style="700" customWidth="1"/>
    <col min="13702" max="13702" width="7.42578125" style="700" customWidth="1"/>
    <col min="13703" max="13703" width="7" style="700"/>
    <col min="13704" max="13704" width="8.5703125" style="700" customWidth="1"/>
    <col min="13705" max="13705" width="12" style="700" customWidth="1"/>
    <col min="13706" max="13706" width="4.7109375" style="700" customWidth="1"/>
    <col min="13707" max="13707" width="9.140625" style="700" customWidth="1"/>
    <col min="13708" max="13708" width="11.7109375" style="700" customWidth="1"/>
    <col min="13709" max="13820" width="7" style="700"/>
    <col min="13821" max="13821" width="3.85546875" style="700" customWidth="1"/>
    <col min="13822" max="13822" width="14" style="700" customWidth="1"/>
    <col min="13823" max="13823" width="66.5703125" style="700" customWidth="1"/>
    <col min="13824" max="13824" width="9.42578125" style="700" customWidth="1"/>
    <col min="13825" max="13825" width="9.140625" style="700" customWidth="1"/>
    <col min="13826" max="13826" width="11.140625" style="700" bestFit="1" customWidth="1"/>
    <col min="13827" max="13827" width="9.140625" style="700" customWidth="1"/>
    <col min="13828" max="13828" width="10.42578125" style="700" customWidth="1"/>
    <col min="13829" max="13829" width="9.140625" style="700" customWidth="1"/>
    <col min="13830" max="13830" width="10.7109375" style="700" customWidth="1"/>
    <col min="13831" max="13831" width="9.140625" style="700" customWidth="1"/>
    <col min="13832" max="13832" width="10.140625" style="700" customWidth="1"/>
    <col min="13833" max="13833" width="11.140625" style="700" customWidth="1"/>
    <col min="13834" max="13953" width="9.140625" style="700" customWidth="1"/>
    <col min="13954" max="13954" width="2.5703125" style="700" customWidth="1"/>
    <col min="13955" max="13955" width="9.140625" style="700" customWidth="1"/>
    <col min="13956" max="13956" width="47.85546875" style="700" customWidth="1"/>
    <col min="13957" max="13957" width="6.7109375" style="700" customWidth="1"/>
    <col min="13958" max="13958" width="7.42578125" style="700" customWidth="1"/>
    <col min="13959" max="13959" width="7" style="700"/>
    <col min="13960" max="13960" width="8.5703125" style="700" customWidth="1"/>
    <col min="13961" max="13961" width="12" style="700" customWidth="1"/>
    <col min="13962" max="13962" width="4.7109375" style="700" customWidth="1"/>
    <col min="13963" max="13963" width="9.140625" style="700" customWidth="1"/>
    <col min="13964" max="13964" width="11.7109375" style="700" customWidth="1"/>
    <col min="13965" max="14076" width="7" style="700"/>
    <col min="14077" max="14077" width="3.85546875" style="700" customWidth="1"/>
    <col min="14078" max="14078" width="14" style="700" customWidth="1"/>
    <col min="14079" max="14079" width="66.5703125" style="700" customWidth="1"/>
    <col min="14080" max="14080" width="9.42578125" style="700" customWidth="1"/>
    <col min="14081" max="14081" width="9.140625" style="700" customWidth="1"/>
    <col min="14082" max="14082" width="11.140625" style="700" bestFit="1" customWidth="1"/>
    <col min="14083" max="14083" width="9.140625" style="700" customWidth="1"/>
    <col min="14084" max="14084" width="10.42578125" style="700" customWidth="1"/>
    <col min="14085" max="14085" width="9.140625" style="700" customWidth="1"/>
    <col min="14086" max="14086" width="10.7109375" style="700" customWidth="1"/>
    <col min="14087" max="14087" width="9.140625" style="700" customWidth="1"/>
    <col min="14088" max="14088" width="10.140625" style="700" customWidth="1"/>
    <col min="14089" max="14089" width="11.140625" style="700" customWidth="1"/>
    <col min="14090" max="14209" width="9.140625" style="700" customWidth="1"/>
    <col min="14210" max="14210" width="2.5703125" style="700" customWidth="1"/>
    <col min="14211" max="14211" width="9.140625" style="700" customWidth="1"/>
    <col min="14212" max="14212" width="47.85546875" style="700" customWidth="1"/>
    <col min="14213" max="14213" width="6.7109375" style="700" customWidth="1"/>
    <col min="14214" max="14214" width="7.42578125" style="700" customWidth="1"/>
    <col min="14215" max="14215" width="7" style="700"/>
    <col min="14216" max="14216" width="8.5703125" style="700" customWidth="1"/>
    <col min="14217" max="14217" width="12" style="700" customWidth="1"/>
    <col min="14218" max="14218" width="4.7109375" style="700" customWidth="1"/>
    <col min="14219" max="14219" width="9.140625" style="700" customWidth="1"/>
    <col min="14220" max="14220" width="11.7109375" style="700" customWidth="1"/>
    <col min="14221" max="14332" width="7" style="700"/>
    <col min="14333" max="14333" width="3.85546875" style="700" customWidth="1"/>
    <col min="14334" max="14334" width="14" style="700" customWidth="1"/>
    <col min="14335" max="14335" width="66.5703125" style="700" customWidth="1"/>
    <col min="14336" max="14336" width="9.42578125" style="700" customWidth="1"/>
    <col min="14337" max="14337" width="9.140625" style="700" customWidth="1"/>
    <col min="14338" max="14338" width="11.140625" style="700" bestFit="1" customWidth="1"/>
    <col min="14339" max="14339" width="9.140625" style="700" customWidth="1"/>
    <col min="14340" max="14340" width="10.42578125" style="700" customWidth="1"/>
    <col min="14341" max="14341" width="9.140625" style="700" customWidth="1"/>
    <col min="14342" max="14342" width="10.7109375" style="700" customWidth="1"/>
    <col min="14343" max="14343" width="9.140625" style="700" customWidth="1"/>
    <col min="14344" max="14344" width="10.140625" style="700" customWidth="1"/>
    <col min="14345" max="14345" width="11.140625" style="700" customWidth="1"/>
    <col min="14346" max="14465" width="9.140625" style="700" customWidth="1"/>
    <col min="14466" max="14466" width="2.5703125" style="700" customWidth="1"/>
    <col min="14467" max="14467" width="9.140625" style="700" customWidth="1"/>
    <col min="14468" max="14468" width="47.85546875" style="700" customWidth="1"/>
    <col min="14469" max="14469" width="6.7109375" style="700" customWidth="1"/>
    <col min="14470" max="14470" width="7.42578125" style="700" customWidth="1"/>
    <col min="14471" max="14471" width="7" style="700"/>
    <col min="14472" max="14472" width="8.5703125" style="700" customWidth="1"/>
    <col min="14473" max="14473" width="12" style="700" customWidth="1"/>
    <col min="14474" max="14474" width="4.7109375" style="700" customWidth="1"/>
    <col min="14475" max="14475" width="9.140625" style="700" customWidth="1"/>
    <col min="14476" max="14476" width="11.7109375" style="700" customWidth="1"/>
    <col min="14477" max="14588" width="7" style="700"/>
    <col min="14589" max="14589" width="3.85546875" style="700" customWidth="1"/>
    <col min="14590" max="14590" width="14" style="700" customWidth="1"/>
    <col min="14591" max="14591" width="66.5703125" style="700" customWidth="1"/>
    <col min="14592" max="14592" width="9.42578125" style="700" customWidth="1"/>
    <col min="14593" max="14593" width="9.140625" style="700" customWidth="1"/>
    <col min="14594" max="14594" width="11.140625" style="700" bestFit="1" customWidth="1"/>
    <col min="14595" max="14595" width="9.140625" style="700" customWidth="1"/>
    <col min="14596" max="14596" width="10.42578125" style="700" customWidth="1"/>
    <col min="14597" max="14597" width="9.140625" style="700" customWidth="1"/>
    <col min="14598" max="14598" width="10.7109375" style="700" customWidth="1"/>
    <col min="14599" max="14599" width="9.140625" style="700" customWidth="1"/>
    <col min="14600" max="14600" width="10.140625" style="700" customWidth="1"/>
    <col min="14601" max="14601" width="11.140625" style="700" customWidth="1"/>
    <col min="14602" max="14721" width="9.140625" style="700" customWidth="1"/>
    <col min="14722" max="14722" width="2.5703125" style="700" customWidth="1"/>
    <col min="14723" max="14723" width="9.140625" style="700" customWidth="1"/>
    <col min="14724" max="14724" width="47.85546875" style="700" customWidth="1"/>
    <col min="14725" max="14725" width="6.7109375" style="700" customWidth="1"/>
    <col min="14726" max="14726" width="7.42578125" style="700" customWidth="1"/>
    <col min="14727" max="14727" width="7" style="700"/>
    <col min="14728" max="14728" width="8.5703125" style="700" customWidth="1"/>
    <col min="14729" max="14729" width="12" style="700" customWidth="1"/>
    <col min="14730" max="14730" width="4.7109375" style="700" customWidth="1"/>
    <col min="14731" max="14731" width="9.140625" style="700" customWidth="1"/>
    <col min="14732" max="14732" width="11.7109375" style="700" customWidth="1"/>
    <col min="14733" max="14844" width="7" style="700"/>
    <col min="14845" max="14845" width="3.85546875" style="700" customWidth="1"/>
    <col min="14846" max="14846" width="14" style="700" customWidth="1"/>
    <col min="14847" max="14847" width="66.5703125" style="700" customWidth="1"/>
    <col min="14848" max="14848" width="9.42578125" style="700" customWidth="1"/>
    <col min="14849" max="14849" width="9.140625" style="700" customWidth="1"/>
    <col min="14850" max="14850" width="11.140625" style="700" bestFit="1" customWidth="1"/>
    <col min="14851" max="14851" width="9.140625" style="700" customWidth="1"/>
    <col min="14852" max="14852" width="10.42578125" style="700" customWidth="1"/>
    <col min="14853" max="14853" width="9.140625" style="700" customWidth="1"/>
    <col min="14854" max="14854" width="10.7109375" style="700" customWidth="1"/>
    <col min="14855" max="14855" width="9.140625" style="700" customWidth="1"/>
    <col min="14856" max="14856" width="10.140625" style="700" customWidth="1"/>
    <col min="14857" max="14857" width="11.140625" style="700" customWidth="1"/>
    <col min="14858" max="14977" width="9.140625" style="700" customWidth="1"/>
    <col min="14978" max="14978" width="2.5703125" style="700" customWidth="1"/>
    <col min="14979" max="14979" width="9.140625" style="700" customWidth="1"/>
    <col min="14980" max="14980" width="47.85546875" style="700" customWidth="1"/>
    <col min="14981" max="14981" width="6.7109375" style="700" customWidth="1"/>
    <col min="14982" max="14982" width="7.42578125" style="700" customWidth="1"/>
    <col min="14983" max="14983" width="7" style="700"/>
    <col min="14984" max="14984" width="8.5703125" style="700" customWidth="1"/>
    <col min="14985" max="14985" width="12" style="700" customWidth="1"/>
    <col min="14986" max="14986" width="4.7109375" style="700" customWidth="1"/>
    <col min="14987" max="14987" width="9.140625" style="700" customWidth="1"/>
    <col min="14988" max="14988" width="11.7109375" style="700" customWidth="1"/>
    <col min="14989" max="15100" width="7" style="700"/>
    <col min="15101" max="15101" width="3.85546875" style="700" customWidth="1"/>
    <col min="15102" max="15102" width="14" style="700" customWidth="1"/>
    <col min="15103" max="15103" width="66.5703125" style="700" customWidth="1"/>
    <col min="15104" max="15104" width="9.42578125" style="700" customWidth="1"/>
    <col min="15105" max="15105" width="9.140625" style="700" customWidth="1"/>
    <col min="15106" max="15106" width="11.140625" style="700" bestFit="1" customWidth="1"/>
    <col min="15107" max="15107" width="9.140625" style="700" customWidth="1"/>
    <col min="15108" max="15108" width="10.42578125" style="700" customWidth="1"/>
    <col min="15109" max="15109" width="9.140625" style="700" customWidth="1"/>
    <col min="15110" max="15110" width="10.7109375" style="700" customWidth="1"/>
    <col min="15111" max="15111" width="9.140625" style="700" customWidth="1"/>
    <col min="15112" max="15112" width="10.140625" style="700" customWidth="1"/>
    <col min="15113" max="15113" width="11.140625" style="700" customWidth="1"/>
    <col min="15114" max="15233" width="9.140625" style="700" customWidth="1"/>
    <col min="15234" max="15234" width="2.5703125" style="700" customWidth="1"/>
    <col min="15235" max="15235" width="9.140625" style="700" customWidth="1"/>
    <col min="15236" max="15236" width="47.85546875" style="700" customWidth="1"/>
    <col min="15237" max="15237" width="6.7109375" style="700" customWidth="1"/>
    <col min="15238" max="15238" width="7.42578125" style="700" customWidth="1"/>
    <col min="15239" max="15239" width="7" style="700"/>
    <col min="15240" max="15240" width="8.5703125" style="700" customWidth="1"/>
    <col min="15241" max="15241" width="12" style="700" customWidth="1"/>
    <col min="15242" max="15242" width="4.7109375" style="700" customWidth="1"/>
    <col min="15243" max="15243" width="9.140625" style="700" customWidth="1"/>
    <col min="15244" max="15244" width="11.7109375" style="700" customWidth="1"/>
    <col min="15245" max="15356" width="7" style="700"/>
    <col min="15357" max="15357" width="3.85546875" style="700" customWidth="1"/>
    <col min="15358" max="15358" width="14" style="700" customWidth="1"/>
    <col min="15359" max="15359" width="66.5703125" style="700" customWidth="1"/>
    <col min="15360" max="15360" width="9.42578125" style="700" customWidth="1"/>
    <col min="15361" max="15361" width="9.140625" style="700" customWidth="1"/>
    <col min="15362" max="15362" width="11.140625" style="700" bestFit="1" customWidth="1"/>
    <col min="15363" max="15363" width="9.140625" style="700" customWidth="1"/>
    <col min="15364" max="15364" width="10.42578125" style="700" customWidth="1"/>
    <col min="15365" max="15365" width="9.140625" style="700" customWidth="1"/>
    <col min="15366" max="15366" width="10.7109375" style="700" customWidth="1"/>
    <col min="15367" max="15367" width="9.140625" style="700" customWidth="1"/>
    <col min="15368" max="15368" width="10.140625" style="700" customWidth="1"/>
    <col min="15369" max="15369" width="11.140625" style="700" customWidth="1"/>
    <col min="15370" max="15489" width="9.140625" style="700" customWidth="1"/>
    <col min="15490" max="15490" width="2.5703125" style="700" customWidth="1"/>
    <col min="15491" max="15491" width="9.140625" style="700" customWidth="1"/>
    <col min="15492" max="15492" width="47.85546875" style="700" customWidth="1"/>
    <col min="15493" max="15493" width="6.7109375" style="700" customWidth="1"/>
    <col min="15494" max="15494" width="7.42578125" style="700" customWidth="1"/>
    <col min="15495" max="15495" width="7" style="700"/>
    <col min="15496" max="15496" width="8.5703125" style="700" customWidth="1"/>
    <col min="15497" max="15497" width="12" style="700" customWidth="1"/>
    <col min="15498" max="15498" width="4.7109375" style="700" customWidth="1"/>
    <col min="15499" max="15499" width="9.140625" style="700" customWidth="1"/>
    <col min="15500" max="15500" width="11.7109375" style="700" customWidth="1"/>
    <col min="15501" max="15612" width="7" style="700"/>
    <col min="15613" max="15613" width="3.85546875" style="700" customWidth="1"/>
    <col min="15614" max="15614" width="14" style="700" customWidth="1"/>
    <col min="15615" max="15615" width="66.5703125" style="700" customWidth="1"/>
    <col min="15616" max="15616" width="9.42578125" style="700" customWidth="1"/>
    <col min="15617" max="15617" width="9.140625" style="700" customWidth="1"/>
    <col min="15618" max="15618" width="11.140625" style="700" bestFit="1" customWidth="1"/>
    <col min="15619" max="15619" width="9.140625" style="700" customWidth="1"/>
    <col min="15620" max="15620" width="10.42578125" style="700" customWidth="1"/>
    <col min="15621" max="15621" width="9.140625" style="700" customWidth="1"/>
    <col min="15622" max="15622" width="10.7109375" style="700" customWidth="1"/>
    <col min="15623" max="15623" width="9.140625" style="700" customWidth="1"/>
    <col min="15624" max="15624" width="10.140625" style="700" customWidth="1"/>
    <col min="15625" max="15625" width="11.140625" style="700" customWidth="1"/>
    <col min="15626" max="15745" width="9.140625" style="700" customWidth="1"/>
    <col min="15746" max="15746" width="2.5703125" style="700" customWidth="1"/>
    <col min="15747" max="15747" width="9.140625" style="700" customWidth="1"/>
    <col min="15748" max="15748" width="47.85546875" style="700" customWidth="1"/>
    <col min="15749" max="15749" width="6.7109375" style="700" customWidth="1"/>
    <col min="15750" max="15750" width="7.42578125" style="700" customWidth="1"/>
    <col min="15751" max="15751" width="7" style="700"/>
    <col min="15752" max="15752" width="8.5703125" style="700" customWidth="1"/>
    <col min="15753" max="15753" width="12" style="700" customWidth="1"/>
    <col min="15754" max="15754" width="4.7109375" style="700" customWidth="1"/>
    <col min="15755" max="15755" width="9.140625" style="700" customWidth="1"/>
    <col min="15756" max="15756" width="11.7109375" style="700" customWidth="1"/>
    <col min="15757" max="15868" width="7" style="700"/>
    <col min="15869" max="15869" width="3.85546875" style="700" customWidth="1"/>
    <col min="15870" max="15870" width="14" style="700" customWidth="1"/>
    <col min="15871" max="15871" width="66.5703125" style="700" customWidth="1"/>
    <col min="15872" max="15872" width="9.42578125" style="700" customWidth="1"/>
    <col min="15873" max="15873" width="9.140625" style="700" customWidth="1"/>
    <col min="15874" max="15874" width="11.140625" style="700" bestFit="1" customWidth="1"/>
    <col min="15875" max="15875" width="9.140625" style="700" customWidth="1"/>
    <col min="15876" max="15876" width="10.42578125" style="700" customWidth="1"/>
    <col min="15877" max="15877" width="9.140625" style="700" customWidth="1"/>
    <col min="15878" max="15878" width="10.7109375" style="700" customWidth="1"/>
    <col min="15879" max="15879" width="9.140625" style="700" customWidth="1"/>
    <col min="15880" max="15880" width="10.140625" style="700" customWidth="1"/>
    <col min="15881" max="15881" width="11.140625" style="700" customWidth="1"/>
    <col min="15882" max="16001" width="9.140625" style="700" customWidth="1"/>
    <col min="16002" max="16002" width="2.5703125" style="700" customWidth="1"/>
    <col min="16003" max="16003" width="9.140625" style="700" customWidth="1"/>
    <col min="16004" max="16004" width="47.85546875" style="700" customWidth="1"/>
    <col min="16005" max="16005" width="6.7109375" style="700" customWidth="1"/>
    <col min="16006" max="16006" width="7.42578125" style="700" customWidth="1"/>
    <col min="16007" max="16007" width="7" style="700"/>
    <col min="16008" max="16008" width="8.5703125" style="700" customWidth="1"/>
    <col min="16009" max="16009" width="12" style="700" customWidth="1"/>
    <col min="16010" max="16010" width="4.7109375" style="700" customWidth="1"/>
    <col min="16011" max="16011" width="9.140625" style="700" customWidth="1"/>
    <col min="16012" max="16012" width="11.7109375" style="700" customWidth="1"/>
    <col min="16013" max="16124" width="7" style="700"/>
    <col min="16125" max="16125" width="3.85546875" style="700" customWidth="1"/>
    <col min="16126" max="16126" width="14" style="700" customWidth="1"/>
    <col min="16127" max="16127" width="66.5703125" style="700" customWidth="1"/>
    <col min="16128" max="16128" width="9.42578125" style="700" customWidth="1"/>
    <col min="16129" max="16129" width="9.140625" style="700" customWidth="1"/>
    <col min="16130" max="16130" width="11.140625" style="700" bestFit="1" customWidth="1"/>
    <col min="16131" max="16131" width="9.140625" style="700" customWidth="1"/>
    <col min="16132" max="16132" width="10.42578125" style="700" customWidth="1"/>
    <col min="16133" max="16133" width="9.140625" style="700" customWidth="1"/>
    <col min="16134" max="16134" width="10.7109375" style="700" customWidth="1"/>
    <col min="16135" max="16135" width="9.140625" style="700" customWidth="1"/>
    <col min="16136" max="16136" width="10.140625" style="700" customWidth="1"/>
    <col min="16137" max="16137" width="11.140625" style="700" customWidth="1"/>
    <col min="16138" max="16257" width="9.140625" style="700" customWidth="1"/>
    <col min="16258" max="16258" width="2.5703125" style="700" customWidth="1"/>
    <col min="16259" max="16259" width="9.140625" style="700" customWidth="1"/>
    <col min="16260" max="16260" width="47.85546875" style="700" customWidth="1"/>
    <col min="16261" max="16261" width="6.7109375" style="700" customWidth="1"/>
    <col min="16262" max="16262" width="7.42578125" style="700" customWidth="1"/>
    <col min="16263" max="16263" width="7" style="700"/>
    <col min="16264" max="16264" width="8.5703125" style="700" customWidth="1"/>
    <col min="16265" max="16265" width="12" style="700" customWidth="1"/>
    <col min="16266" max="16266" width="4.7109375" style="700" customWidth="1"/>
    <col min="16267" max="16267" width="9.140625" style="700" customWidth="1"/>
    <col min="16268" max="16268" width="11.7109375" style="700" customWidth="1"/>
    <col min="16269" max="16384" width="7" style="700"/>
  </cols>
  <sheetData>
    <row r="1" spans="1:13" s="658" customFormat="1" ht="18">
      <c r="A1" s="1083" t="e">
        <f>#REF!</f>
        <v>#REF!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</row>
    <row r="2" spans="1:13" s="658" customFormat="1" ht="18">
      <c r="A2" s="1084" t="s">
        <v>7</v>
      </c>
      <c r="B2" s="1084"/>
      <c r="C2" s="1084"/>
      <c r="D2" s="1084"/>
      <c r="E2" s="1084"/>
      <c r="F2" s="1084"/>
      <c r="G2" s="421" t="str">
        <f>'B-3'!B12</f>
        <v>B-3.3</v>
      </c>
      <c r="H2" s="421"/>
      <c r="I2" s="421"/>
      <c r="J2" s="421"/>
      <c r="K2" s="421"/>
      <c r="L2" s="421"/>
      <c r="M2" s="421"/>
    </row>
    <row r="3" spans="1:13" s="658" customFormat="1" ht="18">
      <c r="A3" s="1094" t="str">
        <f>'B-3'!C12</f>
        <v>სადრენაჟო სათავე კვანძის შემოღობვა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3" s="658" customFormat="1" ht="15">
      <c r="A4" s="1086"/>
      <c r="B4" s="1086"/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</row>
    <row r="5" spans="1:13" s="658" customFormat="1" ht="29.25" customHeight="1">
      <c r="A5" s="659"/>
      <c r="B5" s="1087" t="e">
        <f>#REF!</f>
        <v>#REF!</v>
      </c>
      <c r="C5" s="1087"/>
      <c r="D5" s="1087"/>
      <c r="E5" s="1087"/>
      <c r="F5" s="1087"/>
      <c r="G5" s="1087"/>
      <c r="H5" s="1004"/>
      <c r="I5" s="1004"/>
      <c r="J5" s="1004"/>
      <c r="K5" s="1004"/>
      <c r="L5" s="1004"/>
      <c r="M5" s="1004"/>
    </row>
    <row r="6" spans="1:13" s="658" customFormat="1" ht="13.5">
      <c r="A6" s="660"/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</row>
    <row r="7" spans="1:13" s="658" customFormat="1" ht="13.5">
      <c r="A7" s="1178" t="s">
        <v>147</v>
      </c>
      <c r="B7" s="1180" t="s">
        <v>148</v>
      </c>
      <c r="C7" s="1178" t="s">
        <v>149</v>
      </c>
      <c r="D7" s="1178" t="s">
        <v>150</v>
      </c>
      <c r="E7" s="1178" t="s">
        <v>151</v>
      </c>
      <c r="F7" s="1178" t="s">
        <v>152</v>
      </c>
      <c r="G7" s="1179" t="s">
        <v>153</v>
      </c>
      <c r="H7" s="1179"/>
      <c r="I7" s="1179" t="s">
        <v>154</v>
      </c>
      <c r="J7" s="1179"/>
      <c r="K7" s="1178" t="s">
        <v>155</v>
      </c>
      <c r="L7" s="1178"/>
      <c r="M7" s="1011" t="s">
        <v>156</v>
      </c>
    </row>
    <row r="8" spans="1:13" s="658" customFormat="1" ht="13.5">
      <c r="A8" s="1178"/>
      <c r="B8" s="1180"/>
      <c r="C8" s="1178"/>
      <c r="D8" s="1178"/>
      <c r="E8" s="1178"/>
      <c r="F8" s="1178"/>
      <c r="G8" s="1011" t="s">
        <v>157</v>
      </c>
      <c r="H8" s="1011" t="s">
        <v>158</v>
      </c>
      <c r="I8" s="1011" t="s">
        <v>157</v>
      </c>
      <c r="J8" s="1011" t="s">
        <v>158</v>
      </c>
      <c r="K8" s="1011" t="s">
        <v>157</v>
      </c>
      <c r="L8" s="1011" t="s">
        <v>159</v>
      </c>
      <c r="M8" s="1011" t="s">
        <v>160</v>
      </c>
    </row>
    <row r="9" spans="1:13" s="663" customFormat="1" ht="13.5">
      <c r="A9" s="1010">
        <v>1</v>
      </c>
      <c r="B9" s="1012">
        <v>3</v>
      </c>
      <c r="C9" s="1010">
        <v>2</v>
      </c>
      <c r="D9" s="1010">
        <v>4</v>
      </c>
      <c r="E9" s="1010">
        <v>5</v>
      </c>
      <c r="F9" s="1010">
        <v>6</v>
      </c>
      <c r="G9" s="1011">
        <v>7</v>
      </c>
      <c r="H9" s="1011">
        <v>8</v>
      </c>
      <c r="I9" s="1011">
        <v>9</v>
      </c>
      <c r="J9" s="1011">
        <v>10</v>
      </c>
      <c r="K9" s="1011">
        <v>11</v>
      </c>
      <c r="L9" s="1011">
        <v>12</v>
      </c>
      <c r="M9" s="1011">
        <v>13</v>
      </c>
    </row>
    <row r="10" spans="1:13" s="663" customFormat="1" ht="13.5">
      <c r="A10" s="664">
        <v>1</v>
      </c>
      <c r="B10" s="563" t="s">
        <v>182</v>
      </c>
      <c r="C10" s="510" t="s">
        <v>183</v>
      </c>
      <c r="D10" s="1006" t="s">
        <v>15</v>
      </c>
      <c r="E10" s="1006"/>
      <c r="F10" s="555">
        <v>5.93</v>
      </c>
      <c r="G10" s="1006"/>
      <c r="H10" s="1001"/>
      <c r="I10" s="1006"/>
      <c r="J10" s="1001"/>
      <c r="K10" s="1006"/>
      <c r="L10" s="1001"/>
      <c r="M10" s="1001"/>
    </row>
    <row r="11" spans="1:13" s="663" customFormat="1" ht="13.5">
      <c r="A11" s="1011"/>
      <c r="B11" s="665"/>
      <c r="C11" s="383" t="s">
        <v>86</v>
      </c>
      <c r="D11" s="494" t="s">
        <v>13</v>
      </c>
      <c r="E11" s="494">
        <v>3.88</v>
      </c>
      <c r="F11" s="511">
        <f>F10*E11</f>
        <v>23.008399999999998</v>
      </c>
      <c r="G11" s="494"/>
      <c r="H11" s="511"/>
      <c r="I11" s="494"/>
      <c r="J11" s="511"/>
      <c r="K11" s="494"/>
      <c r="L11" s="511"/>
      <c r="M11" s="511"/>
    </row>
    <row r="12" spans="1:13" s="663" customFormat="1" ht="27">
      <c r="A12" s="664">
        <v>2</v>
      </c>
      <c r="B12" s="563" t="s">
        <v>165</v>
      </c>
      <c r="C12" s="528" t="s">
        <v>514</v>
      </c>
      <c r="D12" s="1005" t="s">
        <v>15</v>
      </c>
      <c r="E12" s="1005"/>
      <c r="F12" s="555">
        <v>3.65</v>
      </c>
      <c r="G12" s="1005"/>
      <c r="H12" s="1005"/>
      <c r="I12" s="1005"/>
      <c r="J12" s="1005"/>
      <c r="K12" s="1005"/>
      <c r="L12" s="1005"/>
      <c r="M12" s="526"/>
    </row>
    <row r="13" spans="1:13" s="663" customFormat="1" ht="13.5">
      <c r="A13" s="664"/>
      <c r="B13" s="666"/>
      <c r="C13" s="541" t="s">
        <v>96</v>
      </c>
      <c r="D13" s="494" t="s">
        <v>102</v>
      </c>
      <c r="E13" s="1007">
        <v>1.37</v>
      </c>
      <c r="F13" s="386">
        <f>E13*F12</f>
        <v>5.0005000000000006</v>
      </c>
      <c r="G13" s="1007"/>
      <c r="H13" s="386"/>
      <c r="I13" s="494"/>
      <c r="J13" s="386"/>
      <c r="K13" s="1007"/>
      <c r="L13" s="1007"/>
      <c r="M13" s="386"/>
    </row>
    <row r="14" spans="1:13" s="663" customFormat="1" ht="13.5">
      <c r="A14" s="1011"/>
      <c r="B14" s="665"/>
      <c r="C14" s="541" t="s">
        <v>97</v>
      </c>
      <c r="D14" s="494" t="s">
        <v>16</v>
      </c>
      <c r="E14" s="1007">
        <v>0.28299999999999997</v>
      </c>
      <c r="F14" s="386">
        <f>E14*F13</f>
        <v>1.4151415000000001</v>
      </c>
      <c r="G14" s="1007"/>
      <c r="H14" s="1007"/>
      <c r="I14" s="1007"/>
      <c r="J14" s="1007"/>
      <c r="K14" s="1007"/>
      <c r="L14" s="386"/>
      <c r="M14" s="386"/>
    </row>
    <row r="15" spans="1:13" s="663" customFormat="1" ht="15.75">
      <c r="A15" s="1011"/>
      <c r="B15" s="666" t="s">
        <v>675</v>
      </c>
      <c r="C15" s="541" t="s">
        <v>254</v>
      </c>
      <c r="D15" s="494" t="s">
        <v>391</v>
      </c>
      <c r="E15" s="1007">
        <v>1.02</v>
      </c>
      <c r="F15" s="386">
        <f>E15*F12</f>
        <v>3.7229999999999999</v>
      </c>
      <c r="G15" s="400"/>
      <c r="H15" s="389"/>
      <c r="I15" s="545"/>
      <c r="J15" s="1011"/>
      <c r="K15" s="400"/>
      <c r="L15" s="400"/>
      <c r="M15" s="386"/>
    </row>
    <row r="16" spans="1:13" s="663" customFormat="1" ht="13.5">
      <c r="A16" s="1011"/>
      <c r="B16" s="1012" t="s">
        <v>655</v>
      </c>
      <c r="C16" s="541" t="s">
        <v>264</v>
      </c>
      <c r="D16" s="494" t="s">
        <v>169</v>
      </c>
      <c r="E16" s="1007" t="s">
        <v>205</v>
      </c>
      <c r="F16" s="386">
        <f>0.4*0.6*4*(F23/2.3)</f>
        <v>12.939130434782609</v>
      </c>
      <c r="G16" s="392"/>
      <c r="H16" s="389"/>
      <c r="I16" s="545"/>
      <c r="J16" s="1011"/>
      <c r="K16" s="400"/>
      <c r="L16" s="400"/>
      <c r="M16" s="386"/>
    </row>
    <row r="17" spans="1:153" s="663" customFormat="1" ht="15.75">
      <c r="A17" s="1011"/>
      <c r="B17" s="1012" t="s">
        <v>736</v>
      </c>
      <c r="C17" s="541" t="s">
        <v>515</v>
      </c>
      <c r="D17" s="494" t="s">
        <v>391</v>
      </c>
      <c r="E17" s="1007" t="s">
        <v>205</v>
      </c>
      <c r="F17" s="386">
        <f>F16*0.7%</f>
        <v>9.0573913043478255E-2</v>
      </c>
      <c r="G17" s="392"/>
      <c r="H17" s="389"/>
      <c r="I17" s="545"/>
      <c r="J17" s="1011"/>
      <c r="K17" s="400"/>
      <c r="L17" s="400"/>
      <c r="M17" s="386"/>
    </row>
    <row r="18" spans="1:153" s="663" customFormat="1" ht="13.5">
      <c r="A18" s="1011"/>
      <c r="B18" s="666"/>
      <c r="C18" s="541" t="s">
        <v>89</v>
      </c>
      <c r="D18" s="494" t="s">
        <v>16</v>
      </c>
      <c r="E18" s="1007">
        <v>0.62</v>
      </c>
      <c r="F18" s="386">
        <f>E18*F12</f>
        <v>2.2629999999999999</v>
      </c>
      <c r="G18" s="400"/>
      <c r="H18" s="389"/>
      <c r="I18" s="545"/>
      <c r="J18" s="1011"/>
      <c r="K18" s="400"/>
      <c r="L18" s="400"/>
      <c r="M18" s="386"/>
    </row>
    <row r="19" spans="1:153" s="663" customFormat="1" ht="27">
      <c r="A19" s="664">
        <v>3</v>
      </c>
      <c r="B19" s="554" t="s">
        <v>185</v>
      </c>
      <c r="C19" s="667" t="s">
        <v>517</v>
      </c>
      <c r="D19" s="1005" t="s">
        <v>91</v>
      </c>
      <c r="E19" s="1005"/>
      <c r="F19" s="668">
        <v>65</v>
      </c>
      <c r="G19" s="1005"/>
      <c r="H19" s="1005"/>
      <c r="I19" s="1005"/>
      <c r="J19" s="1005"/>
      <c r="K19" s="1005"/>
      <c r="L19" s="1005"/>
      <c r="M19" s="526"/>
    </row>
    <row r="20" spans="1:153" s="663" customFormat="1" ht="13.5">
      <c r="A20" s="1011"/>
      <c r="B20" s="1005"/>
      <c r="C20" s="541" t="s">
        <v>96</v>
      </c>
      <c r="D20" s="494" t="s">
        <v>13</v>
      </c>
      <c r="E20" s="1007">
        <f>3.12</f>
        <v>3.12</v>
      </c>
      <c r="F20" s="386">
        <f>E20*F19</f>
        <v>202.8</v>
      </c>
      <c r="G20" s="1007"/>
      <c r="H20" s="386"/>
      <c r="I20" s="1007"/>
      <c r="J20" s="386"/>
      <c r="K20" s="1007"/>
      <c r="L20" s="1007"/>
      <c r="M20" s="386"/>
    </row>
    <row r="21" spans="1:153" s="663" customFormat="1" ht="13.5">
      <c r="A21" s="1011"/>
      <c r="B21" s="649" t="s">
        <v>737</v>
      </c>
      <c r="C21" s="541" t="s">
        <v>186</v>
      </c>
      <c r="D21" s="494" t="s">
        <v>168</v>
      </c>
      <c r="E21" s="1007">
        <f>0.407</f>
        <v>0.40699999999999997</v>
      </c>
      <c r="F21" s="386">
        <f>E21*F19</f>
        <v>26.454999999999998</v>
      </c>
      <c r="G21" s="1007"/>
      <c r="H21" s="1007"/>
      <c r="I21" s="1007"/>
      <c r="J21" s="1007"/>
      <c r="K21" s="256"/>
      <c r="L21" s="386"/>
      <c r="M21" s="386"/>
    </row>
    <row r="22" spans="1:153" s="663" customFormat="1" ht="13.5">
      <c r="A22" s="664"/>
      <c r="B22" s="669"/>
      <c r="C22" s="541" t="s">
        <v>97</v>
      </c>
      <c r="D22" s="494" t="s">
        <v>16</v>
      </c>
      <c r="E22" s="1007">
        <v>0.09</v>
      </c>
      <c r="F22" s="386">
        <f>E22*F19</f>
        <v>5.85</v>
      </c>
      <c r="G22" s="1007"/>
      <c r="H22" s="1007"/>
      <c r="I22" s="1007"/>
      <c r="J22" s="1007"/>
      <c r="K22" s="1007"/>
      <c r="L22" s="386"/>
      <c r="M22" s="386"/>
    </row>
    <row r="23" spans="1:153" s="670" customFormat="1" ht="13.5">
      <c r="A23" s="1011"/>
      <c r="B23" s="397" t="s">
        <v>518</v>
      </c>
      <c r="C23" s="541" t="s">
        <v>519</v>
      </c>
      <c r="D23" s="494" t="s">
        <v>98</v>
      </c>
      <c r="E23" s="1007" t="s">
        <v>205</v>
      </c>
      <c r="F23" s="1007">
        <v>31</v>
      </c>
      <c r="G23" s="389"/>
      <c r="H23" s="389"/>
      <c r="I23" s="545"/>
      <c r="J23" s="1011"/>
      <c r="K23" s="400"/>
      <c r="L23" s="400"/>
      <c r="M23" s="386"/>
    </row>
    <row r="24" spans="1:153" s="670" customFormat="1" ht="13.5">
      <c r="A24" s="1011"/>
      <c r="B24" s="397" t="s">
        <v>520</v>
      </c>
      <c r="C24" s="541" t="s">
        <v>187</v>
      </c>
      <c r="D24" s="494" t="s">
        <v>103</v>
      </c>
      <c r="E24" s="1007" t="s">
        <v>176</v>
      </c>
      <c r="F24" s="386">
        <f>((F19*4)+(F23*1.5))*0.222/1000</f>
        <v>6.8043000000000006E-2</v>
      </c>
      <c r="G24" s="389"/>
      <c r="H24" s="389"/>
      <c r="I24" s="545"/>
      <c r="J24" s="1011"/>
      <c r="K24" s="400"/>
      <c r="L24" s="400"/>
      <c r="M24" s="386"/>
    </row>
    <row r="25" spans="1:153" s="670" customFormat="1" ht="13.5">
      <c r="A25" s="1011"/>
      <c r="B25" s="463" t="s">
        <v>507</v>
      </c>
      <c r="C25" s="541" t="s">
        <v>188</v>
      </c>
      <c r="D25" s="494" t="s">
        <v>103</v>
      </c>
      <c r="E25" s="1007" t="s">
        <v>176</v>
      </c>
      <c r="F25" s="388">
        <f>F24*10%</f>
        <v>6.804300000000001E-3</v>
      </c>
      <c r="G25" s="400"/>
      <c r="H25" s="389"/>
      <c r="I25" s="545"/>
      <c r="J25" s="1011"/>
      <c r="K25" s="400"/>
      <c r="L25" s="400"/>
      <c r="M25" s="386"/>
    </row>
    <row r="26" spans="1:153" s="670" customFormat="1" ht="13.5">
      <c r="A26" s="1011"/>
      <c r="B26" s="463" t="s">
        <v>738</v>
      </c>
      <c r="C26" s="541" t="s">
        <v>521</v>
      </c>
      <c r="D26" s="494" t="s">
        <v>169</v>
      </c>
      <c r="E26" s="1007">
        <v>1.5</v>
      </c>
      <c r="F26" s="386">
        <f>E26*F19</f>
        <v>97.5</v>
      </c>
      <c r="G26" s="400"/>
      <c r="H26" s="389"/>
      <c r="I26" s="545"/>
      <c r="J26" s="1011"/>
      <c r="K26" s="400"/>
      <c r="L26" s="400"/>
      <c r="M26" s="386"/>
    </row>
    <row r="27" spans="1:153" s="670" customFormat="1" ht="13.5">
      <c r="A27" s="1011"/>
      <c r="B27" s="463" t="s">
        <v>739</v>
      </c>
      <c r="C27" s="671" t="s">
        <v>523</v>
      </c>
      <c r="D27" s="672" t="s">
        <v>103</v>
      </c>
      <c r="E27" s="551" t="s">
        <v>176</v>
      </c>
      <c r="F27" s="673">
        <f>0.04*0.04*0.0035*8760*F23*2/1000</f>
        <v>3.0414720000000004E-3</v>
      </c>
      <c r="G27" s="400"/>
      <c r="H27" s="389"/>
      <c r="I27" s="545"/>
      <c r="J27" s="1011"/>
      <c r="K27" s="400"/>
      <c r="L27" s="400"/>
      <c r="M27" s="386"/>
    </row>
    <row r="28" spans="1:153" s="670" customFormat="1" ht="13.5">
      <c r="A28" s="1011"/>
      <c r="B28" s="674"/>
      <c r="C28" s="671" t="s">
        <v>89</v>
      </c>
      <c r="D28" s="672" t="s">
        <v>16</v>
      </c>
      <c r="E28" s="551">
        <v>0.05</v>
      </c>
      <c r="F28" s="552">
        <f>E28*F19</f>
        <v>3.25</v>
      </c>
      <c r="G28" s="675"/>
      <c r="H28" s="676"/>
      <c r="I28" s="677"/>
      <c r="J28" s="678"/>
      <c r="K28" s="675"/>
      <c r="L28" s="675"/>
      <c r="M28" s="552"/>
    </row>
    <row r="29" spans="1:153" s="663" customFormat="1" ht="27">
      <c r="A29" s="664">
        <v>4</v>
      </c>
      <c r="B29" s="563" t="s">
        <v>193</v>
      </c>
      <c r="C29" s="510" t="s">
        <v>524</v>
      </c>
      <c r="D29" s="1006" t="s">
        <v>169</v>
      </c>
      <c r="E29" s="1006"/>
      <c r="F29" s="679">
        <f>F26</f>
        <v>97.5</v>
      </c>
      <c r="G29" s="1006"/>
      <c r="H29" s="1001"/>
      <c r="I29" s="1006"/>
      <c r="J29" s="1001"/>
      <c r="K29" s="1006"/>
      <c r="L29" s="1001"/>
      <c r="M29" s="1001"/>
      <c r="N29" s="680"/>
      <c r="O29" s="680"/>
      <c r="P29" s="680"/>
      <c r="Q29" s="680"/>
      <c r="R29" s="680"/>
      <c r="S29" s="680"/>
      <c r="T29" s="680"/>
      <c r="U29" s="680"/>
      <c r="V29" s="680"/>
      <c r="W29" s="680"/>
      <c r="X29" s="680"/>
      <c r="Y29" s="680"/>
      <c r="Z29" s="680"/>
      <c r="AA29" s="680"/>
      <c r="AB29" s="680"/>
      <c r="AC29" s="680"/>
      <c r="AD29" s="680"/>
      <c r="AE29" s="680"/>
      <c r="AF29" s="680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0"/>
      <c r="AU29" s="680"/>
      <c r="AV29" s="680"/>
      <c r="AW29" s="680"/>
      <c r="AX29" s="680"/>
      <c r="AY29" s="680"/>
      <c r="AZ29" s="680"/>
      <c r="BA29" s="680"/>
      <c r="BB29" s="680"/>
      <c r="BC29" s="680"/>
      <c r="BD29" s="680"/>
      <c r="BE29" s="680"/>
      <c r="BF29" s="680"/>
      <c r="BG29" s="680"/>
      <c r="BH29" s="680"/>
      <c r="BI29" s="680"/>
      <c r="BJ29" s="680"/>
      <c r="BK29" s="680"/>
      <c r="BL29" s="680"/>
      <c r="BM29" s="680"/>
      <c r="BN29" s="680"/>
      <c r="BO29" s="680"/>
      <c r="BP29" s="680"/>
      <c r="BQ29" s="680"/>
      <c r="BR29" s="680"/>
      <c r="BS29" s="680"/>
      <c r="BT29" s="680"/>
      <c r="BU29" s="680"/>
      <c r="BV29" s="680"/>
      <c r="BW29" s="680"/>
      <c r="BX29" s="680"/>
      <c r="BY29" s="680"/>
      <c r="BZ29" s="680"/>
      <c r="CA29" s="680"/>
      <c r="CB29" s="680"/>
      <c r="CC29" s="680"/>
      <c r="CD29" s="680"/>
      <c r="CE29" s="680"/>
      <c r="CF29" s="680"/>
      <c r="CG29" s="680"/>
      <c r="CH29" s="680"/>
      <c r="CI29" s="680"/>
      <c r="CJ29" s="680"/>
      <c r="CK29" s="680"/>
      <c r="CL29" s="680"/>
      <c r="CM29" s="680"/>
      <c r="CN29" s="680"/>
      <c r="CO29" s="680"/>
      <c r="CP29" s="680"/>
      <c r="CQ29" s="680"/>
      <c r="CR29" s="680"/>
      <c r="CS29" s="680"/>
      <c r="CT29" s="680"/>
      <c r="CU29" s="680"/>
      <c r="CV29" s="680"/>
      <c r="CW29" s="680"/>
      <c r="CX29" s="680"/>
      <c r="CY29" s="680"/>
      <c r="CZ29" s="680"/>
      <c r="DA29" s="680"/>
      <c r="DB29" s="680"/>
      <c r="DC29" s="680"/>
      <c r="DD29" s="680"/>
      <c r="DE29" s="680"/>
      <c r="DF29" s="680"/>
      <c r="DG29" s="680"/>
      <c r="DH29" s="680"/>
      <c r="DI29" s="680"/>
      <c r="DJ29" s="680"/>
      <c r="DK29" s="680"/>
      <c r="DL29" s="680"/>
      <c r="DM29" s="680"/>
      <c r="DN29" s="680"/>
      <c r="DO29" s="680"/>
      <c r="DP29" s="680"/>
      <c r="DQ29" s="680"/>
      <c r="DR29" s="680"/>
      <c r="DS29" s="680"/>
      <c r="DT29" s="680"/>
      <c r="DU29" s="680"/>
      <c r="DV29" s="680"/>
      <c r="DW29" s="680"/>
      <c r="DX29" s="680"/>
      <c r="DY29" s="680"/>
      <c r="DZ29" s="680"/>
      <c r="EA29" s="680"/>
      <c r="EB29" s="680"/>
      <c r="EC29" s="680"/>
      <c r="ED29" s="680"/>
      <c r="EE29" s="680"/>
      <c r="EF29" s="680"/>
      <c r="EG29" s="680"/>
      <c r="EH29" s="680"/>
      <c r="EI29" s="680"/>
      <c r="EJ29" s="680"/>
      <c r="EK29" s="680"/>
      <c r="EL29" s="680"/>
      <c r="EM29" s="680"/>
      <c r="EN29" s="680"/>
      <c r="EO29" s="680"/>
      <c r="EP29" s="680"/>
      <c r="EQ29" s="680"/>
      <c r="ER29" s="680"/>
      <c r="ES29" s="680"/>
      <c r="ET29" s="680"/>
      <c r="EU29" s="680"/>
      <c r="EV29" s="680"/>
      <c r="EW29" s="680"/>
    </row>
    <row r="30" spans="1:153" s="663" customFormat="1" ht="13.5">
      <c r="A30" s="1011"/>
      <c r="B30" s="1005"/>
      <c r="C30" s="383" t="s">
        <v>86</v>
      </c>
      <c r="D30" s="494" t="s">
        <v>13</v>
      </c>
      <c r="E30" s="1007">
        <f>6.8/100</f>
        <v>6.8000000000000005E-2</v>
      </c>
      <c r="F30" s="386">
        <f>F29*E30</f>
        <v>6.6300000000000008</v>
      </c>
      <c r="G30" s="1007"/>
      <c r="H30" s="386"/>
      <c r="I30" s="1007"/>
      <c r="J30" s="386"/>
      <c r="K30" s="417"/>
      <c r="L30" s="681"/>
      <c r="M30" s="552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  <c r="AM30" s="680"/>
      <c r="AN30" s="680"/>
      <c r="AO30" s="680"/>
      <c r="AP30" s="680"/>
      <c r="AQ30" s="680"/>
      <c r="AR30" s="680"/>
      <c r="AS30" s="680"/>
      <c r="AT30" s="680"/>
      <c r="AU30" s="680"/>
      <c r="AV30" s="680"/>
      <c r="AW30" s="680"/>
      <c r="AX30" s="680"/>
      <c r="AY30" s="680"/>
      <c r="AZ30" s="680"/>
      <c r="BA30" s="680"/>
      <c r="BB30" s="680"/>
      <c r="BC30" s="680"/>
      <c r="BD30" s="680"/>
      <c r="BE30" s="680"/>
      <c r="BF30" s="680"/>
      <c r="BG30" s="680"/>
      <c r="BH30" s="680"/>
      <c r="BI30" s="680"/>
      <c r="BJ30" s="680"/>
      <c r="BK30" s="680"/>
      <c r="BL30" s="680"/>
      <c r="BM30" s="680"/>
      <c r="BN30" s="680"/>
      <c r="BO30" s="680"/>
      <c r="BP30" s="680"/>
      <c r="BQ30" s="680"/>
      <c r="BR30" s="680"/>
      <c r="BS30" s="680"/>
      <c r="BT30" s="680"/>
      <c r="BU30" s="680"/>
      <c r="BV30" s="680"/>
      <c r="BW30" s="680"/>
      <c r="BX30" s="680"/>
      <c r="BY30" s="680"/>
      <c r="BZ30" s="680"/>
      <c r="CA30" s="680"/>
      <c r="CB30" s="680"/>
      <c r="CC30" s="680"/>
      <c r="CD30" s="680"/>
      <c r="CE30" s="680"/>
      <c r="CF30" s="680"/>
      <c r="CG30" s="680"/>
      <c r="CH30" s="680"/>
      <c r="CI30" s="680"/>
      <c r="CJ30" s="680"/>
      <c r="CK30" s="680"/>
      <c r="CL30" s="680"/>
      <c r="CM30" s="680"/>
      <c r="CN30" s="680"/>
      <c r="CO30" s="680"/>
      <c r="CP30" s="680"/>
      <c r="CQ30" s="680"/>
      <c r="CR30" s="680"/>
      <c r="CS30" s="680"/>
      <c r="CT30" s="680"/>
      <c r="CU30" s="680"/>
      <c r="CV30" s="680"/>
      <c r="CW30" s="680"/>
      <c r="CX30" s="680"/>
      <c r="CY30" s="680"/>
      <c r="CZ30" s="680"/>
      <c r="DA30" s="680"/>
      <c r="DB30" s="680"/>
      <c r="DC30" s="680"/>
      <c r="DD30" s="680"/>
      <c r="DE30" s="680"/>
      <c r="DF30" s="680"/>
      <c r="DG30" s="680"/>
      <c r="DH30" s="680"/>
      <c r="DI30" s="680"/>
      <c r="DJ30" s="680"/>
      <c r="DK30" s="680"/>
      <c r="DL30" s="680"/>
      <c r="DM30" s="680"/>
      <c r="DN30" s="680"/>
      <c r="DO30" s="680"/>
      <c r="DP30" s="680"/>
      <c r="DQ30" s="680"/>
      <c r="DR30" s="680"/>
      <c r="DS30" s="680"/>
      <c r="DT30" s="680"/>
      <c r="DU30" s="680"/>
      <c r="DV30" s="680"/>
      <c r="DW30" s="680"/>
      <c r="DX30" s="680"/>
      <c r="DY30" s="680"/>
      <c r="DZ30" s="680"/>
      <c r="EA30" s="680"/>
      <c r="EB30" s="680"/>
      <c r="EC30" s="680"/>
      <c r="ED30" s="680"/>
      <c r="EE30" s="680"/>
      <c r="EF30" s="680"/>
      <c r="EG30" s="680"/>
      <c r="EH30" s="680"/>
      <c r="EI30" s="680"/>
      <c r="EJ30" s="680"/>
      <c r="EK30" s="680"/>
      <c r="EL30" s="680"/>
      <c r="EM30" s="680"/>
      <c r="EN30" s="680"/>
      <c r="EO30" s="680"/>
      <c r="EP30" s="680"/>
      <c r="EQ30" s="680"/>
      <c r="ER30" s="680"/>
      <c r="ES30" s="680"/>
      <c r="ET30" s="680"/>
      <c r="EU30" s="680"/>
      <c r="EV30" s="680"/>
      <c r="EW30" s="680"/>
    </row>
    <row r="31" spans="1:153" s="663" customFormat="1" ht="13.5">
      <c r="A31" s="1011"/>
      <c r="B31" s="528"/>
      <c r="C31" s="383" t="s">
        <v>97</v>
      </c>
      <c r="D31" s="1007" t="s">
        <v>16</v>
      </c>
      <c r="E31" s="494">
        <f>0.03/100</f>
        <v>2.9999999999999997E-4</v>
      </c>
      <c r="F31" s="557">
        <f>F29*E31</f>
        <v>2.9249999999999998E-2</v>
      </c>
      <c r="G31" s="494"/>
      <c r="H31" s="511"/>
      <c r="I31" s="494"/>
      <c r="J31" s="511"/>
      <c r="K31" s="494"/>
      <c r="L31" s="557"/>
      <c r="M31" s="552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680"/>
      <c r="AI31" s="680"/>
      <c r="AJ31" s="680"/>
      <c r="AK31" s="680"/>
      <c r="AL31" s="680"/>
      <c r="AM31" s="680"/>
      <c r="AN31" s="680"/>
      <c r="AO31" s="680"/>
      <c r="AP31" s="680"/>
      <c r="AQ31" s="680"/>
      <c r="AR31" s="680"/>
      <c r="AS31" s="680"/>
      <c r="AT31" s="680"/>
      <c r="AU31" s="680"/>
      <c r="AV31" s="680"/>
      <c r="AW31" s="680"/>
      <c r="AX31" s="680"/>
      <c r="AY31" s="680"/>
      <c r="AZ31" s="680"/>
      <c r="BA31" s="680"/>
      <c r="BB31" s="680"/>
      <c r="BC31" s="680"/>
      <c r="BD31" s="680"/>
      <c r="BE31" s="680"/>
      <c r="BF31" s="680"/>
      <c r="BG31" s="680"/>
      <c r="BH31" s="680"/>
      <c r="BI31" s="680"/>
      <c r="BJ31" s="680"/>
      <c r="BK31" s="680"/>
      <c r="BL31" s="680"/>
      <c r="BM31" s="680"/>
      <c r="BN31" s="680"/>
      <c r="BO31" s="680"/>
      <c r="BP31" s="680"/>
      <c r="BQ31" s="680"/>
      <c r="BR31" s="680"/>
      <c r="BS31" s="680"/>
      <c r="BT31" s="680"/>
      <c r="BU31" s="680"/>
      <c r="BV31" s="680"/>
      <c r="BW31" s="680"/>
      <c r="BX31" s="680"/>
      <c r="BY31" s="680"/>
      <c r="BZ31" s="680"/>
      <c r="CA31" s="680"/>
      <c r="CB31" s="680"/>
      <c r="CC31" s="680"/>
      <c r="CD31" s="680"/>
      <c r="CE31" s="680"/>
      <c r="CF31" s="680"/>
      <c r="CG31" s="680"/>
      <c r="CH31" s="680"/>
      <c r="CI31" s="680"/>
      <c r="CJ31" s="680"/>
      <c r="CK31" s="680"/>
      <c r="CL31" s="680"/>
      <c r="CM31" s="680"/>
      <c r="CN31" s="680"/>
      <c r="CO31" s="680"/>
      <c r="CP31" s="680"/>
      <c r="CQ31" s="680"/>
      <c r="CR31" s="680"/>
      <c r="CS31" s="680"/>
      <c r="CT31" s="680"/>
      <c r="CU31" s="680"/>
      <c r="CV31" s="680"/>
      <c r="CW31" s="680"/>
      <c r="CX31" s="680"/>
      <c r="CY31" s="680"/>
      <c r="CZ31" s="680"/>
      <c r="DA31" s="680"/>
      <c r="DB31" s="680"/>
      <c r="DC31" s="680"/>
      <c r="DD31" s="680"/>
      <c r="DE31" s="680"/>
      <c r="DF31" s="680"/>
      <c r="DG31" s="680"/>
      <c r="DH31" s="680"/>
      <c r="DI31" s="680"/>
      <c r="DJ31" s="680"/>
      <c r="DK31" s="680"/>
      <c r="DL31" s="680"/>
      <c r="DM31" s="680"/>
      <c r="DN31" s="680"/>
      <c r="DO31" s="680"/>
      <c r="DP31" s="680"/>
      <c r="DQ31" s="680"/>
      <c r="DR31" s="680"/>
      <c r="DS31" s="680"/>
      <c r="DT31" s="680"/>
      <c r="DU31" s="680"/>
      <c r="DV31" s="680"/>
      <c r="DW31" s="680"/>
      <c r="DX31" s="680"/>
      <c r="DY31" s="680"/>
      <c r="DZ31" s="680"/>
      <c r="EA31" s="680"/>
      <c r="EB31" s="680"/>
      <c r="EC31" s="680"/>
      <c r="ED31" s="680"/>
      <c r="EE31" s="680"/>
      <c r="EF31" s="680"/>
      <c r="EG31" s="680"/>
      <c r="EH31" s="680"/>
      <c r="EI31" s="680"/>
      <c r="EJ31" s="680"/>
      <c r="EK31" s="680"/>
      <c r="EL31" s="680"/>
      <c r="EM31" s="680"/>
      <c r="EN31" s="680"/>
      <c r="EO31" s="680"/>
      <c r="EP31" s="680"/>
      <c r="EQ31" s="680"/>
      <c r="ER31" s="680"/>
      <c r="ES31" s="680"/>
      <c r="ET31" s="680"/>
      <c r="EU31" s="680"/>
      <c r="EV31" s="680"/>
      <c r="EW31" s="680"/>
    </row>
    <row r="32" spans="1:153" s="663" customFormat="1" ht="13.5">
      <c r="A32" s="1011"/>
      <c r="B32" s="682" t="s">
        <v>740</v>
      </c>
      <c r="C32" s="683" t="s">
        <v>171</v>
      </c>
      <c r="D32" s="417" t="s">
        <v>110</v>
      </c>
      <c r="E32" s="417">
        <f>2.73/100</f>
        <v>2.7300000000000001E-2</v>
      </c>
      <c r="F32" s="684">
        <f>E32*F29</f>
        <v>2.6617500000000001</v>
      </c>
      <c r="G32" s="417"/>
      <c r="H32" s="681"/>
      <c r="I32" s="494"/>
      <c r="J32" s="417"/>
      <c r="K32" s="417"/>
      <c r="L32" s="681"/>
      <c r="M32" s="552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680"/>
      <c r="AA32" s="680"/>
      <c r="AB32" s="680"/>
      <c r="AC32" s="680"/>
      <c r="AD32" s="680"/>
      <c r="AE32" s="680"/>
      <c r="AF32" s="680"/>
      <c r="AG32" s="680"/>
      <c r="AH32" s="680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0"/>
      <c r="AU32" s="680"/>
      <c r="AV32" s="680"/>
      <c r="AW32" s="680"/>
      <c r="AX32" s="680"/>
      <c r="AY32" s="680"/>
      <c r="AZ32" s="680"/>
      <c r="BA32" s="680"/>
      <c r="BB32" s="680"/>
      <c r="BC32" s="680"/>
      <c r="BD32" s="680"/>
      <c r="BE32" s="680"/>
      <c r="BF32" s="680"/>
      <c r="BG32" s="680"/>
      <c r="BH32" s="680"/>
      <c r="BI32" s="680"/>
      <c r="BJ32" s="680"/>
      <c r="BK32" s="680"/>
      <c r="BL32" s="680"/>
      <c r="BM32" s="680"/>
      <c r="BN32" s="680"/>
      <c r="BO32" s="680"/>
      <c r="BP32" s="680"/>
      <c r="BQ32" s="680"/>
      <c r="BR32" s="680"/>
      <c r="BS32" s="680"/>
      <c r="BT32" s="680"/>
      <c r="BU32" s="680"/>
      <c r="BV32" s="680"/>
      <c r="BW32" s="680"/>
      <c r="BX32" s="680"/>
      <c r="BY32" s="680"/>
      <c r="BZ32" s="680"/>
      <c r="CA32" s="680"/>
      <c r="CB32" s="680"/>
      <c r="CC32" s="680"/>
      <c r="CD32" s="680"/>
      <c r="CE32" s="680"/>
      <c r="CF32" s="680"/>
      <c r="CG32" s="680"/>
      <c r="CH32" s="680"/>
      <c r="CI32" s="680"/>
      <c r="CJ32" s="680"/>
      <c r="CK32" s="680"/>
      <c r="CL32" s="680"/>
      <c r="CM32" s="680"/>
      <c r="CN32" s="680"/>
      <c r="CO32" s="680"/>
      <c r="CP32" s="680"/>
      <c r="CQ32" s="680"/>
      <c r="CR32" s="680"/>
      <c r="CS32" s="680"/>
      <c r="CT32" s="680"/>
      <c r="CU32" s="680"/>
      <c r="CV32" s="680"/>
      <c r="CW32" s="680"/>
      <c r="CX32" s="680"/>
      <c r="CY32" s="680"/>
      <c r="CZ32" s="680"/>
      <c r="DA32" s="680"/>
      <c r="DB32" s="680"/>
      <c r="DC32" s="680"/>
      <c r="DD32" s="680"/>
      <c r="DE32" s="680"/>
      <c r="DF32" s="680"/>
      <c r="DG32" s="680"/>
      <c r="DH32" s="680"/>
      <c r="DI32" s="680"/>
      <c r="DJ32" s="680"/>
      <c r="DK32" s="680"/>
      <c r="DL32" s="680"/>
      <c r="DM32" s="680"/>
      <c r="DN32" s="680"/>
      <c r="DO32" s="680"/>
      <c r="DP32" s="680"/>
      <c r="DQ32" s="680"/>
      <c r="DR32" s="680"/>
      <c r="DS32" s="680"/>
      <c r="DT32" s="680"/>
      <c r="DU32" s="680"/>
      <c r="DV32" s="680"/>
      <c r="DW32" s="680"/>
      <c r="DX32" s="680"/>
      <c r="DY32" s="680"/>
      <c r="DZ32" s="680"/>
      <c r="EA32" s="680"/>
      <c r="EB32" s="680"/>
      <c r="EC32" s="680"/>
      <c r="ED32" s="680"/>
      <c r="EE32" s="680"/>
      <c r="EF32" s="680"/>
      <c r="EG32" s="680"/>
      <c r="EH32" s="680"/>
      <c r="EI32" s="680"/>
      <c r="EJ32" s="680"/>
      <c r="EK32" s="680"/>
      <c r="EL32" s="680"/>
      <c r="EM32" s="680"/>
      <c r="EN32" s="680"/>
      <c r="EO32" s="680"/>
      <c r="EP32" s="680"/>
      <c r="EQ32" s="680"/>
      <c r="ER32" s="680"/>
      <c r="ES32" s="680"/>
      <c r="ET32" s="680"/>
      <c r="EU32" s="680"/>
      <c r="EV32" s="680"/>
      <c r="EW32" s="680"/>
    </row>
    <row r="33" spans="1:153" s="663" customFormat="1" ht="13.5">
      <c r="A33" s="1011"/>
      <c r="B33" s="685"/>
      <c r="C33" s="683" t="s">
        <v>104</v>
      </c>
      <c r="D33" s="417" t="s">
        <v>16</v>
      </c>
      <c r="E33" s="417">
        <f>0.19/100</f>
        <v>1.9E-3</v>
      </c>
      <c r="F33" s="684">
        <f>E33*F29</f>
        <v>0.18525</v>
      </c>
      <c r="G33" s="417"/>
      <c r="H33" s="681"/>
      <c r="I33" s="494"/>
      <c r="J33" s="417"/>
      <c r="K33" s="417"/>
      <c r="L33" s="681"/>
      <c r="M33" s="552"/>
      <c r="N33" s="680"/>
      <c r="O33" s="680"/>
      <c r="P33" s="680"/>
      <c r="Q33" s="680"/>
      <c r="R33" s="680"/>
      <c r="S33" s="680"/>
      <c r="T33" s="680"/>
      <c r="U33" s="680"/>
      <c r="V33" s="680"/>
      <c r="W33" s="680"/>
      <c r="X33" s="680"/>
      <c r="Y33" s="680"/>
      <c r="Z33" s="680"/>
      <c r="AA33" s="680"/>
      <c r="AB33" s="680"/>
      <c r="AC33" s="680"/>
      <c r="AD33" s="680"/>
      <c r="AE33" s="680"/>
      <c r="AF33" s="680"/>
      <c r="AG33" s="680"/>
      <c r="AH33" s="680"/>
      <c r="AI33" s="680"/>
      <c r="AJ33" s="680"/>
      <c r="AK33" s="680"/>
      <c r="AL33" s="680"/>
      <c r="AM33" s="680"/>
      <c r="AN33" s="680"/>
      <c r="AO33" s="680"/>
      <c r="AP33" s="680"/>
      <c r="AQ33" s="680"/>
      <c r="AR33" s="680"/>
      <c r="AS33" s="680"/>
      <c r="AT33" s="680"/>
      <c r="AU33" s="680"/>
      <c r="AV33" s="680"/>
      <c r="AW33" s="680"/>
      <c r="AX33" s="680"/>
      <c r="AY33" s="680"/>
      <c r="AZ33" s="680"/>
      <c r="BA33" s="680"/>
      <c r="BB33" s="680"/>
      <c r="BC33" s="680"/>
      <c r="BD33" s="680"/>
      <c r="BE33" s="680"/>
      <c r="BF33" s="680"/>
      <c r="BG33" s="680"/>
      <c r="BH33" s="680"/>
      <c r="BI33" s="680"/>
      <c r="BJ33" s="680"/>
      <c r="BK33" s="680"/>
      <c r="BL33" s="680"/>
      <c r="BM33" s="680"/>
      <c r="BN33" s="680"/>
      <c r="BO33" s="680"/>
      <c r="BP33" s="680"/>
      <c r="BQ33" s="680"/>
      <c r="BR33" s="680"/>
      <c r="BS33" s="680"/>
      <c r="BT33" s="680"/>
      <c r="BU33" s="680"/>
      <c r="BV33" s="680"/>
      <c r="BW33" s="680"/>
      <c r="BX33" s="680"/>
      <c r="BY33" s="680"/>
      <c r="BZ33" s="680"/>
      <c r="CA33" s="680"/>
      <c r="CB33" s="680"/>
      <c r="CC33" s="680"/>
      <c r="CD33" s="680"/>
      <c r="CE33" s="680"/>
      <c r="CF33" s="680"/>
      <c r="CG33" s="680"/>
      <c r="CH33" s="680"/>
      <c r="CI33" s="680"/>
      <c r="CJ33" s="680"/>
      <c r="CK33" s="680"/>
      <c r="CL33" s="680"/>
      <c r="CM33" s="680"/>
      <c r="CN33" s="680"/>
      <c r="CO33" s="680"/>
      <c r="CP33" s="680"/>
      <c r="CQ33" s="680"/>
      <c r="CR33" s="680"/>
      <c r="CS33" s="680"/>
      <c r="CT33" s="680"/>
      <c r="CU33" s="680"/>
      <c r="CV33" s="680"/>
      <c r="CW33" s="680"/>
      <c r="CX33" s="680"/>
      <c r="CY33" s="680"/>
      <c r="CZ33" s="680"/>
      <c r="DA33" s="680"/>
      <c r="DB33" s="680"/>
      <c r="DC33" s="680"/>
      <c r="DD33" s="680"/>
      <c r="DE33" s="680"/>
      <c r="DF33" s="680"/>
      <c r="DG33" s="680"/>
      <c r="DH33" s="680"/>
      <c r="DI33" s="680"/>
      <c r="DJ33" s="680"/>
      <c r="DK33" s="680"/>
      <c r="DL33" s="680"/>
      <c r="DM33" s="680"/>
      <c r="DN33" s="680"/>
      <c r="DO33" s="680"/>
      <c r="DP33" s="680"/>
      <c r="DQ33" s="680"/>
      <c r="DR33" s="680"/>
      <c r="DS33" s="680"/>
      <c r="DT33" s="680"/>
      <c r="DU33" s="680"/>
      <c r="DV33" s="680"/>
      <c r="DW33" s="680"/>
      <c r="DX33" s="680"/>
      <c r="DY33" s="680"/>
      <c r="DZ33" s="680"/>
      <c r="EA33" s="680"/>
      <c r="EB33" s="680"/>
      <c r="EC33" s="680"/>
      <c r="ED33" s="680"/>
      <c r="EE33" s="680"/>
      <c r="EF33" s="680"/>
      <c r="EG33" s="680"/>
      <c r="EH33" s="680"/>
      <c r="EI33" s="680"/>
      <c r="EJ33" s="680"/>
      <c r="EK33" s="680"/>
      <c r="EL33" s="680"/>
      <c r="EM33" s="680"/>
      <c r="EN33" s="680"/>
      <c r="EO33" s="680"/>
      <c r="EP33" s="680"/>
      <c r="EQ33" s="680"/>
      <c r="ER33" s="680"/>
      <c r="ES33" s="680"/>
      <c r="ET33" s="680"/>
      <c r="EU33" s="680"/>
      <c r="EV33" s="680"/>
      <c r="EW33" s="680"/>
    </row>
    <row r="34" spans="1:153" s="663" customFormat="1" ht="13.5">
      <c r="A34" s="1005">
        <v>5</v>
      </c>
      <c r="B34" s="563" t="s">
        <v>189</v>
      </c>
      <c r="C34" s="510" t="s">
        <v>527</v>
      </c>
      <c r="D34" s="1005" t="s">
        <v>98</v>
      </c>
      <c r="E34" s="686"/>
      <c r="F34" s="526">
        <v>1</v>
      </c>
      <c r="G34" s="1005"/>
      <c r="H34" s="1005"/>
      <c r="I34" s="526"/>
      <c r="J34" s="1005"/>
      <c r="K34" s="1005"/>
      <c r="L34" s="1005"/>
      <c r="M34" s="526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  <c r="AM34" s="680"/>
      <c r="AN34" s="680"/>
      <c r="AO34" s="680"/>
      <c r="AP34" s="680"/>
      <c r="AQ34" s="680"/>
      <c r="AR34" s="680"/>
      <c r="AS34" s="680"/>
      <c r="AT34" s="680"/>
      <c r="AU34" s="680"/>
      <c r="AV34" s="680"/>
      <c r="AW34" s="680"/>
      <c r="AX34" s="680"/>
      <c r="AY34" s="680"/>
      <c r="AZ34" s="680"/>
      <c r="BA34" s="680"/>
      <c r="BB34" s="680"/>
      <c r="BC34" s="680"/>
      <c r="BD34" s="680"/>
      <c r="BE34" s="680"/>
      <c r="BF34" s="680"/>
      <c r="BG34" s="680"/>
      <c r="BH34" s="680"/>
      <c r="BI34" s="680"/>
      <c r="BJ34" s="680"/>
      <c r="BK34" s="680"/>
      <c r="BL34" s="680"/>
      <c r="BM34" s="680"/>
      <c r="BN34" s="680"/>
      <c r="BO34" s="680"/>
      <c r="BP34" s="680"/>
      <c r="BQ34" s="680"/>
      <c r="BR34" s="680"/>
      <c r="BS34" s="680"/>
      <c r="BT34" s="680"/>
      <c r="BU34" s="680"/>
      <c r="BV34" s="680"/>
      <c r="BW34" s="680"/>
      <c r="BX34" s="680"/>
      <c r="BY34" s="680"/>
      <c r="BZ34" s="680"/>
      <c r="CA34" s="680"/>
      <c r="CB34" s="680"/>
      <c r="CC34" s="680"/>
      <c r="CD34" s="680"/>
      <c r="CE34" s="680"/>
      <c r="CF34" s="680"/>
      <c r="CG34" s="680"/>
      <c r="CH34" s="680"/>
      <c r="CI34" s="680"/>
      <c r="CJ34" s="680"/>
      <c r="CK34" s="680"/>
      <c r="CL34" s="680"/>
      <c r="CM34" s="680"/>
      <c r="CN34" s="680"/>
      <c r="CO34" s="680"/>
      <c r="CP34" s="680"/>
      <c r="CQ34" s="680"/>
      <c r="CR34" s="680"/>
      <c r="CS34" s="680"/>
      <c r="CT34" s="680"/>
      <c r="CU34" s="680"/>
      <c r="CV34" s="680"/>
      <c r="CW34" s="680"/>
      <c r="CX34" s="680"/>
      <c r="CY34" s="680"/>
      <c r="CZ34" s="680"/>
      <c r="DA34" s="680"/>
      <c r="DB34" s="680"/>
      <c r="DC34" s="680"/>
      <c r="DD34" s="680"/>
      <c r="DE34" s="680"/>
      <c r="DF34" s="680"/>
      <c r="DG34" s="680"/>
      <c r="DH34" s="680"/>
      <c r="DI34" s="680"/>
      <c r="DJ34" s="680"/>
      <c r="DK34" s="680"/>
      <c r="DL34" s="680"/>
      <c r="DM34" s="680"/>
      <c r="DN34" s="680"/>
      <c r="DO34" s="680"/>
      <c r="DP34" s="680"/>
      <c r="DQ34" s="680"/>
      <c r="DR34" s="680"/>
      <c r="DS34" s="680"/>
      <c r="DT34" s="680"/>
      <c r="DU34" s="680"/>
      <c r="DV34" s="680"/>
      <c r="DW34" s="680"/>
      <c r="DX34" s="680"/>
      <c r="DY34" s="680"/>
      <c r="DZ34" s="680"/>
      <c r="EA34" s="680"/>
      <c r="EB34" s="680"/>
      <c r="EC34" s="680"/>
      <c r="ED34" s="680"/>
      <c r="EE34" s="680"/>
      <c r="EF34" s="680"/>
      <c r="EG34" s="680"/>
      <c r="EH34" s="680"/>
      <c r="EI34" s="680"/>
      <c r="EJ34" s="680"/>
      <c r="EK34" s="680"/>
      <c r="EL34" s="680"/>
      <c r="EM34" s="680"/>
      <c r="EN34" s="680"/>
      <c r="EO34" s="680"/>
      <c r="EP34" s="680"/>
      <c r="EQ34" s="680"/>
      <c r="ER34" s="680"/>
      <c r="ES34" s="680"/>
      <c r="ET34" s="680"/>
      <c r="EU34" s="680"/>
      <c r="EV34" s="680"/>
      <c r="EW34" s="680"/>
    </row>
    <row r="35" spans="1:153" s="663" customFormat="1" ht="13.5">
      <c r="A35" s="1005"/>
      <c r="B35" s="563"/>
      <c r="C35" s="687" t="s">
        <v>265</v>
      </c>
      <c r="D35" s="1007" t="s">
        <v>102</v>
      </c>
      <c r="E35" s="688">
        <v>7.33</v>
      </c>
      <c r="F35" s="386">
        <f>F34*E35</f>
        <v>7.33</v>
      </c>
      <c r="G35" s="1007"/>
      <c r="H35" s="689"/>
      <c r="I35" s="690"/>
      <c r="J35" s="386"/>
      <c r="K35" s="1007"/>
      <c r="L35" s="1007"/>
      <c r="M35" s="386"/>
      <c r="N35" s="680"/>
      <c r="O35" s="680"/>
      <c r="P35" s="680"/>
      <c r="Q35" s="680"/>
      <c r="R35" s="680"/>
      <c r="S35" s="680"/>
      <c r="T35" s="680"/>
      <c r="U35" s="680"/>
      <c r="V35" s="680"/>
      <c r="W35" s="680"/>
      <c r="X35" s="680"/>
      <c r="Y35" s="680"/>
      <c r="Z35" s="680"/>
      <c r="AA35" s="680"/>
      <c r="AB35" s="680"/>
      <c r="AC35" s="680"/>
      <c r="AD35" s="680"/>
      <c r="AE35" s="680"/>
      <c r="AF35" s="680"/>
      <c r="AG35" s="680"/>
      <c r="AH35" s="680"/>
      <c r="AI35" s="680"/>
      <c r="AJ35" s="680"/>
      <c r="AK35" s="680"/>
      <c r="AL35" s="680"/>
      <c r="AM35" s="680"/>
      <c r="AN35" s="680"/>
      <c r="AO35" s="680"/>
      <c r="AP35" s="680"/>
      <c r="AQ35" s="680"/>
      <c r="AR35" s="680"/>
      <c r="AS35" s="680"/>
      <c r="AT35" s="680"/>
      <c r="AU35" s="680"/>
      <c r="AV35" s="680"/>
      <c r="AW35" s="680"/>
      <c r="AX35" s="680"/>
      <c r="AY35" s="680"/>
      <c r="AZ35" s="680"/>
      <c r="BA35" s="680"/>
      <c r="BB35" s="680"/>
      <c r="BC35" s="680"/>
      <c r="BD35" s="680"/>
      <c r="BE35" s="680"/>
      <c r="BF35" s="680"/>
      <c r="BG35" s="680"/>
      <c r="BH35" s="680"/>
      <c r="BI35" s="680"/>
      <c r="BJ35" s="680"/>
      <c r="BK35" s="680"/>
      <c r="BL35" s="680"/>
      <c r="BM35" s="680"/>
      <c r="BN35" s="680"/>
      <c r="BO35" s="680"/>
      <c r="BP35" s="680"/>
      <c r="BQ35" s="680"/>
      <c r="BR35" s="680"/>
      <c r="BS35" s="680"/>
      <c r="BT35" s="680"/>
      <c r="BU35" s="680"/>
      <c r="BV35" s="680"/>
      <c r="BW35" s="680"/>
      <c r="BX35" s="680"/>
      <c r="BY35" s="680"/>
      <c r="BZ35" s="680"/>
      <c r="CA35" s="680"/>
      <c r="CB35" s="680"/>
      <c r="CC35" s="680"/>
      <c r="CD35" s="680"/>
      <c r="CE35" s="680"/>
      <c r="CF35" s="680"/>
      <c r="CG35" s="680"/>
      <c r="CH35" s="680"/>
      <c r="CI35" s="680"/>
      <c r="CJ35" s="680"/>
      <c r="CK35" s="680"/>
      <c r="CL35" s="680"/>
      <c r="CM35" s="680"/>
      <c r="CN35" s="680"/>
      <c r="CO35" s="680"/>
      <c r="CP35" s="680"/>
      <c r="CQ35" s="680"/>
      <c r="CR35" s="680"/>
      <c r="CS35" s="680"/>
      <c r="CT35" s="680"/>
      <c r="CU35" s="680"/>
      <c r="CV35" s="680"/>
      <c r="CW35" s="680"/>
      <c r="CX35" s="680"/>
      <c r="CY35" s="680"/>
      <c r="CZ35" s="680"/>
      <c r="DA35" s="680"/>
      <c r="DB35" s="680"/>
      <c r="DC35" s="680"/>
      <c r="DD35" s="680"/>
      <c r="DE35" s="680"/>
      <c r="DF35" s="680"/>
      <c r="DG35" s="680"/>
      <c r="DH35" s="680"/>
      <c r="DI35" s="680"/>
      <c r="DJ35" s="680"/>
      <c r="DK35" s="680"/>
      <c r="DL35" s="680"/>
      <c r="DM35" s="680"/>
      <c r="DN35" s="680"/>
      <c r="DO35" s="680"/>
      <c r="DP35" s="680"/>
      <c r="DQ35" s="680"/>
      <c r="DR35" s="680"/>
      <c r="DS35" s="680"/>
      <c r="DT35" s="680"/>
      <c r="DU35" s="680"/>
      <c r="DV35" s="680"/>
      <c r="DW35" s="680"/>
      <c r="DX35" s="680"/>
      <c r="DY35" s="680"/>
      <c r="DZ35" s="680"/>
      <c r="EA35" s="680"/>
      <c r="EB35" s="680"/>
      <c r="EC35" s="680"/>
      <c r="ED35" s="680"/>
      <c r="EE35" s="680"/>
      <c r="EF35" s="680"/>
      <c r="EG35" s="680"/>
      <c r="EH35" s="680"/>
      <c r="EI35" s="680"/>
      <c r="EJ35" s="680"/>
      <c r="EK35" s="680"/>
      <c r="EL35" s="680"/>
      <c r="EM35" s="680"/>
      <c r="EN35" s="680"/>
      <c r="EO35" s="680"/>
      <c r="EP35" s="680"/>
      <c r="EQ35" s="680"/>
      <c r="ER35" s="680"/>
      <c r="ES35" s="680"/>
      <c r="ET35" s="680"/>
      <c r="EU35" s="680"/>
      <c r="EV35" s="680"/>
      <c r="EW35" s="680"/>
    </row>
    <row r="36" spans="1:153" s="663" customFormat="1" ht="13.5">
      <c r="A36" s="1005"/>
      <c r="B36" s="687"/>
      <c r="C36" s="687" t="s">
        <v>191</v>
      </c>
      <c r="D36" s="691" t="s">
        <v>16</v>
      </c>
      <c r="E36" s="688">
        <v>0.11</v>
      </c>
      <c r="F36" s="386">
        <f>E36*F34</f>
        <v>0.11</v>
      </c>
      <c r="G36" s="1007"/>
      <c r="H36" s="689"/>
      <c r="I36" s="386"/>
      <c r="J36" s="1007"/>
      <c r="K36" s="386"/>
      <c r="L36" s="386"/>
      <c r="M36" s="386"/>
      <c r="N36" s="680"/>
      <c r="O36" s="680"/>
      <c r="P36" s="680"/>
      <c r="Q36" s="680"/>
      <c r="R36" s="680"/>
      <c r="S36" s="680"/>
      <c r="T36" s="680"/>
      <c r="U36" s="680"/>
      <c r="V36" s="680"/>
      <c r="W36" s="680"/>
      <c r="X36" s="680"/>
      <c r="Y36" s="680"/>
      <c r="Z36" s="680"/>
      <c r="AA36" s="680"/>
      <c r="AB36" s="680"/>
      <c r="AC36" s="680"/>
      <c r="AD36" s="680"/>
      <c r="AE36" s="680"/>
      <c r="AF36" s="680"/>
      <c r="AG36" s="680"/>
      <c r="AH36" s="680"/>
      <c r="AI36" s="680"/>
      <c r="AJ36" s="680"/>
      <c r="AK36" s="680"/>
      <c r="AL36" s="680"/>
      <c r="AM36" s="680"/>
      <c r="AN36" s="680"/>
      <c r="AO36" s="680"/>
      <c r="AP36" s="680"/>
      <c r="AQ36" s="680"/>
      <c r="AR36" s="680"/>
      <c r="AS36" s="680"/>
      <c r="AT36" s="680"/>
      <c r="AU36" s="680"/>
      <c r="AV36" s="680"/>
      <c r="AW36" s="680"/>
      <c r="AX36" s="680"/>
      <c r="AY36" s="680"/>
      <c r="AZ36" s="680"/>
      <c r="BA36" s="680"/>
      <c r="BB36" s="680"/>
      <c r="BC36" s="680"/>
      <c r="BD36" s="680"/>
      <c r="BE36" s="680"/>
      <c r="BF36" s="680"/>
      <c r="BG36" s="680"/>
      <c r="BH36" s="680"/>
      <c r="BI36" s="680"/>
      <c r="BJ36" s="680"/>
      <c r="BK36" s="680"/>
      <c r="BL36" s="680"/>
      <c r="BM36" s="680"/>
      <c r="BN36" s="680"/>
      <c r="BO36" s="680"/>
      <c r="BP36" s="680"/>
      <c r="BQ36" s="680"/>
      <c r="BR36" s="680"/>
      <c r="BS36" s="680"/>
      <c r="BT36" s="680"/>
      <c r="BU36" s="680"/>
      <c r="BV36" s="680"/>
      <c r="BW36" s="680"/>
      <c r="BX36" s="680"/>
      <c r="BY36" s="680"/>
      <c r="BZ36" s="680"/>
      <c r="CA36" s="680"/>
      <c r="CB36" s="680"/>
      <c r="CC36" s="680"/>
      <c r="CD36" s="680"/>
      <c r="CE36" s="680"/>
      <c r="CF36" s="680"/>
      <c r="CG36" s="680"/>
      <c r="CH36" s="680"/>
      <c r="CI36" s="680"/>
      <c r="CJ36" s="680"/>
      <c r="CK36" s="680"/>
      <c r="CL36" s="680"/>
      <c r="CM36" s="680"/>
      <c r="CN36" s="680"/>
      <c r="CO36" s="680"/>
      <c r="CP36" s="680"/>
      <c r="CQ36" s="680"/>
      <c r="CR36" s="680"/>
      <c r="CS36" s="680"/>
      <c r="CT36" s="680"/>
      <c r="CU36" s="680"/>
      <c r="CV36" s="680"/>
      <c r="CW36" s="680"/>
      <c r="CX36" s="680"/>
      <c r="CY36" s="680"/>
      <c r="CZ36" s="680"/>
      <c r="DA36" s="680"/>
      <c r="DB36" s="680"/>
      <c r="DC36" s="680"/>
      <c r="DD36" s="680"/>
      <c r="DE36" s="680"/>
      <c r="DF36" s="680"/>
      <c r="DG36" s="680"/>
      <c r="DH36" s="680"/>
      <c r="DI36" s="680"/>
      <c r="DJ36" s="680"/>
      <c r="DK36" s="680"/>
      <c r="DL36" s="680"/>
      <c r="DM36" s="680"/>
      <c r="DN36" s="680"/>
      <c r="DO36" s="680"/>
      <c r="DP36" s="680"/>
      <c r="DQ36" s="680"/>
      <c r="DR36" s="680"/>
      <c r="DS36" s="680"/>
      <c r="DT36" s="680"/>
      <c r="DU36" s="680"/>
      <c r="DV36" s="680"/>
      <c r="DW36" s="680"/>
      <c r="DX36" s="680"/>
      <c r="DY36" s="680"/>
      <c r="DZ36" s="680"/>
      <c r="EA36" s="680"/>
      <c r="EB36" s="680"/>
      <c r="EC36" s="680"/>
      <c r="ED36" s="680"/>
      <c r="EE36" s="680"/>
      <c r="EF36" s="680"/>
      <c r="EG36" s="680"/>
      <c r="EH36" s="680"/>
      <c r="EI36" s="680"/>
      <c r="EJ36" s="680"/>
      <c r="EK36" s="680"/>
      <c r="EL36" s="680"/>
      <c r="EM36" s="680"/>
      <c r="EN36" s="680"/>
      <c r="EO36" s="680"/>
      <c r="EP36" s="680"/>
      <c r="EQ36" s="680"/>
      <c r="ER36" s="680"/>
      <c r="ES36" s="680"/>
      <c r="ET36" s="680"/>
      <c r="EU36" s="680"/>
      <c r="EV36" s="680"/>
      <c r="EW36" s="680"/>
    </row>
    <row r="37" spans="1:153" s="663" customFormat="1" ht="13.5">
      <c r="A37" s="664"/>
      <c r="B37" s="397" t="s">
        <v>505</v>
      </c>
      <c r="C37" s="541" t="s">
        <v>525</v>
      </c>
      <c r="D37" s="494" t="s">
        <v>103</v>
      </c>
      <c r="E37" s="1007" t="s">
        <v>176</v>
      </c>
      <c r="F37" s="388">
        <f>(7.26+9.2)/1000</f>
        <v>1.6460000000000002E-2</v>
      </c>
      <c r="G37" s="389"/>
      <c r="H37" s="389"/>
      <c r="I37" s="545"/>
      <c r="J37" s="1011"/>
      <c r="K37" s="400"/>
      <c r="L37" s="400"/>
      <c r="M37" s="386"/>
      <c r="N37" s="680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680"/>
      <c r="AD37" s="680"/>
      <c r="AE37" s="680"/>
      <c r="AF37" s="680"/>
      <c r="AG37" s="680"/>
      <c r="AH37" s="680"/>
      <c r="AI37" s="680"/>
      <c r="AJ37" s="680"/>
      <c r="AK37" s="680"/>
      <c r="AL37" s="680"/>
      <c r="AM37" s="680"/>
      <c r="AN37" s="680"/>
      <c r="AO37" s="680"/>
      <c r="AP37" s="680"/>
      <c r="AQ37" s="680"/>
      <c r="AR37" s="680"/>
      <c r="AS37" s="680"/>
      <c r="AT37" s="680"/>
      <c r="AU37" s="680"/>
      <c r="AV37" s="680"/>
      <c r="AW37" s="680"/>
      <c r="AX37" s="680"/>
      <c r="AY37" s="680"/>
      <c r="AZ37" s="680"/>
      <c r="BA37" s="680"/>
      <c r="BB37" s="680"/>
      <c r="BC37" s="680"/>
      <c r="BD37" s="680"/>
      <c r="BE37" s="680"/>
      <c r="BF37" s="680"/>
      <c r="BG37" s="680"/>
      <c r="BH37" s="680"/>
      <c r="BI37" s="680"/>
      <c r="BJ37" s="680"/>
      <c r="BK37" s="680"/>
      <c r="BL37" s="680"/>
      <c r="BM37" s="680"/>
      <c r="BN37" s="680"/>
      <c r="BO37" s="680"/>
      <c r="BP37" s="680"/>
      <c r="BQ37" s="680"/>
      <c r="BR37" s="680"/>
      <c r="BS37" s="680"/>
      <c r="BT37" s="680"/>
      <c r="BU37" s="680"/>
      <c r="BV37" s="680"/>
      <c r="BW37" s="680"/>
      <c r="BX37" s="680"/>
      <c r="BY37" s="680"/>
      <c r="BZ37" s="680"/>
      <c r="CA37" s="680"/>
      <c r="CB37" s="680"/>
      <c r="CC37" s="680"/>
      <c r="CD37" s="680"/>
      <c r="CE37" s="680"/>
      <c r="CF37" s="680"/>
      <c r="CG37" s="680"/>
      <c r="CH37" s="680"/>
      <c r="CI37" s="680"/>
      <c r="CJ37" s="680"/>
      <c r="CK37" s="680"/>
      <c r="CL37" s="680"/>
      <c r="CM37" s="680"/>
      <c r="CN37" s="680"/>
      <c r="CO37" s="680"/>
      <c r="CP37" s="680"/>
      <c r="CQ37" s="680"/>
      <c r="CR37" s="680"/>
      <c r="CS37" s="680"/>
      <c r="CT37" s="680"/>
      <c r="CU37" s="680"/>
      <c r="CV37" s="680"/>
      <c r="CW37" s="680"/>
      <c r="CX37" s="680"/>
      <c r="CY37" s="680"/>
      <c r="CZ37" s="680"/>
      <c r="DA37" s="680"/>
      <c r="DB37" s="680"/>
      <c r="DC37" s="680"/>
      <c r="DD37" s="680"/>
      <c r="DE37" s="680"/>
      <c r="DF37" s="680"/>
      <c r="DG37" s="680"/>
      <c r="DH37" s="680"/>
      <c r="DI37" s="680"/>
      <c r="DJ37" s="680"/>
      <c r="DK37" s="680"/>
      <c r="DL37" s="680"/>
      <c r="DM37" s="680"/>
      <c r="DN37" s="680"/>
      <c r="DO37" s="680"/>
      <c r="DP37" s="680"/>
      <c r="DQ37" s="680"/>
      <c r="DR37" s="680"/>
      <c r="DS37" s="680"/>
      <c r="DT37" s="680"/>
      <c r="DU37" s="680"/>
      <c r="DV37" s="680"/>
      <c r="DW37" s="680"/>
      <c r="DX37" s="680"/>
      <c r="DY37" s="680"/>
      <c r="DZ37" s="680"/>
      <c r="EA37" s="680"/>
      <c r="EB37" s="680"/>
      <c r="EC37" s="680"/>
      <c r="ED37" s="680"/>
      <c r="EE37" s="680"/>
      <c r="EF37" s="680"/>
      <c r="EG37" s="680"/>
      <c r="EH37" s="680"/>
      <c r="EI37" s="680"/>
      <c r="EJ37" s="680"/>
      <c r="EK37" s="680"/>
      <c r="EL37" s="680"/>
      <c r="EM37" s="680"/>
      <c r="EN37" s="680"/>
      <c r="EO37" s="680"/>
      <c r="EP37" s="680"/>
      <c r="EQ37" s="680"/>
      <c r="ER37" s="680"/>
      <c r="ES37" s="680"/>
      <c r="ET37" s="680"/>
      <c r="EU37" s="680"/>
      <c r="EV37" s="680"/>
      <c r="EW37" s="680"/>
    </row>
    <row r="38" spans="1:153" s="663" customFormat="1" ht="13.5">
      <c r="A38" s="1011"/>
      <c r="B38" s="463" t="s">
        <v>739</v>
      </c>
      <c r="C38" s="541" t="s">
        <v>266</v>
      </c>
      <c r="D38" s="494" t="s">
        <v>103</v>
      </c>
      <c r="E38" s="1007" t="s">
        <v>176</v>
      </c>
      <c r="F38" s="692">
        <v>1E-3</v>
      </c>
      <c r="G38" s="400"/>
      <c r="H38" s="389"/>
      <c r="I38" s="545"/>
      <c r="J38" s="1011"/>
      <c r="K38" s="400"/>
      <c r="L38" s="400"/>
      <c r="M38" s="386"/>
      <c r="N38" s="680"/>
      <c r="O38" s="680"/>
      <c r="P38" s="680"/>
      <c r="Q38" s="680"/>
      <c r="R38" s="680"/>
      <c r="S38" s="680"/>
      <c r="T38" s="680"/>
      <c r="U38" s="680"/>
      <c r="V38" s="680"/>
      <c r="W38" s="680"/>
      <c r="X38" s="680"/>
      <c r="Y38" s="680"/>
      <c r="Z38" s="680"/>
      <c r="AA38" s="680"/>
      <c r="AB38" s="680"/>
      <c r="AC38" s="680"/>
      <c r="AD38" s="680"/>
      <c r="AE38" s="680"/>
      <c r="AF38" s="680"/>
      <c r="AG38" s="680"/>
      <c r="AH38" s="680"/>
      <c r="AI38" s="680"/>
      <c r="AJ38" s="680"/>
      <c r="AK38" s="680"/>
      <c r="AL38" s="680"/>
      <c r="AM38" s="680"/>
      <c r="AN38" s="680"/>
      <c r="AO38" s="680"/>
      <c r="AP38" s="680"/>
      <c r="AQ38" s="680"/>
      <c r="AR38" s="680"/>
      <c r="AS38" s="680"/>
      <c r="AT38" s="680"/>
      <c r="AU38" s="680"/>
      <c r="AV38" s="680"/>
      <c r="AW38" s="680"/>
      <c r="AX38" s="680"/>
      <c r="AY38" s="680"/>
      <c r="AZ38" s="680"/>
      <c r="BA38" s="680"/>
      <c r="BB38" s="680"/>
      <c r="BC38" s="680"/>
      <c r="BD38" s="680"/>
      <c r="BE38" s="680"/>
      <c r="BF38" s="680"/>
      <c r="BG38" s="680"/>
      <c r="BH38" s="680"/>
      <c r="BI38" s="680"/>
      <c r="BJ38" s="680"/>
      <c r="BK38" s="680"/>
      <c r="BL38" s="680"/>
      <c r="BM38" s="680"/>
      <c r="BN38" s="680"/>
      <c r="BO38" s="680"/>
      <c r="BP38" s="680"/>
      <c r="BQ38" s="680"/>
      <c r="BR38" s="680"/>
      <c r="BS38" s="680"/>
      <c r="BT38" s="680"/>
      <c r="BU38" s="680"/>
      <c r="BV38" s="680"/>
      <c r="BW38" s="680"/>
      <c r="BX38" s="680"/>
      <c r="BY38" s="680"/>
      <c r="BZ38" s="680"/>
      <c r="CA38" s="680"/>
      <c r="CB38" s="680"/>
      <c r="CC38" s="680"/>
      <c r="CD38" s="680"/>
      <c r="CE38" s="680"/>
      <c r="CF38" s="680"/>
      <c r="CG38" s="680"/>
      <c r="CH38" s="680"/>
      <c r="CI38" s="680"/>
      <c r="CJ38" s="680"/>
      <c r="CK38" s="680"/>
      <c r="CL38" s="680"/>
      <c r="CM38" s="680"/>
      <c r="CN38" s="680"/>
      <c r="CO38" s="680"/>
      <c r="CP38" s="680"/>
      <c r="CQ38" s="680"/>
      <c r="CR38" s="680"/>
      <c r="CS38" s="680"/>
      <c r="CT38" s="680"/>
      <c r="CU38" s="680"/>
      <c r="CV38" s="680"/>
      <c r="CW38" s="680"/>
      <c r="CX38" s="680"/>
      <c r="CY38" s="680"/>
      <c r="CZ38" s="680"/>
      <c r="DA38" s="680"/>
      <c r="DB38" s="680"/>
      <c r="DC38" s="680"/>
      <c r="DD38" s="680"/>
      <c r="DE38" s="680"/>
      <c r="DF38" s="680"/>
      <c r="DG38" s="680"/>
      <c r="DH38" s="680"/>
      <c r="DI38" s="680"/>
      <c r="DJ38" s="680"/>
      <c r="DK38" s="680"/>
      <c r="DL38" s="680"/>
      <c r="DM38" s="680"/>
      <c r="DN38" s="680"/>
      <c r="DO38" s="680"/>
      <c r="DP38" s="680"/>
      <c r="DQ38" s="680"/>
      <c r="DR38" s="680"/>
      <c r="DS38" s="680"/>
      <c r="DT38" s="680"/>
      <c r="DU38" s="680"/>
      <c r="DV38" s="680"/>
      <c r="DW38" s="680"/>
      <c r="DX38" s="680"/>
      <c r="DY38" s="680"/>
      <c r="DZ38" s="680"/>
      <c r="EA38" s="680"/>
      <c r="EB38" s="680"/>
      <c r="EC38" s="680"/>
      <c r="ED38" s="680"/>
      <c r="EE38" s="680"/>
      <c r="EF38" s="680"/>
      <c r="EG38" s="680"/>
      <c r="EH38" s="680"/>
      <c r="EI38" s="680"/>
      <c r="EJ38" s="680"/>
      <c r="EK38" s="680"/>
      <c r="EL38" s="680"/>
      <c r="EM38" s="680"/>
      <c r="EN38" s="680"/>
      <c r="EO38" s="680"/>
      <c r="EP38" s="680"/>
      <c r="EQ38" s="680"/>
      <c r="ER38" s="680"/>
      <c r="ES38" s="680"/>
      <c r="ET38" s="680"/>
      <c r="EU38" s="680"/>
      <c r="EV38" s="680"/>
      <c r="EW38" s="680"/>
    </row>
    <row r="39" spans="1:153" s="663" customFormat="1" ht="13.5">
      <c r="A39" s="1011"/>
      <c r="B39" s="397" t="s">
        <v>520</v>
      </c>
      <c r="C39" s="541" t="s">
        <v>187</v>
      </c>
      <c r="D39" s="494" t="s">
        <v>103</v>
      </c>
      <c r="E39" s="1007" t="s">
        <v>176</v>
      </c>
      <c r="F39" s="692">
        <f>(0.63+0.81)/1000</f>
        <v>1.4399999999999999E-3</v>
      </c>
      <c r="G39" s="389"/>
      <c r="H39" s="389"/>
      <c r="I39" s="545"/>
      <c r="J39" s="1011"/>
      <c r="K39" s="400"/>
      <c r="L39" s="400"/>
      <c r="M39" s="386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  <c r="Y39" s="680"/>
      <c r="Z39" s="680"/>
      <c r="AA39" s="680"/>
      <c r="AB39" s="680"/>
      <c r="AC39" s="680"/>
      <c r="AD39" s="680"/>
      <c r="AE39" s="680"/>
      <c r="AF39" s="680"/>
      <c r="AG39" s="680"/>
      <c r="AH39" s="680"/>
      <c r="AI39" s="680"/>
      <c r="AJ39" s="680"/>
      <c r="AK39" s="680"/>
      <c r="AL39" s="680"/>
      <c r="AM39" s="680"/>
      <c r="AN39" s="680"/>
      <c r="AO39" s="680"/>
      <c r="AP39" s="680"/>
      <c r="AQ39" s="680"/>
      <c r="AR39" s="680"/>
      <c r="AS39" s="680"/>
      <c r="AT39" s="680"/>
      <c r="AU39" s="680"/>
      <c r="AV39" s="680"/>
      <c r="AW39" s="680"/>
      <c r="AX39" s="680"/>
      <c r="AY39" s="680"/>
      <c r="AZ39" s="680"/>
      <c r="BA39" s="680"/>
      <c r="BB39" s="680"/>
      <c r="BC39" s="680"/>
      <c r="BD39" s="680"/>
      <c r="BE39" s="680"/>
      <c r="BF39" s="680"/>
      <c r="BG39" s="680"/>
      <c r="BH39" s="680"/>
      <c r="BI39" s="680"/>
      <c r="BJ39" s="680"/>
      <c r="BK39" s="680"/>
      <c r="BL39" s="680"/>
      <c r="BM39" s="680"/>
      <c r="BN39" s="680"/>
      <c r="BO39" s="680"/>
      <c r="BP39" s="680"/>
      <c r="BQ39" s="680"/>
      <c r="BR39" s="680"/>
      <c r="BS39" s="680"/>
      <c r="BT39" s="680"/>
      <c r="BU39" s="680"/>
      <c r="BV39" s="680"/>
      <c r="BW39" s="680"/>
      <c r="BX39" s="680"/>
      <c r="BY39" s="680"/>
      <c r="BZ39" s="680"/>
      <c r="CA39" s="680"/>
      <c r="CB39" s="680"/>
      <c r="CC39" s="680"/>
      <c r="CD39" s="680"/>
      <c r="CE39" s="680"/>
      <c r="CF39" s="680"/>
      <c r="CG39" s="680"/>
      <c r="CH39" s="680"/>
      <c r="CI39" s="680"/>
      <c r="CJ39" s="680"/>
      <c r="CK39" s="680"/>
      <c r="CL39" s="680"/>
      <c r="CM39" s="680"/>
      <c r="CN39" s="680"/>
      <c r="CO39" s="680"/>
      <c r="CP39" s="680"/>
      <c r="CQ39" s="680"/>
      <c r="CR39" s="680"/>
      <c r="CS39" s="680"/>
      <c r="CT39" s="680"/>
      <c r="CU39" s="680"/>
      <c r="CV39" s="680"/>
      <c r="CW39" s="680"/>
      <c r="CX39" s="680"/>
      <c r="CY39" s="680"/>
      <c r="CZ39" s="680"/>
      <c r="DA39" s="680"/>
      <c r="DB39" s="680"/>
      <c r="DC39" s="680"/>
      <c r="DD39" s="680"/>
      <c r="DE39" s="680"/>
      <c r="DF39" s="680"/>
      <c r="DG39" s="680"/>
      <c r="DH39" s="680"/>
      <c r="DI39" s="680"/>
      <c r="DJ39" s="680"/>
      <c r="DK39" s="680"/>
      <c r="DL39" s="680"/>
      <c r="DM39" s="680"/>
      <c r="DN39" s="680"/>
      <c r="DO39" s="680"/>
      <c r="DP39" s="680"/>
      <c r="DQ39" s="680"/>
      <c r="DR39" s="680"/>
      <c r="DS39" s="680"/>
      <c r="DT39" s="680"/>
      <c r="DU39" s="680"/>
      <c r="DV39" s="680"/>
      <c r="DW39" s="680"/>
      <c r="DX39" s="680"/>
      <c r="DY39" s="680"/>
      <c r="DZ39" s="680"/>
      <c r="EA39" s="680"/>
      <c r="EB39" s="680"/>
      <c r="EC39" s="680"/>
      <c r="ED39" s="680"/>
      <c r="EE39" s="680"/>
      <c r="EF39" s="680"/>
      <c r="EG39" s="680"/>
      <c r="EH39" s="680"/>
      <c r="EI39" s="680"/>
      <c r="EJ39" s="680"/>
      <c r="EK39" s="680"/>
      <c r="EL39" s="680"/>
      <c r="EM39" s="680"/>
      <c r="EN39" s="680"/>
      <c r="EO39" s="680"/>
      <c r="EP39" s="680"/>
      <c r="EQ39" s="680"/>
      <c r="ER39" s="680"/>
      <c r="ES39" s="680"/>
      <c r="ET39" s="680"/>
      <c r="EU39" s="680"/>
      <c r="EV39" s="680"/>
      <c r="EW39" s="680"/>
    </row>
    <row r="40" spans="1:153" s="663" customFormat="1" ht="13.5">
      <c r="A40" s="1011"/>
      <c r="B40" s="463" t="s">
        <v>738</v>
      </c>
      <c r="C40" s="541" t="s">
        <v>521</v>
      </c>
      <c r="D40" s="494" t="s">
        <v>169</v>
      </c>
      <c r="E40" s="1007" t="s">
        <v>176</v>
      </c>
      <c r="F40" s="386">
        <f>1*1.5</f>
        <v>1.5</v>
      </c>
      <c r="G40" s="400"/>
      <c r="H40" s="389"/>
      <c r="I40" s="545"/>
      <c r="J40" s="1011"/>
      <c r="K40" s="400"/>
      <c r="L40" s="400"/>
      <c r="M40" s="386"/>
      <c r="N40" s="680"/>
      <c r="O40" s="680"/>
      <c r="P40" s="680"/>
      <c r="Q40" s="680"/>
      <c r="R40" s="680"/>
      <c r="S40" s="680"/>
      <c r="T40" s="680"/>
      <c r="U40" s="680"/>
      <c r="V40" s="680"/>
      <c r="W40" s="680"/>
      <c r="X40" s="680"/>
      <c r="Y40" s="680"/>
      <c r="Z40" s="680"/>
      <c r="AA40" s="680"/>
      <c r="AB40" s="680"/>
      <c r="AC40" s="680"/>
      <c r="AD40" s="680"/>
      <c r="AE40" s="680"/>
      <c r="AF40" s="680"/>
      <c r="AG40" s="680"/>
      <c r="AH40" s="680"/>
      <c r="AI40" s="680"/>
      <c r="AJ40" s="680"/>
      <c r="AK40" s="680"/>
      <c r="AL40" s="680"/>
      <c r="AM40" s="680"/>
      <c r="AN40" s="680"/>
      <c r="AO40" s="680"/>
      <c r="AP40" s="680"/>
      <c r="AQ40" s="680"/>
      <c r="AR40" s="680"/>
      <c r="AS40" s="680"/>
      <c r="AT40" s="680"/>
      <c r="AU40" s="680"/>
      <c r="AV40" s="680"/>
      <c r="AW40" s="680"/>
      <c r="AX40" s="680"/>
      <c r="AY40" s="680"/>
      <c r="AZ40" s="680"/>
      <c r="BA40" s="680"/>
      <c r="BB40" s="680"/>
      <c r="BC40" s="680"/>
      <c r="BD40" s="680"/>
      <c r="BE40" s="680"/>
      <c r="BF40" s="680"/>
      <c r="BG40" s="680"/>
      <c r="BH40" s="680"/>
      <c r="BI40" s="680"/>
      <c r="BJ40" s="680"/>
      <c r="BK40" s="680"/>
      <c r="BL40" s="680"/>
      <c r="BM40" s="680"/>
      <c r="BN40" s="680"/>
      <c r="BO40" s="680"/>
      <c r="BP40" s="680"/>
      <c r="BQ40" s="680"/>
      <c r="BR40" s="680"/>
      <c r="BS40" s="680"/>
      <c r="BT40" s="680"/>
      <c r="BU40" s="680"/>
      <c r="BV40" s="680"/>
      <c r="BW40" s="680"/>
      <c r="BX40" s="680"/>
      <c r="BY40" s="680"/>
      <c r="BZ40" s="680"/>
      <c r="CA40" s="680"/>
      <c r="CB40" s="680"/>
      <c r="CC40" s="680"/>
      <c r="CD40" s="680"/>
      <c r="CE40" s="680"/>
      <c r="CF40" s="680"/>
      <c r="CG40" s="680"/>
      <c r="CH40" s="680"/>
      <c r="CI40" s="680"/>
      <c r="CJ40" s="680"/>
      <c r="CK40" s="680"/>
      <c r="CL40" s="680"/>
      <c r="CM40" s="680"/>
      <c r="CN40" s="680"/>
      <c r="CO40" s="680"/>
      <c r="CP40" s="680"/>
      <c r="CQ40" s="680"/>
      <c r="CR40" s="680"/>
      <c r="CS40" s="680"/>
      <c r="CT40" s="680"/>
      <c r="CU40" s="680"/>
      <c r="CV40" s="680"/>
      <c r="CW40" s="680"/>
      <c r="CX40" s="680"/>
      <c r="CY40" s="680"/>
      <c r="CZ40" s="680"/>
      <c r="DA40" s="680"/>
      <c r="DB40" s="680"/>
      <c r="DC40" s="680"/>
      <c r="DD40" s="680"/>
      <c r="DE40" s="680"/>
      <c r="DF40" s="680"/>
      <c r="DG40" s="680"/>
      <c r="DH40" s="680"/>
      <c r="DI40" s="680"/>
      <c r="DJ40" s="680"/>
      <c r="DK40" s="680"/>
      <c r="DL40" s="680"/>
      <c r="DM40" s="680"/>
      <c r="DN40" s="680"/>
      <c r="DO40" s="680"/>
      <c r="DP40" s="680"/>
      <c r="DQ40" s="680"/>
      <c r="DR40" s="680"/>
      <c r="DS40" s="680"/>
      <c r="DT40" s="680"/>
      <c r="DU40" s="680"/>
      <c r="DV40" s="680"/>
      <c r="DW40" s="680"/>
      <c r="DX40" s="680"/>
      <c r="DY40" s="680"/>
      <c r="DZ40" s="680"/>
      <c r="EA40" s="680"/>
      <c r="EB40" s="680"/>
      <c r="EC40" s="680"/>
      <c r="ED40" s="680"/>
      <c r="EE40" s="680"/>
      <c r="EF40" s="680"/>
      <c r="EG40" s="680"/>
      <c r="EH40" s="680"/>
      <c r="EI40" s="680"/>
      <c r="EJ40" s="680"/>
      <c r="EK40" s="680"/>
      <c r="EL40" s="680"/>
      <c r="EM40" s="680"/>
      <c r="EN40" s="680"/>
      <c r="EO40" s="680"/>
      <c r="EP40" s="680"/>
      <c r="EQ40" s="680"/>
      <c r="ER40" s="680"/>
      <c r="ES40" s="680"/>
      <c r="ET40" s="680"/>
      <c r="EU40" s="680"/>
      <c r="EV40" s="680"/>
      <c r="EW40" s="680"/>
    </row>
    <row r="41" spans="1:153" s="663" customFormat="1" ht="13.5">
      <c r="A41" s="1011"/>
      <c r="B41" s="397" t="s">
        <v>741</v>
      </c>
      <c r="C41" s="541" t="s">
        <v>526</v>
      </c>
      <c r="D41" s="494" t="s">
        <v>98</v>
      </c>
      <c r="E41" s="1007" t="s">
        <v>176</v>
      </c>
      <c r="F41" s="386">
        <v>1</v>
      </c>
      <c r="G41" s="389"/>
      <c r="H41" s="389"/>
      <c r="I41" s="545"/>
      <c r="J41" s="1011"/>
      <c r="K41" s="400"/>
      <c r="L41" s="400"/>
      <c r="M41" s="386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680"/>
      <c r="AL41" s="680"/>
      <c r="AM41" s="680"/>
      <c r="AN41" s="680"/>
      <c r="AO41" s="680"/>
      <c r="AP41" s="680"/>
      <c r="AQ41" s="680"/>
      <c r="AR41" s="680"/>
      <c r="AS41" s="680"/>
      <c r="AT41" s="680"/>
      <c r="AU41" s="680"/>
      <c r="AV41" s="680"/>
      <c r="AW41" s="680"/>
      <c r="AX41" s="680"/>
      <c r="AY41" s="680"/>
      <c r="AZ41" s="680"/>
      <c r="BA41" s="680"/>
      <c r="BB41" s="680"/>
      <c r="BC41" s="680"/>
      <c r="BD41" s="680"/>
      <c r="BE41" s="680"/>
      <c r="BF41" s="680"/>
      <c r="BG41" s="680"/>
      <c r="BH41" s="680"/>
      <c r="BI41" s="680"/>
      <c r="BJ41" s="680"/>
      <c r="BK41" s="680"/>
      <c r="BL41" s="680"/>
      <c r="BM41" s="680"/>
      <c r="BN41" s="680"/>
      <c r="BO41" s="680"/>
      <c r="BP41" s="680"/>
      <c r="BQ41" s="680"/>
      <c r="BR41" s="680"/>
      <c r="BS41" s="680"/>
      <c r="BT41" s="680"/>
      <c r="BU41" s="680"/>
      <c r="BV41" s="680"/>
      <c r="BW41" s="680"/>
      <c r="BX41" s="680"/>
      <c r="BY41" s="680"/>
      <c r="BZ41" s="680"/>
      <c r="CA41" s="680"/>
      <c r="CB41" s="680"/>
      <c r="CC41" s="680"/>
      <c r="CD41" s="680"/>
      <c r="CE41" s="680"/>
      <c r="CF41" s="680"/>
      <c r="CG41" s="680"/>
      <c r="CH41" s="680"/>
      <c r="CI41" s="680"/>
      <c r="CJ41" s="680"/>
      <c r="CK41" s="680"/>
      <c r="CL41" s="680"/>
      <c r="CM41" s="680"/>
      <c r="CN41" s="680"/>
      <c r="CO41" s="680"/>
      <c r="CP41" s="680"/>
      <c r="CQ41" s="680"/>
      <c r="CR41" s="680"/>
      <c r="CS41" s="680"/>
      <c r="CT41" s="680"/>
      <c r="CU41" s="680"/>
      <c r="CV41" s="680"/>
      <c r="CW41" s="680"/>
      <c r="CX41" s="680"/>
      <c r="CY41" s="680"/>
      <c r="CZ41" s="680"/>
      <c r="DA41" s="680"/>
      <c r="DB41" s="680"/>
      <c r="DC41" s="680"/>
      <c r="DD41" s="680"/>
      <c r="DE41" s="680"/>
      <c r="DF41" s="680"/>
      <c r="DG41" s="680"/>
      <c r="DH41" s="680"/>
      <c r="DI41" s="680"/>
      <c r="DJ41" s="680"/>
      <c r="DK41" s="680"/>
      <c r="DL41" s="680"/>
      <c r="DM41" s="680"/>
      <c r="DN41" s="680"/>
      <c r="DO41" s="680"/>
      <c r="DP41" s="680"/>
      <c r="DQ41" s="680"/>
      <c r="DR41" s="680"/>
      <c r="DS41" s="680"/>
      <c r="DT41" s="680"/>
      <c r="DU41" s="680"/>
      <c r="DV41" s="680"/>
      <c r="DW41" s="680"/>
      <c r="DX41" s="680"/>
      <c r="DY41" s="680"/>
      <c r="DZ41" s="680"/>
      <c r="EA41" s="680"/>
      <c r="EB41" s="680"/>
      <c r="EC41" s="680"/>
      <c r="ED41" s="680"/>
      <c r="EE41" s="680"/>
      <c r="EF41" s="680"/>
      <c r="EG41" s="680"/>
      <c r="EH41" s="680"/>
      <c r="EI41" s="680"/>
      <c r="EJ41" s="680"/>
      <c r="EK41" s="680"/>
      <c r="EL41" s="680"/>
      <c r="EM41" s="680"/>
      <c r="EN41" s="680"/>
      <c r="EO41" s="680"/>
      <c r="EP41" s="680"/>
      <c r="EQ41" s="680"/>
      <c r="ER41" s="680"/>
      <c r="ES41" s="680"/>
      <c r="ET41" s="680"/>
      <c r="EU41" s="680"/>
      <c r="EV41" s="680"/>
      <c r="EW41" s="680"/>
    </row>
    <row r="42" spans="1:153" s="663" customFormat="1" ht="13.5">
      <c r="A42" s="1011"/>
      <c r="B42" s="463" t="s">
        <v>742</v>
      </c>
      <c r="C42" s="541" t="s">
        <v>190</v>
      </c>
      <c r="D42" s="494" t="s">
        <v>98</v>
      </c>
      <c r="E42" s="1007" t="s">
        <v>176</v>
      </c>
      <c r="F42" s="386">
        <v>2</v>
      </c>
      <c r="G42" s="400"/>
      <c r="H42" s="389"/>
      <c r="I42" s="545"/>
      <c r="J42" s="1011"/>
      <c r="K42" s="400"/>
      <c r="L42" s="400"/>
      <c r="M42" s="386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0"/>
      <c r="Z42" s="680"/>
      <c r="AA42" s="680"/>
      <c r="AB42" s="680"/>
      <c r="AC42" s="680"/>
      <c r="AD42" s="680"/>
      <c r="AE42" s="680"/>
      <c r="AF42" s="680"/>
      <c r="AG42" s="680"/>
      <c r="AH42" s="680"/>
      <c r="AI42" s="680"/>
      <c r="AJ42" s="680"/>
      <c r="AK42" s="680"/>
      <c r="AL42" s="680"/>
      <c r="AM42" s="680"/>
      <c r="AN42" s="680"/>
      <c r="AO42" s="680"/>
      <c r="AP42" s="680"/>
      <c r="AQ42" s="680"/>
      <c r="AR42" s="680"/>
      <c r="AS42" s="680"/>
      <c r="AT42" s="680"/>
      <c r="AU42" s="680"/>
      <c r="AV42" s="680"/>
      <c r="AW42" s="680"/>
      <c r="AX42" s="680"/>
      <c r="AY42" s="680"/>
      <c r="AZ42" s="680"/>
      <c r="BA42" s="680"/>
      <c r="BB42" s="680"/>
      <c r="BC42" s="680"/>
      <c r="BD42" s="680"/>
      <c r="BE42" s="680"/>
      <c r="BF42" s="680"/>
      <c r="BG42" s="680"/>
      <c r="BH42" s="680"/>
      <c r="BI42" s="680"/>
      <c r="BJ42" s="680"/>
      <c r="BK42" s="680"/>
      <c r="BL42" s="680"/>
      <c r="BM42" s="680"/>
      <c r="BN42" s="680"/>
      <c r="BO42" s="680"/>
      <c r="BP42" s="680"/>
      <c r="BQ42" s="680"/>
      <c r="BR42" s="680"/>
      <c r="BS42" s="680"/>
      <c r="BT42" s="680"/>
      <c r="BU42" s="680"/>
      <c r="BV42" s="680"/>
      <c r="BW42" s="680"/>
      <c r="BX42" s="680"/>
      <c r="BY42" s="680"/>
      <c r="BZ42" s="680"/>
      <c r="CA42" s="680"/>
      <c r="CB42" s="680"/>
      <c r="CC42" s="680"/>
      <c r="CD42" s="680"/>
      <c r="CE42" s="680"/>
      <c r="CF42" s="680"/>
      <c r="CG42" s="680"/>
      <c r="CH42" s="680"/>
      <c r="CI42" s="680"/>
      <c r="CJ42" s="680"/>
      <c r="CK42" s="680"/>
      <c r="CL42" s="680"/>
      <c r="CM42" s="680"/>
      <c r="CN42" s="680"/>
      <c r="CO42" s="680"/>
      <c r="CP42" s="680"/>
      <c r="CQ42" s="680"/>
      <c r="CR42" s="680"/>
      <c r="CS42" s="680"/>
      <c r="CT42" s="680"/>
      <c r="CU42" s="680"/>
      <c r="CV42" s="680"/>
      <c r="CW42" s="680"/>
      <c r="CX42" s="680"/>
      <c r="CY42" s="680"/>
      <c r="CZ42" s="680"/>
      <c r="DA42" s="680"/>
      <c r="DB42" s="680"/>
      <c r="DC42" s="680"/>
      <c r="DD42" s="680"/>
      <c r="DE42" s="680"/>
      <c r="DF42" s="680"/>
      <c r="DG42" s="680"/>
      <c r="DH42" s="680"/>
      <c r="DI42" s="680"/>
      <c r="DJ42" s="680"/>
      <c r="DK42" s="680"/>
      <c r="DL42" s="680"/>
      <c r="DM42" s="680"/>
      <c r="DN42" s="680"/>
      <c r="DO42" s="680"/>
      <c r="DP42" s="680"/>
      <c r="DQ42" s="680"/>
      <c r="DR42" s="680"/>
      <c r="DS42" s="680"/>
      <c r="DT42" s="680"/>
      <c r="DU42" s="680"/>
      <c r="DV42" s="680"/>
      <c r="DW42" s="680"/>
      <c r="DX42" s="680"/>
      <c r="DY42" s="680"/>
      <c r="DZ42" s="680"/>
      <c r="EA42" s="680"/>
      <c r="EB42" s="680"/>
      <c r="EC42" s="680"/>
      <c r="ED42" s="680"/>
      <c r="EE42" s="680"/>
      <c r="EF42" s="680"/>
      <c r="EG42" s="680"/>
      <c r="EH42" s="680"/>
      <c r="EI42" s="680"/>
      <c r="EJ42" s="680"/>
      <c r="EK42" s="680"/>
      <c r="EL42" s="680"/>
      <c r="EM42" s="680"/>
      <c r="EN42" s="680"/>
      <c r="EO42" s="680"/>
      <c r="EP42" s="680"/>
      <c r="EQ42" s="680"/>
      <c r="ER42" s="680"/>
      <c r="ES42" s="680"/>
      <c r="ET42" s="680"/>
      <c r="EU42" s="680"/>
      <c r="EV42" s="680"/>
      <c r="EW42" s="680"/>
    </row>
    <row r="43" spans="1:153" s="663" customFormat="1" ht="13.5">
      <c r="A43" s="1005"/>
      <c r="B43" s="693"/>
      <c r="C43" s="687" t="s">
        <v>192</v>
      </c>
      <c r="D43" s="691" t="s">
        <v>16</v>
      </c>
      <c r="E43" s="688">
        <v>0.02</v>
      </c>
      <c r="F43" s="691">
        <f>E43*F34</f>
        <v>0.02</v>
      </c>
      <c r="G43" s="386"/>
      <c r="H43" s="694"/>
      <c r="I43" s="1007"/>
      <c r="J43" s="1007"/>
      <c r="K43" s="1007"/>
      <c r="L43" s="695"/>
      <c r="M43" s="386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0"/>
      <c r="AI43" s="680"/>
      <c r="AJ43" s="680"/>
      <c r="AK43" s="680"/>
      <c r="AL43" s="680"/>
      <c r="AM43" s="680"/>
      <c r="AN43" s="680"/>
      <c r="AO43" s="680"/>
      <c r="AP43" s="680"/>
      <c r="AQ43" s="680"/>
      <c r="AR43" s="680"/>
      <c r="AS43" s="680"/>
      <c r="AT43" s="680"/>
      <c r="AU43" s="680"/>
      <c r="AV43" s="680"/>
      <c r="AW43" s="680"/>
      <c r="AX43" s="680"/>
      <c r="AY43" s="680"/>
      <c r="AZ43" s="680"/>
      <c r="BA43" s="680"/>
      <c r="BB43" s="680"/>
      <c r="BC43" s="680"/>
      <c r="BD43" s="680"/>
      <c r="BE43" s="680"/>
      <c r="BF43" s="680"/>
      <c r="BG43" s="680"/>
      <c r="BH43" s="680"/>
      <c r="BI43" s="680"/>
      <c r="BJ43" s="680"/>
      <c r="BK43" s="680"/>
      <c r="BL43" s="680"/>
      <c r="BM43" s="680"/>
      <c r="BN43" s="680"/>
      <c r="BO43" s="680"/>
      <c r="BP43" s="680"/>
      <c r="BQ43" s="680"/>
      <c r="BR43" s="680"/>
      <c r="BS43" s="680"/>
      <c r="BT43" s="680"/>
      <c r="BU43" s="680"/>
      <c r="BV43" s="680"/>
      <c r="BW43" s="680"/>
      <c r="BX43" s="680"/>
      <c r="BY43" s="680"/>
      <c r="BZ43" s="680"/>
      <c r="CA43" s="680"/>
      <c r="CB43" s="680"/>
      <c r="CC43" s="680"/>
      <c r="CD43" s="680"/>
      <c r="CE43" s="680"/>
      <c r="CF43" s="680"/>
      <c r="CG43" s="680"/>
      <c r="CH43" s="680"/>
      <c r="CI43" s="680"/>
      <c r="CJ43" s="680"/>
      <c r="CK43" s="680"/>
      <c r="CL43" s="680"/>
      <c r="CM43" s="680"/>
      <c r="CN43" s="680"/>
      <c r="CO43" s="680"/>
      <c r="CP43" s="680"/>
      <c r="CQ43" s="680"/>
      <c r="CR43" s="680"/>
      <c r="CS43" s="680"/>
      <c r="CT43" s="680"/>
      <c r="CU43" s="680"/>
      <c r="CV43" s="680"/>
      <c r="CW43" s="680"/>
      <c r="CX43" s="680"/>
      <c r="CY43" s="680"/>
      <c r="CZ43" s="680"/>
      <c r="DA43" s="680"/>
      <c r="DB43" s="680"/>
      <c r="DC43" s="680"/>
      <c r="DD43" s="680"/>
      <c r="DE43" s="680"/>
      <c r="DF43" s="680"/>
      <c r="DG43" s="680"/>
      <c r="DH43" s="680"/>
      <c r="DI43" s="680"/>
      <c r="DJ43" s="680"/>
      <c r="DK43" s="680"/>
      <c r="DL43" s="680"/>
      <c r="DM43" s="680"/>
      <c r="DN43" s="680"/>
      <c r="DO43" s="680"/>
      <c r="DP43" s="680"/>
      <c r="DQ43" s="680"/>
      <c r="DR43" s="680"/>
      <c r="DS43" s="680"/>
      <c r="DT43" s="680"/>
      <c r="DU43" s="680"/>
      <c r="DV43" s="680"/>
      <c r="DW43" s="680"/>
      <c r="DX43" s="680"/>
      <c r="DY43" s="680"/>
      <c r="DZ43" s="680"/>
      <c r="EA43" s="680"/>
      <c r="EB43" s="680"/>
      <c r="EC43" s="680"/>
      <c r="ED43" s="680"/>
      <c r="EE43" s="680"/>
      <c r="EF43" s="680"/>
      <c r="EG43" s="680"/>
      <c r="EH43" s="680"/>
      <c r="EI43" s="680"/>
      <c r="EJ43" s="680"/>
      <c r="EK43" s="680"/>
      <c r="EL43" s="680"/>
      <c r="EM43" s="680"/>
      <c r="EN43" s="680"/>
      <c r="EO43" s="680"/>
      <c r="EP43" s="680"/>
      <c r="EQ43" s="680"/>
      <c r="ER43" s="680"/>
      <c r="ES43" s="680"/>
      <c r="ET43" s="680"/>
      <c r="EU43" s="680"/>
      <c r="EV43" s="680"/>
      <c r="EW43" s="680"/>
    </row>
    <row r="44" spans="1:153">
      <c r="A44" s="696"/>
      <c r="B44" s="697"/>
      <c r="C44" s="698" t="s">
        <v>9</v>
      </c>
      <c r="D44" s="697"/>
      <c r="E44" s="699"/>
      <c r="F44" s="699"/>
      <c r="G44" s="699"/>
      <c r="H44" s="699"/>
      <c r="I44" s="699"/>
      <c r="J44" s="699"/>
      <c r="K44" s="699"/>
      <c r="L44" s="699"/>
      <c r="M44" s="699"/>
    </row>
    <row r="45" spans="1:153" s="706" customFormat="1">
      <c r="A45" s="701"/>
      <c r="B45" s="698"/>
      <c r="C45" s="702" t="s">
        <v>206</v>
      </c>
      <c r="D45" s="703" t="s">
        <v>851</v>
      </c>
      <c r="E45" s="704"/>
      <c r="F45" s="705"/>
      <c r="G45" s="705"/>
      <c r="H45" s="705"/>
      <c r="I45" s="705"/>
      <c r="J45" s="705"/>
      <c r="K45" s="705"/>
      <c r="L45" s="705"/>
      <c r="M45" s="704"/>
    </row>
    <row r="46" spans="1:153" s="709" customFormat="1">
      <c r="A46" s="638"/>
      <c r="B46" s="638"/>
      <c r="C46" s="643" t="s">
        <v>9</v>
      </c>
      <c r="D46" s="642"/>
      <c r="E46" s="707"/>
      <c r="F46" s="708"/>
      <c r="G46" s="708"/>
      <c r="H46" s="708"/>
      <c r="I46" s="708"/>
      <c r="J46" s="708"/>
      <c r="K46" s="708"/>
      <c r="L46" s="708"/>
      <c r="M46" s="707"/>
    </row>
    <row r="47" spans="1:153" s="712" customFormat="1">
      <c r="A47" s="701"/>
      <c r="B47" s="710"/>
      <c r="C47" s="711" t="s">
        <v>10</v>
      </c>
      <c r="D47" s="703" t="s">
        <v>851</v>
      </c>
      <c r="E47" s="704"/>
      <c r="F47" s="705"/>
      <c r="G47" s="705"/>
      <c r="H47" s="705"/>
      <c r="I47" s="705"/>
      <c r="J47" s="705"/>
      <c r="K47" s="705"/>
      <c r="L47" s="705"/>
      <c r="M47" s="704"/>
    </row>
    <row r="48" spans="1:153" s="712" customFormat="1">
      <c r="A48" s="638"/>
      <c r="B48" s="646"/>
      <c r="C48" s="643" t="s">
        <v>9</v>
      </c>
      <c r="D48" s="642"/>
      <c r="E48" s="707"/>
      <c r="F48" s="708"/>
      <c r="G48" s="708"/>
      <c r="H48" s="708"/>
      <c r="I48" s="708"/>
      <c r="J48" s="708"/>
      <c r="K48" s="708"/>
      <c r="L48" s="708"/>
      <c r="M48" s="707"/>
    </row>
    <row r="49" spans="1:252" s="712" customFormat="1">
      <c r="A49" s="701"/>
      <c r="B49" s="710"/>
      <c r="C49" s="711" t="s">
        <v>207</v>
      </c>
      <c r="D49" s="703" t="s">
        <v>851</v>
      </c>
      <c r="E49" s="704"/>
      <c r="F49" s="705"/>
      <c r="G49" s="705"/>
      <c r="H49" s="705"/>
      <c r="I49" s="705"/>
      <c r="J49" s="705"/>
      <c r="K49" s="705"/>
      <c r="L49" s="705"/>
      <c r="M49" s="704"/>
    </row>
    <row r="50" spans="1:252" s="712" customFormat="1">
      <c r="A50" s="638"/>
      <c r="B50" s="646"/>
      <c r="C50" s="643" t="s">
        <v>9</v>
      </c>
      <c r="D50" s="642"/>
      <c r="E50" s="707"/>
      <c r="F50" s="708"/>
      <c r="G50" s="708"/>
      <c r="H50" s="708"/>
      <c r="I50" s="708"/>
      <c r="J50" s="708"/>
      <c r="K50" s="708"/>
      <c r="L50" s="708"/>
      <c r="M50" s="707"/>
    </row>
    <row r="51" spans="1:252">
      <c r="B51" s="714"/>
    </row>
    <row r="52" spans="1:252">
      <c r="B52" s="714"/>
    </row>
    <row r="53" spans="1:252" ht="13.5">
      <c r="A53" s="547"/>
      <c r="B53" s="547"/>
      <c r="C53" s="188" t="e">
        <f>#REF!</f>
        <v>#REF!</v>
      </c>
      <c r="D53" s="188"/>
      <c r="E53" s="1009"/>
      <c r="F53" s="188"/>
      <c r="G53" s="658"/>
      <c r="H53" s="658"/>
      <c r="I53" s="658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7"/>
      <c r="AB53" s="547"/>
      <c r="AC53" s="547"/>
      <c r="AD53" s="547"/>
      <c r="AE53" s="547"/>
      <c r="AF53" s="547"/>
      <c r="AG53" s="547"/>
      <c r="AH53" s="547"/>
      <c r="AI53" s="547"/>
      <c r="AJ53" s="547"/>
      <c r="AK53" s="547"/>
      <c r="AL53" s="547"/>
      <c r="AM53" s="547"/>
      <c r="AN53" s="547"/>
      <c r="AO53" s="547"/>
      <c r="AP53" s="547"/>
      <c r="AQ53" s="547"/>
      <c r="AR53" s="547"/>
      <c r="AS53" s="547"/>
      <c r="AT53" s="547"/>
      <c r="AU53" s="547"/>
      <c r="AV53" s="547"/>
      <c r="AW53" s="547"/>
      <c r="AX53" s="547"/>
      <c r="AY53" s="547"/>
      <c r="AZ53" s="547"/>
      <c r="BA53" s="547"/>
      <c r="BB53" s="547"/>
      <c r="BC53" s="547"/>
      <c r="BD53" s="547"/>
      <c r="BE53" s="547"/>
      <c r="BF53" s="547"/>
      <c r="BG53" s="547"/>
      <c r="BH53" s="547"/>
      <c r="BI53" s="547"/>
      <c r="BJ53" s="547"/>
      <c r="BK53" s="547"/>
      <c r="BL53" s="547"/>
      <c r="BM53" s="547"/>
      <c r="BN53" s="547"/>
      <c r="BO53" s="547"/>
      <c r="BP53" s="547"/>
      <c r="BQ53" s="547"/>
      <c r="BR53" s="547"/>
      <c r="BS53" s="547"/>
      <c r="BT53" s="547"/>
      <c r="BU53" s="547"/>
      <c r="BV53" s="547"/>
      <c r="BW53" s="547"/>
      <c r="BX53" s="547"/>
      <c r="BY53" s="547"/>
      <c r="BZ53" s="547"/>
      <c r="CA53" s="547"/>
      <c r="CB53" s="547"/>
      <c r="CC53" s="547"/>
      <c r="CD53" s="547"/>
      <c r="CE53" s="547"/>
      <c r="CF53" s="547"/>
      <c r="CG53" s="547"/>
      <c r="CH53" s="547"/>
      <c r="CI53" s="547"/>
      <c r="CJ53" s="547"/>
      <c r="CK53" s="547"/>
      <c r="CL53" s="547"/>
      <c r="CM53" s="547"/>
      <c r="CN53" s="547"/>
      <c r="CO53" s="547"/>
      <c r="CP53" s="547"/>
      <c r="CQ53" s="547"/>
      <c r="CR53" s="547"/>
      <c r="CS53" s="547"/>
      <c r="CT53" s="547"/>
      <c r="CU53" s="547"/>
      <c r="CV53" s="547"/>
      <c r="CW53" s="547"/>
      <c r="CX53" s="547"/>
      <c r="CY53" s="547"/>
      <c r="CZ53" s="547"/>
      <c r="DA53" s="547"/>
      <c r="DB53" s="547"/>
      <c r="DC53" s="547"/>
      <c r="DD53" s="547"/>
      <c r="DE53" s="547"/>
      <c r="DF53" s="547"/>
      <c r="DG53" s="547"/>
      <c r="DH53" s="547"/>
      <c r="DI53" s="547"/>
      <c r="DJ53" s="547"/>
      <c r="DK53" s="547"/>
      <c r="DL53" s="547"/>
      <c r="DM53" s="547"/>
      <c r="DN53" s="547"/>
      <c r="DO53" s="547"/>
      <c r="DP53" s="547"/>
      <c r="DQ53" s="547"/>
      <c r="DR53" s="547"/>
      <c r="DS53" s="547"/>
      <c r="DT53" s="547"/>
      <c r="DU53" s="547"/>
      <c r="DV53" s="547"/>
      <c r="DW53" s="547"/>
      <c r="DX53" s="547"/>
      <c r="DY53" s="547"/>
      <c r="DZ53" s="547"/>
      <c r="EA53" s="547"/>
      <c r="EB53" s="547"/>
      <c r="EC53" s="547"/>
      <c r="ED53" s="547"/>
      <c r="EE53" s="547"/>
      <c r="EF53" s="547"/>
      <c r="EG53" s="547"/>
      <c r="EH53" s="547"/>
      <c r="EI53" s="547"/>
      <c r="EJ53" s="547"/>
      <c r="EK53" s="547"/>
      <c r="EL53" s="547"/>
      <c r="EM53" s="547"/>
      <c r="EN53" s="547"/>
      <c r="EO53" s="547"/>
      <c r="EP53" s="547"/>
      <c r="EQ53" s="547"/>
      <c r="ER53" s="547"/>
      <c r="ES53" s="547"/>
      <c r="ET53" s="547"/>
      <c r="EU53" s="547"/>
      <c r="EV53" s="547"/>
      <c r="EW53" s="547"/>
      <c r="EX53" s="547"/>
      <c r="EY53" s="547"/>
      <c r="EZ53" s="547"/>
      <c r="FA53" s="547"/>
      <c r="FB53" s="547"/>
      <c r="FC53" s="547"/>
      <c r="FD53" s="547"/>
      <c r="FE53" s="547"/>
      <c r="FF53" s="547"/>
      <c r="FG53" s="547"/>
      <c r="FH53" s="547"/>
      <c r="FI53" s="547"/>
      <c r="FJ53" s="547"/>
      <c r="FK53" s="547"/>
      <c r="FL53" s="547"/>
      <c r="FM53" s="547"/>
      <c r="FN53" s="547"/>
      <c r="FO53" s="547"/>
      <c r="FP53" s="547"/>
      <c r="FQ53" s="547"/>
      <c r="FR53" s="547"/>
      <c r="FS53" s="547"/>
      <c r="FT53" s="547"/>
      <c r="FU53" s="547"/>
      <c r="FV53" s="547"/>
      <c r="FW53" s="547"/>
      <c r="FX53" s="547"/>
      <c r="FY53" s="547"/>
      <c r="FZ53" s="547"/>
      <c r="GA53" s="547"/>
      <c r="GB53" s="547"/>
      <c r="GC53" s="547"/>
      <c r="GD53" s="547"/>
      <c r="GE53" s="547"/>
      <c r="GF53" s="547"/>
      <c r="GG53" s="547"/>
      <c r="GH53" s="547"/>
      <c r="GI53" s="547"/>
      <c r="GJ53" s="547"/>
      <c r="GK53" s="547"/>
      <c r="GL53" s="547"/>
      <c r="GM53" s="547"/>
      <c r="GN53" s="547"/>
      <c r="GO53" s="547"/>
      <c r="GP53" s="547"/>
      <c r="GQ53" s="547"/>
      <c r="GR53" s="547"/>
      <c r="GS53" s="547"/>
      <c r="GT53" s="547"/>
      <c r="GU53" s="547"/>
      <c r="GV53" s="547"/>
      <c r="GW53" s="547"/>
      <c r="GX53" s="547"/>
      <c r="GY53" s="547"/>
      <c r="GZ53" s="547"/>
      <c r="HA53" s="547"/>
      <c r="HB53" s="547"/>
      <c r="HC53" s="547"/>
      <c r="HD53" s="547"/>
      <c r="HE53" s="547"/>
      <c r="HF53" s="547"/>
      <c r="HG53" s="547"/>
      <c r="HH53" s="547"/>
      <c r="HI53" s="547"/>
      <c r="HJ53" s="547"/>
      <c r="HK53" s="547"/>
      <c r="HL53" s="547"/>
      <c r="HM53" s="547"/>
      <c r="HN53" s="547"/>
      <c r="HO53" s="547"/>
      <c r="HP53" s="547"/>
      <c r="HQ53" s="547"/>
      <c r="HR53" s="547"/>
      <c r="HS53" s="547"/>
      <c r="HT53" s="547"/>
      <c r="HU53" s="547"/>
      <c r="HV53" s="547"/>
      <c r="HW53" s="547"/>
      <c r="HX53" s="547"/>
      <c r="HY53" s="547"/>
      <c r="HZ53" s="547"/>
      <c r="IA53" s="547"/>
      <c r="IB53" s="547"/>
      <c r="IC53" s="547"/>
      <c r="ID53" s="547"/>
      <c r="IE53" s="547"/>
      <c r="IF53" s="547"/>
      <c r="IG53" s="547"/>
      <c r="IH53" s="547"/>
      <c r="II53" s="547"/>
      <c r="IJ53" s="547"/>
      <c r="IK53" s="547"/>
      <c r="IL53" s="547"/>
      <c r="IM53" s="547"/>
      <c r="IN53" s="547"/>
      <c r="IO53" s="547"/>
      <c r="IP53" s="547"/>
      <c r="IQ53" s="547"/>
      <c r="IR53" s="547"/>
    </row>
    <row r="54" spans="1:252" ht="13.5">
      <c r="A54" s="547"/>
      <c r="B54" s="547"/>
      <c r="C54" s="188" t="e">
        <f>#REF!</f>
        <v>#REF!</v>
      </c>
      <c r="D54" s="188"/>
      <c r="E54" s="1009"/>
      <c r="F54" s="658"/>
      <c r="G54" s="658"/>
      <c r="H54" s="658"/>
      <c r="I54" s="658"/>
      <c r="J54" s="547"/>
      <c r="K54" s="547"/>
      <c r="L54" s="547"/>
      <c r="M54" s="547"/>
      <c r="N54" s="547"/>
      <c r="O54" s="547"/>
      <c r="P54" s="547"/>
      <c r="Q54" s="547"/>
      <c r="R54" s="547"/>
      <c r="S54" s="547"/>
      <c r="T54" s="547"/>
      <c r="U54" s="547"/>
      <c r="V54" s="547"/>
      <c r="W54" s="547"/>
      <c r="X54" s="547"/>
      <c r="Y54" s="547"/>
      <c r="Z54" s="547"/>
      <c r="AA54" s="547"/>
      <c r="AB54" s="547"/>
      <c r="AC54" s="547"/>
      <c r="AD54" s="547"/>
      <c r="AE54" s="547"/>
      <c r="AF54" s="547"/>
      <c r="AG54" s="547"/>
      <c r="AH54" s="547"/>
      <c r="AI54" s="547"/>
      <c r="AJ54" s="547"/>
      <c r="AK54" s="547"/>
      <c r="AL54" s="547"/>
      <c r="AM54" s="547"/>
      <c r="AN54" s="547"/>
      <c r="AO54" s="547"/>
      <c r="AP54" s="547"/>
      <c r="AQ54" s="547"/>
      <c r="AR54" s="547"/>
      <c r="AS54" s="547"/>
      <c r="AT54" s="547"/>
      <c r="AU54" s="547"/>
      <c r="AV54" s="547"/>
      <c r="AW54" s="547"/>
      <c r="AX54" s="547"/>
      <c r="AY54" s="547"/>
      <c r="AZ54" s="547"/>
      <c r="BA54" s="547"/>
      <c r="BB54" s="547"/>
      <c r="BC54" s="547"/>
      <c r="BD54" s="547"/>
      <c r="BE54" s="547"/>
      <c r="BF54" s="547"/>
      <c r="BG54" s="547"/>
      <c r="BH54" s="547"/>
      <c r="BI54" s="547"/>
      <c r="BJ54" s="547"/>
      <c r="BK54" s="547"/>
      <c r="BL54" s="547"/>
      <c r="BM54" s="547"/>
      <c r="BN54" s="547"/>
      <c r="BO54" s="547"/>
      <c r="BP54" s="547"/>
      <c r="BQ54" s="547"/>
      <c r="BR54" s="547"/>
      <c r="BS54" s="547"/>
      <c r="BT54" s="547"/>
      <c r="BU54" s="547"/>
      <c r="BV54" s="547"/>
      <c r="BW54" s="547"/>
      <c r="BX54" s="547"/>
      <c r="BY54" s="547"/>
      <c r="BZ54" s="547"/>
      <c r="CA54" s="547"/>
      <c r="CB54" s="547"/>
      <c r="CC54" s="547"/>
      <c r="CD54" s="547"/>
      <c r="CE54" s="547"/>
      <c r="CF54" s="547"/>
      <c r="CG54" s="547"/>
      <c r="CH54" s="547"/>
      <c r="CI54" s="547"/>
      <c r="CJ54" s="547"/>
      <c r="CK54" s="547"/>
      <c r="CL54" s="547"/>
      <c r="CM54" s="547"/>
      <c r="CN54" s="547"/>
      <c r="CO54" s="547"/>
      <c r="CP54" s="547"/>
      <c r="CQ54" s="547"/>
      <c r="CR54" s="547"/>
      <c r="CS54" s="547"/>
      <c r="CT54" s="547"/>
      <c r="CU54" s="547"/>
      <c r="CV54" s="547"/>
      <c r="CW54" s="547"/>
      <c r="CX54" s="547"/>
      <c r="CY54" s="547"/>
      <c r="CZ54" s="547"/>
      <c r="DA54" s="547"/>
      <c r="DB54" s="547"/>
      <c r="DC54" s="547"/>
      <c r="DD54" s="547"/>
      <c r="DE54" s="547"/>
      <c r="DF54" s="547"/>
      <c r="DG54" s="547"/>
      <c r="DH54" s="547"/>
      <c r="DI54" s="547"/>
      <c r="DJ54" s="547"/>
      <c r="DK54" s="547"/>
      <c r="DL54" s="547"/>
      <c r="DM54" s="547"/>
      <c r="DN54" s="547"/>
      <c r="DO54" s="547"/>
      <c r="DP54" s="547"/>
      <c r="DQ54" s="547"/>
      <c r="DR54" s="547"/>
      <c r="DS54" s="547"/>
      <c r="DT54" s="547"/>
      <c r="DU54" s="547"/>
      <c r="DV54" s="547"/>
      <c r="DW54" s="547"/>
      <c r="DX54" s="547"/>
      <c r="DY54" s="547"/>
      <c r="DZ54" s="547"/>
      <c r="EA54" s="547"/>
      <c r="EB54" s="547"/>
      <c r="EC54" s="547"/>
      <c r="ED54" s="547"/>
      <c r="EE54" s="547"/>
      <c r="EF54" s="547"/>
      <c r="EG54" s="547"/>
      <c r="EH54" s="547"/>
      <c r="EI54" s="547"/>
      <c r="EJ54" s="547"/>
      <c r="EK54" s="547"/>
      <c r="EL54" s="547"/>
      <c r="EM54" s="547"/>
      <c r="EN54" s="547"/>
      <c r="EO54" s="547"/>
      <c r="EP54" s="547"/>
      <c r="EQ54" s="547"/>
      <c r="ER54" s="547"/>
      <c r="ES54" s="547"/>
      <c r="ET54" s="547"/>
      <c r="EU54" s="547"/>
      <c r="EV54" s="547"/>
      <c r="EW54" s="547"/>
      <c r="EX54" s="547"/>
      <c r="EY54" s="547"/>
      <c r="EZ54" s="547"/>
      <c r="FA54" s="547"/>
      <c r="FB54" s="547"/>
      <c r="FC54" s="547"/>
      <c r="FD54" s="547"/>
      <c r="FE54" s="547"/>
      <c r="FF54" s="547"/>
      <c r="FG54" s="547"/>
      <c r="FH54" s="547"/>
      <c r="FI54" s="547"/>
      <c r="FJ54" s="547"/>
      <c r="FK54" s="547"/>
      <c r="FL54" s="547"/>
      <c r="FM54" s="547"/>
      <c r="FN54" s="547"/>
      <c r="FO54" s="547"/>
      <c r="FP54" s="547"/>
      <c r="FQ54" s="547"/>
      <c r="FR54" s="547"/>
      <c r="FS54" s="547"/>
      <c r="FT54" s="547"/>
      <c r="FU54" s="547"/>
      <c r="FV54" s="547"/>
      <c r="FW54" s="547"/>
      <c r="FX54" s="547"/>
      <c r="FY54" s="547"/>
      <c r="FZ54" s="547"/>
      <c r="GA54" s="547"/>
      <c r="GB54" s="547"/>
      <c r="GC54" s="547"/>
      <c r="GD54" s="547"/>
      <c r="GE54" s="547"/>
      <c r="GF54" s="547"/>
      <c r="GG54" s="547"/>
      <c r="GH54" s="547"/>
      <c r="GI54" s="547"/>
      <c r="GJ54" s="547"/>
      <c r="GK54" s="547"/>
      <c r="GL54" s="547"/>
      <c r="GM54" s="547"/>
      <c r="GN54" s="547"/>
      <c r="GO54" s="547"/>
      <c r="GP54" s="547"/>
      <c r="GQ54" s="547"/>
      <c r="GR54" s="547"/>
      <c r="GS54" s="547"/>
      <c r="GT54" s="547"/>
      <c r="GU54" s="547"/>
      <c r="GV54" s="547"/>
      <c r="GW54" s="547"/>
      <c r="GX54" s="547"/>
      <c r="GY54" s="547"/>
      <c r="GZ54" s="547"/>
      <c r="HA54" s="547"/>
      <c r="HB54" s="547"/>
      <c r="HC54" s="547"/>
      <c r="HD54" s="547"/>
      <c r="HE54" s="547"/>
      <c r="HF54" s="547"/>
      <c r="HG54" s="547"/>
      <c r="HH54" s="547"/>
      <c r="HI54" s="547"/>
      <c r="HJ54" s="547"/>
      <c r="HK54" s="547"/>
      <c r="HL54" s="547"/>
      <c r="HM54" s="547"/>
      <c r="HN54" s="547"/>
      <c r="HO54" s="547"/>
      <c r="HP54" s="547"/>
      <c r="HQ54" s="547"/>
      <c r="HR54" s="547"/>
      <c r="HS54" s="547"/>
      <c r="HT54" s="547"/>
      <c r="HU54" s="547"/>
      <c r="HV54" s="547"/>
      <c r="HW54" s="547"/>
      <c r="HX54" s="547"/>
      <c r="HY54" s="547"/>
      <c r="HZ54" s="547"/>
      <c r="IA54" s="547"/>
      <c r="IB54" s="547"/>
      <c r="IC54" s="547"/>
      <c r="ID54" s="547"/>
      <c r="IE54" s="547"/>
      <c r="IF54" s="547"/>
      <c r="IG54" s="547"/>
      <c r="IH54" s="547"/>
      <c r="II54" s="547"/>
      <c r="IJ54" s="547"/>
      <c r="IK54" s="547"/>
      <c r="IL54" s="547"/>
      <c r="IM54" s="547"/>
      <c r="IN54" s="547"/>
      <c r="IO54" s="547"/>
      <c r="IP54" s="547"/>
      <c r="IQ54" s="547"/>
      <c r="IR54" s="547"/>
    </row>
  </sheetData>
  <sheetProtection password="CA9C" sheet="1" objects="1" scenarios="1"/>
  <protectedRanges>
    <protectedRange sqref="G10:M50" name="Range1"/>
    <protectedRange sqref="D45:H50" name="Range2"/>
  </protectedRanges>
  <mergeCells count="14">
    <mergeCell ref="F7:F8"/>
    <mergeCell ref="G7:H7"/>
    <mergeCell ref="I7:J7"/>
    <mergeCell ref="K7:L7"/>
    <mergeCell ref="A1:M1"/>
    <mergeCell ref="A2:F2"/>
    <mergeCell ref="A3:M3"/>
    <mergeCell ref="A4:M4"/>
    <mergeCell ref="B5:G5"/>
    <mergeCell ref="A7:A8"/>
    <mergeCell ref="B7:B8"/>
    <mergeCell ref="C7:C8"/>
    <mergeCell ref="D7:D8"/>
    <mergeCell ref="E7:E8"/>
  </mergeCells>
  <conditionalFormatting sqref="B33 A11:M11 M12 H12 B13:M15 B18:M18 C16:M17 B19:B31 C19:M33 A13:A33">
    <cfRule type="cellIs" dxfId="46" priority="11" stopIfTrue="1" operator="equal">
      <formula>8223.307275</formula>
    </cfRule>
  </conditionalFormatting>
  <conditionalFormatting sqref="B17">
    <cfRule type="cellIs" dxfId="45" priority="10" stopIfTrue="1" operator="equal">
      <formula>8223.307275</formula>
    </cfRule>
  </conditionalFormatting>
  <conditionalFormatting sqref="B34:B35 C35:L35 M35:M43 A34:A43 C34:M34 B37:L37 B41:L43 C38:F40 H38:L40">
    <cfRule type="cellIs" dxfId="44" priority="9" stopIfTrue="1" operator="equal">
      <formula>8223.307275</formula>
    </cfRule>
  </conditionalFormatting>
  <conditionalFormatting sqref="B36">
    <cfRule type="cellIs" dxfId="43" priority="8" stopIfTrue="1" operator="equal">
      <formula>8223.307275</formula>
    </cfRule>
  </conditionalFormatting>
  <conditionalFormatting sqref="C36:L36">
    <cfRule type="cellIs" dxfId="42" priority="7" stopIfTrue="1" operator="equal">
      <formula>8223.307275</formula>
    </cfRule>
  </conditionalFormatting>
  <conditionalFormatting sqref="B38">
    <cfRule type="cellIs" dxfId="41" priority="6" stopIfTrue="1" operator="equal">
      <formula>8223.307275</formula>
    </cfRule>
  </conditionalFormatting>
  <conditionalFormatting sqref="G38">
    <cfRule type="cellIs" dxfId="40" priority="5" stopIfTrue="1" operator="equal">
      <formula>8223.307275</formula>
    </cfRule>
  </conditionalFormatting>
  <conditionalFormatting sqref="B39">
    <cfRule type="cellIs" dxfId="39" priority="4" stopIfTrue="1" operator="equal">
      <formula>8223.307275</formula>
    </cfRule>
  </conditionalFormatting>
  <conditionalFormatting sqref="G39">
    <cfRule type="cellIs" dxfId="38" priority="3" stopIfTrue="1" operator="equal">
      <formula>8223.307275</formula>
    </cfRule>
  </conditionalFormatting>
  <conditionalFormatting sqref="B40">
    <cfRule type="cellIs" dxfId="37" priority="2" stopIfTrue="1" operator="equal">
      <formula>8223.307275</formula>
    </cfRule>
  </conditionalFormatting>
  <conditionalFormatting sqref="G40">
    <cfRule type="cellIs" dxfId="36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8" orientation="landscape" r:id="rId1"/>
  <rowBreaks count="1" manualBreakCount="1">
    <brk id="33" max="1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85" zoomScaleSheetLayoutView="100" workbookViewId="0">
      <selection activeCell="T65" sqref="T65"/>
    </sheetView>
  </sheetViews>
  <sheetFormatPr defaultRowHeight="15.75"/>
  <cols>
    <col min="1" max="1" width="6.85546875" style="164" customWidth="1"/>
    <col min="2" max="2" width="11.28515625" style="164" customWidth="1"/>
    <col min="3" max="3" width="89.7109375" style="164" customWidth="1"/>
    <col min="4" max="4" width="14.28515625" style="206" customWidth="1"/>
    <col min="5" max="5" width="12.42578125" style="206" customWidth="1"/>
    <col min="6" max="6" width="16.42578125" style="207" customWidth="1"/>
    <col min="7" max="7" width="13.42578125" style="194" customWidth="1"/>
    <col min="8" max="8" width="14.85546875" style="164" customWidth="1"/>
    <col min="9" max="9" width="11.140625" style="164" customWidth="1"/>
    <col min="10" max="254" width="9.140625" style="164"/>
    <col min="255" max="255" width="3.42578125" style="164" customWidth="1"/>
    <col min="256" max="256" width="7.7109375" style="164" customWidth="1"/>
    <col min="257" max="257" width="52.28515625" style="164" customWidth="1"/>
    <col min="258" max="258" width="14.28515625" style="164" customWidth="1"/>
    <col min="259" max="259" width="12.42578125" style="164" customWidth="1"/>
    <col min="260" max="260" width="16.42578125" style="164" customWidth="1"/>
    <col min="261" max="261" width="13.42578125" style="164" customWidth="1"/>
    <col min="262" max="262" width="14.85546875" style="164" customWidth="1"/>
    <col min="263" max="263" width="11.140625" style="164" customWidth="1"/>
    <col min="264" max="264" width="13.42578125" style="164" bestFit="1" customWidth="1"/>
    <col min="265" max="265" width="10.28515625" style="164" bestFit="1" customWidth="1"/>
    <col min="266" max="510" width="9.140625" style="164"/>
    <col min="511" max="511" width="3.42578125" style="164" customWidth="1"/>
    <col min="512" max="512" width="7.7109375" style="164" customWidth="1"/>
    <col min="513" max="513" width="52.28515625" style="164" customWidth="1"/>
    <col min="514" max="514" width="14.28515625" style="164" customWidth="1"/>
    <col min="515" max="515" width="12.42578125" style="164" customWidth="1"/>
    <col min="516" max="516" width="16.42578125" style="164" customWidth="1"/>
    <col min="517" max="517" width="13.42578125" style="164" customWidth="1"/>
    <col min="518" max="518" width="14.85546875" style="164" customWidth="1"/>
    <col min="519" max="519" width="11.140625" style="164" customWidth="1"/>
    <col min="520" max="520" width="13.42578125" style="164" bestFit="1" customWidth="1"/>
    <col min="521" max="521" width="10.28515625" style="164" bestFit="1" customWidth="1"/>
    <col min="522" max="766" width="9.140625" style="164"/>
    <col min="767" max="767" width="3.42578125" style="164" customWidth="1"/>
    <col min="768" max="768" width="7.7109375" style="164" customWidth="1"/>
    <col min="769" max="769" width="52.28515625" style="164" customWidth="1"/>
    <col min="770" max="770" width="14.28515625" style="164" customWidth="1"/>
    <col min="771" max="771" width="12.42578125" style="164" customWidth="1"/>
    <col min="772" max="772" width="16.42578125" style="164" customWidth="1"/>
    <col min="773" max="773" width="13.42578125" style="164" customWidth="1"/>
    <col min="774" max="774" width="14.85546875" style="164" customWidth="1"/>
    <col min="775" max="775" width="11.140625" style="164" customWidth="1"/>
    <col min="776" max="776" width="13.42578125" style="164" bestFit="1" customWidth="1"/>
    <col min="777" max="777" width="10.28515625" style="164" bestFit="1" customWidth="1"/>
    <col min="778" max="1022" width="9.140625" style="164"/>
    <col min="1023" max="1023" width="3.42578125" style="164" customWidth="1"/>
    <col min="1024" max="1024" width="7.7109375" style="164" customWidth="1"/>
    <col min="1025" max="1025" width="52.28515625" style="164" customWidth="1"/>
    <col min="1026" max="1026" width="14.28515625" style="164" customWidth="1"/>
    <col min="1027" max="1027" width="12.42578125" style="164" customWidth="1"/>
    <col min="1028" max="1028" width="16.42578125" style="164" customWidth="1"/>
    <col min="1029" max="1029" width="13.42578125" style="164" customWidth="1"/>
    <col min="1030" max="1030" width="14.85546875" style="164" customWidth="1"/>
    <col min="1031" max="1031" width="11.140625" style="164" customWidth="1"/>
    <col min="1032" max="1032" width="13.42578125" style="164" bestFit="1" customWidth="1"/>
    <col min="1033" max="1033" width="10.28515625" style="164" bestFit="1" customWidth="1"/>
    <col min="1034" max="1278" width="9.140625" style="164"/>
    <col min="1279" max="1279" width="3.42578125" style="164" customWidth="1"/>
    <col min="1280" max="1280" width="7.7109375" style="164" customWidth="1"/>
    <col min="1281" max="1281" width="52.28515625" style="164" customWidth="1"/>
    <col min="1282" max="1282" width="14.28515625" style="164" customWidth="1"/>
    <col min="1283" max="1283" width="12.42578125" style="164" customWidth="1"/>
    <col min="1284" max="1284" width="16.42578125" style="164" customWidth="1"/>
    <col min="1285" max="1285" width="13.42578125" style="164" customWidth="1"/>
    <col min="1286" max="1286" width="14.85546875" style="164" customWidth="1"/>
    <col min="1287" max="1287" width="11.140625" style="164" customWidth="1"/>
    <col min="1288" max="1288" width="13.42578125" style="164" bestFit="1" customWidth="1"/>
    <col min="1289" max="1289" width="10.28515625" style="164" bestFit="1" customWidth="1"/>
    <col min="1290" max="1534" width="9.140625" style="164"/>
    <col min="1535" max="1535" width="3.42578125" style="164" customWidth="1"/>
    <col min="1536" max="1536" width="7.7109375" style="164" customWidth="1"/>
    <col min="1537" max="1537" width="52.28515625" style="164" customWidth="1"/>
    <col min="1538" max="1538" width="14.28515625" style="164" customWidth="1"/>
    <col min="1539" max="1539" width="12.42578125" style="164" customWidth="1"/>
    <col min="1540" max="1540" width="16.42578125" style="164" customWidth="1"/>
    <col min="1541" max="1541" width="13.42578125" style="164" customWidth="1"/>
    <col min="1542" max="1542" width="14.85546875" style="164" customWidth="1"/>
    <col min="1543" max="1543" width="11.140625" style="164" customWidth="1"/>
    <col min="1544" max="1544" width="13.42578125" style="164" bestFit="1" customWidth="1"/>
    <col min="1545" max="1545" width="10.28515625" style="164" bestFit="1" customWidth="1"/>
    <col min="1546" max="1790" width="9.140625" style="164"/>
    <col min="1791" max="1791" width="3.42578125" style="164" customWidth="1"/>
    <col min="1792" max="1792" width="7.7109375" style="164" customWidth="1"/>
    <col min="1793" max="1793" width="52.28515625" style="164" customWidth="1"/>
    <col min="1794" max="1794" width="14.28515625" style="164" customWidth="1"/>
    <col min="1795" max="1795" width="12.42578125" style="164" customWidth="1"/>
    <col min="1796" max="1796" width="16.42578125" style="164" customWidth="1"/>
    <col min="1797" max="1797" width="13.42578125" style="164" customWidth="1"/>
    <col min="1798" max="1798" width="14.85546875" style="164" customWidth="1"/>
    <col min="1799" max="1799" width="11.140625" style="164" customWidth="1"/>
    <col min="1800" max="1800" width="13.42578125" style="164" bestFit="1" customWidth="1"/>
    <col min="1801" max="1801" width="10.28515625" style="164" bestFit="1" customWidth="1"/>
    <col min="1802" max="2046" width="9.140625" style="164"/>
    <col min="2047" max="2047" width="3.42578125" style="164" customWidth="1"/>
    <col min="2048" max="2048" width="7.7109375" style="164" customWidth="1"/>
    <col min="2049" max="2049" width="52.28515625" style="164" customWidth="1"/>
    <col min="2050" max="2050" width="14.28515625" style="164" customWidth="1"/>
    <col min="2051" max="2051" width="12.42578125" style="164" customWidth="1"/>
    <col min="2052" max="2052" width="16.42578125" style="164" customWidth="1"/>
    <col min="2053" max="2053" width="13.42578125" style="164" customWidth="1"/>
    <col min="2054" max="2054" width="14.85546875" style="164" customWidth="1"/>
    <col min="2055" max="2055" width="11.140625" style="164" customWidth="1"/>
    <col min="2056" max="2056" width="13.42578125" style="164" bestFit="1" customWidth="1"/>
    <col min="2057" max="2057" width="10.28515625" style="164" bestFit="1" customWidth="1"/>
    <col min="2058" max="2302" width="9.140625" style="164"/>
    <col min="2303" max="2303" width="3.42578125" style="164" customWidth="1"/>
    <col min="2304" max="2304" width="7.7109375" style="164" customWidth="1"/>
    <col min="2305" max="2305" width="52.28515625" style="164" customWidth="1"/>
    <col min="2306" max="2306" width="14.28515625" style="164" customWidth="1"/>
    <col min="2307" max="2307" width="12.42578125" style="164" customWidth="1"/>
    <col min="2308" max="2308" width="16.42578125" style="164" customWidth="1"/>
    <col min="2309" max="2309" width="13.42578125" style="164" customWidth="1"/>
    <col min="2310" max="2310" width="14.85546875" style="164" customWidth="1"/>
    <col min="2311" max="2311" width="11.140625" style="164" customWidth="1"/>
    <col min="2312" max="2312" width="13.42578125" style="164" bestFit="1" customWidth="1"/>
    <col min="2313" max="2313" width="10.28515625" style="164" bestFit="1" customWidth="1"/>
    <col min="2314" max="2558" width="9.140625" style="164"/>
    <col min="2559" max="2559" width="3.42578125" style="164" customWidth="1"/>
    <col min="2560" max="2560" width="7.7109375" style="164" customWidth="1"/>
    <col min="2561" max="2561" width="52.28515625" style="164" customWidth="1"/>
    <col min="2562" max="2562" width="14.28515625" style="164" customWidth="1"/>
    <col min="2563" max="2563" width="12.42578125" style="164" customWidth="1"/>
    <col min="2564" max="2564" width="16.42578125" style="164" customWidth="1"/>
    <col min="2565" max="2565" width="13.42578125" style="164" customWidth="1"/>
    <col min="2566" max="2566" width="14.85546875" style="164" customWidth="1"/>
    <col min="2567" max="2567" width="11.140625" style="164" customWidth="1"/>
    <col min="2568" max="2568" width="13.42578125" style="164" bestFit="1" customWidth="1"/>
    <col min="2569" max="2569" width="10.28515625" style="164" bestFit="1" customWidth="1"/>
    <col min="2570" max="2814" width="9.140625" style="164"/>
    <col min="2815" max="2815" width="3.42578125" style="164" customWidth="1"/>
    <col min="2816" max="2816" width="7.7109375" style="164" customWidth="1"/>
    <col min="2817" max="2817" width="52.28515625" style="164" customWidth="1"/>
    <col min="2818" max="2818" width="14.28515625" style="164" customWidth="1"/>
    <col min="2819" max="2819" width="12.42578125" style="164" customWidth="1"/>
    <col min="2820" max="2820" width="16.42578125" style="164" customWidth="1"/>
    <col min="2821" max="2821" width="13.42578125" style="164" customWidth="1"/>
    <col min="2822" max="2822" width="14.85546875" style="164" customWidth="1"/>
    <col min="2823" max="2823" width="11.140625" style="164" customWidth="1"/>
    <col min="2824" max="2824" width="13.42578125" style="164" bestFit="1" customWidth="1"/>
    <col min="2825" max="2825" width="10.28515625" style="164" bestFit="1" customWidth="1"/>
    <col min="2826" max="3070" width="9.140625" style="164"/>
    <col min="3071" max="3071" width="3.42578125" style="164" customWidth="1"/>
    <col min="3072" max="3072" width="7.7109375" style="164" customWidth="1"/>
    <col min="3073" max="3073" width="52.28515625" style="164" customWidth="1"/>
    <col min="3074" max="3074" width="14.28515625" style="164" customWidth="1"/>
    <col min="3075" max="3075" width="12.42578125" style="164" customWidth="1"/>
    <col min="3076" max="3076" width="16.42578125" style="164" customWidth="1"/>
    <col min="3077" max="3077" width="13.42578125" style="164" customWidth="1"/>
    <col min="3078" max="3078" width="14.85546875" style="164" customWidth="1"/>
    <col min="3079" max="3079" width="11.140625" style="164" customWidth="1"/>
    <col min="3080" max="3080" width="13.42578125" style="164" bestFit="1" customWidth="1"/>
    <col min="3081" max="3081" width="10.28515625" style="164" bestFit="1" customWidth="1"/>
    <col min="3082" max="3326" width="9.140625" style="164"/>
    <col min="3327" max="3327" width="3.42578125" style="164" customWidth="1"/>
    <col min="3328" max="3328" width="7.7109375" style="164" customWidth="1"/>
    <col min="3329" max="3329" width="52.28515625" style="164" customWidth="1"/>
    <col min="3330" max="3330" width="14.28515625" style="164" customWidth="1"/>
    <col min="3331" max="3331" width="12.42578125" style="164" customWidth="1"/>
    <col min="3332" max="3332" width="16.42578125" style="164" customWidth="1"/>
    <col min="3333" max="3333" width="13.42578125" style="164" customWidth="1"/>
    <col min="3334" max="3334" width="14.85546875" style="164" customWidth="1"/>
    <col min="3335" max="3335" width="11.140625" style="164" customWidth="1"/>
    <col min="3336" max="3336" width="13.42578125" style="164" bestFit="1" customWidth="1"/>
    <col min="3337" max="3337" width="10.28515625" style="164" bestFit="1" customWidth="1"/>
    <col min="3338" max="3582" width="9.140625" style="164"/>
    <col min="3583" max="3583" width="3.42578125" style="164" customWidth="1"/>
    <col min="3584" max="3584" width="7.7109375" style="164" customWidth="1"/>
    <col min="3585" max="3585" width="52.28515625" style="164" customWidth="1"/>
    <col min="3586" max="3586" width="14.28515625" style="164" customWidth="1"/>
    <col min="3587" max="3587" width="12.42578125" style="164" customWidth="1"/>
    <col min="3588" max="3588" width="16.42578125" style="164" customWidth="1"/>
    <col min="3589" max="3589" width="13.42578125" style="164" customWidth="1"/>
    <col min="3590" max="3590" width="14.85546875" style="164" customWidth="1"/>
    <col min="3591" max="3591" width="11.140625" style="164" customWidth="1"/>
    <col min="3592" max="3592" width="13.42578125" style="164" bestFit="1" customWidth="1"/>
    <col min="3593" max="3593" width="10.28515625" style="164" bestFit="1" customWidth="1"/>
    <col min="3594" max="3838" width="9.140625" style="164"/>
    <col min="3839" max="3839" width="3.42578125" style="164" customWidth="1"/>
    <col min="3840" max="3840" width="7.7109375" style="164" customWidth="1"/>
    <col min="3841" max="3841" width="52.28515625" style="164" customWidth="1"/>
    <col min="3842" max="3842" width="14.28515625" style="164" customWidth="1"/>
    <col min="3843" max="3843" width="12.42578125" style="164" customWidth="1"/>
    <col min="3844" max="3844" width="16.42578125" style="164" customWidth="1"/>
    <col min="3845" max="3845" width="13.42578125" style="164" customWidth="1"/>
    <col min="3846" max="3846" width="14.85546875" style="164" customWidth="1"/>
    <col min="3847" max="3847" width="11.140625" style="164" customWidth="1"/>
    <col min="3848" max="3848" width="13.42578125" style="164" bestFit="1" customWidth="1"/>
    <col min="3849" max="3849" width="10.28515625" style="164" bestFit="1" customWidth="1"/>
    <col min="3850" max="4094" width="9.140625" style="164"/>
    <col min="4095" max="4095" width="3.42578125" style="164" customWidth="1"/>
    <col min="4096" max="4096" width="7.7109375" style="164" customWidth="1"/>
    <col min="4097" max="4097" width="52.28515625" style="164" customWidth="1"/>
    <col min="4098" max="4098" width="14.28515625" style="164" customWidth="1"/>
    <col min="4099" max="4099" width="12.42578125" style="164" customWidth="1"/>
    <col min="4100" max="4100" width="16.42578125" style="164" customWidth="1"/>
    <col min="4101" max="4101" width="13.42578125" style="164" customWidth="1"/>
    <col min="4102" max="4102" width="14.85546875" style="164" customWidth="1"/>
    <col min="4103" max="4103" width="11.140625" style="164" customWidth="1"/>
    <col min="4104" max="4104" width="13.42578125" style="164" bestFit="1" customWidth="1"/>
    <col min="4105" max="4105" width="10.28515625" style="164" bestFit="1" customWidth="1"/>
    <col min="4106" max="4350" width="9.140625" style="164"/>
    <col min="4351" max="4351" width="3.42578125" style="164" customWidth="1"/>
    <col min="4352" max="4352" width="7.7109375" style="164" customWidth="1"/>
    <col min="4353" max="4353" width="52.28515625" style="164" customWidth="1"/>
    <col min="4354" max="4354" width="14.28515625" style="164" customWidth="1"/>
    <col min="4355" max="4355" width="12.42578125" style="164" customWidth="1"/>
    <col min="4356" max="4356" width="16.42578125" style="164" customWidth="1"/>
    <col min="4357" max="4357" width="13.42578125" style="164" customWidth="1"/>
    <col min="4358" max="4358" width="14.85546875" style="164" customWidth="1"/>
    <col min="4359" max="4359" width="11.140625" style="164" customWidth="1"/>
    <col min="4360" max="4360" width="13.42578125" style="164" bestFit="1" customWidth="1"/>
    <col min="4361" max="4361" width="10.28515625" style="164" bestFit="1" customWidth="1"/>
    <col min="4362" max="4606" width="9.140625" style="164"/>
    <col min="4607" max="4607" width="3.42578125" style="164" customWidth="1"/>
    <col min="4608" max="4608" width="7.7109375" style="164" customWidth="1"/>
    <col min="4609" max="4609" width="52.28515625" style="164" customWidth="1"/>
    <col min="4610" max="4610" width="14.28515625" style="164" customWidth="1"/>
    <col min="4611" max="4611" width="12.42578125" style="164" customWidth="1"/>
    <col min="4612" max="4612" width="16.42578125" style="164" customWidth="1"/>
    <col min="4613" max="4613" width="13.42578125" style="164" customWidth="1"/>
    <col min="4614" max="4614" width="14.85546875" style="164" customWidth="1"/>
    <col min="4615" max="4615" width="11.140625" style="164" customWidth="1"/>
    <col min="4616" max="4616" width="13.42578125" style="164" bestFit="1" customWidth="1"/>
    <col min="4617" max="4617" width="10.28515625" style="164" bestFit="1" customWidth="1"/>
    <col min="4618" max="4862" width="9.140625" style="164"/>
    <col min="4863" max="4863" width="3.42578125" style="164" customWidth="1"/>
    <col min="4864" max="4864" width="7.7109375" style="164" customWidth="1"/>
    <col min="4865" max="4865" width="52.28515625" style="164" customWidth="1"/>
    <col min="4866" max="4866" width="14.28515625" style="164" customWidth="1"/>
    <col min="4867" max="4867" width="12.42578125" style="164" customWidth="1"/>
    <col min="4868" max="4868" width="16.42578125" style="164" customWidth="1"/>
    <col min="4869" max="4869" width="13.42578125" style="164" customWidth="1"/>
    <col min="4870" max="4870" width="14.85546875" style="164" customWidth="1"/>
    <col min="4871" max="4871" width="11.140625" style="164" customWidth="1"/>
    <col min="4872" max="4872" width="13.42578125" style="164" bestFit="1" customWidth="1"/>
    <col min="4873" max="4873" width="10.28515625" style="164" bestFit="1" customWidth="1"/>
    <col min="4874" max="5118" width="9.140625" style="164"/>
    <col min="5119" max="5119" width="3.42578125" style="164" customWidth="1"/>
    <col min="5120" max="5120" width="7.7109375" style="164" customWidth="1"/>
    <col min="5121" max="5121" width="52.28515625" style="164" customWidth="1"/>
    <col min="5122" max="5122" width="14.28515625" style="164" customWidth="1"/>
    <col min="5123" max="5123" width="12.42578125" style="164" customWidth="1"/>
    <col min="5124" max="5124" width="16.42578125" style="164" customWidth="1"/>
    <col min="5125" max="5125" width="13.42578125" style="164" customWidth="1"/>
    <col min="5126" max="5126" width="14.85546875" style="164" customWidth="1"/>
    <col min="5127" max="5127" width="11.140625" style="164" customWidth="1"/>
    <col min="5128" max="5128" width="13.42578125" style="164" bestFit="1" customWidth="1"/>
    <col min="5129" max="5129" width="10.28515625" style="164" bestFit="1" customWidth="1"/>
    <col min="5130" max="5374" width="9.140625" style="164"/>
    <col min="5375" max="5375" width="3.42578125" style="164" customWidth="1"/>
    <col min="5376" max="5376" width="7.7109375" style="164" customWidth="1"/>
    <col min="5377" max="5377" width="52.28515625" style="164" customWidth="1"/>
    <col min="5378" max="5378" width="14.28515625" style="164" customWidth="1"/>
    <col min="5379" max="5379" width="12.42578125" style="164" customWidth="1"/>
    <col min="5380" max="5380" width="16.42578125" style="164" customWidth="1"/>
    <col min="5381" max="5381" width="13.42578125" style="164" customWidth="1"/>
    <col min="5382" max="5382" width="14.85546875" style="164" customWidth="1"/>
    <col min="5383" max="5383" width="11.140625" style="164" customWidth="1"/>
    <col min="5384" max="5384" width="13.42578125" style="164" bestFit="1" customWidth="1"/>
    <col min="5385" max="5385" width="10.28515625" style="164" bestFit="1" customWidth="1"/>
    <col min="5386" max="5630" width="9.140625" style="164"/>
    <col min="5631" max="5631" width="3.42578125" style="164" customWidth="1"/>
    <col min="5632" max="5632" width="7.7109375" style="164" customWidth="1"/>
    <col min="5633" max="5633" width="52.28515625" style="164" customWidth="1"/>
    <col min="5634" max="5634" width="14.28515625" style="164" customWidth="1"/>
    <col min="5635" max="5635" width="12.42578125" style="164" customWidth="1"/>
    <col min="5636" max="5636" width="16.42578125" style="164" customWidth="1"/>
    <col min="5637" max="5637" width="13.42578125" style="164" customWidth="1"/>
    <col min="5638" max="5638" width="14.85546875" style="164" customWidth="1"/>
    <col min="5639" max="5639" width="11.140625" style="164" customWidth="1"/>
    <col min="5640" max="5640" width="13.42578125" style="164" bestFit="1" customWidth="1"/>
    <col min="5641" max="5641" width="10.28515625" style="164" bestFit="1" customWidth="1"/>
    <col min="5642" max="5886" width="9.140625" style="164"/>
    <col min="5887" max="5887" width="3.42578125" style="164" customWidth="1"/>
    <col min="5888" max="5888" width="7.7109375" style="164" customWidth="1"/>
    <col min="5889" max="5889" width="52.28515625" style="164" customWidth="1"/>
    <col min="5890" max="5890" width="14.28515625" style="164" customWidth="1"/>
    <col min="5891" max="5891" width="12.42578125" style="164" customWidth="1"/>
    <col min="5892" max="5892" width="16.42578125" style="164" customWidth="1"/>
    <col min="5893" max="5893" width="13.42578125" style="164" customWidth="1"/>
    <col min="5894" max="5894" width="14.85546875" style="164" customWidth="1"/>
    <col min="5895" max="5895" width="11.140625" style="164" customWidth="1"/>
    <col min="5896" max="5896" width="13.42578125" style="164" bestFit="1" customWidth="1"/>
    <col min="5897" max="5897" width="10.28515625" style="164" bestFit="1" customWidth="1"/>
    <col min="5898" max="6142" width="9.140625" style="164"/>
    <col min="6143" max="6143" width="3.42578125" style="164" customWidth="1"/>
    <col min="6144" max="6144" width="7.7109375" style="164" customWidth="1"/>
    <col min="6145" max="6145" width="52.28515625" style="164" customWidth="1"/>
    <col min="6146" max="6146" width="14.28515625" style="164" customWidth="1"/>
    <col min="6147" max="6147" width="12.42578125" style="164" customWidth="1"/>
    <col min="6148" max="6148" width="16.42578125" style="164" customWidth="1"/>
    <col min="6149" max="6149" width="13.42578125" style="164" customWidth="1"/>
    <col min="6150" max="6150" width="14.85546875" style="164" customWidth="1"/>
    <col min="6151" max="6151" width="11.140625" style="164" customWidth="1"/>
    <col min="6152" max="6152" width="13.42578125" style="164" bestFit="1" customWidth="1"/>
    <col min="6153" max="6153" width="10.28515625" style="164" bestFit="1" customWidth="1"/>
    <col min="6154" max="6398" width="9.140625" style="164"/>
    <col min="6399" max="6399" width="3.42578125" style="164" customWidth="1"/>
    <col min="6400" max="6400" width="7.7109375" style="164" customWidth="1"/>
    <col min="6401" max="6401" width="52.28515625" style="164" customWidth="1"/>
    <col min="6402" max="6402" width="14.28515625" style="164" customWidth="1"/>
    <col min="6403" max="6403" width="12.42578125" style="164" customWidth="1"/>
    <col min="6404" max="6404" width="16.42578125" style="164" customWidth="1"/>
    <col min="6405" max="6405" width="13.42578125" style="164" customWidth="1"/>
    <col min="6406" max="6406" width="14.85546875" style="164" customWidth="1"/>
    <col min="6407" max="6407" width="11.140625" style="164" customWidth="1"/>
    <col min="6408" max="6408" width="13.42578125" style="164" bestFit="1" customWidth="1"/>
    <col min="6409" max="6409" width="10.28515625" style="164" bestFit="1" customWidth="1"/>
    <col min="6410" max="6654" width="9.140625" style="164"/>
    <col min="6655" max="6655" width="3.42578125" style="164" customWidth="1"/>
    <col min="6656" max="6656" width="7.7109375" style="164" customWidth="1"/>
    <col min="6657" max="6657" width="52.28515625" style="164" customWidth="1"/>
    <col min="6658" max="6658" width="14.28515625" style="164" customWidth="1"/>
    <col min="6659" max="6659" width="12.42578125" style="164" customWidth="1"/>
    <col min="6660" max="6660" width="16.42578125" style="164" customWidth="1"/>
    <col min="6661" max="6661" width="13.42578125" style="164" customWidth="1"/>
    <col min="6662" max="6662" width="14.85546875" style="164" customWidth="1"/>
    <col min="6663" max="6663" width="11.140625" style="164" customWidth="1"/>
    <col min="6664" max="6664" width="13.42578125" style="164" bestFit="1" customWidth="1"/>
    <col min="6665" max="6665" width="10.28515625" style="164" bestFit="1" customWidth="1"/>
    <col min="6666" max="6910" width="9.140625" style="164"/>
    <col min="6911" max="6911" width="3.42578125" style="164" customWidth="1"/>
    <col min="6912" max="6912" width="7.7109375" style="164" customWidth="1"/>
    <col min="6913" max="6913" width="52.28515625" style="164" customWidth="1"/>
    <col min="6914" max="6914" width="14.28515625" style="164" customWidth="1"/>
    <col min="6915" max="6915" width="12.42578125" style="164" customWidth="1"/>
    <col min="6916" max="6916" width="16.42578125" style="164" customWidth="1"/>
    <col min="6917" max="6917" width="13.42578125" style="164" customWidth="1"/>
    <col min="6918" max="6918" width="14.85546875" style="164" customWidth="1"/>
    <col min="6919" max="6919" width="11.140625" style="164" customWidth="1"/>
    <col min="6920" max="6920" width="13.42578125" style="164" bestFit="1" customWidth="1"/>
    <col min="6921" max="6921" width="10.28515625" style="164" bestFit="1" customWidth="1"/>
    <col min="6922" max="7166" width="9.140625" style="164"/>
    <col min="7167" max="7167" width="3.42578125" style="164" customWidth="1"/>
    <col min="7168" max="7168" width="7.7109375" style="164" customWidth="1"/>
    <col min="7169" max="7169" width="52.28515625" style="164" customWidth="1"/>
    <col min="7170" max="7170" width="14.28515625" style="164" customWidth="1"/>
    <col min="7171" max="7171" width="12.42578125" style="164" customWidth="1"/>
    <col min="7172" max="7172" width="16.42578125" style="164" customWidth="1"/>
    <col min="7173" max="7173" width="13.42578125" style="164" customWidth="1"/>
    <col min="7174" max="7174" width="14.85546875" style="164" customWidth="1"/>
    <col min="7175" max="7175" width="11.140625" style="164" customWidth="1"/>
    <col min="7176" max="7176" width="13.42578125" style="164" bestFit="1" customWidth="1"/>
    <col min="7177" max="7177" width="10.28515625" style="164" bestFit="1" customWidth="1"/>
    <col min="7178" max="7422" width="9.140625" style="164"/>
    <col min="7423" max="7423" width="3.42578125" style="164" customWidth="1"/>
    <col min="7424" max="7424" width="7.7109375" style="164" customWidth="1"/>
    <col min="7425" max="7425" width="52.28515625" style="164" customWidth="1"/>
    <col min="7426" max="7426" width="14.28515625" style="164" customWidth="1"/>
    <col min="7427" max="7427" width="12.42578125" style="164" customWidth="1"/>
    <col min="7428" max="7428" width="16.42578125" style="164" customWidth="1"/>
    <col min="7429" max="7429" width="13.42578125" style="164" customWidth="1"/>
    <col min="7430" max="7430" width="14.85546875" style="164" customWidth="1"/>
    <col min="7431" max="7431" width="11.140625" style="164" customWidth="1"/>
    <col min="7432" max="7432" width="13.42578125" style="164" bestFit="1" customWidth="1"/>
    <col min="7433" max="7433" width="10.28515625" style="164" bestFit="1" customWidth="1"/>
    <col min="7434" max="7678" width="9.140625" style="164"/>
    <col min="7679" max="7679" width="3.42578125" style="164" customWidth="1"/>
    <col min="7680" max="7680" width="7.7109375" style="164" customWidth="1"/>
    <col min="7681" max="7681" width="52.28515625" style="164" customWidth="1"/>
    <col min="7682" max="7682" width="14.28515625" style="164" customWidth="1"/>
    <col min="7683" max="7683" width="12.42578125" style="164" customWidth="1"/>
    <col min="7684" max="7684" width="16.42578125" style="164" customWidth="1"/>
    <col min="7685" max="7685" width="13.42578125" style="164" customWidth="1"/>
    <col min="7686" max="7686" width="14.85546875" style="164" customWidth="1"/>
    <col min="7687" max="7687" width="11.140625" style="164" customWidth="1"/>
    <col min="7688" max="7688" width="13.42578125" style="164" bestFit="1" customWidth="1"/>
    <col min="7689" max="7689" width="10.28515625" style="164" bestFit="1" customWidth="1"/>
    <col min="7690" max="7934" width="9.140625" style="164"/>
    <col min="7935" max="7935" width="3.42578125" style="164" customWidth="1"/>
    <col min="7936" max="7936" width="7.7109375" style="164" customWidth="1"/>
    <col min="7937" max="7937" width="52.28515625" style="164" customWidth="1"/>
    <col min="7938" max="7938" width="14.28515625" style="164" customWidth="1"/>
    <col min="7939" max="7939" width="12.42578125" style="164" customWidth="1"/>
    <col min="7940" max="7940" width="16.42578125" style="164" customWidth="1"/>
    <col min="7941" max="7941" width="13.42578125" style="164" customWidth="1"/>
    <col min="7942" max="7942" width="14.85546875" style="164" customWidth="1"/>
    <col min="7943" max="7943" width="11.140625" style="164" customWidth="1"/>
    <col min="7944" max="7944" width="13.42578125" style="164" bestFit="1" customWidth="1"/>
    <col min="7945" max="7945" width="10.28515625" style="164" bestFit="1" customWidth="1"/>
    <col min="7946" max="8190" width="9.140625" style="164"/>
    <col min="8191" max="8191" width="3.42578125" style="164" customWidth="1"/>
    <col min="8192" max="8192" width="7.7109375" style="164" customWidth="1"/>
    <col min="8193" max="8193" width="52.28515625" style="164" customWidth="1"/>
    <col min="8194" max="8194" width="14.28515625" style="164" customWidth="1"/>
    <col min="8195" max="8195" width="12.42578125" style="164" customWidth="1"/>
    <col min="8196" max="8196" width="16.42578125" style="164" customWidth="1"/>
    <col min="8197" max="8197" width="13.42578125" style="164" customWidth="1"/>
    <col min="8198" max="8198" width="14.85546875" style="164" customWidth="1"/>
    <col min="8199" max="8199" width="11.140625" style="164" customWidth="1"/>
    <col min="8200" max="8200" width="13.42578125" style="164" bestFit="1" customWidth="1"/>
    <col min="8201" max="8201" width="10.28515625" style="164" bestFit="1" customWidth="1"/>
    <col min="8202" max="8446" width="9.140625" style="164"/>
    <col min="8447" max="8447" width="3.42578125" style="164" customWidth="1"/>
    <col min="8448" max="8448" width="7.7109375" style="164" customWidth="1"/>
    <col min="8449" max="8449" width="52.28515625" style="164" customWidth="1"/>
    <col min="8450" max="8450" width="14.28515625" style="164" customWidth="1"/>
    <col min="8451" max="8451" width="12.42578125" style="164" customWidth="1"/>
    <col min="8452" max="8452" width="16.42578125" style="164" customWidth="1"/>
    <col min="8453" max="8453" width="13.42578125" style="164" customWidth="1"/>
    <col min="8454" max="8454" width="14.85546875" style="164" customWidth="1"/>
    <col min="8455" max="8455" width="11.140625" style="164" customWidth="1"/>
    <col min="8456" max="8456" width="13.42578125" style="164" bestFit="1" customWidth="1"/>
    <col min="8457" max="8457" width="10.28515625" style="164" bestFit="1" customWidth="1"/>
    <col min="8458" max="8702" width="9.140625" style="164"/>
    <col min="8703" max="8703" width="3.42578125" style="164" customWidth="1"/>
    <col min="8704" max="8704" width="7.7109375" style="164" customWidth="1"/>
    <col min="8705" max="8705" width="52.28515625" style="164" customWidth="1"/>
    <col min="8706" max="8706" width="14.28515625" style="164" customWidth="1"/>
    <col min="8707" max="8707" width="12.42578125" style="164" customWidth="1"/>
    <col min="8708" max="8708" width="16.42578125" style="164" customWidth="1"/>
    <col min="8709" max="8709" width="13.42578125" style="164" customWidth="1"/>
    <col min="8710" max="8710" width="14.85546875" style="164" customWidth="1"/>
    <col min="8711" max="8711" width="11.140625" style="164" customWidth="1"/>
    <col min="8712" max="8712" width="13.42578125" style="164" bestFit="1" customWidth="1"/>
    <col min="8713" max="8713" width="10.28515625" style="164" bestFit="1" customWidth="1"/>
    <col min="8714" max="8958" width="9.140625" style="164"/>
    <col min="8959" max="8959" width="3.42578125" style="164" customWidth="1"/>
    <col min="8960" max="8960" width="7.7109375" style="164" customWidth="1"/>
    <col min="8961" max="8961" width="52.28515625" style="164" customWidth="1"/>
    <col min="8962" max="8962" width="14.28515625" style="164" customWidth="1"/>
    <col min="8963" max="8963" width="12.42578125" style="164" customWidth="1"/>
    <col min="8964" max="8964" width="16.42578125" style="164" customWidth="1"/>
    <col min="8965" max="8965" width="13.42578125" style="164" customWidth="1"/>
    <col min="8966" max="8966" width="14.85546875" style="164" customWidth="1"/>
    <col min="8967" max="8967" width="11.140625" style="164" customWidth="1"/>
    <col min="8968" max="8968" width="13.42578125" style="164" bestFit="1" customWidth="1"/>
    <col min="8969" max="8969" width="10.28515625" style="164" bestFit="1" customWidth="1"/>
    <col min="8970" max="9214" width="9.140625" style="164"/>
    <col min="9215" max="9215" width="3.42578125" style="164" customWidth="1"/>
    <col min="9216" max="9216" width="7.7109375" style="164" customWidth="1"/>
    <col min="9217" max="9217" width="52.28515625" style="164" customWidth="1"/>
    <col min="9218" max="9218" width="14.28515625" style="164" customWidth="1"/>
    <col min="9219" max="9219" width="12.42578125" style="164" customWidth="1"/>
    <col min="9220" max="9220" width="16.42578125" style="164" customWidth="1"/>
    <col min="9221" max="9221" width="13.42578125" style="164" customWidth="1"/>
    <col min="9222" max="9222" width="14.85546875" style="164" customWidth="1"/>
    <col min="9223" max="9223" width="11.140625" style="164" customWidth="1"/>
    <col min="9224" max="9224" width="13.42578125" style="164" bestFit="1" customWidth="1"/>
    <col min="9225" max="9225" width="10.28515625" style="164" bestFit="1" customWidth="1"/>
    <col min="9226" max="9470" width="9.140625" style="164"/>
    <col min="9471" max="9471" width="3.42578125" style="164" customWidth="1"/>
    <col min="9472" max="9472" width="7.7109375" style="164" customWidth="1"/>
    <col min="9473" max="9473" width="52.28515625" style="164" customWidth="1"/>
    <col min="9474" max="9474" width="14.28515625" style="164" customWidth="1"/>
    <col min="9475" max="9475" width="12.42578125" style="164" customWidth="1"/>
    <col min="9476" max="9476" width="16.42578125" style="164" customWidth="1"/>
    <col min="9477" max="9477" width="13.42578125" style="164" customWidth="1"/>
    <col min="9478" max="9478" width="14.85546875" style="164" customWidth="1"/>
    <col min="9479" max="9479" width="11.140625" style="164" customWidth="1"/>
    <col min="9480" max="9480" width="13.42578125" style="164" bestFit="1" customWidth="1"/>
    <col min="9481" max="9481" width="10.28515625" style="164" bestFit="1" customWidth="1"/>
    <col min="9482" max="9726" width="9.140625" style="164"/>
    <col min="9727" max="9727" width="3.42578125" style="164" customWidth="1"/>
    <col min="9728" max="9728" width="7.7109375" style="164" customWidth="1"/>
    <col min="9729" max="9729" width="52.28515625" style="164" customWidth="1"/>
    <col min="9730" max="9730" width="14.28515625" style="164" customWidth="1"/>
    <col min="9731" max="9731" width="12.42578125" style="164" customWidth="1"/>
    <col min="9732" max="9732" width="16.42578125" style="164" customWidth="1"/>
    <col min="9733" max="9733" width="13.42578125" style="164" customWidth="1"/>
    <col min="9734" max="9734" width="14.85546875" style="164" customWidth="1"/>
    <col min="9735" max="9735" width="11.140625" style="164" customWidth="1"/>
    <col min="9736" max="9736" width="13.42578125" style="164" bestFit="1" customWidth="1"/>
    <col min="9737" max="9737" width="10.28515625" style="164" bestFit="1" customWidth="1"/>
    <col min="9738" max="9982" width="9.140625" style="164"/>
    <col min="9983" max="9983" width="3.42578125" style="164" customWidth="1"/>
    <col min="9984" max="9984" width="7.7109375" style="164" customWidth="1"/>
    <col min="9985" max="9985" width="52.28515625" style="164" customWidth="1"/>
    <col min="9986" max="9986" width="14.28515625" style="164" customWidth="1"/>
    <col min="9987" max="9987" width="12.42578125" style="164" customWidth="1"/>
    <col min="9988" max="9988" width="16.42578125" style="164" customWidth="1"/>
    <col min="9989" max="9989" width="13.42578125" style="164" customWidth="1"/>
    <col min="9990" max="9990" width="14.85546875" style="164" customWidth="1"/>
    <col min="9991" max="9991" width="11.140625" style="164" customWidth="1"/>
    <col min="9992" max="9992" width="13.42578125" style="164" bestFit="1" customWidth="1"/>
    <col min="9993" max="9993" width="10.28515625" style="164" bestFit="1" customWidth="1"/>
    <col min="9994" max="10238" width="9.140625" style="164"/>
    <col min="10239" max="10239" width="3.42578125" style="164" customWidth="1"/>
    <col min="10240" max="10240" width="7.7109375" style="164" customWidth="1"/>
    <col min="10241" max="10241" width="52.28515625" style="164" customWidth="1"/>
    <col min="10242" max="10242" width="14.28515625" style="164" customWidth="1"/>
    <col min="10243" max="10243" width="12.42578125" style="164" customWidth="1"/>
    <col min="10244" max="10244" width="16.42578125" style="164" customWidth="1"/>
    <col min="10245" max="10245" width="13.42578125" style="164" customWidth="1"/>
    <col min="10246" max="10246" width="14.85546875" style="164" customWidth="1"/>
    <col min="10247" max="10247" width="11.140625" style="164" customWidth="1"/>
    <col min="10248" max="10248" width="13.42578125" style="164" bestFit="1" customWidth="1"/>
    <col min="10249" max="10249" width="10.28515625" style="164" bestFit="1" customWidth="1"/>
    <col min="10250" max="10494" width="9.140625" style="164"/>
    <col min="10495" max="10495" width="3.42578125" style="164" customWidth="1"/>
    <col min="10496" max="10496" width="7.7109375" style="164" customWidth="1"/>
    <col min="10497" max="10497" width="52.28515625" style="164" customWidth="1"/>
    <col min="10498" max="10498" width="14.28515625" style="164" customWidth="1"/>
    <col min="10499" max="10499" width="12.42578125" style="164" customWidth="1"/>
    <col min="10500" max="10500" width="16.42578125" style="164" customWidth="1"/>
    <col min="10501" max="10501" width="13.42578125" style="164" customWidth="1"/>
    <col min="10502" max="10502" width="14.85546875" style="164" customWidth="1"/>
    <col min="10503" max="10503" width="11.140625" style="164" customWidth="1"/>
    <col min="10504" max="10504" width="13.42578125" style="164" bestFit="1" customWidth="1"/>
    <col min="10505" max="10505" width="10.28515625" style="164" bestFit="1" customWidth="1"/>
    <col min="10506" max="10750" width="9.140625" style="164"/>
    <col min="10751" max="10751" width="3.42578125" style="164" customWidth="1"/>
    <col min="10752" max="10752" width="7.7109375" style="164" customWidth="1"/>
    <col min="10753" max="10753" width="52.28515625" style="164" customWidth="1"/>
    <col min="10754" max="10754" width="14.28515625" style="164" customWidth="1"/>
    <col min="10755" max="10755" width="12.42578125" style="164" customWidth="1"/>
    <col min="10756" max="10756" width="16.42578125" style="164" customWidth="1"/>
    <col min="10757" max="10757" width="13.42578125" style="164" customWidth="1"/>
    <col min="10758" max="10758" width="14.85546875" style="164" customWidth="1"/>
    <col min="10759" max="10759" width="11.140625" style="164" customWidth="1"/>
    <col min="10760" max="10760" width="13.42578125" style="164" bestFit="1" customWidth="1"/>
    <col min="10761" max="10761" width="10.28515625" style="164" bestFit="1" customWidth="1"/>
    <col min="10762" max="11006" width="9.140625" style="164"/>
    <col min="11007" max="11007" width="3.42578125" style="164" customWidth="1"/>
    <col min="11008" max="11008" width="7.7109375" style="164" customWidth="1"/>
    <col min="11009" max="11009" width="52.28515625" style="164" customWidth="1"/>
    <col min="11010" max="11010" width="14.28515625" style="164" customWidth="1"/>
    <col min="11011" max="11011" width="12.42578125" style="164" customWidth="1"/>
    <col min="11012" max="11012" width="16.42578125" style="164" customWidth="1"/>
    <col min="11013" max="11013" width="13.42578125" style="164" customWidth="1"/>
    <col min="11014" max="11014" width="14.85546875" style="164" customWidth="1"/>
    <col min="11015" max="11015" width="11.140625" style="164" customWidth="1"/>
    <col min="11016" max="11016" width="13.42578125" style="164" bestFit="1" customWidth="1"/>
    <col min="11017" max="11017" width="10.28515625" style="164" bestFit="1" customWidth="1"/>
    <col min="11018" max="11262" width="9.140625" style="164"/>
    <col min="11263" max="11263" width="3.42578125" style="164" customWidth="1"/>
    <col min="11264" max="11264" width="7.7109375" style="164" customWidth="1"/>
    <col min="11265" max="11265" width="52.28515625" style="164" customWidth="1"/>
    <col min="11266" max="11266" width="14.28515625" style="164" customWidth="1"/>
    <col min="11267" max="11267" width="12.42578125" style="164" customWidth="1"/>
    <col min="11268" max="11268" width="16.42578125" style="164" customWidth="1"/>
    <col min="11269" max="11269" width="13.42578125" style="164" customWidth="1"/>
    <col min="11270" max="11270" width="14.85546875" style="164" customWidth="1"/>
    <col min="11271" max="11271" width="11.140625" style="164" customWidth="1"/>
    <col min="11272" max="11272" width="13.42578125" style="164" bestFit="1" customWidth="1"/>
    <col min="11273" max="11273" width="10.28515625" style="164" bestFit="1" customWidth="1"/>
    <col min="11274" max="11518" width="9.140625" style="164"/>
    <col min="11519" max="11519" width="3.42578125" style="164" customWidth="1"/>
    <col min="11520" max="11520" width="7.7109375" style="164" customWidth="1"/>
    <col min="11521" max="11521" width="52.28515625" style="164" customWidth="1"/>
    <col min="11522" max="11522" width="14.28515625" style="164" customWidth="1"/>
    <col min="11523" max="11523" width="12.42578125" style="164" customWidth="1"/>
    <col min="11524" max="11524" width="16.42578125" style="164" customWidth="1"/>
    <col min="11525" max="11525" width="13.42578125" style="164" customWidth="1"/>
    <col min="11526" max="11526" width="14.85546875" style="164" customWidth="1"/>
    <col min="11527" max="11527" width="11.140625" style="164" customWidth="1"/>
    <col min="11528" max="11528" width="13.42578125" style="164" bestFit="1" customWidth="1"/>
    <col min="11529" max="11529" width="10.28515625" style="164" bestFit="1" customWidth="1"/>
    <col min="11530" max="11774" width="9.140625" style="164"/>
    <col min="11775" max="11775" width="3.42578125" style="164" customWidth="1"/>
    <col min="11776" max="11776" width="7.7109375" style="164" customWidth="1"/>
    <col min="11777" max="11777" width="52.28515625" style="164" customWidth="1"/>
    <col min="11778" max="11778" width="14.28515625" style="164" customWidth="1"/>
    <col min="11779" max="11779" width="12.42578125" style="164" customWidth="1"/>
    <col min="11780" max="11780" width="16.42578125" style="164" customWidth="1"/>
    <col min="11781" max="11781" width="13.42578125" style="164" customWidth="1"/>
    <col min="11782" max="11782" width="14.85546875" style="164" customWidth="1"/>
    <col min="11783" max="11783" width="11.140625" style="164" customWidth="1"/>
    <col min="11784" max="11784" width="13.42578125" style="164" bestFit="1" customWidth="1"/>
    <col min="11785" max="11785" width="10.28515625" style="164" bestFit="1" customWidth="1"/>
    <col min="11786" max="12030" width="9.140625" style="164"/>
    <col min="12031" max="12031" width="3.42578125" style="164" customWidth="1"/>
    <col min="12032" max="12032" width="7.7109375" style="164" customWidth="1"/>
    <col min="12033" max="12033" width="52.28515625" style="164" customWidth="1"/>
    <col min="12034" max="12034" width="14.28515625" style="164" customWidth="1"/>
    <col min="12035" max="12035" width="12.42578125" style="164" customWidth="1"/>
    <col min="12036" max="12036" width="16.42578125" style="164" customWidth="1"/>
    <col min="12037" max="12037" width="13.42578125" style="164" customWidth="1"/>
    <col min="12038" max="12038" width="14.85546875" style="164" customWidth="1"/>
    <col min="12039" max="12039" width="11.140625" style="164" customWidth="1"/>
    <col min="12040" max="12040" width="13.42578125" style="164" bestFit="1" customWidth="1"/>
    <col min="12041" max="12041" width="10.28515625" style="164" bestFit="1" customWidth="1"/>
    <col min="12042" max="12286" width="9.140625" style="164"/>
    <col min="12287" max="12287" width="3.42578125" style="164" customWidth="1"/>
    <col min="12288" max="12288" width="7.7109375" style="164" customWidth="1"/>
    <col min="12289" max="12289" width="52.28515625" style="164" customWidth="1"/>
    <col min="12290" max="12290" width="14.28515625" style="164" customWidth="1"/>
    <col min="12291" max="12291" width="12.42578125" style="164" customWidth="1"/>
    <col min="12292" max="12292" width="16.42578125" style="164" customWidth="1"/>
    <col min="12293" max="12293" width="13.42578125" style="164" customWidth="1"/>
    <col min="12294" max="12294" width="14.85546875" style="164" customWidth="1"/>
    <col min="12295" max="12295" width="11.140625" style="164" customWidth="1"/>
    <col min="12296" max="12296" width="13.42578125" style="164" bestFit="1" customWidth="1"/>
    <col min="12297" max="12297" width="10.28515625" style="164" bestFit="1" customWidth="1"/>
    <col min="12298" max="12542" width="9.140625" style="164"/>
    <col min="12543" max="12543" width="3.42578125" style="164" customWidth="1"/>
    <col min="12544" max="12544" width="7.7109375" style="164" customWidth="1"/>
    <col min="12545" max="12545" width="52.28515625" style="164" customWidth="1"/>
    <col min="12546" max="12546" width="14.28515625" style="164" customWidth="1"/>
    <col min="12547" max="12547" width="12.42578125" style="164" customWidth="1"/>
    <col min="12548" max="12548" width="16.42578125" style="164" customWidth="1"/>
    <col min="12549" max="12549" width="13.42578125" style="164" customWidth="1"/>
    <col min="12550" max="12550" width="14.85546875" style="164" customWidth="1"/>
    <col min="12551" max="12551" width="11.140625" style="164" customWidth="1"/>
    <col min="12552" max="12552" width="13.42578125" style="164" bestFit="1" customWidth="1"/>
    <col min="12553" max="12553" width="10.28515625" style="164" bestFit="1" customWidth="1"/>
    <col min="12554" max="12798" width="9.140625" style="164"/>
    <col min="12799" max="12799" width="3.42578125" style="164" customWidth="1"/>
    <col min="12800" max="12800" width="7.7109375" style="164" customWidth="1"/>
    <col min="12801" max="12801" width="52.28515625" style="164" customWidth="1"/>
    <col min="12802" max="12802" width="14.28515625" style="164" customWidth="1"/>
    <col min="12803" max="12803" width="12.42578125" style="164" customWidth="1"/>
    <col min="12804" max="12804" width="16.42578125" style="164" customWidth="1"/>
    <col min="12805" max="12805" width="13.42578125" style="164" customWidth="1"/>
    <col min="12806" max="12806" width="14.85546875" style="164" customWidth="1"/>
    <col min="12807" max="12807" width="11.140625" style="164" customWidth="1"/>
    <col min="12808" max="12808" width="13.42578125" style="164" bestFit="1" customWidth="1"/>
    <col min="12809" max="12809" width="10.28515625" style="164" bestFit="1" customWidth="1"/>
    <col min="12810" max="13054" width="9.140625" style="164"/>
    <col min="13055" max="13055" width="3.42578125" style="164" customWidth="1"/>
    <col min="13056" max="13056" width="7.7109375" style="164" customWidth="1"/>
    <col min="13057" max="13057" width="52.28515625" style="164" customWidth="1"/>
    <col min="13058" max="13058" width="14.28515625" style="164" customWidth="1"/>
    <col min="13059" max="13059" width="12.42578125" style="164" customWidth="1"/>
    <col min="13060" max="13060" width="16.42578125" style="164" customWidth="1"/>
    <col min="13061" max="13061" width="13.42578125" style="164" customWidth="1"/>
    <col min="13062" max="13062" width="14.85546875" style="164" customWidth="1"/>
    <col min="13063" max="13063" width="11.140625" style="164" customWidth="1"/>
    <col min="13064" max="13064" width="13.42578125" style="164" bestFit="1" customWidth="1"/>
    <col min="13065" max="13065" width="10.28515625" style="164" bestFit="1" customWidth="1"/>
    <col min="13066" max="13310" width="9.140625" style="164"/>
    <col min="13311" max="13311" width="3.42578125" style="164" customWidth="1"/>
    <col min="13312" max="13312" width="7.7109375" style="164" customWidth="1"/>
    <col min="13313" max="13313" width="52.28515625" style="164" customWidth="1"/>
    <col min="13314" max="13314" width="14.28515625" style="164" customWidth="1"/>
    <col min="13315" max="13315" width="12.42578125" style="164" customWidth="1"/>
    <col min="13316" max="13316" width="16.42578125" style="164" customWidth="1"/>
    <col min="13317" max="13317" width="13.42578125" style="164" customWidth="1"/>
    <col min="13318" max="13318" width="14.85546875" style="164" customWidth="1"/>
    <col min="13319" max="13319" width="11.140625" style="164" customWidth="1"/>
    <col min="13320" max="13320" width="13.42578125" style="164" bestFit="1" customWidth="1"/>
    <col min="13321" max="13321" width="10.28515625" style="164" bestFit="1" customWidth="1"/>
    <col min="13322" max="13566" width="9.140625" style="164"/>
    <col min="13567" max="13567" width="3.42578125" style="164" customWidth="1"/>
    <col min="13568" max="13568" width="7.7109375" style="164" customWidth="1"/>
    <col min="13569" max="13569" width="52.28515625" style="164" customWidth="1"/>
    <col min="13570" max="13570" width="14.28515625" style="164" customWidth="1"/>
    <col min="13571" max="13571" width="12.42578125" style="164" customWidth="1"/>
    <col min="13572" max="13572" width="16.42578125" style="164" customWidth="1"/>
    <col min="13573" max="13573" width="13.42578125" style="164" customWidth="1"/>
    <col min="13574" max="13574" width="14.85546875" style="164" customWidth="1"/>
    <col min="13575" max="13575" width="11.140625" style="164" customWidth="1"/>
    <col min="13576" max="13576" width="13.42578125" style="164" bestFit="1" customWidth="1"/>
    <col min="13577" max="13577" width="10.28515625" style="164" bestFit="1" customWidth="1"/>
    <col min="13578" max="13822" width="9.140625" style="164"/>
    <col min="13823" max="13823" width="3.42578125" style="164" customWidth="1"/>
    <col min="13824" max="13824" width="7.7109375" style="164" customWidth="1"/>
    <col min="13825" max="13825" width="52.28515625" style="164" customWidth="1"/>
    <col min="13826" max="13826" width="14.28515625" style="164" customWidth="1"/>
    <col min="13827" max="13827" width="12.42578125" style="164" customWidth="1"/>
    <col min="13828" max="13828" width="16.42578125" style="164" customWidth="1"/>
    <col min="13829" max="13829" width="13.42578125" style="164" customWidth="1"/>
    <col min="13830" max="13830" width="14.85546875" style="164" customWidth="1"/>
    <col min="13831" max="13831" width="11.140625" style="164" customWidth="1"/>
    <col min="13832" max="13832" width="13.42578125" style="164" bestFit="1" customWidth="1"/>
    <col min="13833" max="13833" width="10.28515625" style="164" bestFit="1" customWidth="1"/>
    <col min="13834" max="14078" width="9.140625" style="164"/>
    <col min="14079" max="14079" width="3.42578125" style="164" customWidth="1"/>
    <col min="14080" max="14080" width="7.7109375" style="164" customWidth="1"/>
    <col min="14081" max="14081" width="52.28515625" style="164" customWidth="1"/>
    <col min="14082" max="14082" width="14.28515625" style="164" customWidth="1"/>
    <col min="14083" max="14083" width="12.42578125" style="164" customWidth="1"/>
    <col min="14084" max="14084" width="16.42578125" style="164" customWidth="1"/>
    <col min="14085" max="14085" width="13.42578125" style="164" customWidth="1"/>
    <col min="14086" max="14086" width="14.85546875" style="164" customWidth="1"/>
    <col min="14087" max="14087" width="11.140625" style="164" customWidth="1"/>
    <col min="14088" max="14088" width="13.42578125" style="164" bestFit="1" customWidth="1"/>
    <col min="14089" max="14089" width="10.28515625" style="164" bestFit="1" customWidth="1"/>
    <col min="14090" max="14334" width="9.140625" style="164"/>
    <col min="14335" max="14335" width="3.42578125" style="164" customWidth="1"/>
    <col min="14336" max="14336" width="7.7109375" style="164" customWidth="1"/>
    <col min="14337" max="14337" width="52.28515625" style="164" customWidth="1"/>
    <col min="14338" max="14338" width="14.28515625" style="164" customWidth="1"/>
    <col min="14339" max="14339" width="12.42578125" style="164" customWidth="1"/>
    <col min="14340" max="14340" width="16.42578125" style="164" customWidth="1"/>
    <col min="14341" max="14341" width="13.42578125" style="164" customWidth="1"/>
    <col min="14342" max="14342" width="14.85546875" style="164" customWidth="1"/>
    <col min="14343" max="14343" width="11.140625" style="164" customWidth="1"/>
    <col min="14344" max="14344" width="13.42578125" style="164" bestFit="1" customWidth="1"/>
    <col min="14345" max="14345" width="10.28515625" style="164" bestFit="1" customWidth="1"/>
    <col min="14346" max="14590" width="9.140625" style="164"/>
    <col min="14591" max="14591" width="3.42578125" style="164" customWidth="1"/>
    <col min="14592" max="14592" width="7.7109375" style="164" customWidth="1"/>
    <col min="14593" max="14593" width="52.28515625" style="164" customWidth="1"/>
    <col min="14594" max="14594" width="14.28515625" style="164" customWidth="1"/>
    <col min="14595" max="14595" width="12.42578125" style="164" customWidth="1"/>
    <col min="14596" max="14596" width="16.42578125" style="164" customWidth="1"/>
    <col min="14597" max="14597" width="13.42578125" style="164" customWidth="1"/>
    <col min="14598" max="14598" width="14.85546875" style="164" customWidth="1"/>
    <col min="14599" max="14599" width="11.140625" style="164" customWidth="1"/>
    <col min="14600" max="14600" width="13.42578125" style="164" bestFit="1" customWidth="1"/>
    <col min="14601" max="14601" width="10.28515625" style="164" bestFit="1" customWidth="1"/>
    <col min="14602" max="14846" width="9.140625" style="164"/>
    <col min="14847" max="14847" width="3.42578125" style="164" customWidth="1"/>
    <col min="14848" max="14848" width="7.7109375" style="164" customWidth="1"/>
    <col min="14849" max="14849" width="52.28515625" style="164" customWidth="1"/>
    <col min="14850" max="14850" width="14.28515625" style="164" customWidth="1"/>
    <col min="14851" max="14851" width="12.42578125" style="164" customWidth="1"/>
    <col min="14852" max="14852" width="16.42578125" style="164" customWidth="1"/>
    <col min="14853" max="14853" width="13.42578125" style="164" customWidth="1"/>
    <col min="14854" max="14854" width="14.85546875" style="164" customWidth="1"/>
    <col min="14855" max="14855" width="11.140625" style="164" customWidth="1"/>
    <col min="14856" max="14856" width="13.42578125" style="164" bestFit="1" customWidth="1"/>
    <col min="14857" max="14857" width="10.28515625" style="164" bestFit="1" customWidth="1"/>
    <col min="14858" max="15102" width="9.140625" style="164"/>
    <col min="15103" max="15103" width="3.42578125" style="164" customWidth="1"/>
    <col min="15104" max="15104" width="7.7109375" style="164" customWidth="1"/>
    <col min="15105" max="15105" width="52.28515625" style="164" customWidth="1"/>
    <col min="15106" max="15106" width="14.28515625" style="164" customWidth="1"/>
    <col min="15107" max="15107" width="12.42578125" style="164" customWidth="1"/>
    <col min="15108" max="15108" width="16.42578125" style="164" customWidth="1"/>
    <col min="15109" max="15109" width="13.42578125" style="164" customWidth="1"/>
    <col min="15110" max="15110" width="14.85546875" style="164" customWidth="1"/>
    <col min="15111" max="15111" width="11.140625" style="164" customWidth="1"/>
    <col min="15112" max="15112" width="13.42578125" style="164" bestFit="1" customWidth="1"/>
    <col min="15113" max="15113" width="10.28515625" style="164" bestFit="1" customWidth="1"/>
    <col min="15114" max="15358" width="9.140625" style="164"/>
    <col min="15359" max="15359" width="3.42578125" style="164" customWidth="1"/>
    <col min="15360" max="15360" width="7.7109375" style="164" customWidth="1"/>
    <col min="15361" max="15361" width="52.28515625" style="164" customWidth="1"/>
    <col min="15362" max="15362" width="14.28515625" style="164" customWidth="1"/>
    <col min="15363" max="15363" width="12.42578125" style="164" customWidth="1"/>
    <col min="15364" max="15364" width="16.42578125" style="164" customWidth="1"/>
    <col min="15365" max="15365" width="13.42578125" style="164" customWidth="1"/>
    <col min="15366" max="15366" width="14.85546875" style="164" customWidth="1"/>
    <col min="15367" max="15367" width="11.140625" style="164" customWidth="1"/>
    <col min="15368" max="15368" width="13.42578125" style="164" bestFit="1" customWidth="1"/>
    <col min="15369" max="15369" width="10.28515625" style="164" bestFit="1" customWidth="1"/>
    <col min="15370" max="15614" width="9.140625" style="164"/>
    <col min="15615" max="15615" width="3.42578125" style="164" customWidth="1"/>
    <col min="15616" max="15616" width="7.7109375" style="164" customWidth="1"/>
    <col min="15617" max="15617" width="52.28515625" style="164" customWidth="1"/>
    <col min="15618" max="15618" width="14.28515625" style="164" customWidth="1"/>
    <col min="15619" max="15619" width="12.42578125" style="164" customWidth="1"/>
    <col min="15620" max="15620" width="16.42578125" style="164" customWidth="1"/>
    <col min="15621" max="15621" width="13.42578125" style="164" customWidth="1"/>
    <col min="15622" max="15622" width="14.85546875" style="164" customWidth="1"/>
    <col min="15623" max="15623" width="11.140625" style="164" customWidth="1"/>
    <col min="15624" max="15624" width="13.42578125" style="164" bestFit="1" customWidth="1"/>
    <col min="15625" max="15625" width="10.28515625" style="164" bestFit="1" customWidth="1"/>
    <col min="15626" max="15870" width="9.140625" style="164"/>
    <col min="15871" max="15871" width="3.42578125" style="164" customWidth="1"/>
    <col min="15872" max="15872" width="7.7109375" style="164" customWidth="1"/>
    <col min="15873" max="15873" width="52.28515625" style="164" customWidth="1"/>
    <col min="15874" max="15874" width="14.28515625" style="164" customWidth="1"/>
    <col min="15875" max="15875" width="12.42578125" style="164" customWidth="1"/>
    <col min="15876" max="15876" width="16.42578125" style="164" customWidth="1"/>
    <col min="15877" max="15877" width="13.42578125" style="164" customWidth="1"/>
    <col min="15878" max="15878" width="14.85546875" style="164" customWidth="1"/>
    <col min="15879" max="15879" width="11.140625" style="164" customWidth="1"/>
    <col min="15880" max="15880" width="13.42578125" style="164" bestFit="1" customWidth="1"/>
    <col min="15881" max="15881" width="10.28515625" style="164" bestFit="1" customWidth="1"/>
    <col min="15882" max="16126" width="9.140625" style="164"/>
    <col min="16127" max="16127" width="3.42578125" style="164" customWidth="1"/>
    <col min="16128" max="16128" width="7.7109375" style="164" customWidth="1"/>
    <col min="16129" max="16129" width="52.28515625" style="164" customWidth="1"/>
    <col min="16130" max="16130" width="14.28515625" style="164" customWidth="1"/>
    <col min="16131" max="16131" width="12.42578125" style="164" customWidth="1"/>
    <col min="16132" max="16132" width="16.42578125" style="164" customWidth="1"/>
    <col min="16133" max="16133" width="13.42578125" style="164" customWidth="1"/>
    <col min="16134" max="16134" width="14.85546875" style="164" customWidth="1"/>
    <col min="16135" max="16135" width="11.140625" style="164" customWidth="1"/>
    <col min="16136" max="16136" width="13.42578125" style="164" bestFit="1" customWidth="1"/>
    <col min="16137" max="16137" width="10.28515625" style="164" bestFit="1" customWidth="1"/>
    <col min="16138" max="16384" width="9.140625" style="164"/>
  </cols>
  <sheetData>
    <row r="1" spans="1:11" ht="18">
      <c r="A1" s="1164" t="e">
        <f>#REF!</f>
        <v>#REF!</v>
      </c>
      <c r="B1" s="1164"/>
      <c r="C1" s="1164"/>
      <c r="D1" s="1164"/>
      <c r="E1" s="1164"/>
      <c r="F1" s="1164"/>
      <c r="G1" s="1164"/>
      <c r="H1" s="1164"/>
      <c r="I1" s="1164"/>
    </row>
    <row r="2" spans="1:11">
      <c r="A2" s="165"/>
      <c r="B2" s="1165" t="s">
        <v>393</v>
      </c>
      <c r="C2" s="1165"/>
      <c r="D2" s="166" t="str">
        <f>B!B11</f>
        <v>B-4</v>
      </c>
      <c r="E2" s="166"/>
      <c r="F2" s="166"/>
      <c r="G2" s="166"/>
      <c r="H2" s="166"/>
      <c r="I2" s="166"/>
    </row>
    <row r="3" spans="1:11" ht="15.75" customHeight="1">
      <c r="A3" s="1166" t="str">
        <f>B!C11</f>
        <v>საქლორატოროს შენობა</v>
      </c>
      <c r="B3" s="1166"/>
      <c r="C3" s="1166"/>
      <c r="D3" s="1166"/>
      <c r="E3" s="1166"/>
      <c r="F3" s="1166"/>
      <c r="G3" s="1166"/>
      <c r="H3" s="1166"/>
      <c r="I3" s="1166"/>
    </row>
    <row r="4" spans="1:11">
      <c r="A4" s="165"/>
      <c r="B4" s="1167"/>
      <c r="C4" s="1167"/>
      <c r="D4" s="1167"/>
      <c r="E4" s="1167"/>
      <c r="F4" s="1167"/>
      <c r="G4" s="1"/>
      <c r="H4" s="1"/>
      <c r="I4" s="1"/>
    </row>
    <row r="5" spans="1:11" ht="15.75" customHeight="1">
      <c r="A5" s="167"/>
      <c r="B5" s="167"/>
      <c r="C5" s="167"/>
      <c r="D5" s="167"/>
      <c r="E5" s="167"/>
      <c r="F5" s="167"/>
      <c r="G5" s="167"/>
      <c r="H5" s="1168"/>
      <c r="I5" s="1168"/>
    </row>
    <row r="6" spans="1:11">
      <c r="A6" s="1169" t="s">
        <v>394</v>
      </c>
      <c r="B6" s="1170"/>
      <c r="C6" s="1175" t="s">
        <v>138</v>
      </c>
      <c r="D6" s="1176" t="s">
        <v>139</v>
      </c>
      <c r="E6" s="1176"/>
      <c r="F6" s="1176"/>
      <c r="G6" s="1176"/>
      <c r="H6" s="1176"/>
      <c r="I6" s="1175" t="s">
        <v>140</v>
      </c>
    </row>
    <row r="7" spans="1:11">
      <c r="A7" s="1171"/>
      <c r="B7" s="1172"/>
      <c r="C7" s="1175"/>
      <c r="D7" s="1175" t="s">
        <v>141</v>
      </c>
      <c r="E7" s="1175" t="s">
        <v>142</v>
      </c>
      <c r="F7" s="1175" t="s">
        <v>143</v>
      </c>
      <c r="G7" s="1175" t="s">
        <v>144</v>
      </c>
      <c r="H7" s="1176" t="s">
        <v>145</v>
      </c>
      <c r="I7" s="1175"/>
    </row>
    <row r="8" spans="1:11">
      <c r="A8" s="1173"/>
      <c r="B8" s="1174"/>
      <c r="C8" s="1175"/>
      <c r="D8" s="1175"/>
      <c r="E8" s="1175"/>
      <c r="F8" s="1175"/>
      <c r="G8" s="1175"/>
      <c r="H8" s="1176"/>
      <c r="I8" s="1175"/>
    </row>
    <row r="9" spans="1:11">
      <c r="A9" s="1161">
        <v>1</v>
      </c>
      <c r="B9" s="1162"/>
      <c r="C9" s="168">
        <v>2</v>
      </c>
      <c r="D9" s="169">
        <v>3</v>
      </c>
      <c r="E9" s="168">
        <v>4</v>
      </c>
      <c r="F9" s="169">
        <v>5</v>
      </c>
      <c r="G9" s="168">
        <v>6</v>
      </c>
      <c r="H9" s="169">
        <v>7</v>
      </c>
      <c r="I9" s="168">
        <v>8</v>
      </c>
    </row>
    <row r="10" spans="1:11" s="177" customFormat="1">
      <c r="A10" s="170">
        <v>1</v>
      </c>
      <c r="B10" s="171" t="s">
        <v>418</v>
      </c>
      <c r="C10" s="172" t="s">
        <v>396</v>
      </c>
      <c r="D10" s="173">
        <f>'B-4.1'!M225</f>
        <v>0</v>
      </c>
      <c r="E10" s="174"/>
      <c r="F10" s="174"/>
      <c r="G10" s="175"/>
      <c r="H10" s="174">
        <f t="shared" ref="H10:H12" si="0">D10</f>
        <v>0</v>
      </c>
      <c r="I10" s="176"/>
    </row>
    <row r="11" spans="1:11" s="177" customFormat="1">
      <c r="A11" s="170">
        <v>2</v>
      </c>
      <c r="B11" s="1002" t="s">
        <v>419</v>
      </c>
      <c r="C11" s="172" t="s">
        <v>398</v>
      </c>
      <c r="D11" s="173">
        <f>'B-4.2'!M100</f>
        <v>0</v>
      </c>
      <c r="E11" s="174"/>
      <c r="F11" s="174"/>
      <c r="G11" s="175"/>
      <c r="H11" s="174">
        <f t="shared" si="0"/>
        <v>0</v>
      </c>
      <c r="I11" s="176"/>
    </row>
    <row r="12" spans="1:11" s="177" customFormat="1">
      <c r="A12" s="170">
        <v>3</v>
      </c>
      <c r="B12" s="1002" t="s">
        <v>420</v>
      </c>
      <c r="C12" s="172" t="s">
        <v>399</v>
      </c>
      <c r="D12" s="178">
        <f>'B-4.3'!M66</f>
        <v>0</v>
      </c>
      <c r="E12" s="174"/>
      <c r="F12" s="174"/>
      <c r="G12" s="175"/>
      <c r="H12" s="174">
        <f t="shared" si="0"/>
        <v>0</v>
      </c>
      <c r="I12" s="176"/>
    </row>
    <row r="13" spans="1:11" s="177" customFormat="1">
      <c r="A13" s="170"/>
      <c r="B13" s="179"/>
      <c r="C13" s="172" t="s">
        <v>146</v>
      </c>
      <c r="D13" s="178"/>
      <c r="E13" s="174"/>
      <c r="F13" s="174"/>
      <c r="G13" s="175"/>
      <c r="H13" s="174">
        <f>SUM(H10:H12)</f>
        <v>0</v>
      </c>
      <c r="I13" s="176"/>
    </row>
    <row r="14" spans="1:11">
      <c r="C14" s="180"/>
      <c r="D14" s="181"/>
      <c r="E14" s="181"/>
      <c r="F14" s="182"/>
      <c r="G14" s="183"/>
      <c r="H14" s="184"/>
      <c r="I14" s="185"/>
    </row>
    <row r="15" spans="1:11" s="186" customFormat="1" ht="13.5">
      <c r="B15" s="187"/>
      <c r="C15" s="188"/>
      <c r="D15" s="1163"/>
      <c r="E15" s="1163"/>
      <c r="J15" s="187"/>
      <c r="K15" s="189"/>
    </row>
    <row r="16" spans="1:11" s="186" customFormat="1" ht="13.5">
      <c r="C16" s="188" t="e">
        <f>#REF!</f>
        <v>#REF!</v>
      </c>
      <c r="D16" s="188"/>
      <c r="E16" s="188"/>
    </row>
    <row r="17" spans="3:9" s="186" customFormat="1" ht="13.5">
      <c r="C17" s="190" t="e">
        <f>#REF!</f>
        <v>#REF!</v>
      </c>
      <c r="D17" s="1177" t="s">
        <v>587</v>
      </c>
      <c r="E17" s="1177"/>
      <c r="G17" s="191"/>
      <c r="H17" s="191"/>
    </row>
    <row r="18" spans="3:9" s="187" customFormat="1" ht="13.5">
      <c r="C18" s="192"/>
      <c r="I18" s="193"/>
    </row>
    <row r="19" spans="3:9">
      <c r="D19" s="194"/>
      <c r="E19" s="164"/>
      <c r="F19" s="164"/>
      <c r="G19" s="164"/>
    </row>
    <row r="20" spans="3:9">
      <c r="D20" s="194"/>
      <c r="E20" s="164"/>
      <c r="F20" s="164"/>
      <c r="G20" s="164"/>
    </row>
    <row r="33" spans="2:8">
      <c r="D33" s="195"/>
      <c r="E33" s="196"/>
      <c r="F33" s="197"/>
      <c r="G33" s="198"/>
      <c r="H33" s="199"/>
    </row>
    <row r="34" spans="2:8">
      <c r="D34" s="200"/>
      <c r="E34" s="196"/>
      <c r="F34" s="201"/>
      <c r="G34" s="202"/>
      <c r="H34" s="203"/>
    </row>
    <row r="35" spans="2:8">
      <c r="B35" s="204"/>
      <c r="D35" s="200"/>
      <c r="E35" s="196"/>
      <c r="F35" s="201"/>
      <c r="G35" s="202"/>
      <c r="H35" s="203"/>
    </row>
    <row r="36" spans="2:8">
      <c r="D36" s="200"/>
      <c r="E36" s="196"/>
      <c r="F36" s="201"/>
      <c r="G36" s="202"/>
      <c r="H36" s="203"/>
    </row>
    <row r="37" spans="2:8">
      <c r="B37" s="204"/>
      <c r="D37" s="200"/>
      <c r="E37" s="196"/>
      <c r="F37" s="201"/>
      <c r="G37" s="202"/>
      <c r="H37" s="203"/>
    </row>
    <row r="38" spans="2:8">
      <c r="D38" s="200"/>
      <c r="E38" s="196"/>
      <c r="F38" s="201"/>
      <c r="G38" s="202"/>
      <c r="H38" s="203"/>
    </row>
    <row r="39" spans="2:8">
      <c r="D39" s="200"/>
      <c r="E39" s="196"/>
      <c r="F39" s="201"/>
      <c r="G39" s="202"/>
      <c r="H39" s="203"/>
    </row>
    <row r="40" spans="2:8">
      <c r="D40" s="200"/>
      <c r="E40" s="196"/>
      <c r="F40" s="201"/>
      <c r="G40" s="202"/>
      <c r="H40" s="203"/>
    </row>
    <row r="41" spans="2:8">
      <c r="D41" s="200"/>
      <c r="E41" s="196"/>
      <c r="F41" s="201"/>
      <c r="G41" s="202"/>
      <c r="H41" s="203"/>
    </row>
    <row r="42" spans="2:8">
      <c r="B42" s="204"/>
      <c r="D42" s="200"/>
      <c r="E42" s="196"/>
      <c r="F42" s="201"/>
      <c r="G42" s="202"/>
      <c r="H42" s="203"/>
    </row>
    <row r="43" spans="2:8">
      <c r="B43" s="204"/>
      <c r="D43" s="200"/>
      <c r="E43" s="196"/>
      <c r="F43" s="201"/>
      <c r="G43" s="202"/>
      <c r="H43" s="203"/>
    </row>
    <row r="44" spans="2:8">
      <c r="B44" s="204"/>
      <c r="D44" s="200"/>
      <c r="E44" s="196"/>
      <c r="F44" s="201"/>
      <c r="G44" s="202"/>
      <c r="H44" s="203"/>
    </row>
    <row r="45" spans="2:8">
      <c r="D45" s="200"/>
      <c r="E45" s="196"/>
      <c r="F45" s="201"/>
      <c r="G45" s="202"/>
      <c r="H45" s="203"/>
    </row>
    <row r="46" spans="2:8">
      <c r="D46" s="200"/>
      <c r="E46" s="196"/>
      <c r="F46" s="201"/>
      <c r="G46" s="202"/>
      <c r="H46" s="203"/>
    </row>
    <row r="47" spans="2:8">
      <c r="D47" s="200"/>
      <c r="E47" s="196"/>
      <c r="F47" s="201"/>
      <c r="G47" s="202"/>
      <c r="H47" s="203"/>
    </row>
    <row r="48" spans="2:8">
      <c r="B48" s="204"/>
      <c r="D48" s="200"/>
      <c r="E48" s="196"/>
      <c r="F48" s="201"/>
      <c r="G48" s="202"/>
      <c r="H48" s="203"/>
    </row>
    <row r="49" spans="2:8">
      <c r="D49" s="200"/>
      <c r="E49" s="196"/>
      <c r="F49" s="201"/>
      <c r="G49" s="202"/>
      <c r="H49" s="203"/>
    </row>
    <row r="50" spans="2:8">
      <c r="D50" s="200"/>
      <c r="E50" s="196"/>
      <c r="F50" s="201"/>
      <c r="G50" s="202"/>
      <c r="H50" s="203"/>
    </row>
    <row r="51" spans="2:8">
      <c r="D51" s="200"/>
      <c r="E51" s="196"/>
      <c r="F51" s="201"/>
      <c r="G51" s="202"/>
      <c r="H51" s="203"/>
    </row>
    <row r="52" spans="2:8">
      <c r="D52" s="200"/>
      <c r="E52" s="196"/>
      <c r="F52" s="201"/>
      <c r="G52" s="202"/>
      <c r="H52" s="203"/>
    </row>
    <row r="53" spans="2:8">
      <c r="D53" s="200"/>
      <c r="E53" s="196"/>
      <c r="F53" s="201"/>
      <c r="G53" s="202"/>
      <c r="H53" s="203"/>
    </row>
    <row r="54" spans="2:8">
      <c r="D54" s="200"/>
      <c r="E54" s="196"/>
      <c r="F54" s="201"/>
      <c r="G54" s="202"/>
      <c r="H54" s="203"/>
    </row>
    <row r="55" spans="2:8">
      <c r="B55" s="205"/>
      <c r="D55" s="200"/>
      <c r="E55" s="196"/>
      <c r="F55" s="201"/>
      <c r="G55" s="202"/>
      <c r="H55" s="203"/>
    </row>
    <row r="56" spans="2:8">
      <c r="D56" s="200"/>
      <c r="E56" s="196"/>
      <c r="F56" s="201"/>
      <c r="G56" s="202"/>
      <c r="H56" s="203"/>
    </row>
    <row r="57" spans="2:8">
      <c r="D57" s="200"/>
      <c r="E57" s="196"/>
      <c r="F57" s="201"/>
      <c r="G57" s="202"/>
      <c r="H57" s="203"/>
    </row>
    <row r="58" spans="2:8">
      <c r="D58" s="200"/>
      <c r="E58" s="196"/>
      <c r="F58" s="201"/>
      <c r="G58" s="202"/>
      <c r="H58" s="203"/>
    </row>
    <row r="59" spans="2:8">
      <c r="D59" s="200"/>
      <c r="E59" s="196"/>
      <c r="F59" s="201"/>
      <c r="G59" s="202"/>
      <c r="H59" s="203"/>
    </row>
    <row r="60" spans="2:8">
      <c r="D60" s="200"/>
      <c r="E60" s="196"/>
      <c r="F60" s="201"/>
      <c r="G60" s="202"/>
      <c r="H60" s="203"/>
    </row>
    <row r="61" spans="2:8">
      <c r="D61" s="200"/>
      <c r="E61" s="196"/>
      <c r="F61" s="201"/>
      <c r="G61" s="202"/>
      <c r="H61" s="203"/>
    </row>
  </sheetData>
  <mergeCells count="17">
    <mergeCell ref="A1:I1"/>
    <mergeCell ref="B4:F4"/>
    <mergeCell ref="H5:I5"/>
    <mergeCell ref="A6:B8"/>
    <mergeCell ref="C6:C8"/>
    <mergeCell ref="D6:H6"/>
    <mergeCell ref="I6:I8"/>
    <mergeCell ref="D7:D8"/>
    <mergeCell ref="E7:E8"/>
    <mergeCell ref="A3:I3"/>
    <mergeCell ref="B2:C2"/>
    <mergeCell ref="F7:F8"/>
    <mergeCell ref="G7:G8"/>
    <mergeCell ref="H7:H8"/>
    <mergeCell ref="A9:B9"/>
    <mergeCell ref="D15:E15"/>
    <mergeCell ref="D17:E17"/>
  </mergeCells>
  <phoneticPr fontId="66" type="noConversion"/>
  <printOptions horizontalCentered="1"/>
  <pageMargins left="0.23622047244094491" right="0.23622047244094491" top="0.62992125984251968" bottom="0.23622047244094491" header="0.31496062992125984" footer="0.31496062992125984"/>
  <pageSetup paperSize="9" scale="75" fitToHeight="0" orientation="landscape" horizontalDpi="1200" verticalDpi="1200" r:id="rId1"/>
  <headerFooter alignWithMargins="0">
    <oddFooter>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29"/>
  <sheetViews>
    <sheetView view="pageBreakPreview" topLeftCell="C193" zoomScaleNormal="100" zoomScaleSheetLayoutView="100" workbookViewId="0">
      <selection activeCell="D216" sqref="D216:M225"/>
    </sheetView>
  </sheetViews>
  <sheetFormatPr defaultColWidth="7" defaultRowHeight="13.5"/>
  <cols>
    <col min="1" max="1" width="3.85546875" style="883" customWidth="1"/>
    <col min="2" max="2" width="11.85546875" style="884" customWidth="1"/>
    <col min="3" max="3" width="74" style="884" customWidth="1"/>
    <col min="4" max="7" width="10.85546875" style="885" customWidth="1"/>
    <col min="8" max="8" width="10.85546875" style="886" customWidth="1"/>
    <col min="9" max="9" width="10.85546875" style="885" customWidth="1"/>
    <col min="10" max="10" width="10.85546875" style="886" customWidth="1"/>
    <col min="11" max="11" width="10.85546875" style="885" customWidth="1"/>
    <col min="12" max="13" width="10.85546875" style="886" customWidth="1"/>
    <col min="14" max="123" width="9.140625" style="512" customWidth="1"/>
    <col min="124" max="124" width="2.5703125" style="512" customWidth="1"/>
    <col min="125" max="125" width="9.140625" style="512" customWidth="1"/>
    <col min="126" max="126" width="47.85546875" style="512" customWidth="1"/>
    <col min="127" max="127" width="6.7109375" style="512" customWidth="1"/>
    <col min="128" max="128" width="7.42578125" style="512" customWidth="1"/>
    <col min="129" max="129" width="7" style="512"/>
    <col min="130" max="130" width="8.5703125" style="512" customWidth="1"/>
    <col min="131" max="131" width="12" style="512" customWidth="1"/>
    <col min="132" max="132" width="4.7109375" style="512" customWidth="1"/>
    <col min="133" max="133" width="9.140625" style="512" customWidth="1"/>
    <col min="134" max="134" width="11.7109375" style="512" customWidth="1"/>
    <col min="135" max="246" width="7" style="512"/>
    <col min="247" max="247" width="3.85546875" style="512" customWidth="1"/>
    <col min="248" max="248" width="12" style="512" customWidth="1"/>
    <col min="249" max="249" width="64.140625" style="512" customWidth="1"/>
    <col min="250" max="250" width="9.42578125" style="512" customWidth="1"/>
    <col min="251" max="251" width="9.140625" style="512" customWidth="1"/>
    <col min="252" max="252" width="11.140625" style="512" bestFit="1" customWidth="1"/>
    <col min="253" max="253" width="9.140625" style="512" customWidth="1"/>
    <col min="254" max="254" width="10.42578125" style="512" customWidth="1"/>
    <col min="255" max="255" width="9.140625" style="512" customWidth="1"/>
    <col min="256" max="256" width="10.7109375" style="512" customWidth="1"/>
    <col min="257" max="257" width="9.140625" style="512" customWidth="1"/>
    <col min="258" max="258" width="10.140625" style="512" customWidth="1"/>
    <col min="259" max="259" width="11.140625" style="512" customWidth="1"/>
    <col min="260" max="379" width="9.140625" style="512" customWidth="1"/>
    <col min="380" max="380" width="2.5703125" style="512" customWidth="1"/>
    <col min="381" max="381" width="9.140625" style="512" customWidth="1"/>
    <col min="382" max="382" width="47.85546875" style="512" customWidth="1"/>
    <col min="383" max="383" width="6.7109375" style="512" customWidth="1"/>
    <col min="384" max="384" width="7.42578125" style="512" customWidth="1"/>
    <col min="385" max="385" width="7" style="512"/>
    <col min="386" max="386" width="8.5703125" style="512" customWidth="1"/>
    <col min="387" max="387" width="12" style="512" customWidth="1"/>
    <col min="388" max="388" width="4.7109375" style="512" customWidth="1"/>
    <col min="389" max="389" width="9.140625" style="512" customWidth="1"/>
    <col min="390" max="390" width="11.7109375" style="512" customWidth="1"/>
    <col min="391" max="502" width="7" style="512"/>
    <col min="503" max="503" width="3.85546875" style="512" customWidth="1"/>
    <col min="504" max="504" width="12" style="512" customWidth="1"/>
    <col min="505" max="505" width="64.140625" style="512" customWidth="1"/>
    <col min="506" max="506" width="9.42578125" style="512" customWidth="1"/>
    <col min="507" max="507" width="9.140625" style="512" customWidth="1"/>
    <col min="508" max="508" width="11.140625" style="512" bestFit="1" customWidth="1"/>
    <col min="509" max="509" width="9.140625" style="512" customWidth="1"/>
    <col min="510" max="510" width="10.42578125" style="512" customWidth="1"/>
    <col min="511" max="511" width="9.140625" style="512" customWidth="1"/>
    <col min="512" max="512" width="10.7109375" style="512" customWidth="1"/>
    <col min="513" max="513" width="9.140625" style="512" customWidth="1"/>
    <col min="514" max="514" width="10.140625" style="512" customWidth="1"/>
    <col min="515" max="515" width="11.140625" style="512" customWidth="1"/>
    <col min="516" max="635" width="9.140625" style="512" customWidth="1"/>
    <col min="636" max="636" width="2.5703125" style="512" customWidth="1"/>
    <col min="637" max="637" width="9.140625" style="512" customWidth="1"/>
    <col min="638" max="638" width="47.85546875" style="512" customWidth="1"/>
    <col min="639" max="639" width="6.7109375" style="512" customWidth="1"/>
    <col min="640" max="640" width="7.42578125" style="512" customWidth="1"/>
    <col min="641" max="641" width="7" style="512"/>
    <col min="642" max="642" width="8.5703125" style="512" customWidth="1"/>
    <col min="643" max="643" width="12" style="512" customWidth="1"/>
    <col min="644" max="644" width="4.7109375" style="512" customWidth="1"/>
    <col min="645" max="645" width="9.140625" style="512" customWidth="1"/>
    <col min="646" max="646" width="11.7109375" style="512" customWidth="1"/>
    <col min="647" max="758" width="7" style="512"/>
    <col min="759" max="759" width="3.85546875" style="512" customWidth="1"/>
    <col min="760" max="760" width="12" style="512" customWidth="1"/>
    <col min="761" max="761" width="64.140625" style="512" customWidth="1"/>
    <col min="762" max="762" width="9.42578125" style="512" customWidth="1"/>
    <col min="763" max="763" width="9.140625" style="512" customWidth="1"/>
    <col min="764" max="764" width="11.140625" style="512" bestFit="1" customWidth="1"/>
    <col min="765" max="765" width="9.140625" style="512" customWidth="1"/>
    <col min="766" max="766" width="10.42578125" style="512" customWidth="1"/>
    <col min="767" max="767" width="9.140625" style="512" customWidth="1"/>
    <col min="768" max="768" width="10.7109375" style="512" customWidth="1"/>
    <col min="769" max="769" width="9.140625" style="512" customWidth="1"/>
    <col min="770" max="770" width="10.140625" style="512" customWidth="1"/>
    <col min="771" max="771" width="11.140625" style="512" customWidth="1"/>
    <col min="772" max="891" width="9.140625" style="512" customWidth="1"/>
    <col min="892" max="892" width="2.5703125" style="512" customWidth="1"/>
    <col min="893" max="893" width="9.140625" style="512" customWidth="1"/>
    <col min="894" max="894" width="47.85546875" style="512" customWidth="1"/>
    <col min="895" max="895" width="6.7109375" style="512" customWidth="1"/>
    <col min="896" max="896" width="7.42578125" style="512" customWidth="1"/>
    <col min="897" max="897" width="7" style="512"/>
    <col min="898" max="898" width="8.5703125" style="512" customWidth="1"/>
    <col min="899" max="899" width="12" style="512" customWidth="1"/>
    <col min="900" max="900" width="4.7109375" style="512" customWidth="1"/>
    <col min="901" max="901" width="9.140625" style="512" customWidth="1"/>
    <col min="902" max="902" width="11.7109375" style="512" customWidth="1"/>
    <col min="903" max="1014" width="7" style="512"/>
    <col min="1015" max="1015" width="3.85546875" style="512" customWidth="1"/>
    <col min="1016" max="1016" width="12" style="512" customWidth="1"/>
    <col min="1017" max="1017" width="64.140625" style="512" customWidth="1"/>
    <col min="1018" max="1018" width="9.42578125" style="512" customWidth="1"/>
    <col min="1019" max="1019" width="9.140625" style="512" customWidth="1"/>
    <col min="1020" max="1020" width="11.140625" style="512" bestFit="1" customWidth="1"/>
    <col min="1021" max="1021" width="9.140625" style="512" customWidth="1"/>
    <col min="1022" max="1022" width="10.42578125" style="512" customWidth="1"/>
    <col min="1023" max="1023" width="9.140625" style="512" customWidth="1"/>
    <col min="1024" max="1024" width="10.7109375" style="512" customWidth="1"/>
    <col min="1025" max="1025" width="9.140625" style="512" customWidth="1"/>
    <col min="1026" max="1026" width="10.140625" style="512" customWidth="1"/>
    <col min="1027" max="1027" width="11.140625" style="512" customWidth="1"/>
    <col min="1028" max="1147" width="9.140625" style="512" customWidth="1"/>
    <col min="1148" max="1148" width="2.5703125" style="512" customWidth="1"/>
    <col min="1149" max="1149" width="9.140625" style="512" customWidth="1"/>
    <col min="1150" max="1150" width="47.85546875" style="512" customWidth="1"/>
    <col min="1151" max="1151" width="6.7109375" style="512" customWidth="1"/>
    <col min="1152" max="1152" width="7.42578125" style="512" customWidth="1"/>
    <col min="1153" max="1153" width="7" style="512"/>
    <col min="1154" max="1154" width="8.5703125" style="512" customWidth="1"/>
    <col min="1155" max="1155" width="12" style="512" customWidth="1"/>
    <col min="1156" max="1156" width="4.7109375" style="512" customWidth="1"/>
    <col min="1157" max="1157" width="9.140625" style="512" customWidth="1"/>
    <col min="1158" max="1158" width="11.7109375" style="512" customWidth="1"/>
    <col min="1159" max="1270" width="7" style="512"/>
    <col min="1271" max="1271" width="3.85546875" style="512" customWidth="1"/>
    <col min="1272" max="1272" width="12" style="512" customWidth="1"/>
    <col min="1273" max="1273" width="64.140625" style="512" customWidth="1"/>
    <col min="1274" max="1274" width="9.42578125" style="512" customWidth="1"/>
    <col min="1275" max="1275" width="9.140625" style="512" customWidth="1"/>
    <col min="1276" max="1276" width="11.140625" style="512" bestFit="1" customWidth="1"/>
    <col min="1277" max="1277" width="9.140625" style="512" customWidth="1"/>
    <col min="1278" max="1278" width="10.42578125" style="512" customWidth="1"/>
    <col min="1279" max="1279" width="9.140625" style="512" customWidth="1"/>
    <col min="1280" max="1280" width="10.7109375" style="512" customWidth="1"/>
    <col min="1281" max="1281" width="9.140625" style="512" customWidth="1"/>
    <col min="1282" max="1282" width="10.140625" style="512" customWidth="1"/>
    <col min="1283" max="1283" width="11.140625" style="512" customWidth="1"/>
    <col min="1284" max="1403" width="9.140625" style="512" customWidth="1"/>
    <col min="1404" max="1404" width="2.5703125" style="512" customWidth="1"/>
    <col min="1405" max="1405" width="9.140625" style="512" customWidth="1"/>
    <col min="1406" max="1406" width="47.85546875" style="512" customWidth="1"/>
    <col min="1407" max="1407" width="6.7109375" style="512" customWidth="1"/>
    <col min="1408" max="1408" width="7.42578125" style="512" customWidth="1"/>
    <col min="1409" max="1409" width="7" style="512"/>
    <col min="1410" max="1410" width="8.5703125" style="512" customWidth="1"/>
    <col min="1411" max="1411" width="12" style="512" customWidth="1"/>
    <col min="1412" max="1412" width="4.7109375" style="512" customWidth="1"/>
    <col min="1413" max="1413" width="9.140625" style="512" customWidth="1"/>
    <col min="1414" max="1414" width="11.7109375" style="512" customWidth="1"/>
    <col min="1415" max="1526" width="7" style="512"/>
    <col min="1527" max="1527" width="3.85546875" style="512" customWidth="1"/>
    <col min="1528" max="1528" width="12" style="512" customWidth="1"/>
    <col min="1529" max="1529" width="64.140625" style="512" customWidth="1"/>
    <col min="1530" max="1530" width="9.42578125" style="512" customWidth="1"/>
    <col min="1531" max="1531" width="9.140625" style="512" customWidth="1"/>
    <col min="1532" max="1532" width="11.140625" style="512" bestFit="1" customWidth="1"/>
    <col min="1533" max="1533" width="9.140625" style="512" customWidth="1"/>
    <col min="1534" max="1534" width="10.42578125" style="512" customWidth="1"/>
    <col min="1535" max="1535" width="9.140625" style="512" customWidth="1"/>
    <col min="1536" max="1536" width="10.7109375" style="512" customWidth="1"/>
    <col min="1537" max="1537" width="9.140625" style="512" customWidth="1"/>
    <col min="1538" max="1538" width="10.140625" style="512" customWidth="1"/>
    <col min="1539" max="1539" width="11.140625" style="512" customWidth="1"/>
    <col min="1540" max="1659" width="9.140625" style="512" customWidth="1"/>
    <col min="1660" max="1660" width="2.5703125" style="512" customWidth="1"/>
    <col min="1661" max="1661" width="9.140625" style="512" customWidth="1"/>
    <col min="1662" max="1662" width="47.85546875" style="512" customWidth="1"/>
    <col min="1663" max="1663" width="6.7109375" style="512" customWidth="1"/>
    <col min="1664" max="1664" width="7.42578125" style="512" customWidth="1"/>
    <col min="1665" max="1665" width="7" style="512"/>
    <col min="1666" max="1666" width="8.5703125" style="512" customWidth="1"/>
    <col min="1667" max="1667" width="12" style="512" customWidth="1"/>
    <col min="1668" max="1668" width="4.7109375" style="512" customWidth="1"/>
    <col min="1669" max="1669" width="9.140625" style="512" customWidth="1"/>
    <col min="1670" max="1670" width="11.7109375" style="512" customWidth="1"/>
    <col min="1671" max="1782" width="7" style="512"/>
    <col min="1783" max="1783" width="3.85546875" style="512" customWidth="1"/>
    <col min="1784" max="1784" width="12" style="512" customWidth="1"/>
    <col min="1785" max="1785" width="64.140625" style="512" customWidth="1"/>
    <col min="1786" max="1786" width="9.42578125" style="512" customWidth="1"/>
    <col min="1787" max="1787" width="9.140625" style="512" customWidth="1"/>
    <col min="1788" max="1788" width="11.140625" style="512" bestFit="1" customWidth="1"/>
    <col min="1789" max="1789" width="9.140625" style="512" customWidth="1"/>
    <col min="1790" max="1790" width="10.42578125" style="512" customWidth="1"/>
    <col min="1791" max="1791" width="9.140625" style="512" customWidth="1"/>
    <col min="1792" max="1792" width="10.7109375" style="512" customWidth="1"/>
    <col min="1793" max="1793" width="9.140625" style="512" customWidth="1"/>
    <col min="1794" max="1794" width="10.140625" style="512" customWidth="1"/>
    <col min="1795" max="1795" width="11.140625" style="512" customWidth="1"/>
    <col min="1796" max="1915" width="9.140625" style="512" customWidth="1"/>
    <col min="1916" max="1916" width="2.5703125" style="512" customWidth="1"/>
    <col min="1917" max="1917" width="9.140625" style="512" customWidth="1"/>
    <col min="1918" max="1918" width="47.85546875" style="512" customWidth="1"/>
    <col min="1919" max="1919" width="6.7109375" style="512" customWidth="1"/>
    <col min="1920" max="1920" width="7.42578125" style="512" customWidth="1"/>
    <col min="1921" max="1921" width="7" style="512"/>
    <col min="1922" max="1922" width="8.5703125" style="512" customWidth="1"/>
    <col min="1923" max="1923" width="12" style="512" customWidth="1"/>
    <col min="1924" max="1924" width="4.7109375" style="512" customWidth="1"/>
    <col min="1925" max="1925" width="9.140625" style="512" customWidth="1"/>
    <col min="1926" max="1926" width="11.7109375" style="512" customWidth="1"/>
    <col min="1927" max="2038" width="7" style="512"/>
    <col min="2039" max="2039" width="3.85546875" style="512" customWidth="1"/>
    <col min="2040" max="2040" width="12" style="512" customWidth="1"/>
    <col min="2041" max="2041" width="64.140625" style="512" customWidth="1"/>
    <col min="2042" max="2042" width="9.42578125" style="512" customWidth="1"/>
    <col min="2043" max="2043" width="9.140625" style="512" customWidth="1"/>
    <col min="2044" max="2044" width="11.140625" style="512" bestFit="1" customWidth="1"/>
    <col min="2045" max="2045" width="9.140625" style="512" customWidth="1"/>
    <col min="2046" max="2046" width="10.42578125" style="512" customWidth="1"/>
    <col min="2047" max="2047" width="9.140625" style="512" customWidth="1"/>
    <col min="2048" max="2048" width="10.7109375" style="512" customWidth="1"/>
    <col min="2049" max="2049" width="9.140625" style="512" customWidth="1"/>
    <col min="2050" max="2050" width="10.140625" style="512" customWidth="1"/>
    <col min="2051" max="2051" width="11.140625" style="512" customWidth="1"/>
    <col min="2052" max="2171" width="9.140625" style="512" customWidth="1"/>
    <col min="2172" max="2172" width="2.5703125" style="512" customWidth="1"/>
    <col min="2173" max="2173" width="9.140625" style="512" customWidth="1"/>
    <col min="2174" max="2174" width="47.85546875" style="512" customWidth="1"/>
    <col min="2175" max="2175" width="6.7109375" style="512" customWidth="1"/>
    <col min="2176" max="2176" width="7.42578125" style="512" customWidth="1"/>
    <col min="2177" max="2177" width="7" style="512"/>
    <col min="2178" max="2178" width="8.5703125" style="512" customWidth="1"/>
    <col min="2179" max="2179" width="12" style="512" customWidth="1"/>
    <col min="2180" max="2180" width="4.7109375" style="512" customWidth="1"/>
    <col min="2181" max="2181" width="9.140625" style="512" customWidth="1"/>
    <col min="2182" max="2182" width="11.7109375" style="512" customWidth="1"/>
    <col min="2183" max="2294" width="7" style="512"/>
    <col min="2295" max="2295" width="3.85546875" style="512" customWidth="1"/>
    <col min="2296" max="2296" width="12" style="512" customWidth="1"/>
    <col min="2297" max="2297" width="64.140625" style="512" customWidth="1"/>
    <col min="2298" max="2298" width="9.42578125" style="512" customWidth="1"/>
    <col min="2299" max="2299" width="9.140625" style="512" customWidth="1"/>
    <col min="2300" max="2300" width="11.140625" style="512" bestFit="1" customWidth="1"/>
    <col min="2301" max="2301" width="9.140625" style="512" customWidth="1"/>
    <col min="2302" max="2302" width="10.42578125" style="512" customWidth="1"/>
    <col min="2303" max="2303" width="9.140625" style="512" customWidth="1"/>
    <col min="2304" max="2304" width="10.7109375" style="512" customWidth="1"/>
    <col min="2305" max="2305" width="9.140625" style="512" customWidth="1"/>
    <col min="2306" max="2306" width="10.140625" style="512" customWidth="1"/>
    <col min="2307" max="2307" width="11.140625" style="512" customWidth="1"/>
    <col min="2308" max="2427" width="9.140625" style="512" customWidth="1"/>
    <col min="2428" max="2428" width="2.5703125" style="512" customWidth="1"/>
    <col min="2429" max="2429" width="9.140625" style="512" customWidth="1"/>
    <col min="2430" max="2430" width="47.85546875" style="512" customWidth="1"/>
    <col min="2431" max="2431" width="6.7109375" style="512" customWidth="1"/>
    <col min="2432" max="2432" width="7.42578125" style="512" customWidth="1"/>
    <col min="2433" max="2433" width="7" style="512"/>
    <col min="2434" max="2434" width="8.5703125" style="512" customWidth="1"/>
    <col min="2435" max="2435" width="12" style="512" customWidth="1"/>
    <col min="2436" max="2436" width="4.7109375" style="512" customWidth="1"/>
    <col min="2437" max="2437" width="9.140625" style="512" customWidth="1"/>
    <col min="2438" max="2438" width="11.7109375" style="512" customWidth="1"/>
    <col min="2439" max="2550" width="7" style="512"/>
    <col min="2551" max="2551" width="3.85546875" style="512" customWidth="1"/>
    <col min="2552" max="2552" width="12" style="512" customWidth="1"/>
    <col min="2553" max="2553" width="64.140625" style="512" customWidth="1"/>
    <col min="2554" max="2554" width="9.42578125" style="512" customWidth="1"/>
    <col min="2555" max="2555" width="9.140625" style="512" customWidth="1"/>
    <col min="2556" max="2556" width="11.140625" style="512" bestFit="1" customWidth="1"/>
    <col min="2557" max="2557" width="9.140625" style="512" customWidth="1"/>
    <col min="2558" max="2558" width="10.42578125" style="512" customWidth="1"/>
    <col min="2559" max="2559" width="9.140625" style="512" customWidth="1"/>
    <col min="2560" max="2560" width="10.7109375" style="512" customWidth="1"/>
    <col min="2561" max="2561" width="9.140625" style="512" customWidth="1"/>
    <col min="2562" max="2562" width="10.140625" style="512" customWidth="1"/>
    <col min="2563" max="2563" width="11.140625" style="512" customWidth="1"/>
    <col min="2564" max="2683" width="9.140625" style="512" customWidth="1"/>
    <col min="2684" max="2684" width="2.5703125" style="512" customWidth="1"/>
    <col min="2685" max="2685" width="9.140625" style="512" customWidth="1"/>
    <col min="2686" max="2686" width="47.85546875" style="512" customWidth="1"/>
    <col min="2687" max="2687" width="6.7109375" style="512" customWidth="1"/>
    <col min="2688" max="2688" width="7.42578125" style="512" customWidth="1"/>
    <col min="2689" max="2689" width="7" style="512"/>
    <col min="2690" max="2690" width="8.5703125" style="512" customWidth="1"/>
    <col min="2691" max="2691" width="12" style="512" customWidth="1"/>
    <col min="2692" max="2692" width="4.7109375" style="512" customWidth="1"/>
    <col min="2693" max="2693" width="9.140625" style="512" customWidth="1"/>
    <col min="2694" max="2694" width="11.7109375" style="512" customWidth="1"/>
    <col min="2695" max="2806" width="7" style="512"/>
    <col min="2807" max="2807" width="3.85546875" style="512" customWidth="1"/>
    <col min="2808" max="2808" width="12" style="512" customWidth="1"/>
    <col min="2809" max="2809" width="64.140625" style="512" customWidth="1"/>
    <col min="2810" max="2810" width="9.42578125" style="512" customWidth="1"/>
    <col min="2811" max="2811" width="9.140625" style="512" customWidth="1"/>
    <col min="2812" max="2812" width="11.140625" style="512" bestFit="1" customWidth="1"/>
    <col min="2813" max="2813" width="9.140625" style="512" customWidth="1"/>
    <col min="2814" max="2814" width="10.42578125" style="512" customWidth="1"/>
    <col min="2815" max="2815" width="9.140625" style="512" customWidth="1"/>
    <col min="2816" max="2816" width="10.7109375" style="512" customWidth="1"/>
    <col min="2817" max="2817" width="9.140625" style="512" customWidth="1"/>
    <col min="2818" max="2818" width="10.140625" style="512" customWidth="1"/>
    <col min="2819" max="2819" width="11.140625" style="512" customWidth="1"/>
    <col min="2820" max="2939" width="9.140625" style="512" customWidth="1"/>
    <col min="2940" max="2940" width="2.5703125" style="512" customWidth="1"/>
    <col min="2941" max="2941" width="9.140625" style="512" customWidth="1"/>
    <col min="2942" max="2942" width="47.85546875" style="512" customWidth="1"/>
    <col min="2943" max="2943" width="6.7109375" style="512" customWidth="1"/>
    <col min="2944" max="2944" width="7.42578125" style="512" customWidth="1"/>
    <col min="2945" max="2945" width="7" style="512"/>
    <col min="2946" max="2946" width="8.5703125" style="512" customWidth="1"/>
    <col min="2947" max="2947" width="12" style="512" customWidth="1"/>
    <col min="2948" max="2948" width="4.7109375" style="512" customWidth="1"/>
    <col min="2949" max="2949" width="9.140625" style="512" customWidth="1"/>
    <col min="2950" max="2950" width="11.7109375" style="512" customWidth="1"/>
    <col min="2951" max="3062" width="7" style="512"/>
    <col min="3063" max="3063" width="3.85546875" style="512" customWidth="1"/>
    <col min="3064" max="3064" width="12" style="512" customWidth="1"/>
    <col min="3065" max="3065" width="64.140625" style="512" customWidth="1"/>
    <col min="3066" max="3066" width="9.42578125" style="512" customWidth="1"/>
    <col min="3067" max="3067" width="9.140625" style="512" customWidth="1"/>
    <col min="3068" max="3068" width="11.140625" style="512" bestFit="1" customWidth="1"/>
    <col min="3069" max="3069" width="9.140625" style="512" customWidth="1"/>
    <col min="3070" max="3070" width="10.42578125" style="512" customWidth="1"/>
    <col min="3071" max="3071" width="9.140625" style="512" customWidth="1"/>
    <col min="3072" max="3072" width="10.7109375" style="512" customWidth="1"/>
    <col min="3073" max="3073" width="9.140625" style="512" customWidth="1"/>
    <col min="3074" max="3074" width="10.140625" style="512" customWidth="1"/>
    <col min="3075" max="3075" width="11.140625" style="512" customWidth="1"/>
    <col min="3076" max="3195" width="9.140625" style="512" customWidth="1"/>
    <col min="3196" max="3196" width="2.5703125" style="512" customWidth="1"/>
    <col min="3197" max="3197" width="9.140625" style="512" customWidth="1"/>
    <col min="3198" max="3198" width="47.85546875" style="512" customWidth="1"/>
    <col min="3199" max="3199" width="6.7109375" style="512" customWidth="1"/>
    <col min="3200" max="3200" width="7.42578125" style="512" customWidth="1"/>
    <col min="3201" max="3201" width="7" style="512"/>
    <col min="3202" max="3202" width="8.5703125" style="512" customWidth="1"/>
    <col min="3203" max="3203" width="12" style="512" customWidth="1"/>
    <col min="3204" max="3204" width="4.7109375" style="512" customWidth="1"/>
    <col min="3205" max="3205" width="9.140625" style="512" customWidth="1"/>
    <col min="3206" max="3206" width="11.7109375" style="512" customWidth="1"/>
    <col min="3207" max="3318" width="7" style="512"/>
    <col min="3319" max="3319" width="3.85546875" style="512" customWidth="1"/>
    <col min="3320" max="3320" width="12" style="512" customWidth="1"/>
    <col min="3321" max="3321" width="64.140625" style="512" customWidth="1"/>
    <col min="3322" max="3322" width="9.42578125" style="512" customWidth="1"/>
    <col min="3323" max="3323" width="9.140625" style="512" customWidth="1"/>
    <col min="3324" max="3324" width="11.140625" style="512" bestFit="1" customWidth="1"/>
    <col min="3325" max="3325" width="9.140625" style="512" customWidth="1"/>
    <col min="3326" max="3326" width="10.42578125" style="512" customWidth="1"/>
    <col min="3327" max="3327" width="9.140625" style="512" customWidth="1"/>
    <col min="3328" max="3328" width="10.7109375" style="512" customWidth="1"/>
    <col min="3329" max="3329" width="9.140625" style="512" customWidth="1"/>
    <col min="3330" max="3330" width="10.140625" style="512" customWidth="1"/>
    <col min="3331" max="3331" width="11.140625" style="512" customWidth="1"/>
    <col min="3332" max="3451" width="9.140625" style="512" customWidth="1"/>
    <col min="3452" max="3452" width="2.5703125" style="512" customWidth="1"/>
    <col min="3453" max="3453" width="9.140625" style="512" customWidth="1"/>
    <col min="3454" max="3454" width="47.85546875" style="512" customWidth="1"/>
    <col min="3455" max="3455" width="6.7109375" style="512" customWidth="1"/>
    <col min="3456" max="3456" width="7.42578125" style="512" customWidth="1"/>
    <col min="3457" max="3457" width="7" style="512"/>
    <col min="3458" max="3458" width="8.5703125" style="512" customWidth="1"/>
    <col min="3459" max="3459" width="12" style="512" customWidth="1"/>
    <col min="3460" max="3460" width="4.7109375" style="512" customWidth="1"/>
    <col min="3461" max="3461" width="9.140625" style="512" customWidth="1"/>
    <col min="3462" max="3462" width="11.7109375" style="512" customWidth="1"/>
    <col min="3463" max="3574" width="7" style="512"/>
    <col min="3575" max="3575" width="3.85546875" style="512" customWidth="1"/>
    <col min="3576" max="3576" width="12" style="512" customWidth="1"/>
    <col min="3577" max="3577" width="64.140625" style="512" customWidth="1"/>
    <col min="3578" max="3578" width="9.42578125" style="512" customWidth="1"/>
    <col min="3579" max="3579" width="9.140625" style="512" customWidth="1"/>
    <col min="3580" max="3580" width="11.140625" style="512" bestFit="1" customWidth="1"/>
    <col min="3581" max="3581" width="9.140625" style="512" customWidth="1"/>
    <col min="3582" max="3582" width="10.42578125" style="512" customWidth="1"/>
    <col min="3583" max="3583" width="9.140625" style="512" customWidth="1"/>
    <col min="3584" max="3584" width="10.7109375" style="512" customWidth="1"/>
    <col min="3585" max="3585" width="9.140625" style="512" customWidth="1"/>
    <col min="3586" max="3586" width="10.140625" style="512" customWidth="1"/>
    <col min="3587" max="3587" width="11.140625" style="512" customWidth="1"/>
    <col min="3588" max="3707" width="9.140625" style="512" customWidth="1"/>
    <col min="3708" max="3708" width="2.5703125" style="512" customWidth="1"/>
    <col min="3709" max="3709" width="9.140625" style="512" customWidth="1"/>
    <col min="3710" max="3710" width="47.85546875" style="512" customWidth="1"/>
    <col min="3711" max="3711" width="6.7109375" style="512" customWidth="1"/>
    <col min="3712" max="3712" width="7.42578125" style="512" customWidth="1"/>
    <col min="3713" max="3713" width="7" style="512"/>
    <col min="3714" max="3714" width="8.5703125" style="512" customWidth="1"/>
    <col min="3715" max="3715" width="12" style="512" customWidth="1"/>
    <col min="3716" max="3716" width="4.7109375" style="512" customWidth="1"/>
    <col min="3717" max="3717" width="9.140625" style="512" customWidth="1"/>
    <col min="3718" max="3718" width="11.7109375" style="512" customWidth="1"/>
    <col min="3719" max="3830" width="7" style="512"/>
    <col min="3831" max="3831" width="3.85546875" style="512" customWidth="1"/>
    <col min="3832" max="3832" width="12" style="512" customWidth="1"/>
    <col min="3833" max="3833" width="64.140625" style="512" customWidth="1"/>
    <col min="3834" max="3834" width="9.42578125" style="512" customWidth="1"/>
    <col min="3835" max="3835" width="9.140625" style="512" customWidth="1"/>
    <col min="3836" max="3836" width="11.140625" style="512" bestFit="1" customWidth="1"/>
    <col min="3837" max="3837" width="9.140625" style="512" customWidth="1"/>
    <col min="3838" max="3838" width="10.42578125" style="512" customWidth="1"/>
    <col min="3839" max="3839" width="9.140625" style="512" customWidth="1"/>
    <col min="3840" max="3840" width="10.7109375" style="512" customWidth="1"/>
    <col min="3841" max="3841" width="9.140625" style="512" customWidth="1"/>
    <col min="3842" max="3842" width="10.140625" style="512" customWidth="1"/>
    <col min="3843" max="3843" width="11.140625" style="512" customWidth="1"/>
    <col min="3844" max="3963" width="9.140625" style="512" customWidth="1"/>
    <col min="3964" max="3964" width="2.5703125" style="512" customWidth="1"/>
    <col min="3965" max="3965" width="9.140625" style="512" customWidth="1"/>
    <col min="3966" max="3966" width="47.85546875" style="512" customWidth="1"/>
    <col min="3967" max="3967" width="6.7109375" style="512" customWidth="1"/>
    <col min="3968" max="3968" width="7.42578125" style="512" customWidth="1"/>
    <col min="3969" max="3969" width="7" style="512"/>
    <col min="3970" max="3970" width="8.5703125" style="512" customWidth="1"/>
    <col min="3971" max="3971" width="12" style="512" customWidth="1"/>
    <col min="3972" max="3972" width="4.7109375" style="512" customWidth="1"/>
    <col min="3973" max="3973" width="9.140625" style="512" customWidth="1"/>
    <col min="3974" max="3974" width="11.7109375" style="512" customWidth="1"/>
    <col min="3975" max="4086" width="7" style="512"/>
    <col min="4087" max="4087" width="3.85546875" style="512" customWidth="1"/>
    <col min="4088" max="4088" width="12" style="512" customWidth="1"/>
    <col min="4089" max="4089" width="64.140625" style="512" customWidth="1"/>
    <col min="4090" max="4090" width="9.42578125" style="512" customWidth="1"/>
    <col min="4091" max="4091" width="9.140625" style="512" customWidth="1"/>
    <col min="4092" max="4092" width="11.140625" style="512" bestFit="1" customWidth="1"/>
    <col min="4093" max="4093" width="9.140625" style="512" customWidth="1"/>
    <col min="4094" max="4094" width="10.42578125" style="512" customWidth="1"/>
    <col min="4095" max="4095" width="9.140625" style="512" customWidth="1"/>
    <col min="4096" max="4096" width="10.7109375" style="512" customWidth="1"/>
    <col min="4097" max="4097" width="9.140625" style="512" customWidth="1"/>
    <col min="4098" max="4098" width="10.140625" style="512" customWidth="1"/>
    <col min="4099" max="4099" width="11.140625" style="512" customWidth="1"/>
    <col min="4100" max="4219" width="9.140625" style="512" customWidth="1"/>
    <col min="4220" max="4220" width="2.5703125" style="512" customWidth="1"/>
    <col min="4221" max="4221" width="9.140625" style="512" customWidth="1"/>
    <col min="4222" max="4222" width="47.85546875" style="512" customWidth="1"/>
    <col min="4223" max="4223" width="6.7109375" style="512" customWidth="1"/>
    <col min="4224" max="4224" width="7.42578125" style="512" customWidth="1"/>
    <col min="4225" max="4225" width="7" style="512"/>
    <col min="4226" max="4226" width="8.5703125" style="512" customWidth="1"/>
    <col min="4227" max="4227" width="12" style="512" customWidth="1"/>
    <col min="4228" max="4228" width="4.7109375" style="512" customWidth="1"/>
    <col min="4229" max="4229" width="9.140625" style="512" customWidth="1"/>
    <col min="4230" max="4230" width="11.7109375" style="512" customWidth="1"/>
    <col min="4231" max="4342" width="7" style="512"/>
    <col min="4343" max="4343" width="3.85546875" style="512" customWidth="1"/>
    <col min="4344" max="4344" width="12" style="512" customWidth="1"/>
    <col min="4345" max="4345" width="64.140625" style="512" customWidth="1"/>
    <col min="4346" max="4346" width="9.42578125" style="512" customWidth="1"/>
    <col min="4347" max="4347" width="9.140625" style="512" customWidth="1"/>
    <col min="4348" max="4348" width="11.140625" style="512" bestFit="1" customWidth="1"/>
    <col min="4349" max="4349" width="9.140625" style="512" customWidth="1"/>
    <col min="4350" max="4350" width="10.42578125" style="512" customWidth="1"/>
    <col min="4351" max="4351" width="9.140625" style="512" customWidth="1"/>
    <col min="4352" max="4352" width="10.7109375" style="512" customWidth="1"/>
    <col min="4353" max="4353" width="9.140625" style="512" customWidth="1"/>
    <col min="4354" max="4354" width="10.140625" style="512" customWidth="1"/>
    <col min="4355" max="4355" width="11.140625" style="512" customWidth="1"/>
    <col min="4356" max="4475" width="9.140625" style="512" customWidth="1"/>
    <col min="4476" max="4476" width="2.5703125" style="512" customWidth="1"/>
    <col min="4477" max="4477" width="9.140625" style="512" customWidth="1"/>
    <col min="4478" max="4478" width="47.85546875" style="512" customWidth="1"/>
    <col min="4479" max="4479" width="6.7109375" style="512" customWidth="1"/>
    <col min="4480" max="4480" width="7.42578125" style="512" customWidth="1"/>
    <col min="4481" max="4481" width="7" style="512"/>
    <col min="4482" max="4482" width="8.5703125" style="512" customWidth="1"/>
    <col min="4483" max="4483" width="12" style="512" customWidth="1"/>
    <col min="4484" max="4484" width="4.7109375" style="512" customWidth="1"/>
    <col min="4485" max="4485" width="9.140625" style="512" customWidth="1"/>
    <col min="4486" max="4486" width="11.7109375" style="512" customWidth="1"/>
    <col min="4487" max="4598" width="7" style="512"/>
    <col min="4599" max="4599" width="3.85546875" style="512" customWidth="1"/>
    <col min="4600" max="4600" width="12" style="512" customWidth="1"/>
    <col min="4601" max="4601" width="64.140625" style="512" customWidth="1"/>
    <col min="4602" max="4602" width="9.42578125" style="512" customWidth="1"/>
    <col min="4603" max="4603" width="9.140625" style="512" customWidth="1"/>
    <col min="4604" max="4604" width="11.140625" style="512" bestFit="1" customWidth="1"/>
    <col min="4605" max="4605" width="9.140625" style="512" customWidth="1"/>
    <col min="4606" max="4606" width="10.42578125" style="512" customWidth="1"/>
    <col min="4607" max="4607" width="9.140625" style="512" customWidth="1"/>
    <col min="4608" max="4608" width="10.7109375" style="512" customWidth="1"/>
    <col min="4609" max="4609" width="9.140625" style="512" customWidth="1"/>
    <col min="4610" max="4610" width="10.140625" style="512" customWidth="1"/>
    <col min="4611" max="4611" width="11.140625" style="512" customWidth="1"/>
    <col min="4612" max="4731" width="9.140625" style="512" customWidth="1"/>
    <col min="4732" max="4732" width="2.5703125" style="512" customWidth="1"/>
    <col min="4733" max="4733" width="9.140625" style="512" customWidth="1"/>
    <col min="4734" max="4734" width="47.85546875" style="512" customWidth="1"/>
    <col min="4735" max="4735" width="6.7109375" style="512" customWidth="1"/>
    <col min="4736" max="4736" width="7.42578125" style="512" customWidth="1"/>
    <col min="4737" max="4737" width="7" style="512"/>
    <col min="4738" max="4738" width="8.5703125" style="512" customWidth="1"/>
    <col min="4739" max="4739" width="12" style="512" customWidth="1"/>
    <col min="4740" max="4740" width="4.7109375" style="512" customWidth="1"/>
    <col min="4741" max="4741" width="9.140625" style="512" customWidth="1"/>
    <col min="4742" max="4742" width="11.7109375" style="512" customWidth="1"/>
    <col min="4743" max="4854" width="7" style="512"/>
    <col min="4855" max="4855" width="3.85546875" style="512" customWidth="1"/>
    <col min="4856" max="4856" width="12" style="512" customWidth="1"/>
    <col min="4857" max="4857" width="64.140625" style="512" customWidth="1"/>
    <col min="4858" max="4858" width="9.42578125" style="512" customWidth="1"/>
    <col min="4859" max="4859" width="9.140625" style="512" customWidth="1"/>
    <col min="4860" max="4860" width="11.140625" style="512" bestFit="1" customWidth="1"/>
    <col min="4861" max="4861" width="9.140625" style="512" customWidth="1"/>
    <col min="4862" max="4862" width="10.42578125" style="512" customWidth="1"/>
    <col min="4863" max="4863" width="9.140625" style="512" customWidth="1"/>
    <col min="4864" max="4864" width="10.7109375" style="512" customWidth="1"/>
    <col min="4865" max="4865" width="9.140625" style="512" customWidth="1"/>
    <col min="4866" max="4866" width="10.140625" style="512" customWidth="1"/>
    <col min="4867" max="4867" width="11.140625" style="512" customWidth="1"/>
    <col min="4868" max="4987" width="9.140625" style="512" customWidth="1"/>
    <col min="4988" max="4988" width="2.5703125" style="512" customWidth="1"/>
    <col min="4989" max="4989" width="9.140625" style="512" customWidth="1"/>
    <col min="4990" max="4990" width="47.85546875" style="512" customWidth="1"/>
    <col min="4991" max="4991" width="6.7109375" style="512" customWidth="1"/>
    <col min="4992" max="4992" width="7.42578125" style="512" customWidth="1"/>
    <col min="4993" max="4993" width="7" style="512"/>
    <col min="4994" max="4994" width="8.5703125" style="512" customWidth="1"/>
    <col min="4995" max="4995" width="12" style="512" customWidth="1"/>
    <col min="4996" max="4996" width="4.7109375" style="512" customWidth="1"/>
    <col min="4997" max="4997" width="9.140625" style="512" customWidth="1"/>
    <col min="4998" max="4998" width="11.7109375" style="512" customWidth="1"/>
    <col min="4999" max="5110" width="7" style="512"/>
    <col min="5111" max="5111" width="3.85546875" style="512" customWidth="1"/>
    <col min="5112" max="5112" width="12" style="512" customWidth="1"/>
    <col min="5113" max="5113" width="64.140625" style="512" customWidth="1"/>
    <col min="5114" max="5114" width="9.42578125" style="512" customWidth="1"/>
    <col min="5115" max="5115" width="9.140625" style="512" customWidth="1"/>
    <col min="5116" max="5116" width="11.140625" style="512" bestFit="1" customWidth="1"/>
    <col min="5117" max="5117" width="9.140625" style="512" customWidth="1"/>
    <col min="5118" max="5118" width="10.42578125" style="512" customWidth="1"/>
    <col min="5119" max="5119" width="9.140625" style="512" customWidth="1"/>
    <col min="5120" max="5120" width="10.7109375" style="512" customWidth="1"/>
    <col min="5121" max="5121" width="9.140625" style="512" customWidth="1"/>
    <col min="5122" max="5122" width="10.140625" style="512" customWidth="1"/>
    <col min="5123" max="5123" width="11.140625" style="512" customWidth="1"/>
    <col min="5124" max="5243" width="9.140625" style="512" customWidth="1"/>
    <col min="5244" max="5244" width="2.5703125" style="512" customWidth="1"/>
    <col min="5245" max="5245" width="9.140625" style="512" customWidth="1"/>
    <col min="5246" max="5246" width="47.85546875" style="512" customWidth="1"/>
    <col min="5247" max="5247" width="6.7109375" style="512" customWidth="1"/>
    <col min="5248" max="5248" width="7.42578125" style="512" customWidth="1"/>
    <col min="5249" max="5249" width="7" style="512"/>
    <col min="5250" max="5250" width="8.5703125" style="512" customWidth="1"/>
    <col min="5251" max="5251" width="12" style="512" customWidth="1"/>
    <col min="5252" max="5252" width="4.7109375" style="512" customWidth="1"/>
    <col min="5253" max="5253" width="9.140625" style="512" customWidth="1"/>
    <col min="5254" max="5254" width="11.7109375" style="512" customWidth="1"/>
    <col min="5255" max="5366" width="7" style="512"/>
    <col min="5367" max="5367" width="3.85546875" style="512" customWidth="1"/>
    <col min="5368" max="5368" width="12" style="512" customWidth="1"/>
    <col min="5369" max="5369" width="64.140625" style="512" customWidth="1"/>
    <col min="5370" max="5370" width="9.42578125" style="512" customWidth="1"/>
    <col min="5371" max="5371" width="9.140625" style="512" customWidth="1"/>
    <col min="5372" max="5372" width="11.140625" style="512" bestFit="1" customWidth="1"/>
    <col min="5373" max="5373" width="9.140625" style="512" customWidth="1"/>
    <col min="5374" max="5374" width="10.42578125" style="512" customWidth="1"/>
    <col min="5375" max="5375" width="9.140625" style="512" customWidth="1"/>
    <col min="5376" max="5376" width="10.7109375" style="512" customWidth="1"/>
    <col min="5377" max="5377" width="9.140625" style="512" customWidth="1"/>
    <col min="5378" max="5378" width="10.140625" style="512" customWidth="1"/>
    <col min="5379" max="5379" width="11.140625" style="512" customWidth="1"/>
    <col min="5380" max="5499" width="9.140625" style="512" customWidth="1"/>
    <col min="5500" max="5500" width="2.5703125" style="512" customWidth="1"/>
    <col min="5501" max="5501" width="9.140625" style="512" customWidth="1"/>
    <col min="5502" max="5502" width="47.85546875" style="512" customWidth="1"/>
    <col min="5503" max="5503" width="6.7109375" style="512" customWidth="1"/>
    <col min="5504" max="5504" width="7.42578125" style="512" customWidth="1"/>
    <col min="5505" max="5505" width="7" style="512"/>
    <col min="5506" max="5506" width="8.5703125" style="512" customWidth="1"/>
    <col min="5507" max="5507" width="12" style="512" customWidth="1"/>
    <col min="5508" max="5508" width="4.7109375" style="512" customWidth="1"/>
    <col min="5509" max="5509" width="9.140625" style="512" customWidth="1"/>
    <col min="5510" max="5510" width="11.7109375" style="512" customWidth="1"/>
    <col min="5511" max="5622" width="7" style="512"/>
    <col min="5623" max="5623" width="3.85546875" style="512" customWidth="1"/>
    <col min="5624" max="5624" width="12" style="512" customWidth="1"/>
    <col min="5625" max="5625" width="64.140625" style="512" customWidth="1"/>
    <col min="5626" max="5626" width="9.42578125" style="512" customWidth="1"/>
    <col min="5627" max="5627" width="9.140625" style="512" customWidth="1"/>
    <col min="5628" max="5628" width="11.140625" style="512" bestFit="1" customWidth="1"/>
    <col min="5629" max="5629" width="9.140625" style="512" customWidth="1"/>
    <col min="5630" max="5630" width="10.42578125" style="512" customWidth="1"/>
    <col min="5631" max="5631" width="9.140625" style="512" customWidth="1"/>
    <col min="5632" max="5632" width="10.7109375" style="512" customWidth="1"/>
    <col min="5633" max="5633" width="9.140625" style="512" customWidth="1"/>
    <col min="5634" max="5634" width="10.140625" style="512" customWidth="1"/>
    <col min="5635" max="5635" width="11.140625" style="512" customWidth="1"/>
    <col min="5636" max="5755" width="9.140625" style="512" customWidth="1"/>
    <col min="5756" max="5756" width="2.5703125" style="512" customWidth="1"/>
    <col min="5757" max="5757" width="9.140625" style="512" customWidth="1"/>
    <col min="5758" max="5758" width="47.85546875" style="512" customWidth="1"/>
    <col min="5759" max="5759" width="6.7109375" style="512" customWidth="1"/>
    <col min="5760" max="5760" width="7.42578125" style="512" customWidth="1"/>
    <col min="5761" max="5761" width="7" style="512"/>
    <col min="5762" max="5762" width="8.5703125" style="512" customWidth="1"/>
    <col min="5763" max="5763" width="12" style="512" customWidth="1"/>
    <col min="5764" max="5764" width="4.7109375" style="512" customWidth="1"/>
    <col min="5765" max="5765" width="9.140625" style="512" customWidth="1"/>
    <col min="5766" max="5766" width="11.7109375" style="512" customWidth="1"/>
    <col min="5767" max="5878" width="7" style="512"/>
    <col min="5879" max="5879" width="3.85546875" style="512" customWidth="1"/>
    <col min="5880" max="5880" width="12" style="512" customWidth="1"/>
    <col min="5881" max="5881" width="64.140625" style="512" customWidth="1"/>
    <col min="5882" max="5882" width="9.42578125" style="512" customWidth="1"/>
    <col min="5883" max="5883" width="9.140625" style="512" customWidth="1"/>
    <col min="5884" max="5884" width="11.140625" style="512" bestFit="1" customWidth="1"/>
    <col min="5885" max="5885" width="9.140625" style="512" customWidth="1"/>
    <col min="5886" max="5886" width="10.42578125" style="512" customWidth="1"/>
    <col min="5887" max="5887" width="9.140625" style="512" customWidth="1"/>
    <col min="5888" max="5888" width="10.7109375" style="512" customWidth="1"/>
    <col min="5889" max="5889" width="9.140625" style="512" customWidth="1"/>
    <col min="5890" max="5890" width="10.140625" style="512" customWidth="1"/>
    <col min="5891" max="5891" width="11.140625" style="512" customWidth="1"/>
    <col min="5892" max="6011" width="9.140625" style="512" customWidth="1"/>
    <col min="6012" max="6012" width="2.5703125" style="512" customWidth="1"/>
    <col min="6013" max="6013" width="9.140625" style="512" customWidth="1"/>
    <col min="6014" max="6014" width="47.85546875" style="512" customWidth="1"/>
    <col min="6015" max="6015" width="6.7109375" style="512" customWidth="1"/>
    <col min="6016" max="6016" width="7.42578125" style="512" customWidth="1"/>
    <col min="6017" max="6017" width="7" style="512"/>
    <col min="6018" max="6018" width="8.5703125" style="512" customWidth="1"/>
    <col min="6019" max="6019" width="12" style="512" customWidth="1"/>
    <col min="6020" max="6020" width="4.7109375" style="512" customWidth="1"/>
    <col min="6021" max="6021" width="9.140625" style="512" customWidth="1"/>
    <col min="6022" max="6022" width="11.7109375" style="512" customWidth="1"/>
    <col min="6023" max="6134" width="7" style="512"/>
    <col min="6135" max="6135" width="3.85546875" style="512" customWidth="1"/>
    <col min="6136" max="6136" width="12" style="512" customWidth="1"/>
    <col min="6137" max="6137" width="64.140625" style="512" customWidth="1"/>
    <col min="6138" max="6138" width="9.42578125" style="512" customWidth="1"/>
    <col min="6139" max="6139" width="9.140625" style="512" customWidth="1"/>
    <col min="6140" max="6140" width="11.140625" style="512" bestFit="1" customWidth="1"/>
    <col min="6141" max="6141" width="9.140625" style="512" customWidth="1"/>
    <col min="6142" max="6142" width="10.42578125" style="512" customWidth="1"/>
    <col min="6143" max="6143" width="9.140625" style="512" customWidth="1"/>
    <col min="6144" max="6144" width="10.7109375" style="512" customWidth="1"/>
    <col min="6145" max="6145" width="9.140625" style="512" customWidth="1"/>
    <col min="6146" max="6146" width="10.140625" style="512" customWidth="1"/>
    <col min="6147" max="6147" width="11.140625" style="512" customWidth="1"/>
    <col min="6148" max="6267" width="9.140625" style="512" customWidth="1"/>
    <col min="6268" max="6268" width="2.5703125" style="512" customWidth="1"/>
    <col min="6269" max="6269" width="9.140625" style="512" customWidth="1"/>
    <col min="6270" max="6270" width="47.85546875" style="512" customWidth="1"/>
    <col min="6271" max="6271" width="6.7109375" style="512" customWidth="1"/>
    <col min="6272" max="6272" width="7.42578125" style="512" customWidth="1"/>
    <col min="6273" max="6273" width="7" style="512"/>
    <col min="6274" max="6274" width="8.5703125" style="512" customWidth="1"/>
    <col min="6275" max="6275" width="12" style="512" customWidth="1"/>
    <col min="6276" max="6276" width="4.7109375" style="512" customWidth="1"/>
    <col min="6277" max="6277" width="9.140625" style="512" customWidth="1"/>
    <col min="6278" max="6278" width="11.7109375" style="512" customWidth="1"/>
    <col min="6279" max="6390" width="7" style="512"/>
    <col min="6391" max="6391" width="3.85546875" style="512" customWidth="1"/>
    <col min="6392" max="6392" width="12" style="512" customWidth="1"/>
    <col min="6393" max="6393" width="64.140625" style="512" customWidth="1"/>
    <col min="6394" max="6394" width="9.42578125" style="512" customWidth="1"/>
    <col min="6395" max="6395" width="9.140625" style="512" customWidth="1"/>
    <col min="6396" max="6396" width="11.140625" style="512" bestFit="1" customWidth="1"/>
    <col min="6397" max="6397" width="9.140625" style="512" customWidth="1"/>
    <col min="6398" max="6398" width="10.42578125" style="512" customWidth="1"/>
    <col min="6399" max="6399" width="9.140625" style="512" customWidth="1"/>
    <col min="6400" max="6400" width="10.7109375" style="512" customWidth="1"/>
    <col min="6401" max="6401" width="9.140625" style="512" customWidth="1"/>
    <col min="6402" max="6402" width="10.140625" style="512" customWidth="1"/>
    <col min="6403" max="6403" width="11.140625" style="512" customWidth="1"/>
    <col min="6404" max="6523" width="9.140625" style="512" customWidth="1"/>
    <col min="6524" max="6524" width="2.5703125" style="512" customWidth="1"/>
    <col min="6525" max="6525" width="9.140625" style="512" customWidth="1"/>
    <col min="6526" max="6526" width="47.85546875" style="512" customWidth="1"/>
    <col min="6527" max="6527" width="6.7109375" style="512" customWidth="1"/>
    <col min="6528" max="6528" width="7.42578125" style="512" customWidth="1"/>
    <col min="6529" max="6529" width="7" style="512"/>
    <col min="6530" max="6530" width="8.5703125" style="512" customWidth="1"/>
    <col min="6531" max="6531" width="12" style="512" customWidth="1"/>
    <col min="6532" max="6532" width="4.7109375" style="512" customWidth="1"/>
    <col min="6533" max="6533" width="9.140625" style="512" customWidth="1"/>
    <col min="6534" max="6534" width="11.7109375" style="512" customWidth="1"/>
    <col min="6535" max="6646" width="7" style="512"/>
    <col min="6647" max="6647" width="3.85546875" style="512" customWidth="1"/>
    <col min="6648" max="6648" width="12" style="512" customWidth="1"/>
    <col min="6649" max="6649" width="64.140625" style="512" customWidth="1"/>
    <col min="6650" max="6650" width="9.42578125" style="512" customWidth="1"/>
    <col min="6651" max="6651" width="9.140625" style="512" customWidth="1"/>
    <col min="6652" max="6652" width="11.140625" style="512" bestFit="1" customWidth="1"/>
    <col min="6653" max="6653" width="9.140625" style="512" customWidth="1"/>
    <col min="6654" max="6654" width="10.42578125" style="512" customWidth="1"/>
    <col min="6655" max="6655" width="9.140625" style="512" customWidth="1"/>
    <col min="6656" max="6656" width="10.7109375" style="512" customWidth="1"/>
    <col min="6657" max="6657" width="9.140625" style="512" customWidth="1"/>
    <col min="6658" max="6658" width="10.140625" style="512" customWidth="1"/>
    <col min="6659" max="6659" width="11.140625" style="512" customWidth="1"/>
    <col min="6660" max="6779" width="9.140625" style="512" customWidth="1"/>
    <col min="6780" max="6780" width="2.5703125" style="512" customWidth="1"/>
    <col min="6781" max="6781" width="9.140625" style="512" customWidth="1"/>
    <col min="6782" max="6782" width="47.85546875" style="512" customWidth="1"/>
    <col min="6783" max="6783" width="6.7109375" style="512" customWidth="1"/>
    <col min="6784" max="6784" width="7.42578125" style="512" customWidth="1"/>
    <col min="6785" max="6785" width="7" style="512"/>
    <col min="6786" max="6786" width="8.5703125" style="512" customWidth="1"/>
    <col min="6787" max="6787" width="12" style="512" customWidth="1"/>
    <col min="6788" max="6788" width="4.7109375" style="512" customWidth="1"/>
    <col min="6789" max="6789" width="9.140625" style="512" customWidth="1"/>
    <col min="6790" max="6790" width="11.7109375" style="512" customWidth="1"/>
    <col min="6791" max="6902" width="7" style="512"/>
    <col min="6903" max="6903" width="3.85546875" style="512" customWidth="1"/>
    <col min="6904" max="6904" width="12" style="512" customWidth="1"/>
    <col min="6905" max="6905" width="64.140625" style="512" customWidth="1"/>
    <col min="6906" max="6906" width="9.42578125" style="512" customWidth="1"/>
    <col min="6907" max="6907" width="9.140625" style="512" customWidth="1"/>
    <col min="6908" max="6908" width="11.140625" style="512" bestFit="1" customWidth="1"/>
    <col min="6909" max="6909" width="9.140625" style="512" customWidth="1"/>
    <col min="6910" max="6910" width="10.42578125" style="512" customWidth="1"/>
    <col min="6911" max="6911" width="9.140625" style="512" customWidth="1"/>
    <col min="6912" max="6912" width="10.7109375" style="512" customWidth="1"/>
    <col min="6913" max="6913" width="9.140625" style="512" customWidth="1"/>
    <col min="6914" max="6914" width="10.140625" style="512" customWidth="1"/>
    <col min="6915" max="6915" width="11.140625" style="512" customWidth="1"/>
    <col min="6916" max="7035" width="9.140625" style="512" customWidth="1"/>
    <col min="7036" max="7036" width="2.5703125" style="512" customWidth="1"/>
    <col min="7037" max="7037" width="9.140625" style="512" customWidth="1"/>
    <col min="7038" max="7038" width="47.85546875" style="512" customWidth="1"/>
    <col min="7039" max="7039" width="6.7109375" style="512" customWidth="1"/>
    <col min="7040" max="7040" width="7.42578125" style="512" customWidth="1"/>
    <col min="7041" max="7041" width="7" style="512"/>
    <col min="7042" max="7042" width="8.5703125" style="512" customWidth="1"/>
    <col min="7043" max="7043" width="12" style="512" customWidth="1"/>
    <col min="7044" max="7044" width="4.7109375" style="512" customWidth="1"/>
    <col min="7045" max="7045" width="9.140625" style="512" customWidth="1"/>
    <col min="7046" max="7046" width="11.7109375" style="512" customWidth="1"/>
    <col min="7047" max="7158" width="7" style="512"/>
    <col min="7159" max="7159" width="3.85546875" style="512" customWidth="1"/>
    <col min="7160" max="7160" width="12" style="512" customWidth="1"/>
    <col min="7161" max="7161" width="64.140625" style="512" customWidth="1"/>
    <col min="7162" max="7162" width="9.42578125" style="512" customWidth="1"/>
    <col min="7163" max="7163" width="9.140625" style="512" customWidth="1"/>
    <col min="7164" max="7164" width="11.140625" style="512" bestFit="1" customWidth="1"/>
    <col min="7165" max="7165" width="9.140625" style="512" customWidth="1"/>
    <col min="7166" max="7166" width="10.42578125" style="512" customWidth="1"/>
    <col min="7167" max="7167" width="9.140625" style="512" customWidth="1"/>
    <col min="7168" max="7168" width="10.7109375" style="512" customWidth="1"/>
    <col min="7169" max="7169" width="9.140625" style="512" customWidth="1"/>
    <col min="7170" max="7170" width="10.140625" style="512" customWidth="1"/>
    <col min="7171" max="7171" width="11.140625" style="512" customWidth="1"/>
    <col min="7172" max="7291" width="9.140625" style="512" customWidth="1"/>
    <col min="7292" max="7292" width="2.5703125" style="512" customWidth="1"/>
    <col min="7293" max="7293" width="9.140625" style="512" customWidth="1"/>
    <col min="7294" max="7294" width="47.85546875" style="512" customWidth="1"/>
    <col min="7295" max="7295" width="6.7109375" style="512" customWidth="1"/>
    <col min="7296" max="7296" width="7.42578125" style="512" customWidth="1"/>
    <col min="7297" max="7297" width="7" style="512"/>
    <col min="7298" max="7298" width="8.5703125" style="512" customWidth="1"/>
    <col min="7299" max="7299" width="12" style="512" customWidth="1"/>
    <col min="7300" max="7300" width="4.7109375" style="512" customWidth="1"/>
    <col min="7301" max="7301" width="9.140625" style="512" customWidth="1"/>
    <col min="7302" max="7302" width="11.7109375" style="512" customWidth="1"/>
    <col min="7303" max="7414" width="7" style="512"/>
    <col min="7415" max="7415" width="3.85546875" style="512" customWidth="1"/>
    <col min="7416" max="7416" width="12" style="512" customWidth="1"/>
    <col min="7417" max="7417" width="64.140625" style="512" customWidth="1"/>
    <col min="7418" max="7418" width="9.42578125" style="512" customWidth="1"/>
    <col min="7419" max="7419" width="9.140625" style="512" customWidth="1"/>
    <col min="7420" max="7420" width="11.140625" style="512" bestFit="1" customWidth="1"/>
    <col min="7421" max="7421" width="9.140625" style="512" customWidth="1"/>
    <col min="7422" max="7422" width="10.42578125" style="512" customWidth="1"/>
    <col min="7423" max="7423" width="9.140625" style="512" customWidth="1"/>
    <col min="7424" max="7424" width="10.7109375" style="512" customWidth="1"/>
    <col min="7425" max="7425" width="9.140625" style="512" customWidth="1"/>
    <col min="7426" max="7426" width="10.140625" style="512" customWidth="1"/>
    <col min="7427" max="7427" width="11.140625" style="512" customWidth="1"/>
    <col min="7428" max="7547" width="9.140625" style="512" customWidth="1"/>
    <col min="7548" max="7548" width="2.5703125" style="512" customWidth="1"/>
    <col min="7549" max="7549" width="9.140625" style="512" customWidth="1"/>
    <col min="7550" max="7550" width="47.85546875" style="512" customWidth="1"/>
    <col min="7551" max="7551" width="6.7109375" style="512" customWidth="1"/>
    <col min="7552" max="7552" width="7.42578125" style="512" customWidth="1"/>
    <col min="7553" max="7553" width="7" style="512"/>
    <col min="7554" max="7554" width="8.5703125" style="512" customWidth="1"/>
    <col min="7555" max="7555" width="12" style="512" customWidth="1"/>
    <col min="7556" max="7556" width="4.7109375" style="512" customWidth="1"/>
    <col min="7557" max="7557" width="9.140625" style="512" customWidth="1"/>
    <col min="7558" max="7558" width="11.7109375" style="512" customWidth="1"/>
    <col min="7559" max="7670" width="7" style="512"/>
    <col min="7671" max="7671" width="3.85546875" style="512" customWidth="1"/>
    <col min="7672" max="7672" width="12" style="512" customWidth="1"/>
    <col min="7673" max="7673" width="64.140625" style="512" customWidth="1"/>
    <col min="7674" max="7674" width="9.42578125" style="512" customWidth="1"/>
    <col min="7675" max="7675" width="9.140625" style="512" customWidth="1"/>
    <col min="7676" max="7676" width="11.140625" style="512" bestFit="1" customWidth="1"/>
    <col min="7677" max="7677" width="9.140625" style="512" customWidth="1"/>
    <col min="7678" max="7678" width="10.42578125" style="512" customWidth="1"/>
    <col min="7679" max="7679" width="9.140625" style="512" customWidth="1"/>
    <col min="7680" max="7680" width="10.7109375" style="512" customWidth="1"/>
    <col min="7681" max="7681" width="9.140625" style="512" customWidth="1"/>
    <col min="7682" max="7682" width="10.140625" style="512" customWidth="1"/>
    <col min="7683" max="7683" width="11.140625" style="512" customWidth="1"/>
    <col min="7684" max="7803" width="9.140625" style="512" customWidth="1"/>
    <col min="7804" max="7804" width="2.5703125" style="512" customWidth="1"/>
    <col min="7805" max="7805" width="9.140625" style="512" customWidth="1"/>
    <col min="7806" max="7806" width="47.85546875" style="512" customWidth="1"/>
    <col min="7807" max="7807" width="6.7109375" style="512" customWidth="1"/>
    <col min="7808" max="7808" width="7.42578125" style="512" customWidth="1"/>
    <col min="7809" max="7809" width="7" style="512"/>
    <col min="7810" max="7810" width="8.5703125" style="512" customWidth="1"/>
    <col min="7811" max="7811" width="12" style="512" customWidth="1"/>
    <col min="7812" max="7812" width="4.7109375" style="512" customWidth="1"/>
    <col min="7813" max="7813" width="9.140625" style="512" customWidth="1"/>
    <col min="7814" max="7814" width="11.7109375" style="512" customWidth="1"/>
    <col min="7815" max="7926" width="7" style="512"/>
    <col min="7927" max="7927" width="3.85546875" style="512" customWidth="1"/>
    <col min="7928" max="7928" width="12" style="512" customWidth="1"/>
    <col min="7929" max="7929" width="64.140625" style="512" customWidth="1"/>
    <col min="7930" max="7930" width="9.42578125" style="512" customWidth="1"/>
    <col min="7931" max="7931" width="9.140625" style="512" customWidth="1"/>
    <col min="7932" max="7932" width="11.140625" style="512" bestFit="1" customWidth="1"/>
    <col min="7933" max="7933" width="9.140625" style="512" customWidth="1"/>
    <col min="7934" max="7934" width="10.42578125" style="512" customWidth="1"/>
    <col min="7935" max="7935" width="9.140625" style="512" customWidth="1"/>
    <col min="7936" max="7936" width="10.7109375" style="512" customWidth="1"/>
    <col min="7937" max="7937" width="9.140625" style="512" customWidth="1"/>
    <col min="7938" max="7938" width="10.140625" style="512" customWidth="1"/>
    <col min="7939" max="7939" width="11.140625" style="512" customWidth="1"/>
    <col min="7940" max="8059" width="9.140625" style="512" customWidth="1"/>
    <col min="8060" max="8060" width="2.5703125" style="512" customWidth="1"/>
    <col min="8061" max="8061" width="9.140625" style="512" customWidth="1"/>
    <col min="8062" max="8062" width="47.85546875" style="512" customWidth="1"/>
    <col min="8063" max="8063" width="6.7109375" style="512" customWidth="1"/>
    <col min="8064" max="8064" width="7.42578125" style="512" customWidth="1"/>
    <col min="8065" max="8065" width="7" style="512"/>
    <col min="8066" max="8066" width="8.5703125" style="512" customWidth="1"/>
    <col min="8067" max="8067" width="12" style="512" customWidth="1"/>
    <col min="8068" max="8068" width="4.7109375" style="512" customWidth="1"/>
    <col min="8069" max="8069" width="9.140625" style="512" customWidth="1"/>
    <col min="8070" max="8070" width="11.7109375" style="512" customWidth="1"/>
    <col min="8071" max="8182" width="7" style="512"/>
    <col min="8183" max="8183" width="3.85546875" style="512" customWidth="1"/>
    <col min="8184" max="8184" width="12" style="512" customWidth="1"/>
    <col min="8185" max="8185" width="64.140625" style="512" customWidth="1"/>
    <col min="8186" max="8186" width="9.42578125" style="512" customWidth="1"/>
    <col min="8187" max="8187" width="9.140625" style="512" customWidth="1"/>
    <col min="8188" max="8188" width="11.140625" style="512" bestFit="1" customWidth="1"/>
    <col min="8189" max="8189" width="9.140625" style="512" customWidth="1"/>
    <col min="8190" max="8190" width="10.42578125" style="512" customWidth="1"/>
    <col min="8191" max="8191" width="9.140625" style="512" customWidth="1"/>
    <col min="8192" max="8192" width="10.7109375" style="512" customWidth="1"/>
    <col min="8193" max="8193" width="9.140625" style="512" customWidth="1"/>
    <col min="8194" max="8194" width="10.140625" style="512" customWidth="1"/>
    <col min="8195" max="8195" width="11.140625" style="512" customWidth="1"/>
    <col min="8196" max="8315" width="9.140625" style="512" customWidth="1"/>
    <col min="8316" max="8316" width="2.5703125" style="512" customWidth="1"/>
    <col min="8317" max="8317" width="9.140625" style="512" customWidth="1"/>
    <col min="8318" max="8318" width="47.85546875" style="512" customWidth="1"/>
    <col min="8319" max="8319" width="6.7109375" style="512" customWidth="1"/>
    <col min="8320" max="8320" width="7.42578125" style="512" customWidth="1"/>
    <col min="8321" max="8321" width="7" style="512"/>
    <col min="8322" max="8322" width="8.5703125" style="512" customWidth="1"/>
    <col min="8323" max="8323" width="12" style="512" customWidth="1"/>
    <col min="8324" max="8324" width="4.7109375" style="512" customWidth="1"/>
    <col min="8325" max="8325" width="9.140625" style="512" customWidth="1"/>
    <col min="8326" max="8326" width="11.7109375" style="512" customWidth="1"/>
    <col min="8327" max="8438" width="7" style="512"/>
    <col min="8439" max="8439" width="3.85546875" style="512" customWidth="1"/>
    <col min="8440" max="8440" width="12" style="512" customWidth="1"/>
    <col min="8441" max="8441" width="64.140625" style="512" customWidth="1"/>
    <col min="8442" max="8442" width="9.42578125" style="512" customWidth="1"/>
    <col min="8443" max="8443" width="9.140625" style="512" customWidth="1"/>
    <col min="8444" max="8444" width="11.140625" style="512" bestFit="1" customWidth="1"/>
    <col min="8445" max="8445" width="9.140625" style="512" customWidth="1"/>
    <col min="8446" max="8446" width="10.42578125" style="512" customWidth="1"/>
    <col min="8447" max="8447" width="9.140625" style="512" customWidth="1"/>
    <col min="8448" max="8448" width="10.7109375" style="512" customWidth="1"/>
    <col min="8449" max="8449" width="9.140625" style="512" customWidth="1"/>
    <col min="8450" max="8450" width="10.140625" style="512" customWidth="1"/>
    <col min="8451" max="8451" width="11.140625" style="512" customWidth="1"/>
    <col min="8452" max="8571" width="9.140625" style="512" customWidth="1"/>
    <col min="8572" max="8572" width="2.5703125" style="512" customWidth="1"/>
    <col min="8573" max="8573" width="9.140625" style="512" customWidth="1"/>
    <col min="8574" max="8574" width="47.85546875" style="512" customWidth="1"/>
    <col min="8575" max="8575" width="6.7109375" style="512" customWidth="1"/>
    <col min="8576" max="8576" width="7.42578125" style="512" customWidth="1"/>
    <col min="8577" max="8577" width="7" style="512"/>
    <col min="8578" max="8578" width="8.5703125" style="512" customWidth="1"/>
    <col min="8579" max="8579" width="12" style="512" customWidth="1"/>
    <col min="8580" max="8580" width="4.7109375" style="512" customWidth="1"/>
    <col min="8581" max="8581" width="9.140625" style="512" customWidth="1"/>
    <col min="8582" max="8582" width="11.7109375" style="512" customWidth="1"/>
    <col min="8583" max="8694" width="7" style="512"/>
    <col min="8695" max="8695" width="3.85546875" style="512" customWidth="1"/>
    <col min="8696" max="8696" width="12" style="512" customWidth="1"/>
    <col min="8697" max="8697" width="64.140625" style="512" customWidth="1"/>
    <col min="8698" max="8698" width="9.42578125" style="512" customWidth="1"/>
    <col min="8699" max="8699" width="9.140625" style="512" customWidth="1"/>
    <col min="8700" max="8700" width="11.140625" style="512" bestFit="1" customWidth="1"/>
    <col min="8701" max="8701" width="9.140625" style="512" customWidth="1"/>
    <col min="8702" max="8702" width="10.42578125" style="512" customWidth="1"/>
    <col min="8703" max="8703" width="9.140625" style="512" customWidth="1"/>
    <col min="8704" max="8704" width="10.7109375" style="512" customWidth="1"/>
    <col min="8705" max="8705" width="9.140625" style="512" customWidth="1"/>
    <col min="8706" max="8706" width="10.140625" style="512" customWidth="1"/>
    <col min="8707" max="8707" width="11.140625" style="512" customWidth="1"/>
    <col min="8708" max="8827" width="9.140625" style="512" customWidth="1"/>
    <col min="8828" max="8828" width="2.5703125" style="512" customWidth="1"/>
    <col min="8829" max="8829" width="9.140625" style="512" customWidth="1"/>
    <col min="8830" max="8830" width="47.85546875" style="512" customWidth="1"/>
    <col min="8831" max="8831" width="6.7109375" style="512" customWidth="1"/>
    <col min="8832" max="8832" width="7.42578125" style="512" customWidth="1"/>
    <col min="8833" max="8833" width="7" style="512"/>
    <col min="8834" max="8834" width="8.5703125" style="512" customWidth="1"/>
    <col min="8835" max="8835" width="12" style="512" customWidth="1"/>
    <col min="8836" max="8836" width="4.7109375" style="512" customWidth="1"/>
    <col min="8837" max="8837" width="9.140625" style="512" customWidth="1"/>
    <col min="8838" max="8838" width="11.7109375" style="512" customWidth="1"/>
    <col min="8839" max="8950" width="7" style="512"/>
    <col min="8951" max="8951" width="3.85546875" style="512" customWidth="1"/>
    <col min="8952" max="8952" width="12" style="512" customWidth="1"/>
    <col min="8953" max="8953" width="64.140625" style="512" customWidth="1"/>
    <col min="8954" max="8954" width="9.42578125" style="512" customWidth="1"/>
    <col min="8955" max="8955" width="9.140625" style="512" customWidth="1"/>
    <col min="8956" max="8956" width="11.140625" style="512" bestFit="1" customWidth="1"/>
    <col min="8957" max="8957" width="9.140625" style="512" customWidth="1"/>
    <col min="8958" max="8958" width="10.42578125" style="512" customWidth="1"/>
    <col min="8959" max="8959" width="9.140625" style="512" customWidth="1"/>
    <col min="8960" max="8960" width="10.7109375" style="512" customWidth="1"/>
    <col min="8961" max="8961" width="9.140625" style="512" customWidth="1"/>
    <col min="8962" max="8962" width="10.140625" style="512" customWidth="1"/>
    <col min="8963" max="8963" width="11.140625" style="512" customWidth="1"/>
    <col min="8964" max="9083" width="9.140625" style="512" customWidth="1"/>
    <col min="9084" max="9084" width="2.5703125" style="512" customWidth="1"/>
    <col min="9085" max="9085" width="9.140625" style="512" customWidth="1"/>
    <col min="9086" max="9086" width="47.85546875" style="512" customWidth="1"/>
    <col min="9087" max="9087" width="6.7109375" style="512" customWidth="1"/>
    <col min="9088" max="9088" width="7.42578125" style="512" customWidth="1"/>
    <col min="9089" max="9089" width="7" style="512"/>
    <col min="9090" max="9090" width="8.5703125" style="512" customWidth="1"/>
    <col min="9091" max="9091" width="12" style="512" customWidth="1"/>
    <col min="9092" max="9092" width="4.7109375" style="512" customWidth="1"/>
    <col min="9093" max="9093" width="9.140625" style="512" customWidth="1"/>
    <col min="9094" max="9094" width="11.7109375" style="512" customWidth="1"/>
    <col min="9095" max="9206" width="7" style="512"/>
    <col min="9207" max="9207" width="3.85546875" style="512" customWidth="1"/>
    <col min="9208" max="9208" width="12" style="512" customWidth="1"/>
    <col min="9209" max="9209" width="64.140625" style="512" customWidth="1"/>
    <col min="9210" max="9210" width="9.42578125" style="512" customWidth="1"/>
    <col min="9211" max="9211" width="9.140625" style="512" customWidth="1"/>
    <col min="9212" max="9212" width="11.140625" style="512" bestFit="1" customWidth="1"/>
    <col min="9213" max="9213" width="9.140625" style="512" customWidth="1"/>
    <col min="9214" max="9214" width="10.42578125" style="512" customWidth="1"/>
    <col min="9215" max="9215" width="9.140625" style="512" customWidth="1"/>
    <col min="9216" max="9216" width="10.7109375" style="512" customWidth="1"/>
    <col min="9217" max="9217" width="9.140625" style="512" customWidth="1"/>
    <col min="9218" max="9218" width="10.140625" style="512" customWidth="1"/>
    <col min="9219" max="9219" width="11.140625" style="512" customWidth="1"/>
    <col min="9220" max="9339" width="9.140625" style="512" customWidth="1"/>
    <col min="9340" max="9340" width="2.5703125" style="512" customWidth="1"/>
    <col min="9341" max="9341" width="9.140625" style="512" customWidth="1"/>
    <col min="9342" max="9342" width="47.85546875" style="512" customWidth="1"/>
    <col min="9343" max="9343" width="6.7109375" style="512" customWidth="1"/>
    <col min="9344" max="9344" width="7.42578125" style="512" customWidth="1"/>
    <col min="9345" max="9345" width="7" style="512"/>
    <col min="9346" max="9346" width="8.5703125" style="512" customWidth="1"/>
    <col min="9347" max="9347" width="12" style="512" customWidth="1"/>
    <col min="9348" max="9348" width="4.7109375" style="512" customWidth="1"/>
    <col min="9349" max="9349" width="9.140625" style="512" customWidth="1"/>
    <col min="9350" max="9350" width="11.7109375" style="512" customWidth="1"/>
    <col min="9351" max="9462" width="7" style="512"/>
    <col min="9463" max="9463" width="3.85546875" style="512" customWidth="1"/>
    <col min="9464" max="9464" width="12" style="512" customWidth="1"/>
    <col min="9465" max="9465" width="64.140625" style="512" customWidth="1"/>
    <col min="9466" max="9466" width="9.42578125" style="512" customWidth="1"/>
    <col min="9467" max="9467" width="9.140625" style="512" customWidth="1"/>
    <col min="9468" max="9468" width="11.140625" style="512" bestFit="1" customWidth="1"/>
    <col min="9469" max="9469" width="9.140625" style="512" customWidth="1"/>
    <col min="9470" max="9470" width="10.42578125" style="512" customWidth="1"/>
    <col min="9471" max="9471" width="9.140625" style="512" customWidth="1"/>
    <col min="9472" max="9472" width="10.7109375" style="512" customWidth="1"/>
    <col min="9473" max="9473" width="9.140625" style="512" customWidth="1"/>
    <col min="9474" max="9474" width="10.140625" style="512" customWidth="1"/>
    <col min="9475" max="9475" width="11.140625" style="512" customWidth="1"/>
    <col min="9476" max="9595" width="9.140625" style="512" customWidth="1"/>
    <col min="9596" max="9596" width="2.5703125" style="512" customWidth="1"/>
    <col min="9597" max="9597" width="9.140625" style="512" customWidth="1"/>
    <col min="9598" max="9598" width="47.85546875" style="512" customWidth="1"/>
    <col min="9599" max="9599" width="6.7109375" style="512" customWidth="1"/>
    <col min="9600" max="9600" width="7.42578125" style="512" customWidth="1"/>
    <col min="9601" max="9601" width="7" style="512"/>
    <col min="9602" max="9602" width="8.5703125" style="512" customWidth="1"/>
    <col min="9603" max="9603" width="12" style="512" customWidth="1"/>
    <col min="9604" max="9604" width="4.7109375" style="512" customWidth="1"/>
    <col min="9605" max="9605" width="9.140625" style="512" customWidth="1"/>
    <col min="9606" max="9606" width="11.7109375" style="512" customWidth="1"/>
    <col min="9607" max="9718" width="7" style="512"/>
    <col min="9719" max="9719" width="3.85546875" style="512" customWidth="1"/>
    <col min="9720" max="9720" width="12" style="512" customWidth="1"/>
    <col min="9721" max="9721" width="64.140625" style="512" customWidth="1"/>
    <col min="9722" max="9722" width="9.42578125" style="512" customWidth="1"/>
    <col min="9723" max="9723" width="9.140625" style="512" customWidth="1"/>
    <col min="9724" max="9724" width="11.140625" style="512" bestFit="1" customWidth="1"/>
    <col min="9725" max="9725" width="9.140625" style="512" customWidth="1"/>
    <col min="9726" max="9726" width="10.42578125" style="512" customWidth="1"/>
    <col min="9727" max="9727" width="9.140625" style="512" customWidth="1"/>
    <col min="9728" max="9728" width="10.7109375" style="512" customWidth="1"/>
    <col min="9729" max="9729" width="9.140625" style="512" customWidth="1"/>
    <col min="9730" max="9730" width="10.140625" style="512" customWidth="1"/>
    <col min="9731" max="9731" width="11.140625" style="512" customWidth="1"/>
    <col min="9732" max="9851" width="9.140625" style="512" customWidth="1"/>
    <col min="9852" max="9852" width="2.5703125" style="512" customWidth="1"/>
    <col min="9853" max="9853" width="9.140625" style="512" customWidth="1"/>
    <col min="9854" max="9854" width="47.85546875" style="512" customWidth="1"/>
    <col min="9855" max="9855" width="6.7109375" style="512" customWidth="1"/>
    <col min="9856" max="9856" width="7.42578125" style="512" customWidth="1"/>
    <col min="9857" max="9857" width="7" style="512"/>
    <col min="9858" max="9858" width="8.5703125" style="512" customWidth="1"/>
    <col min="9859" max="9859" width="12" style="512" customWidth="1"/>
    <col min="9860" max="9860" width="4.7109375" style="512" customWidth="1"/>
    <col min="9861" max="9861" width="9.140625" style="512" customWidth="1"/>
    <col min="9862" max="9862" width="11.7109375" style="512" customWidth="1"/>
    <col min="9863" max="9974" width="7" style="512"/>
    <col min="9975" max="9975" width="3.85546875" style="512" customWidth="1"/>
    <col min="9976" max="9976" width="12" style="512" customWidth="1"/>
    <col min="9977" max="9977" width="64.140625" style="512" customWidth="1"/>
    <col min="9978" max="9978" width="9.42578125" style="512" customWidth="1"/>
    <col min="9979" max="9979" width="9.140625" style="512" customWidth="1"/>
    <col min="9980" max="9980" width="11.140625" style="512" bestFit="1" customWidth="1"/>
    <col min="9981" max="9981" width="9.140625" style="512" customWidth="1"/>
    <col min="9982" max="9982" width="10.42578125" style="512" customWidth="1"/>
    <col min="9983" max="9983" width="9.140625" style="512" customWidth="1"/>
    <col min="9984" max="9984" width="10.7109375" style="512" customWidth="1"/>
    <col min="9985" max="9985" width="9.140625" style="512" customWidth="1"/>
    <col min="9986" max="9986" width="10.140625" style="512" customWidth="1"/>
    <col min="9987" max="9987" width="11.140625" style="512" customWidth="1"/>
    <col min="9988" max="10107" width="9.140625" style="512" customWidth="1"/>
    <col min="10108" max="10108" width="2.5703125" style="512" customWidth="1"/>
    <col min="10109" max="10109" width="9.140625" style="512" customWidth="1"/>
    <col min="10110" max="10110" width="47.85546875" style="512" customWidth="1"/>
    <col min="10111" max="10111" width="6.7109375" style="512" customWidth="1"/>
    <col min="10112" max="10112" width="7.42578125" style="512" customWidth="1"/>
    <col min="10113" max="10113" width="7" style="512"/>
    <col min="10114" max="10114" width="8.5703125" style="512" customWidth="1"/>
    <col min="10115" max="10115" width="12" style="512" customWidth="1"/>
    <col min="10116" max="10116" width="4.7109375" style="512" customWidth="1"/>
    <col min="10117" max="10117" width="9.140625" style="512" customWidth="1"/>
    <col min="10118" max="10118" width="11.7109375" style="512" customWidth="1"/>
    <col min="10119" max="10230" width="7" style="512"/>
    <col min="10231" max="10231" width="3.85546875" style="512" customWidth="1"/>
    <col min="10232" max="10232" width="12" style="512" customWidth="1"/>
    <col min="10233" max="10233" width="64.140625" style="512" customWidth="1"/>
    <col min="10234" max="10234" width="9.42578125" style="512" customWidth="1"/>
    <col min="10235" max="10235" width="9.140625" style="512" customWidth="1"/>
    <col min="10236" max="10236" width="11.140625" style="512" bestFit="1" customWidth="1"/>
    <col min="10237" max="10237" width="9.140625" style="512" customWidth="1"/>
    <col min="10238" max="10238" width="10.42578125" style="512" customWidth="1"/>
    <col min="10239" max="10239" width="9.140625" style="512" customWidth="1"/>
    <col min="10240" max="10240" width="10.7109375" style="512" customWidth="1"/>
    <col min="10241" max="10241" width="9.140625" style="512" customWidth="1"/>
    <col min="10242" max="10242" width="10.140625" style="512" customWidth="1"/>
    <col min="10243" max="10243" width="11.140625" style="512" customWidth="1"/>
    <col min="10244" max="10363" width="9.140625" style="512" customWidth="1"/>
    <col min="10364" max="10364" width="2.5703125" style="512" customWidth="1"/>
    <col min="10365" max="10365" width="9.140625" style="512" customWidth="1"/>
    <col min="10366" max="10366" width="47.85546875" style="512" customWidth="1"/>
    <col min="10367" max="10367" width="6.7109375" style="512" customWidth="1"/>
    <col min="10368" max="10368" width="7.42578125" style="512" customWidth="1"/>
    <col min="10369" max="10369" width="7" style="512"/>
    <col min="10370" max="10370" width="8.5703125" style="512" customWidth="1"/>
    <col min="10371" max="10371" width="12" style="512" customWidth="1"/>
    <col min="10372" max="10372" width="4.7109375" style="512" customWidth="1"/>
    <col min="10373" max="10373" width="9.140625" style="512" customWidth="1"/>
    <col min="10374" max="10374" width="11.7109375" style="512" customWidth="1"/>
    <col min="10375" max="10486" width="7" style="512"/>
    <col min="10487" max="10487" width="3.85546875" style="512" customWidth="1"/>
    <col min="10488" max="10488" width="12" style="512" customWidth="1"/>
    <col min="10489" max="10489" width="64.140625" style="512" customWidth="1"/>
    <col min="10490" max="10490" width="9.42578125" style="512" customWidth="1"/>
    <col min="10491" max="10491" width="9.140625" style="512" customWidth="1"/>
    <col min="10492" max="10492" width="11.140625" style="512" bestFit="1" customWidth="1"/>
    <col min="10493" max="10493" width="9.140625" style="512" customWidth="1"/>
    <col min="10494" max="10494" width="10.42578125" style="512" customWidth="1"/>
    <col min="10495" max="10495" width="9.140625" style="512" customWidth="1"/>
    <col min="10496" max="10496" width="10.7109375" style="512" customWidth="1"/>
    <col min="10497" max="10497" width="9.140625" style="512" customWidth="1"/>
    <col min="10498" max="10498" width="10.140625" style="512" customWidth="1"/>
    <col min="10499" max="10499" width="11.140625" style="512" customWidth="1"/>
    <col min="10500" max="10619" width="9.140625" style="512" customWidth="1"/>
    <col min="10620" max="10620" width="2.5703125" style="512" customWidth="1"/>
    <col min="10621" max="10621" width="9.140625" style="512" customWidth="1"/>
    <col min="10622" max="10622" width="47.85546875" style="512" customWidth="1"/>
    <col min="10623" max="10623" width="6.7109375" style="512" customWidth="1"/>
    <col min="10624" max="10624" width="7.42578125" style="512" customWidth="1"/>
    <col min="10625" max="10625" width="7" style="512"/>
    <col min="10626" max="10626" width="8.5703125" style="512" customWidth="1"/>
    <col min="10627" max="10627" width="12" style="512" customWidth="1"/>
    <col min="10628" max="10628" width="4.7109375" style="512" customWidth="1"/>
    <col min="10629" max="10629" width="9.140625" style="512" customWidth="1"/>
    <col min="10630" max="10630" width="11.7109375" style="512" customWidth="1"/>
    <col min="10631" max="10742" width="7" style="512"/>
    <col min="10743" max="10743" width="3.85546875" style="512" customWidth="1"/>
    <col min="10744" max="10744" width="12" style="512" customWidth="1"/>
    <col min="10745" max="10745" width="64.140625" style="512" customWidth="1"/>
    <col min="10746" max="10746" width="9.42578125" style="512" customWidth="1"/>
    <col min="10747" max="10747" width="9.140625" style="512" customWidth="1"/>
    <col min="10748" max="10748" width="11.140625" style="512" bestFit="1" customWidth="1"/>
    <col min="10749" max="10749" width="9.140625" style="512" customWidth="1"/>
    <col min="10750" max="10750" width="10.42578125" style="512" customWidth="1"/>
    <col min="10751" max="10751" width="9.140625" style="512" customWidth="1"/>
    <col min="10752" max="10752" width="10.7109375" style="512" customWidth="1"/>
    <col min="10753" max="10753" width="9.140625" style="512" customWidth="1"/>
    <col min="10754" max="10754" width="10.140625" style="512" customWidth="1"/>
    <col min="10755" max="10755" width="11.140625" style="512" customWidth="1"/>
    <col min="10756" max="10875" width="9.140625" style="512" customWidth="1"/>
    <col min="10876" max="10876" width="2.5703125" style="512" customWidth="1"/>
    <col min="10877" max="10877" width="9.140625" style="512" customWidth="1"/>
    <col min="10878" max="10878" width="47.85546875" style="512" customWidth="1"/>
    <col min="10879" max="10879" width="6.7109375" style="512" customWidth="1"/>
    <col min="10880" max="10880" width="7.42578125" style="512" customWidth="1"/>
    <col min="10881" max="10881" width="7" style="512"/>
    <col min="10882" max="10882" width="8.5703125" style="512" customWidth="1"/>
    <col min="10883" max="10883" width="12" style="512" customWidth="1"/>
    <col min="10884" max="10884" width="4.7109375" style="512" customWidth="1"/>
    <col min="10885" max="10885" width="9.140625" style="512" customWidth="1"/>
    <col min="10886" max="10886" width="11.7109375" style="512" customWidth="1"/>
    <col min="10887" max="10998" width="7" style="512"/>
    <col min="10999" max="10999" width="3.85546875" style="512" customWidth="1"/>
    <col min="11000" max="11000" width="12" style="512" customWidth="1"/>
    <col min="11001" max="11001" width="64.140625" style="512" customWidth="1"/>
    <col min="11002" max="11002" width="9.42578125" style="512" customWidth="1"/>
    <col min="11003" max="11003" width="9.140625" style="512" customWidth="1"/>
    <col min="11004" max="11004" width="11.140625" style="512" bestFit="1" customWidth="1"/>
    <col min="11005" max="11005" width="9.140625" style="512" customWidth="1"/>
    <col min="11006" max="11006" width="10.42578125" style="512" customWidth="1"/>
    <col min="11007" max="11007" width="9.140625" style="512" customWidth="1"/>
    <col min="11008" max="11008" width="10.7109375" style="512" customWidth="1"/>
    <col min="11009" max="11009" width="9.140625" style="512" customWidth="1"/>
    <col min="11010" max="11010" width="10.140625" style="512" customWidth="1"/>
    <col min="11011" max="11011" width="11.140625" style="512" customWidth="1"/>
    <col min="11012" max="11131" width="9.140625" style="512" customWidth="1"/>
    <col min="11132" max="11132" width="2.5703125" style="512" customWidth="1"/>
    <col min="11133" max="11133" width="9.140625" style="512" customWidth="1"/>
    <col min="11134" max="11134" width="47.85546875" style="512" customWidth="1"/>
    <col min="11135" max="11135" width="6.7109375" style="512" customWidth="1"/>
    <col min="11136" max="11136" width="7.42578125" style="512" customWidth="1"/>
    <col min="11137" max="11137" width="7" style="512"/>
    <col min="11138" max="11138" width="8.5703125" style="512" customWidth="1"/>
    <col min="11139" max="11139" width="12" style="512" customWidth="1"/>
    <col min="11140" max="11140" width="4.7109375" style="512" customWidth="1"/>
    <col min="11141" max="11141" width="9.140625" style="512" customWidth="1"/>
    <col min="11142" max="11142" width="11.7109375" style="512" customWidth="1"/>
    <col min="11143" max="11254" width="7" style="512"/>
    <col min="11255" max="11255" width="3.85546875" style="512" customWidth="1"/>
    <col min="11256" max="11256" width="12" style="512" customWidth="1"/>
    <col min="11257" max="11257" width="64.140625" style="512" customWidth="1"/>
    <col min="11258" max="11258" width="9.42578125" style="512" customWidth="1"/>
    <col min="11259" max="11259" width="9.140625" style="512" customWidth="1"/>
    <col min="11260" max="11260" width="11.140625" style="512" bestFit="1" customWidth="1"/>
    <col min="11261" max="11261" width="9.140625" style="512" customWidth="1"/>
    <col min="11262" max="11262" width="10.42578125" style="512" customWidth="1"/>
    <col min="11263" max="11263" width="9.140625" style="512" customWidth="1"/>
    <col min="11264" max="11264" width="10.7109375" style="512" customWidth="1"/>
    <col min="11265" max="11265" width="9.140625" style="512" customWidth="1"/>
    <col min="11266" max="11266" width="10.140625" style="512" customWidth="1"/>
    <col min="11267" max="11267" width="11.140625" style="512" customWidth="1"/>
    <col min="11268" max="11387" width="9.140625" style="512" customWidth="1"/>
    <col min="11388" max="11388" width="2.5703125" style="512" customWidth="1"/>
    <col min="11389" max="11389" width="9.140625" style="512" customWidth="1"/>
    <col min="11390" max="11390" width="47.85546875" style="512" customWidth="1"/>
    <col min="11391" max="11391" width="6.7109375" style="512" customWidth="1"/>
    <col min="11392" max="11392" width="7.42578125" style="512" customWidth="1"/>
    <col min="11393" max="11393" width="7" style="512"/>
    <col min="11394" max="11394" width="8.5703125" style="512" customWidth="1"/>
    <col min="11395" max="11395" width="12" style="512" customWidth="1"/>
    <col min="11396" max="11396" width="4.7109375" style="512" customWidth="1"/>
    <col min="11397" max="11397" width="9.140625" style="512" customWidth="1"/>
    <col min="11398" max="11398" width="11.7109375" style="512" customWidth="1"/>
    <col min="11399" max="11510" width="7" style="512"/>
    <col min="11511" max="11511" width="3.85546875" style="512" customWidth="1"/>
    <col min="11512" max="11512" width="12" style="512" customWidth="1"/>
    <col min="11513" max="11513" width="64.140625" style="512" customWidth="1"/>
    <col min="11514" max="11514" width="9.42578125" style="512" customWidth="1"/>
    <col min="11515" max="11515" width="9.140625" style="512" customWidth="1"/>
    <col min="11516" max="11516" width="11.140625" style="512" bestFit="1" customWidth="1"/>
    <col min="11517" max="11517" width="9.140625" style="512" customWidth="1"/>
    <col min="11518" max="11518" width="10.42578125" style="512" customWidth="1"/>
    <col min="11519" max="11519" width="9.140625" style="512" customWidth="1"/>
    <col min="11520" max="11520" width="10.7109375" style="512" customWidth="1"/>
    <col min="11521" max="11521" width="9.140625" style="512" customWidth="1"/>
    <col min="11522" max="11522" width="10.140625" style="512" customWidth="1"/>
    <col min="11523" max="11523" width="11.140625" style="512" customWidth="1"/>
    <col min="11524" max="11643" width="9.140625" style="512" customWidth="1"/>
    <col min="11644" max="11644" width="2.5703125" style="512" customWidth="1"/>
    <col min="11645" max="11645" width="9.140625" style="512" customWidth="1"/>
    <col min="11646" max="11646" width="47.85546875" style="512" customWidth="1"/>
    <col min="11647" max="11647" width="6.7109375" style="512" customWidth="1"/>
    <col min="11648" max="11648" width="7.42578125" style="512" customWidth="1"/>
    <col min="11649" max="11649" width="7" style="512"/>
    <col min="11650" max="11650" width="8.5703125" style="512" customWidth="1"/>
    <col min="11651" max="11651" width="12" style="512" customWidth="1"/>
    <col min="11652" max="11652" width="4.7109375" style="512" customWidth="1"/>
    <col min="11653" max="11653" width="9.140625" style="512" customWidth="1"/>
    <col min="11654" max="11654" width="11.7109375" style="512" customWidth="1"/>
    <col min="11655" max="11766" width="7" style="512"/>
    <col min="11767" max="11767" width="3.85546875" style="512" customWidth="1"/>
    <col min="11768" max="11768" width="12" style="512" customWidth="1"/>
    <col min="11769" max="11769" width="64.140625" style="512" customWidth="1"/>
    <col min="11770" max="11770" width="9.42578125" style="512" customWidth="1"/>
    <col min="11771" max="11771" width="9.140625" style="512" customWidth="1"/>
    <col min="11772" max="11772" width="11.140625" style="512" bestFit="1" customWidth="1"/>
    <col min="11773" max="11773" width="9.140625" style="512" customWidth="1"/>
    <col min="11774" max="11774" width="10.42578125" style="512" customWidth="1"/>
    <col min="11775" max="11775" width="9.140625" style="512" customWidth="1"/>
    <col min="11776" max="11776" width="10.7109375" style="512" customWidth="1"/>
    <col min="11777" max="11777" width="9.140625" style="512" customWidth="1"/>
    <col min="11778" max="11778" width="10.140625" style="512" customWidth="1"/>
    <col min="11779" max="11779" width="11.140625" style="512" customWidth="1"/>
    <col min="11780" max="11899" width="9.140625" style="512" customWidth="1"/>
    <col min="11900" max="11900" width="2.5703125" style="512" customWidth="1"/>
    <col min="11901" max="11901" width="9.140625" style="512" customWidth="1"/>
    <col min="11902" max="11902" width="47.85546875" style="512" customWidth="1"/>
    <col min="11903" max="11903" width="6.7109375" style="512" customWidth="1"/>
    <col min="11904" max="11904" width="7.42578125" style="512" customWidth="1"/>
    <col min="11905" max="11905" width="7" style="512"/>
    <col min="11906" max="11906" width="8.5703125" style="512" customWidth="1"/>
    <col min="11907" max="11907" width="12" style="512" customWidth="1"/>
    <col min="11908" max="11908" width="4.7109375" style="512" customWidth="1"/>
    <col min="11909" max="11909" width="9.140625" style="512" customWidth="1"/>
    <col min="11910" max="11910" width="11.7109375" style="512" customWidth="1"/>
    <col min="11911" max="12022" width="7" style="512"/>
    <col min="12023" max="12023" width="3.85546875" style="512" customWidth="1"/>
    <col min="12024" max="12024" width="12" style="512" customWidth="1"/>
    <col min="12025" max="12025" width="64.140625" style="512" customWidth="1"/>
    <col min="12026" max="12026" width="9.42578125" style="512" customWidth="1"/>
    <col min="12027" max="12027" width="9.140625" style="512" customWidth="1"/>
    <col min="12028" max="12028" width="11.140625" style="512" bestFit="1" customWidth="1"/>
    <col min="12029" max="12029" width="9.140625" style="512" customWidth="1"/>
    <col min="12030" max="12030" width="10.42578125" style="512" customWidth="1"/>
    <col min="12031" max="12031" width="9.140625" style="512" customWidth="1"/>
    <col min="12032" max="12032" width="10.7109375" style="512" customWidth="1"/>
    <col min="12033" max="12033" width="9.140625" style="512" customWidth="1"/>
    <col min="12034" max="12034" width="10.140625" style="512" customWidth="1"/>
    <col min="12035" max="12035" width="11.140625" style="512" customWidth="1"/>
    <col min="12036" max="12155" width="9.140625" style="512" customWidth="1"/>
    <col min="12156" max="12156" width="2.5703125" style="512" customWidth="1"/>
    <col min="12157" max="12157" width="9.140625" style="512" customWidth="1"/>
    <col min="12158" max="12158" width="47.85546875" style="512" customWidth="1"/>
    <col min="12159" max="12159" width="6.7109375" style="512" customWidth="1"/>
    <col min="12160" max="12160" width="7.42578125" style="512" customWidth="1"/>
    <col min="12161" max="12161" width="7" style="512"/>
    <col min="12162" max="12162" width="8.5703125" style="512" customWidth="1"/>
    <col min="12163" max="12163" width="12" style="512" customWidth="1"/>
    <col min="12164" max="12164" width="4.7109375" style="512" customWidth="1"/>
    <col min="12165" max="12165" width="9.140625" style="512" customWidth="1"/>
    <col min="12166" max="12166" width="11.7109375" style="512" customWidth="1"/>
    <col min="12167" max="12278" width="7" style="512"/>
    <col min="12279" max="12279" width="3.85546875" style="512" customWidth="1"/>
    <col min="12280" max="12280" width="12" style="512" customWidth="1"/>
    <col min="12281" max="12281" width="64.140625" style="512" customWidth="1"/>
    <col min="12282" max="12282" width="9.42578125" style="512" customWidth="1"/>
    <col min="12283" max="12283" width="9.140625" style="512" customWidth="1"/>
    <col min="12284" max="12284" width="11.140625" style="512" bestFit="1" customWidth="1"/>
    <col min="12285" max="12285" width="9.140625" style="512" customWidth="1"/>
    <col min="12286" max="12286" width="10.42578125" style="512" customWidth="1"/>
    <col min="12287" max="12287" width="9.140625" style="512" customWidth="1"/>
    <col min="12288" max="12288" width="10.7109375" style="512" customWidth="1"/>
    <col min="12289" max="12289" width="9.140625" style="512" customWidth="1"/>
    <col min="12290" max="12290" width="10.140625" style="512" customWidth="1"/>
    <col min="12291" max="12291" width="11.140625" style="512" customWidth="1"/>
    <col min="12292" max="12411" width="9.140625" style="512" customWidth="1"/>
    <col min="12412" max="12412" width="2.5703125" style="512" customWidth="1"/>
    <col min="12413" max="12413" width="9.140625" style="512" customWidth="1"/>
    <col min="12414" max="12414" width="47.85546875" style="512" customWidth="1"/>
    <col min="12415" max="12415" width="6.7109375" style="512" customWidth="1"/>
    <col min="12416" max="12416" width="7.42578125" style="512" customWidth="1"/>
    <col min="12417" max="12417" width="7" style="512"/>
    <col min="12418" max="12418" width="8.5703125" style="512" customWidth="1"/>
    <col min="12419" max="12419" width="12" style="512" customWidth="1"/>
    <col min="12420" max="12420" width="4.7109375" style="512" customWidth="1"/>
    <col min="12421" max="12421" width="9.140625" style="512" customWidth="1"/>
    <col min="12422" max="12422" width="11.7109375" style="512" customWidth="1"/>
    <col min="12423" max="12534" width="7" style="512"/>
    <col min="12535" max="12535" width="3.85546875" style="512" customWidth="1"/>
    <col min="12536" max="12536" width="12" style="512" customWidth="1"/>
    <col min="12537" max="12537" width="64.140625" style="512" customWidth="1"/>
    <col min="12538" max="12538" width="9.42578125" style="512" customWidth="1"/>
    <col min="12539" max="12539" width="9.140625" style="512" customWidth="1"/>
    <col min="12540" max="12540" width="11.140625" style="512" bestFit="1" customWidth="1"/>
    <col min="12541" max="12541" width="9.140625" style="512" customWidth="1"/>
    <col min="12542" max="12542" width="10.42578125" style="512" customWidth="1"/>
    <col min="12543" max="12543" width="9.140625" style="512" customWidth="1"/>
    <col min="12544" max="12544" width="10.7109375" style="512" customWidth="1"/>
    <col min="12545" max="12545" width="9.140625" style="512" customWidth="1"/>
    <col min="12546" max="12546" width="10.140625" style="512" customWidth="1"/>
    <col min="12547" max="12547" width="11.140625" style="512" customWidth="1"/>
    <col min="12548" max="12667" width="9.140625" style="512" customWidth="1"/>
    <col min="12668" max="12668" width="2.5703125" style="512" customWidth="1"/>
    <col min="12669" max="12669" width="9.140625" style="512" customWidth="1"/>
    <col min="12670" max="12670" width="47.85546875" style="512" customWidth="1"/>
    <col min="12671" max="12671" width="6.7109375" style="512" customWidth="1"/>
    <col min="12672" max="12672" width="7.42578125" style="512" customWidth="1"/>
    <col min="12673" max="12673" width="7" style="512"/>
    <col min="12674" max="12674" width="8.5703125" style="512" customWidth="1"/>
    <col min="12675" max="12675" width="12" style="512" customWidth="1"/>
    <col min="12676" max="12676" width="4.7109375" style="512" customWidth="1"/>
    <col min="12677" max="12677" width="9.140625" style="512" customWidth="1"/>
    <col min="12678" max="12678" width="11.7109375" style="512" customWidth="1"/>
    <col min="12679" max="12790" width="7" style="512"/>
    <col min="12791" max="12791" width="3.85546875" style="512" customWidth="1"/>
    <col min="12792" max="12792" width="12" style="512" customWidth="1"/>
    <col min="12793" max="12793" width="64.140625" style="512" customWidth="1"/>
    <col min="12794" max="12794" width="9.42578125" style="512" customWidth="1"/>
    <col min="12795" max="12795" width="9.140625" style="512" customWidth="1"/>
    <col min="12796" max="12796" width="11.140625" style="512" bestFit="1" customWidth="1"/>
    <col min="12797" max="12797" width="9.140625" style="512" customWidth="1"/>
    <col min="12798" max="12798" width="10.42578125" style="512" customWidth="1"/>
    <col min="12799" max="12799" width="9.140625" style="512" customWidth="1"/>
    <col min="12800" max="12800" width="10.7109375" style="512" customWidth="1"/>
    <col min="12801" max="12801" width="9.140625" style="512" customWidth="1"/>
    <col min="12802" max="12802" width="10.140625" style="512" customWidth="1"/>
    <col min="12803" max="12803" width="11.140625" style="512" customWidth="1"/>
    <col min="12804" max="12923" width="9.140625" style="512" customWidth="1"/>
    <col min="12924" max="12924" width="2.5703125" style="512" customWidth="1"/>
    <col min="12925" max="12925" width="9.140625" style="512" customWidth="1"/>
    <col min="12926" max="12926" width="47.85546875" style="512" customWidth="1"/>
    <col min="12927" max="12927" width="6.7109375" style="512" customWidth="1"/>
    <col min="12928" max="12928" width="7.42578125" style="512" customWidth="1"/>
    <col min="12929" max="12929" width="7" style="512"/>
    <col min="12930" max="12930" width="8.5703125" style="512" customWidth="1"/>
    <col min="12931" max="12931" width="12" style="512" customWidth="1"/>
    <col min="12932" max="12932" width="4.7109375" style="512" customWidth="1"/>
    <col min="12933" max="12933" width="9.140625" style="512" customWidth="1"/>
    <col min="12934" max="12934" width="11.7109375" style="512" customWidth="1"/>
    <col min="12935" max="13046" width="7" style="512"/>
    <col min="13047" max="13047" width="3.85546875" style="512" customWidth="1"/>
    <col min="13048" max="13048" width="12" style="512" customWidth="1"/>
    <col min="13049" max="13049" width="64.140625" style="512" customWidth="1"/>
    <col min="13050" max="13050" width="9.42578125" style="512" customWidth="1"/>
    <col min="13051" max="13051" width="9.140625" style="512" customWidth="1"/>
    <col min="13052" max="13052" width="11.140625" style="512" bestFit="1" customWidth="1"/>
    <col min="13053" max="13053" width="9.140625" style="512" customWidth="1"/>
    <col min="13054" max="13054" width="10.42578125" style="512" customWidth="1"/>
    <col min="13055" max="13055" width="9.140625" style="512" customWidth="1"/>
    <col min="13056" max="13056" width="10.7109375" style="512" customWidth="1"/>
    <col min="13057" max="13057" width="9.140625" style="512" customWidth="1"/>
    <col min="13058" max="13058" width="10.140625" style="512" customWidth="1"/>
    <col min="13059" max="13059" width="11.140625" style="512" customWidth="1"/>
    <col min="13060" max="13179" width="9.140625" style="512" customWidth="1"/>
    <col min="13180" max="13180" width="2.5703125" style="512" customWidth="1"/>
    <col min="13181" max="13181" width="9.140625" style="512" customWidth="1"/>
    <col min="13182" max="13182" width="47.85546875" style="512" customWidth="1"/>
    <col min="13183" max="13183" width="6.7109375" style="512" customWidth="1"/>
    <col min="13184" max="13184" width="7.42578125" style="512" customWidth="1"/>
    <col min="13185" max="13185" width="7" style="512"/>
    <col min="13186" max="13186" width="8.5703125" style="512" customWidth="1"/>
    <col min="13187" max="13187" width="12" style="512" customWidth="1"/>
    <col min="13188" max="13188" width="4.7109375" style="512" customWidth="1"/>
    <col min="13189" max="13189" width="9.140625" style="512" customWidth="1"/>
    <col min="13190" max="13190" width="11.7109375" style="512" customWidth="1"/>
    <col min="13191" max="13302" width="7" style="512"/>
    <col min="13303" max="13303" width="3.85546875" style="512" customWidth="1"/>
    <col min="13304" max="13304" width="12" style="512" customWidth="1"/>
    <col min="13305" max="13305" width="64.140625" style="512" customWidth="1"/>
    <col min="13306" max="13306" width="9.42578125" style="512" customWidth="1"/>
    <col min="13307" max="13307" width="9.140625" style="512" customWidth="1"/>
    <col min="13308" max="13308" width="11.140625" style="512" bestFit="1" customWidth="1"/>
    <col min="13309" max="13309" width="9.140625" style="512" customWidth="1"/>
    <col min="13310" max="13310" width="10.42578125" style="512" customWidth="1"/>
    <col min="13311" max="13311" width="9.140625" style="512" customWidth="1"/>
    <col min="13312" max="13312" width="10.7109375" style="512" customWidth="1"/>
    <col min="13313" max="13313" width="9.140625" style="512" customWidth="1"/>
    <col min="13314" max="13314" width="10.140625" style="512" customWidth="1"/>
    <col min="13315" max="13315" width="11.140625" style="512" customWidth="1"/>
    <col min="13316" max="13435" width="9.140625" style="512" customWidth="1"/>
    <col min="13436" max="13436" width="2.5703125" style="512" customWidth="1"/>
    <col min="13437" max="13437" width="9.140625" style="512" customWidth="1"/>
    <col min="13438" max="13438" width="47.85546875" style="512" customWidth="1"/>
    <col min="13439" max="13439" width="6.7109375" style="512" customWidth="1"/>
    <col min="13440" max="13440" width="7.42578125" style="512" customWidth="1"/>
    <col min="13441" max="13441" width="7" style="512"/>
    <col min="13442" max="13442" width="8.5703125" style="512" customWidth="1"/>
    <col min="13443" max="13443" width="12" style="512" customWidth="1"/>
    <col min="13444" max="13444" width="4.7109375" style="512" customWidth="1"/>
    <col min="13445" max="13445" width="9.140625" style="512" customWidth="1"/>
    <col min="13446" max="13446" width="11.7109375" style="512" customWidth="1"/>
    <col min="13447" max="13558" width="7" style="512"/>
    <col min="13559" max="13559" width="3.85546875" style="512" customWidth="1"/>
    <col min="13560" max="13560" width="12" style="512" customWidth="1"/>
    <col min="13561" max="13561" width="64.140625" style="512" customWidth="1"/>
    <col min="13562" max="13562" width="9.42578125" style="512" customWidth="1"/>
    <col min="13563" max="13563" width="9.140625" style="512" customWidth="1"/>
    <col min="13564" max="13564" width="11.140625" style="512" bestFit="1" customWidth="1"/>
    <col min="13565" max="13565" width="9.140625" style="512" customWidth="1"/>
    <col min="13566" max="13566" width="10.42578125" style="512" customWidth="1"/>
    <col min="13567" max="13567" width="9.140625" style="512" customWidth="1"/>
    <col min="13568" max="13568" width="10.7109375" style="512" customWidth="1"/>
    <col min="13569" max="13569" width="9.140625" style="512" customWidth="1"/>
    <col min="13570" max="13570" width="10.140625" style="512" customWidth="1"/>
    <col min="13571" max="13571" width="11.140625" style="512" customWidth="1"/>
    <col min="13572" max="13691" width="9.140625" style="512" customWidth="1"/>
    <col min="13692" max="13692" width="2.5703125" style="512" customWidth="1"/>
    <col min="13693" max="13693" width="9.140625" style="512" customWidth="1"/>
    <col min="13694" max="13694" width="47.85546875" style="512" customWidth="1"/>
    <col min="13695" max="13695" width="6.7109375" style="512" customWidth="1"/>
    <col min="13696" max="13696" width="7.42578125" style="512" customWidth="1"/>
    <col min="13697" max="13697" width="7" style="512"/>
    <col min="13698" max="13698" width="8.5703125" style="512" customWidth="1"/>
    <col min="13699" max="13699" width="12" style="512" customWidth="1"/>
    <col min="13700" max="13700" width="4.7109375" style="512" customWidth="1"/>
    <col min="13701" max="13701" width="9.140625" style="512" customWidth="1"/>
    <col min="13702" max="13702" width="11.7109375" style="512" customWidth="1"/>
    <col min="13703" max="13814" width="7" style="512"/>
    <col min="13815" max="13815" width="3.85546875" style="512" customWidth="1"/>
    <col min="13816" max="13816" width="12" style="512" customWidth="1"/>
    <col min="13817" max="13817" width="64.140625" style="512" customWidth="1"/>
    <col min="13818" max="13818" width="9.42578125" style="512" customWidth="1"/>
    <col min="13819" max="13819" width="9.140625" style="512" customWidth="1"/>
    <col min="13820" max="13820" width="11.140625" style="512" bestFit="1" customWidth="1"/>
    <col min="13821" max="13821" width="9.140625" style="512" customWidth="1"/>
    <col min="13822" max="13822" width="10.42578125" style="512" customWidth="1"/>
    <col min="13823" max="13823" width="9.140625" style="512" customWidth="1"/>
    <col min="13824" max="13824" width="10.7109375" style="512" customWidth="1"/>
    <col min="13825" max="13825" width="9.140625" style="512" customWidth="1"/>
    <col min="13826" max="13826" width="10.140625" style="512" customWidth="1"/>
    <col min="13827" max="13827" width="11.140625" style="512" customWidth="1"/>
    <col min="13828" max="13947" width="9.140625" style="512" customWidth="1"/>
    <col min="13948" max="13948" width="2.5703125" style="512" customWidth="1"/>
    <col min="13949" max="13949" width="9.140625" style="512" customWidth="1"/>
    <col min="13950" max="13950" width="47.85546875" style="512" customWidth="1"/>
    <col min="13951" max="13951" width="6.7109375" style="512" customWidth="1"/>
    <col min="13952" max="13952" width="7.42578125" style="512" customWidth="1"/>
    <col min="13953" max="13953" width="7" style="512"/>
    <col min="13954" max="13954" width="8.5703125" style="512" customWidth="1"/>
    <col min="13955" max="13955" width="12" style="512" customWidth="1"/>
    <col min="13956" max="13956" width="4.7109375" style="512" customWidth="1"/>
    <col min="13957" max="13957" width="9.140625" style="512" customWidth="1"/>
    <col min="13958" max="13958" width="11.7109375" style="512" customWidth="1"/>
    <col min="13959" max="14070" width="7" style="512"/>
    <col min="14071" max="14071" width="3.85546875" style="512" customWidth="1"/>
    <col min="14072" max="14072" width="12" style="512" customWidth="1"/>
    <col min="14073" max="14073" width="64.140625" style="512" customWidth="1"/>
    <col min="14074" max="14074" width="9.42578125" style="512" customWidth="1"/>
    <col min="14075" max="14075" width="9.140625" style="512" customWidth="1"/>
    <col min="14076" max="14076" width="11.140625" style="512" bestFit="1" customWidth="1"/>
    <col min="14077" max="14077" width="9.140625" style="512" customWidth="1"/>
    <col min="14078" max="14078" width="10.42578125" style="512" customWidth="1"/>
    <col min="14079" max="14079" width="9.140625" style="512" customWidth="1"/>
    <col min="14080" max="14080" width="10.7109375" style="512" customWidth="1"/>
    <col min="14081" max="14081" width="9.140625" style="512" customWidth="1"/>
    <col min="14082" max="14082" width="10.140625" style="512" customWidth="1"/>
    <col min="14083" max="14083" width="11.140625" style="512" customWidth="1"/>
    <col min="14084" max="14203" width="9.140625" style="512" customWidth="1"/>
    <col min="14204" max="14204" width="2.5703125" style="512" customWidth="1"/>
    <col min="14205" max="14205" width="9.140625" style="512" customWidth="1"/>
    <col min="14206" max="14206" width="47.85546875" style="512" customWidth="1"/>
    <col min="14207" max="14207" width="6.7109375" style="512" customWidth="1"/>
    <col min="14208" max="14208" width="7.42578125" style="512" customWidth="1"/>
    <col min="14209" max="14209" width="7" style="512"/>
    <col min="14210" max="14210" width="8.5703125" style="512" customWidth="1"/>
    <col min="14211" max="14211" width="12" style="512" customWidth="1"/>
    <col min="14212" max="14212" width="4.7109375" style="512" customWidth="1"/>
    <col min="14213" max="14213" width="9.140625" style="512" customWidth="1"/>
    <col min="14214" max="14214" width="11.7109375" style="512" customWidth="1"/>
    <col min="14215" max="14326" width="7" style="512"/>
    <col min="14327" max="14327" width="3.85546875" style="512" customWidth="1"/>
    <col min="14328" max="14328" width="12" style="512" customWidth="1"/>
    <col min="14329" max="14329" width="64.140625" style="512" customWidth="1"/>
    <col min="14330" max="14330" width="9.42578125" style="512" customWidth="1"/>
    <col min="14331" max="14331" width="9.140625" style="512" customWidth="1"/>
    <col min="14332" max="14332" width="11.140625" style="512" bestFit="1" customWidth="1"/>
    <col min="14333" max="14333" width="9.140625" style="512" customWidth="1"/>
    <col min="14334" max="14334" width="10.42578125" style="512" customWidth="1"/>
    <col min="14335" max="14335" width="9.140625" style="512" customWidth="1"/>
    <col min="14336" max="14336" width="10.7109375" style="512" customWidth="1"/>
    <col min="14337" max="14337" width="9.140625" style="512" customWidth="1"/>
    <col min="14338" max="14338" width="10.140625" style="512" customWidth="1"/>
    <col min="14339" max="14339" width="11.140625" style="512" customWidth="1"/>
    <col min="14340" max="14459" width="9.140625" style="512" customWidth="1"/>
    <col min="14460" max="14460" width="2.5703125" style="512" customWidth="1"/>
    <col min="14461" max="14461" width="9.140625" style="512" customWidth="1"/>
    <col min="14462" max="14462" width="47.85546875" style="512" customWidth="1"/>
    <col min="14463" max="14463" width="6.7109375" style="512" customWidth="1"/>
    <col min="14464" max="14464" width="7.42578125" style="512" customWidth="1"/>
    <col min="14465" max="14465" width="7" style="512"/>
    <col min="14466" max="14466" width="8.5703125" style="512" customWidth="1"/>
    <col min="14467" max="14467" width="12" style="512" customWidth="1"/>
    <col min="14468" max="14468" width="4.7109375" style="512" customWidth="1"/>
    <col min="14469" max="14469" width="9.140625" style="512" customWidth="1"/>
    <col min="14470" max="14470" width="11.7109375" style="512" customWidth="1"/>
    <col min="14471" max="14582" width="7" style="512"/>
    <col min="14583" max="14583" width="3.85546875" style="512" customWidth="1"/>
    <col min="14584" max="14584" width="12" style="512" customWidth="1"/>
    <col min="14585" max="14585" width="64.140625" style="512" customWidth="1"/>
    <col min="14586" max="14586" width="9.42578125" style="512" customWidth="1"/>
    <col min="14587" max="14587" width="9.140625" style="512" customWidth="1"/>
    <col min="14588" max="14588" width="11.140625" style="512" bestFit="1" customWidth="1"/>
    <col min="14589" max="14589" width="9.140625" style="512" customWidth="1"/>
    <col min="14590" max="14590" width="10.42578125" style="512" customWidth="1"/>
    <col min="14591" max="14591" width="9.140625" style="512" customWidth="1"/>
    <col min="14592" max="14592" width="10.7109375" style="512" customWidth="1"/>
    <col min="14593" max="14593" width="9.140625" style="512" customWidth="1"/>
    <col min="14594" max="14594" width="10.140625" style="512" customWidth="1"/>
    <col min="14595" max="14595" width="11.140625" style="512" customWidth="1"/>
    <col min="14596" max="14715" width="9.140625" style="512" customWidth="1"/>
    <col min="14716" max="14716" width="2.5703125" style="512" customWidth="1"/>
    <col min="14717" max="14717" width="9.140625" style="512" customWidth="1"/>
    <col min="14718" max="14718" width="47.85546875" style="512" customWidth="1"/>
    <col min="14719" max="14719" width="6.7109375" style="512" customWidth="1"/>
    <col min="14720" max="14720" width="7.42578125" style="512" customWidth="1"/>
    <col min="14721" max="14721" width="7" style="512"/>
    <col min="14722" max="14722" width="8.5703125" style="512" customWidth="1"/>
    <col min="14723" max="14723" width="12" style="512" customWidth="1"/>
    <col min="14724" max="14724" width="4.7109375" style="512" customWidth="1"/>
    <col min="14725" max="14725" width="9.140625" style="512" customWidth="1"/>
    <col min="14726" max="14726" width="11.7109375" style="512" customWidth="1"/>
    <col min="14727" max="14838" width="7" style="512"/>
    <col min="14839" max="14839" width="3.85546875" style="512" customWidth="1"/>
    <col min="14840" max="14840" width="12" style="512" customWidth="1"/>
    <col min="14841" max="14841" width="64.140625" style="512" customWidth="1"/>
    <col min="14842" max="14842" width="9.42578125" style="512" customWidth="1"/>
    <col min="14843" max="14843" width="9.140625" style="512" customWidth="1"/>
    <col min="14844" max="14844" width="11.140625" style="512" bestFit="1" customWidth="1"/>
    <col min="14845" max="14845" width="9.140625" style="512" customWidth="1"/>
    <col min="14846" max="14846" width="10.42578125" style="512" customWidth="1"/>
    <col min="14847" max="14847" width="9.140625" style="512" customWidth="1"/>
    <col min="14848" max="14848" width="10.7109375" style="512" customWidth="1"/>
    <col min="14849" max="14849" width="9.140625" style="512" customWidth="1"/>
    <col min="14850" max="14850" width="10.140625" style="512" customWidth="1"/>
    <col min="14851" max="14851" width="11.140625" style="512" customWidth="1"/>
    <col min="14852" max="14971" width="9.140625" style="512" customWidth="1"/>
    <col min="14972" max="14972" width="2.5703125" style="512" customWidth="1"/>
    <col min="14973" max="14973" width="9.140625" style="512" customWidth="1"/>
    <col min="14974" max="14974" width="47.85546875" style="512" customWidth="1"/>
    <col min="14975" max="14975" width="6.7109375" style="512" customWidth="1"/>
    <col min="14976" max="14976" width="7.42578125" style="512" customWidth="1"/>
    <col min="14977" max="14977" width="7" style="512"/>
    <col min="14978" max="14978" width="8.5703125" style="512" customWidth="1"/>
    <col min="14979" max="14979" width="12" style="512" customWidth="1"/>
    <col min="14980" max="14980" width="4.7109375" style="512" customWidth="1"/>
    <col min="14981" max="14981" width="9.140625" style="512" customWidth="1"/>
    <col min="14982" max="14982" width="11.7109375" style="512" customWidth="1"/>
    <col min="14983" max="15094" width="7" style="512"/>
    <col min="15095" max="15095" width="3.85546875" style="512" customWidth="1"/>
    <col min="15096" max="15096" width="12" style="512" customWidth="1"/>
    <col min="15097" max="15097" width="64.140625" style="512" customWidth="1"/>
    <col min="15098" max="15098" width="9.42578125" style="512" customWidth="1"/>
    <col min="15099" max="15099" width="9.140625" style="512" customWidth="1"/>
    <col min="15100" max="15100" width="11.140625" style="512" bestFit="1" customWidth="1"/>
    <col min="15101" max="15101" width="9.140625" style="512" customWidth="1"/>
    <col min="15102" max="15102" width="10.42578125" style="512" customWidth="1"/>
    <col min="15103" max="15103" width="9.140625" style="512" customWidth="1"/>
    <col min="15104" max="15104" width="10.7109375" style="512" customWidth="1"/>
    <col min="15105" max="15105" width="9.140625" style="512" customWidth="1"/>
    <col min="15106" max="15106" width="10.140625" style="512" customWidth="1"/>
    <col min="15107" max="15107" width="11.140625" style="512" customWidth="1"/>
    <col min="15108" max="15227" width="9.140625" style="512" customWidth="1"/>
    <col min="15228" max="15228" width="2.5703125" style="512" customWidth="1"/>
    <col min="15229" max="15229" width="9.140625" style="512" customWidth="1"/>
    <col min="15230" max="15230" width="47.85546875" style="512" customWidth="1"/>
    <col min="15231" max="15231" width="6.7109375" style="512" customWidth="1"/>
    <col min="15232" max="15232" width="7.42578125" style="512" customWidth="1"/>
    <col min="15233" max="15233" width="7" style="512"/>
    <col min="15234" max="15234" width="8.5703125" style="512" customWidth="1"/>
    <col min="15235" max="15235" width="12" style="512" customWidth="1"/>
    <col min="15236" max="15236" width="4.7109375" style="512" customWidth="1"/>
    <col min="15237" max="15237" width="9.140625" style="512" customWidth="1"/>
    <col min="15238" max="15238" width="11.7109375" style="512" customWidth="1"/>
    <col min="15239" max="15350" width="7" style="512"/>
    <col min="15351" max="15351" width="3.85546875" style="512" customWidth="1"/>
    <col min="15352" max="15352" width="12" style="512" customWidth="1"/>
    <col min="15353" max="15353" width="64.140625" style="512" customWidth="1"/>
    <col min="15354" max="15354" width="9.42578125" style="512" customWidth="1"/>
    <col min="15355" max="15355" width="9.140625" style="512" customWidth="1"/>
    <col min="15356" max="15356" width="11.140625" style="512" bestFit="1" customWidth="1"/>
    <col min="15357" max="15357" width="9.140625" style="512" customWidth="1"/>
    <col min="15358" max="15358" width="10.42578125" style="512" customWidth="1"/>
    <col min="15359" max="15359" width="9.140625" style="512" customWidth="1"/>
    <col min="15360" max="15360" width="10.7109375" style="512" customWidth="1"/>
    <col min="15361" max="15361" width="9.140625" style="512" customWidth="1"/>
    <col min="15362" max="15362" width="10.140625" style="512" customWidth="1"/>
    <col min="15363" max="15363" width="11.140625" style="512" customWidth="1"/>
    <col min="15364" max="15483" width="9.140625" style="512" customWidth="1"/>
    <col min="15484" max="15484" width="2.5703125" style="512" customWidth="1"/>
    <col min="15485" max="15485" width="9.140625" style="512" customWidth="1"/>
    <col min="15486" max="15486" width="47.85546875" style="512" customWidth="1"/>
    <col min="15487" max="15487" width="6.7109375" style="512" customWidth="1"/>
    <col min="15488" max="15488" width="7.42578125" style="512" customWidth="1"/>
    <col min="15489" max="15489" width="7" style="512"/>
    <col min="15490" max="15490" width="8.5703125" style="512" customWidth="1"/>
    <col min="15491" max="15491" width="12" style="512" customWidth="1"/>
    <col min="15492" max="15492" width="4.7109375" style="512" customWidth="1"/>
    <col min="15493" max="15493" width="9.140625" style="512" customWidth="1"/>
    <col min="15494" max="15494" width="11.7109375" style="512" customWidth="1"/>
    <col min="15495" max="15606" width="7" style="512"/>
    <col min="15607" max="15607" width="3.85546875" style="512" customWidth="1"/>
    <col min="15608" max="15608" width="12" style="512" customWidth="1"/>
    <col min="15609" max="15609" width="64.140625" style="512" customWidth="1"/>
    <col min="15610" max="15610" width="9.42578125" style="512" customWidth="1"/>
    <col min="15611" max="15611" width="9.140625" style="512" customWidth="1"/>
    <col min="15612" max="15612" width="11.140625" style="512" bestFit="1" customWidth="1"/>
    <col min="15613" max="15613" width="9.140625" style="512" customWidth="1"/>
    <col min="15614" max="15614" width="10.42578125" style="512" customWidth="1"/>
    <col min="15615" max="15615" width="9.140625" style="512" customWidth="1"/>
    <col min="15616" max="15616" width="10.7109375" style="512" customWidth="1"/>
    <col min="15617" max="15617" width="9.140625" style="512" customWidth="1"/>
    <col min="15618" max="15618" width="10.140625" style="512" customWidth="1"/>
    <col min="15619" max="15619" width="11.140625" style="512" customWidth="1"/>
    <col min="15620" max="15739" width="9.140625" style="512" customWidth="1"/>
    <col min="15740" max="15740" width="2.5703125" style="512" customWidth="1"/>
    <col min="15741" max="15741" width="9.140625" style="512" customWidth="1"/>
    <col min="15742" max="15742" width="47.85546875" style="512" customWidth="1"/>
    <col min="15743" max="15743" width="6.7109375" style="512" customWidth="1"/>
    <col min="15744" max="15744" width="7.42578125" style="512" customWidth="1"/>
    <col min="15745" max="15745" width="7" style="512"/>
    <col min="15746" max="15746" width="8.5703125" style="512" customWidth="1"/>
    <col min="15747" max="15747" width="12" style="512" customWidth="1"/>
    <col min="15748" max="15748" width="4.7109375" style="512" customWidth="1"/>
    <col min="15749" max="15749" width="9.140625" style="512" customWidth="1"/>
    <col min="15750" max="15750" width="11.7109375" style="512" customWidth="1"/>
    <col min="15751" max="15862" width="7" style="512"/>
    <col min="15863" max="15863" width="3.85546875" style="512" customWidth="1"/>
    <col min="15864" max="15864" width="12" style="512" customWidth="1"/>
    <col min="15865" max="15865" width="64.140625" style="512" customWidth="1"/>
    <col min="15866" max="15866" width="9.42578125" style="512" customWidth="1"/>
    <col min="15867" max="15867" width="9.140625" style="512" customWidth="1"/>
    <col min="15868" max="15868" width="11.140625" style="512" bestFit="1" customWidth="1"/>
    <col min="15869" max="15869" width="9.140625" style="512" customWidth="1"/>
    <col min="15870" max="15870" width="10.42578125" style="512" customWidth="1"/>
    <col min="15871" max="15871" width="9.140625" style="512" customWidth="1"/>
    <col min="15872" max="15872" width="10.7109375" style="512" customWidth="1"/>
    <col min="15873" max="15873" width="9.140625" style="512" customWidth="1"/>
    <col min="15874" max="15874" width="10.140625" style="512" customWidth="1"/>
    <col min="15875" max="15875" width="11.140625" style="512" customWidth="1"/>
    <col min="15876" max="15995" width="9.140625" style="512" customWidth="1"/>
    <col min="15996" max="15996" width="2.5703125" style="512" customWidth="1"/>
    <col min="15997" max="15997" width="9.140625" style="512" customWidth="1"/>
    <col min="15998" max="15998" width="47.85546875" style="512" customWidth="1"/>
    <col min="15999" max="15999" width="6.7109375" style="512" customWidth="1"/>
    <col min="16000" max="16000" width="7.42578125" style="512" customWidth="1"/>
    <col min="16001" max="16001" width="7" style="512"/>
    <col min="16002" max="16002" width="8.5703125" style="512" customWidth="1"/>
    <col min="16003" max="16003" width="12" style="512" customWidth="1"/>
    <col min="16004" max="16004" width="4.7109375" style="512" customWidth="1"/>
    <col min="16005" max="16005" width="9.140625" style="512" customWidth="1"/>
    <col min="16006" max="16006" width="11.7109375" style="512" customWidth="1"/>
    <col min="16007" max="16118" width="7" style="512"/>
    <col min="16119" max="16119" width="3.85546875" style="512" customWidth="1"/>
    <col min="16120" max="16120" width="12" style="512" customWidth="1"/>
    <col min="16121" max="16121" width="64.140625" style="512" customWidth="1"/>
    <col min="16122" max="16122" width="9.42578125" style="512" customWidth="1"/>
    <col min="16123" max="16123" width="9.140625" style="512" customWidth="1"/>
    <col min="16124" max="16124" width="11.140625" style="512" bestFit="1" customWidth="1"/>
    <col min="16125" max="16125" width="9.140625" style="512" customWidth="1"/>
    <col min="16126" max="16126" width="10.42578125" style="512" customWidth="1"/>
    <col min="16127" max="16127" width="9.140625" style="512" customWidth="1"/>
    <col min="16128" max="16128" width="10.7109375" style="512" customWidth="1"/>
    <col min="16129" max="16129" width="9.140625" style="512" customWidth="1"/>
    <col min="16130" max="16130" width="10.140625" style="512" customWidth="1"/>
    <col min="16131" max="16131" width="11.140625" style="512" customWidth="1"/>
    <col min="16132" max="16251" width="9.140625" style="512" customWidth="1"/>
    <col min="16252" max="16252" width="2.5703125" style="512" customWidth="1"/>
    <col min="16253" max="16253" width="9.140625" style="512" customWidth="1"/>
    <col min="16254" max="16254" width="47.85546875" style="512" customWidth="1"/>
    <col min="16255" max="16255" width="6.7109375" style="512" customWidth="1"/>
    <col min="16256" max="16256" width="7.42578125" style="512" customWidth="1"/>
    <col min="16257" max="16257" width="7" style="512"/>
    <col min="16258" max="16258" width="8.5703125" style="512" customWidth="1"/>
    <col min="16259" max="16259" width="12" style="512" customWidth="1"/>
    <col min="16260" max="16260" width="4.7109375" style="512" customWidth="1"/>
    <col min="16261" max="16261" width="9.140625" style="512" customWidth="1"/>
    <col min="16262" max="16262" width="11.7109375" style="512" customWidth="1"/>
    <col min="16263" max="16384" width="7" style="512"/>
  </cols>
  <sheetData>
    <row r="1" spans="1:13" s="658" customFormat="1" ht="16.5">
      <c r="A1" s="1182" t="e">
        <f>#REF!</f>
        <v>#REF!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</row>
    <row r="2" spans="1:13" s="658" customFormat="1" ht="16.5">
      <c r="A2" s="1183" t="s">
        <v>7</v>
      </c>
      <c r="B2" s="1183"/>
      <c r="C2" s="1183"/>
      <c r="D2" s="623" t="str">
        <f>'B-4'!B10</f>
        <v>B-4.1</v>
      </c>
      <c r="E2" s="623"/>
      <c r="F2" s="623"/>
      <c r="G2" s="623"/>
      <c r="H2" s="624"/>
      <c r="I2" s="624"/>
      <c r="J2" s="624"/>
      <c r="K2" s="624"/>
      <c r="L2" s="624"/>
      <c r="M2" s="624"/>
    </row>
    <row r="3" spans="1:13" s="658" customFormat="1" ht="16.5">
      <c r="A3" s="1184" t="str">
        <f>'B-4'!C10</f>
        <v>საქლორატოროს შენობის სამშენებლო ნაწილი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</row>
    <row r="4" spans="1:13" s="658" customFormat="1">
      <c r="A4" s="1185"/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</row>
    <row r="5" spans="1:13" s="658" customFormat="1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</row>
    <row r="6" spans="1:13" s="658" customFormat="1" ht="13.5" customHeight="1">
      <c r="A6" s="1178" t="s">
        <v>147</v>
      </c>
      <c r="B6" s="1178" t="s">
        <v>148</v>
      </c>
      <c r="C6" s="1178" t="s">
        <v>149</v>
      </c>
      <c r="D6" s="1178" t="s">
        <v>150</v>
      </c>
      <c r="E6" s="1178" t="s">
        <v>151</v>
      </c>
      <c r="F6" s="1178" t="s">
        <v>152</v>
      </c>
      <c r="G6" s="1179" t="s">
        <v>153</v>
      </c>
      <c r="H6" s="1179"/>
      <c r="I6" s="1179" t="s">
        <v>154</v>
      </c>
      <c r="J6" s="1179"/>
      <c r="K6" s="1178" t="s">
        <v>155</v>
      </c>
      <c r="L6" s="1178"/>
      <c r="M6" s="546" t="s">
        <v>156</v>
      </c>
    </row>
    <row r="7" spans="1:13" s="658" customFormat="1">
      <c r="A7" s="1178"/>
      <c r="B7" s="1178"/>
      <c r="C7" s="1178"/>
      <c r="D7" s="1178"/>
      <c r="E7" s="1178"/>
      <c r="F7" s="1178"/>
      <c r="G7" s="546" t="s">
        <v>157</v>
      </c>
      <c r="H7" s="546" t="s">
        <v>158</v>
      </c>
      <c r="I7" s="546" t="s">
        <v>157</v>
      </c>
      <c r="J7" s="546" t="s">
        <v>158</v>
      </c>
      <c r="K7" s="546" t="s">
        <v>157</v>
      </c>
      <c r="L7" s="546" t="s">
        <v>159</v>
      </c>
      <c r="M7" s="546" t="s">
        <v>160</v>
      </c>
    </row>
    <row r="8" spans="1:13" s="717" customFormat="1">
      <c r="A8" s="540">
        <v>1</v>
      </c>
      <c r="B8" s="540">
        <v>2</v>
      </c>
      <c r="C8" s="540">
        <v>3</v>
      </c>
      <c r="D8" s="556">
        <v>4</v>
      </c>
      <c r="E8" s="556">
        <v>5</v>
      </c>
      <c r="F8" s="556">
        <v>6</v>
      </c>
      <c r="G8" s="556">
        <v>7</v>
      </c>
      <c r="H8" s="540">
        <v>8</v>
      </c>
      <c r="I8" s="556">
        <v>9</v>
      </c>
      <c r="J8" s="540">
        <v>10</v>
      </c>
      <c r="K8" s="556">
        <v>11</v>
      </c>
      <c r="L8" s="540">
        <v>12</v>
      </c>
      <c r="M8" s="540">
        <v>13</v>
      </c>
    </row>
    <row r="9" spans="1:13" s="717" customFormat="1">
      <c r="A9" s="718"/>
      <c r="B9" s="718"/>
      <c r="C9" s="718" t="s">
        <v>1</v>
      </c>
      <c r="D9" s="718"/>
      <c r="E9" s="719"/>
      <c r="F9" s="719"/>
      <c r="G9" s="719"/>
      <c r="H9" s="719"/>
      <c r="I9" s="719"/>
      <c r="J9" s="719"/>
      <c r="K9" s="719"/>
      <c r="L9" s="719"/>
      <c r="M9" s="719"/>
    </row>
    <row r="10" spans="1:13" s="548" customFormat="1">
      <c r="A10" s="492">
        <v>1</v>
      </c>
      <c r="B10" s="627" t="s">
        <v>400</v>
      </c>
      <c r="C10" s="720" t="s">
        <v>268</v>
      </c>
      <c r="D10" s="525" t="s">
        <v>44</v>
      </c>
      <c r="E10" s="721"/>
      <c r="F10" s="721">
        <v>7.72</v>
      </c>
      <c r="G10" s="721"/>
      <c r="H10" s="721"/>
      <c r="I10" s="722"/>
      <c r="J10" s="721"/>
      <c r="K10" s="721"/>
      <c r="L10" s="721"/>
      <c r="M10" s="721"/>
    </row>
    <row r="11" spans="1:13" s="548" customFormat="1">
      <c r="A11" s="494"/>
      <c r="B11" s="494"/>
      <c r="C11" s="723" t="s">
        <v>197</v>
      </c>
      <c r="D11" s="724" t="s">
        <v>63</v>
      </c>
      <c r="E11" s="725">
        <f>9.96/1000</f>
        <v>9.9600000000000001E-3</v>
      </c>
      <c r="F11" s="722">
        <f>E11*F10</f>
        <v>7.6891199999999993E-2</v>
      </c>
      <c r="G11" s="722"/>
      <c r="H11" s="722"/>
      <c r="I11" s="722"/>
      <c r="J11" s="722"/>
      <c r="K11" s="722"/>
      <c r="L11" s="722"/>
      <c r="M11" s="722"/>
    </row>
    <row r="12" spans="1:13" s="548" customFormat="1">
      <c r="A12" s="492"/>
      <c r="B12" s="494" t="s">
        <v>663</v>
      </c>
      <c r="C12" s="726" t="s">
        <v>269</v>
      </c>
      <c r="D12" s="494" t="s">
        <v>66</v>
      </c>
      <c r="E12" s="727">
        <f>22.3/1000</f>
        <v>2.23E-2</v>
      </c>
      <c r="F12" s="722">
        <f>E12*F10</f>
        <v>0.172156</v>
      </c>
      <c r="G12" s="722"/>
      <c r="H12" s="722"/>
      <c r="I12" s="722"/>
      <c r="J12" s="722"/>
      <c r="K12" s="728"/>
      <c r="L12" s="728"/>
      <c r="M12" s="722"/>
    </row>
    <row r="13" spans="1:13" s="548" customFormat="1">
      <c r="A13" s="492">
        <v>2</v>
      </c>
      <c r="B13" s="627" t="s">
        <v>267</v>
      </c>
      <c r="C13" s="720" t="s">
        <v>270</v>
      </c>
      <c r="D13" s="525" t="s">
        <v>44</v>
      </c>
      <c r="E13" s="721"/>
      <c r="F13" s="721">
        <v>1.1599999999999999</v>
      </c>
      <c r="G13" s="721"/>
      <c r="H13" s="721"/>
      <c r="I13" s="722"/>
      <c r="J13" s="721"/>
      <c r="K13" s="721"/>
      <c r="L13" s="721"/>
      <c r="M13" s="721"/>
    </row>
    <row r="14" spans="1:13" s="548" customFormat="1">
      <c r="A14" s="494"/>
      <c r="B14" s="494"/>
      <c r="C14" s="723" t="s">
        <v>197</v>
      </c>
      <c r="D14" s="724" t="s">
        <v>63</v>
      </c>
      <c r="E14" s="725">
        <f>7.95/1000</f>
        <v>7.9500000000000005E-3</v>
      </c>
      <c r="F14" s="722">
        <f>F13*E14</f>
        <v>9.2219999999999993E-3</v>
      </c>
      <c r="G14" s="722"/>
      <c r="H14" s="722"/>
      <c r="I14" s="722"/>
      <c r="J14" s="722"/>
      <c r="K14" s="722"/>
      <c r="L14" s="722"/>
      <c r="M14" s="722"/>
    </row>
    <row r="15" spans="1:13" s="548" customFormat="1">
      <c r="A15" s="492"/>
      <c r="B15" s="494" t="s">
        <v>663</v>
      </c>
      <c r="C15" s="726" t="s">
        <v>269</v>
      </c>
      <c r="D15" s="494" t="s">
        <v>66</v>
      </c>
      <c r="E15" s="727">
        <f>17.8/1000</f>
        <v>1.78E-2</v>
      </c>
      <c r="F15" s="722">
        <f>F13*E15</f>
        <v>2.0648E-2</v>
      </c>
      <c r="G15" s="722"/>
      <c r="H15" s="722"/>
      <c r="I15" s="722"/>
      <c r="J15" s="722"/>
      <c r="K15" s="728"/>
      <c r="L15" s="728"/>
      <c r="M15" s="722"/>
    </row>
    <row r="16" spans="1:13" s="548" customFormat="1">
      <c r="A16" s="492">
        <v>3</v>
      </c>
      <c r="B16" s="627" t="s">
        <v>271</v>
      </c>
      <c r="C16" s="720" t="s">
        <v>272</v>
      </c>
      <c r="D16" s="525" t="s">
        <v>44</v>
      </c>
      <c r="E16" s="721"/>
      <c r="F16" s="721">
        <f>F10-F13</f>
        <v>6.56</v>
      </c>
      <c r="G16" s="721"/>
      <c r="H16" s="721"/>
      <c r="I16" s="722"/>
      <c r="J16" s="721"/>
      <c r="K16" s="721"/>
      <c r="L16" s="721"/>
      <c r="M16" s="721"/>
    </row>
    <row r="17" spans="1:147" s="548" customFormat="1">
      <c r="A17" s="494"/>
      <c r="B17" s="494"/>
      <c r="C17" s="723" t="s">
        <v>197</v>
      </c>
      <c r="D17" s="724" t="s">
        <v>63</v>
      </c>
      <c r="E17" s="727">
        <v>1.0200000000000001E-2</v>
      </c>
      <c r="F17" s="722">
        <f>F16*E17</f>
        <v>6.6911999999999999E-2</v>
      </c>
      <c r="G17" s="722"/>
      <c r="H17" s="722"/>
      <c r="I17" s="722"/>
      <c r="J17" s="722"/>
      <c r="K17" s="722"/>
      <c r="L17" s="722"/>
      <c r="M17" s="722"/>
    </row>
    <row r="18" spans="1:147" s="548" customFormat="1">
      <c r="A18" s="492"/>
      <c r="B18" s="494" t="s">
        <v>663</v>
      </c>
      <c r="C18" s="726" t="s">
        <v>269</v>
      </c>
      <c r="D18" s="494" t="s">
        <v>66</v>
      </c>
      <c r="E18" s="727">
        <f>22.8/1000</f>
        <v>2.2800000000000001E-2</v>
      </c>
      <c r="F18" s="722">
        <f>F16*E18</f>
        <v>0.14956800000000001</v>
      </c>
      <c r="G18" s="722"/>
      <c r="H18" s="722"/>
      <c r="I18" s="722"/>
      <c r="J18" s="722"/>
      <c r="K18" s="728"/>
      <c r="L18" s="728"/>
      <c r="M18" s="722"/>
    </row>
    <row r="19" spans="1:147" s="717" customFormat="1">
      <c r="A19" s="492"/>
      <c r="B19" s="729"/>
      <c r="C19" s="730" t="s">
        <v>273</v>
      </c>
      <c r="D19" s="267" t="s">
        <v>16</v>
      </c>
      <c r="E19" s="725">
        <f>2.09/1000</f>
        <v>2.0899999999999998E-3</v>
      </c>
      <c r="F19" s="722">
        <f>F16*E19</f>
        <v>1.3710399999999998E-2</v>
      </c>
      <c r="G19" s="722"/>
      <c r="H19" s="731"/>
      <c r="I19" s="722"/>
      <c r="J19" s="722"/>
      <c r="K19" s="722"/>
      <c r="L19" s="722"/>
      <c r="M19" s="722"/>
      <c r="N19" s="732"/>
      <c r="O19" s="732"/>
      <c r="P19" s="732"/>
      <c r="Q19" s="732"/>
      <c r="R19" s="732"/>
      <c r="S19" s="732"/>
      <c r="T19" s="732"/>
      <c r="U19" s="732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2"/>
      <c r="AJ19" s="732"/>
      <c r="AK19" s="732"/>
      <c r="AL19" s="732"/>
      <c r="AM19" s="732"/>
      <c r="AN19" s="732"/>
      <c r="AO19" s="732"/>
      <c r="AP19" s="732"/>
      <c r="AQ19" s="732"/>
      <c r="AR19" s="732"/>
      <c r="AS19" s="732"/>
      <c r="AT19" s="732"/>
      <c r="AU19" s="732"/>
      <c r="AV19" s="732"/>
      <c r="AW19" s="732"/>
      <c r="AX19" s="732"/>
      <c r="AY19" s="732"/>
      <c r="AZ19" s="732"/>
      <c r="BA19" s="732"/>
      <c r="BB19" s="732"/>
      <c r="BC19" s="732"/>
      <c r="BD19" s="732"/>
      <c r="BE19" s="732"/>
      <c r="BF19" s="732"/>
      <c r="BG19" s="732"/>
      <c r="BH19" s="732"/>
      <c r="BI19" s="732"/>
      <c r="BJ19" s="732"/>
      <c r="BK19" s="732"/>
      <c r="BL19" s="732"/>
      <c r="BM19" s="732"/>
      <c r="BN19" s="732"/>
      <c r="BO19" s="732"/>
      <c r="BP19" s="732"/>
      <c r="BQ19" s="732"/>
      <c r="BR19" s="732"/>
      <c r="BS19" s="732"/>
      <c r="BT19" s="732"/>
      <c r="BU19" s="732"/>
      <c r="BV19" s="732"/>
      <c r="BW19" s="732"/>
      <c r="BX19" s="732"/>
      <c r="BY19" s="732"/>
      <c r="BZ19" s="732"/>
      <c r="CA19" s="732"/>
      <c r="CB19" s="732"/>
      <c r="CC19" s="732"/>
      <c r="CD19" s="732"/>
      <c r="CE19" s="732"/>
      <c r="CF19" s="732"/>
      <c r="CG19" s="732"/>
      <c r="CH19" s="732"/>
      <c r="CI19" s="732"/>
      <c r="CJ19" s="732"/>
      <c r="CK19" s="732"/>
      <c r="CL19" s="732"/>
      <c r="CM19" s="732"/>
      <c r="CN19" s="732"/>
      <c r="CO19" s="732"/>
      <c r="CP19" s="732"/>
      <c r="CQ19" s="732"/>
      <c r="CR19" s="732"/>
      <c r="CS19" s="732"/>
      <c r="CT19" s="732"/>
      <c r="CU19" s="732"/>
      <c r="CV19" s="732"/>
      <c r="CW19" s="732"/>
      <c r="CX19" s="732"/>
      <c r="CY19" s="732"/>
      <c r="CZ19" s="732"/>
      <c r="DA19" s="732"/>
      <c r="DB19" s="732"/>
      <c r="DC19" s="732"/>
      <c r="DD19" s="732"/>
      <c r="DE19" s="732"/>
      <c r="DF19" s="732"/>
      <c r="DG19" s="732"/>
      <c r="DH19" s="732"/>
      <c r="DI19" s="732"/>
      <c r="DJ19" s="732"/>
      <c r="DK19" s="732"/>
      <c r="DL19" s="732"/>
      <c r="DM19" s="732"/>
      <c r="DN19" s="732"/>
      <c r="DO19" s="732"/>
      <c r="DP19" s="732"/>
      <c r="DQ19" s="732"/>
      <c r="DR19" s="732"/>
      <c r="DS19" s="732"/>
      <c r="DT19" s="732"/>
      <c r="DU19" s="732"/>
      <c r="DV19" s="732"/>
      <c r="DW19" s="732"/>
      <c r="DX19" s="732"/>
      <c r="DY19" s="732"/>
      <c r="DZ19" s="732"/>
      <c r="EA19" s="732"/>
      <c r="EB19" s="732"/>
      <c r="EC19" s="732"/>
      <c r="ED19" s="732"/>
      <c r="EE19" s="732"/>
      <c r="EF19" s="732"/>
      <c r="EG19" s="732"/>
      <c r="EH19" s="732"/>
      <c r="EI19" s="732"/>
      <c r="EJ19" s="732"/>
      <c r="EK19" s="732"/>
      <c r="EL19" s="732"/>
      <c r="EM19" s="732"/>
      <c r="EN19" s="732"/>
      <c r="EO19" s="732"/>
      <c r="EP19" s="732"/>
      <c r="EQ19" s="732"/>
    </row>
    <row r="20" spans="1:147" s="547" customFormat="1">
      <c r="A20" s="525">
        <v>4</v>
      </c>
      <c r="B20" s="733" t="s">
        <v>274</v>
      </c>
      <c r="C20" s="734" t="s">
        <v>672</v>
      </c>
      <c r="D20" s="525" t="s">
        <v>103</v>
      </c>
      <c r="E20" s="721"/>
      <c r="F20" s="735">
        <f>F16*1.9</f>
        <v>12.463999999999999</v>
      </c>
      <c r="G20" s="721"/>
      <c r="H20" s="721"/>
      <c r="I20" s="721"/>
      <c r="J20" s="721"/>
      <c r="K20" s="735"/>
      <c r="L20" s="722"/>
      <c r="M20" s="721"/>
      <c r="N20" s="736"/>
      <c r="O20" s="736"/>
      <c r="P20" s="736"/>
      <c r="Q20" s="736"/>
      <c r="R20" s="736"/>
      <c r="S20" s="736"/>
      <c r="T20" s="736"/>
      <c r="U20" s="736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736"/>
      <c r="AS20" s="736"/>
      <c r="AT20" s="736"/>
      <c r="AU20" s="736"/>
      <c r="AV20" s="736"/>
      <c r="AW20" s="736"/>
      <c r="AX20" s="736"/>
      <c r="AY20" s="736"/>
      <c r="AZ20" s="736"/>
      <c r="BA20" s="736"/>
      <c r="BB20" s="736"/>
      <c r="BC20" s="736"/>
      <c r="BD20" s="736"/>
      <c r="BE20" s="736"/>
      <c r="BF20" s="736"/>
      <c r="BG20" s="736"/>
      <c r="BH20" s="736"/>
      <c r="BI20" s="736"/>
      <c r="BJ20" s="736"/>
      <c r="BK20" s="736"/>
      <c r="BL20" s="736"/>
      <c r="BM20" s="736"/>
      <c r="BN20" s="736"/>
      <c r="BO20" s="736"/>
      <c r="BP20" s="736"/>
      <c r="BQ20" s="736"/>
      <c r="BR20" s="736"/>
      <c r="BS20" s="736"/>
      <c r="BT20" s="736"/>
      <c r="BU20" s="736"/>
      <c r="BV20" s="736"/>
      <c r="BW20" s="736"/>
      <c r="BX20" s="736"/>
      <c r="BY20" s="736"/>
      <c r="BZ20" s="736"/>
      <c r="CA20" s="736"/>
      <c r="CB20" s="736"/>
      <c r="CC20" s="736"/>
      <c r="CD20" s="736"/>
      <c r="CE20" s="736"/>
      <c r="CF20" s="736"/>
      <c r="CG20" s="736"/>
      <c r="CH20" s="736"/>
      <c r="CI20" s="736"/>
      <c r="CJ20" s="736"/>
      <c r="CK20" s="736"/>
      <c r="CL20" s="736"/>
      <c r="CM20" s="736"/>
      <c r="CN20" s="736"/>
      <c r="CO20" s="736"/>
      <c r="CP20" s="736"/>
      <c r="CQ20" s="736"/>
      <c r="CR20" s="736"/>
      <c r="CS20" s="736"/>
      <c r="CT20" s="736"/>
      <c r="CU20" s="736"/>
      <c r="CV20" s="736"/>
      <c r="CW20" s="736"/>
      <c r="CX20" s="736"/>
      <c r="CY20" s="736"/>
      <c r="CZ20" s="736"/>
      <c r="DA20" s="736"/>
      <c r="DB20" s="736"/>
      <c r="DC20" s="736"/>
      <c r="DD20" s="736"/>
      <c r="DE20" s="736"/>
      <c r="DF20" s="736"/>
      <c r="DG20" s="736"/>
      <c r="DH20" s="736"/>
      <c r="DI20" s="736"/>
      <c r="DJ20" s="736"/>
      <c r="DK20" s="736"/>
      <c r="DL20" s="736"/>
      <c r="DM20" s="736"/>
      <c r="DN20" s="736"/>
      <c r="DO20" s="736"/>
      <c r="DP20" s="736"/>
      <c r="DQ20" s="736"/>
      <c r="DR20" s="736"/>
      <c r="DS20" s="736"/>
      <c r="DT20" s="736"/>
      <c r="DU20" s="736"/>
      <c r="DV20" s="736"/>
      <c r="DW20" s="736"/>
      <c r="DX20" s="736"/>
      <c r="DY20" s="736"/>
      <c r="DZ20" s="736"/>
      <c r="EA20" s="736"/>
      <c r="EB20" s="736"/>
    </row>
    <row r="21" spans="1:147">
      <c r="A21" s="384"/>
      <c r="B21" s="737" t="s">
        <v>671</v>
      </c>
      <c r="C21" s="738" t="s">
        <v>673</v>
      </c>
      <c r="D21" s="384" t="s">
        <v>47</v>
      </c>
      <c r="E21" s="722">
        <v>1</v>
      </c>
      <c r="F21" s="739">
        <f>E21*F20</f>
        <v>12.463999999999999</v>
      </c>
      <c r="G21" s="722"/>
      <c r="H21" s="722"/>
      <c r="I21" s="722"/>
      <c r="J21" s="722"/>
      <c r="K21" s="739"/>
      <c r="L21" s="722"/>
      <c r="M21" s="722"/>
      <c r="N21" s="740"/>
      <c r="O21" s="740"/>
      <c r="P21" s="740"/>
      <c r="Q21" s="740"/>
      <c r="R21" s="740"/>
      <c r="S21" s="740"/>
      <c r="T21" s="740"/>
      <c r="U21" s="740"/>
      <c r="V21" s="740"/>
      <c r="W21" s="740"/>
      <c r="X21" s="740"/>
      <c r="Y21" s="740"/>
      <c r="Z21" s="740"/>
      <c r="AA21" s="740"/>
      <c r="AB21" s="740"/>
      <c r="AC21" s="740"/>
      <c r="AD21" s="740"/>
      <c r="AE21" s="740"/>
      <c r="AF21" s="740"/>
      <c r="AG21" s="740"/>
      <c r="AH21" s="740"/>
      <c r="AI21" s="740"/>
      <c r="AJ21" s="740"/>
      <c r="AK21" s="740"/>
      <c r="AL21" s="740"/>
      <c r="AM21" s="740"/>
      <c r="AN21" s="740"/>
      <c r="AO21" s="740"/>
      <c r="AP21" s="740"/>
      <c r="AQ21" s="740"/>
      <c r="AR21" s="740"/>
      <c r="AS21" s="740"/>
      <c r="AT21" s="740"/>
      <c r="AU21" s="740"/>
      <c r="AV21" s="740"/>
      <c r="AW21" s="740"/>
      <c r="AX21" s="740"/>
      <c r="AY21" s="740"/>
      <c r="AZ21" s="740"/>
      <c r="BA21" s="740"/>
      <c r="BB21" s="740"/>
      <c r="BC21" s="740"/>
      <c r="BD21" s="740"/>
      <c r="BE21" s="740"/>
      <c r="BF21" s="740"/>
      <c r="BG21" s="740"/>
      <c r="BH21" s="740"/>
      <c r="BI21" s="740"/>
      <c r="BJ21" s="740"/>
      <c r="BK21" s="740"/>
      <c r="BL21" s="740"/>
      <c r="BM21" s="740"/>
      <c r="BN21" s="740"/>
      <c r="BO21" s="740"/>
      <c r="BP21" s="740"/>
      <c r="BQ21" s="740"/>
      <c r="BR21" s="740"/>
      <c r="BS21" s="740"/>
      <c r="BT21" s="740"/>
      <c r="BU21" s="740"/>
      <c r="BV21" s="740"/>
      <c r="BW21" s="740"/>
      <c r="BX21" s="740"/>
      <c r="BY21" s="740"/>
      <c r="BZ21" s="740"/>
      <c r="CA21" s="740"/>
      <c r="CB21" s="740"/>
      <c r="CC21" s="740"/>
      <c r="CD21" s="740"/>
      <c r="CE21" s="740"/>
      <c r="CF21" s="740"/>
      <c r="CG21" s="740"/>
      <c r="CH21" s="740"/>
      <c r="CI21" s="740"/>
      <c r="CJ21" s="740"/>
      <c r="CK21" s="740"/>
      <c r="CL21" s="740"/>
      <c r="CM21" s="740"/>
      <c r="CN21" s="740"/>
      <c r="CO21" s="740"/>
      <c r="CP21" s="740"/>
      <c r="CQ21" s="740"/>
      <c r="CR21" s="740"/>
      <c r="CS21" s="740"/>
      <c r="CT21" s="740"/>
      <c r="CU21" s="740"/>
      <c r="CV21" s="740"/>
      <c r="CW21" s="740"/>
      <c r="CX21" s="740"/>
      <c r="CY21" s="740"/>
      <c r="CZ21" s="740"/>
      <c r="DA21" s="740"/>
      <c r="DB21" s="740"/>
      <c r="DC21" s="740"/>
      <c r="DD21" s="740"/>
      <c r="DE21" s="740"/>
      <c r="DF21" s="740"/>
      <c r="DG21" s="740"/>
      <c r="DH21" s="740"/>
      <c r="DI21" s="740"/>
      <c r="DJ21" s="740"/>
      <c r="DK21" s="740"/>
      <c r="DL21" s="740"/>
      <c r="DM21" s="740"/>
      <c r="DN21" s="740"/>
      <c r="DO21" s="740"/>
      <c r="DP21" s="740"/>
      <c r="DQ21" s="740"/>
      <c r="DR21" s="740"/>
      <c r="DS21" s="740"/>
      <c r="DT21" s="740"/>
      <c r="DU21" s="740"/>
      <c r="DV21" s="740"/>
      <c r="DW21" s="740"/>
      <c r="DX21" s="740"/>
      <c r="DY21" s="740"/>
      <c r="DZ21" s="740"/>
      <c r="EA21" s="740"/>
      <c r="EB21" s="740"/>
    </row>
    <row r="22" spans="1:147" s="717" customFormat="1">
      <c r="A22" s="509">
        <v>5</v>
      </c>
      <c r="B22" s="563" t="s">
        <v>275</v>
      </c>
      <c r="C22" s="720" t="s">
        <v>276</v>
      </c>
      <c r="D22" s="492" t="s">
        <v>44</v>
      </c>
      <c r="E22" s="721"/>
      <c r="F22" s="721">
        <v>3.04</v>
      </c>
      <c r="G22" s="721"/>
      <c r="H22" s="721"/>
      <c r="I22" s="721"/>
      <c r="J22" s="721"/>
      <c r="K22" s="721"/>
      <c r="L22" s="721"/>
      <c r="M22" s="721"/>
      <c r="N22" s="741"/>
      <c r="O22" s="741"/>
      <c r="P22" s="741"/>
      <c r="Q22" s="741"/>
      <c r="R22" s="741"/>
      <c r="S22" s="741"/>
      <c r="T22" s="741"/>
      <c r="U22" s="741"/>
      <c r="V22" s="741"/>
      <c r="W22" s="741"/>
      <c r="X22" s="741"/>
      <c r="Y22" s="741"/>
      <c r="Z22" s="741"/>
      <c r="AA22" s="741"/>
      <c r="AB22" s="741"/>
      <c r="AC22" s="741"/>
      <c r="AD22" s="741"/>
      <c r="AE22" s="741"/>
      <c r="AF22" s="741"/>
      <c r="AG22" s="741"/>
      <c r="AH22" s="741"/>
      <c r="AI22" s="741"/>
      <c r="AJ22" s="741"/>
      <c r="AK22" s="741"/>
      <c r="AL22" s="741"/>
      <c r="AM22" s="741"/>
      <c r="AN22" s="741"/>
      <c r="AO22" s="741"/>
      <c r="AP22" s="741"/>
      <c r="AQ22" s="741"/>
      <c r="AR22" s="741"/>
      <c r="AS22" s="741"/>
      <c r="AT22" s="741"/>
      <c r="AU22" s="741"/>
      <c r="AV22" s="741"/>
      <c r="AW22" s="741"/>
      <c r="AX22" s="741"/>
      <c r="AY22" s="741"/>
      <c r="AZ22" s="741"/>
      <c r="BA22" s="741"/>
      <c r="BB22" s="741"/>
      <c r="BC22" s="741"/>
      <c r="BD22" s="741"/>
      <c r="BE22" s="741"/>
      <c r="BF22" s="741"/>
      <c r="BG22" s="741"/>
      <c r="BH22" s="741"/>
      <c r="BI22" s="741"/>
      <c r="BJ22" s="741"/>
      <c r="BK22" s="741"/>
      <c r="BL22" s="741"/>
      <c r="BM22" s="741"/>
      <c r="BN22" s="741"/>
      <c r="BO22" s="741"/>
      <c r="BP22" s="741"/>
      <c r="BQ22" s="741"/>
      <c r="BR22" s="741"/>
      <c r="BS22" s="741"/>
      <c r="BT22" s="741"/>
      <c r="BU22" s="741"/>
      <c r="BV22" s="741"/>
      <c r="BW22" s="741"/>
      <c r="BX22" s="741"/>
      <c r="BY22" s="741"/>
      <c r="BZ22" s="741"/>
      <c r="CA22" s="741"/>
      <c r="CB22" s="741"/>
      <c r="CC22" s="741"/>
      <c r="CD22" s="741"/>
      <c r="CE22" s="741"/>
      <c r="CF22" s="741"/>
      <c r="CG22" s="741"/>
      <c r="CH22" s="741"/>
      <c r="CI22" s="741"/>
      <c r="CJ22" s="741"/>
      <c r="CK22" s="741"/>
      <c r="CL22" s="741"/>
      <c r="CM22" s="741"/>
      <c r="CN22" s="741"/>
      <c r="CO22" s="741"/>
      <c r="CP22" s="741"/>
      <c r="CQ22" s="741"/>
      <c r="CR22" s="741"/>
      <c r="CS22" s="741"/>
      <c r="CT22" s="741"/>
      <c r="CU22" s="741"/>
      <c r="CV22" s="741"/>
      <c r="CW22" s="741"/>
      <c r="CX22" s="741"/>
      <c r="CY22" s="741"/>
      <c r="CZ22" s="741"/>
      <c r="DA22" s="741"/>
      <c r="DB22" s="741"/>
      <c r="DC22" s="741"/>
      <c r="DD22" s="741"/>
      <c r="DE22" s="741"/>
      <c r="DF22" s="741"/>
      <c r="DG22" s="741"/>
      <c r="DH22" s="741"/>
      <c r="DI22" s="741"/>
      <c r="DJ22" s="741"/>
      <c r="DK22" s="741"/>
      <c r="DL22" s="741"/>
      <c r="DM22" s="741"/>
      <c r="DN22" s="741"/>
      <c r="DO22" s="741"/>
    </row>
    <row r="23" spans="1:147" s="745" customFormat="1">
      <c r="A23" s="742"/>
      <c r="B23" s="743"/>
      <c r="C23" s="264" t="s">
        <v>86</v>
      </c>
      <c r="D23" s="267" t="s">
        <v>13</v>
      </c>
      <c r="E23" s="267">
        <v>0.89</v>
      </c>
      <c r="F23" s="385">
        <f>E23*F22</f>
        <v>2.7056</v>
      </c>
      <c r="G23" s="267"/>
      <c r="H23" s="385"/>
      <c r="I23" s="385"/>
      <c r="J23" s="385"/>
      <c r="K23" s="267"/>
      <c r="L23" s="385"/>
      <c r="M23" s="385"/>
      <c r="N23" s="744"/>
      <c r="O23" s="744"/>
      <c r="P23" s="744"/>
      <c r="Q23" s="744"/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4"/>
      <c r="AH23" s="744"/>
      <c r="AI23" s="744"/>
      <c r="AJ23" s="744"/>
      <c r="AK23" s="744"/>
      <c r="AL23" s="744"/>
      <c r="AM23" s="744"/>
      <c r="AN23" s="744"/>
      <c r="AO23" s="744"/>
      <c r="AP23" s="744"/>
      <c r="AQ23" s="744"/>
      <c r="AR23" s="744"/>
      <c r="AS23" s="744"/>
      <c r="AT23" s="744"/>
      <c r="AU23" s="744"/>
      <c r="AV23" s="744"/>
      <c r="AW23" s="744"/>
      <c r="AX23" s="744"/>
      <c r="AY23" s="744"/>
      <c r="AZ23" s="744"/>
      <c r="BA23" s="744"/>
      <c r="BB23" s="744"/>
      <c r="BC23" s="744"/>
      <c r="BD23" s="744"/>
      <c r="BE23" s="744"/>
      <c r="BF23" s="744"/>
      <c r="BG23" s="744"/>
      <c r="BH23" s="744"/>
      <c r="BI23" s="744"/>
      <c r="BJ23" s="744"/>
      <c r="BK23" s="744"/>
      <c r="BL23" s="744"/>
      <c r="BM23" s="744"/>
      <c r="BN23" s="744"/>
      <c r="BO23" s="744"/>
      <c r="BP23" s="744"/>
      <c r="BQ23" s="744"/>
      <c r="BR23" s="744"/>
      <c r="BS23" s="744"/>
      <c r="BT23" s="744"/>
      <c r="BU23" s="744"/>
      <c r="BV23" s="744"/>
      <c r="BW23" s="744"/>
      <c r="BX23" s="744"/>
      <c r="BY23" s="744"/>
      <c r="BZ23" s="744"/>
      <c r="CA23" s="744"/>
      <c r="CB23" s="744"/>
      <c r="CC23" s="744"/>
      <c r="CD23" s="744"/>
      <c r="CE23" s="744"/>
      <c r="CF23" s="744"/>
      <c r="CG23" s="744"/>
      <c r="CH23" s="744"/>
      <c r="CI23" s="744"/>
      <c r="CJ23" s="744"/>
      <c r="CK23" s="744"/>
      <c r="CL23" s="744"/>
      <c r="CM23" s="744"/>
      <c r="CN23" s="744"/>
      <c r="CO23" s="744"/>
      <c r="CP23" s="744"/>
      <c r="CQ23" s="744"/>
      <c r="CR23" s="744"/>
      <c r="CS23" s="744"/>
      <c r="CT23" s="744"/>
      <c r="CU23" s="744"/>
      <c r="CV23" s="744"/>
      <c r="CW23" s="744"/>
      <c r="CX23" s="744"/>
      <c r="CY23" s="744"/>
      <c r="CZ23" s="744"/>
      <c r="DA23" s="744"/>
      <c r="DB23" s="744"/>
      <c r="DC23" s="744"/>
      <c r="DD23" s="744"/>
      <c r="DE23" s="744"/>
      <c r="DF23" s="744"/>
      <c r="DG23" s="744"/>
      <c r="DH23" s="744"/>
      <c r="DI23" s="744"/>
      <c r="DJ23" s="744"/>
      <c r="DK23" s="744"/>
      <c r="DL23" s="744"/>
      <c r="DM23" s="744"/>
      <c r="DN23" s="744"/>
      <c r="DO23" s="744"/>
      <c r="DP23" s="744"/>
      <c r="DQ23" s="744"/>
      <c r="DR23" s="744"/>
      <c r="DS23" s="744"/>
      <c r="DT23" s="744"/>
      <c r="DU23" s="744"/>
      <c r="DV23" s="744"/>
      <c r="DW23" s="744"/>
      <c r="DX23" s="744"/>
      <c r="DY23" s="744"/>
      <c r="DZ23" s="744"/>
      <c r="EA23" s="744"/>
    </row>
    <row r="24" spans="1:147" s="745" customFormat="1">
      <c r="A24" s="742"/>
      <c r="B24" s="746"/>
      <c r="C24" s="403" t="s">
        <v>97</v>
      </c>
      <c r="D24" s="267" t="s">
        <v>16</v>
      </c>
      <c r="E24" s="265">
        <v>0.37</v>
      </c>
      <c r="F24" s="266">
        <f>E24*F22</f>
        <v>1.1248</v>
      </c>
      <c r="G24" s="265"/>
      <c r="H24" s="266"/>
      <c r="I24" s="266"/>
      <c r="J24" s="265"/>
      <c r="K24" s="265"/>
      <c r="L24" s="385"/>
      <c r="M24" s="385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744"/>
      <c r="AL24" s="744"/>
      <c r="AM24" s="744"/>
      <c r="AN24" s="744"/>
      <c r="AO24" s="744"/>
      <c r="AP24" s="744"/>
      <c r="AQ24" s="744"/>
      <c r="AR24" s="744"/>
      <c r="AS24" s="744"/>
      <c r="AT24" s="744"/>
      <c r="AU24" s="744"/>
      <c r="AV24" s="744"/>
      <c r="AW24" s="744"/>
      <c r="AX24" s="744"/>
      <c r="AY24" s="744"/>
      <c r="AZ24" s="744"/>
      <c r="BA24" s="744"/>
      <c r="BB24" s="744"/>
      <c r="BC24" s="744"/>
      <c r="BD24" s="744"/>
      <c r="BE24" s="744"/>
      <c r="BF24" s="744"/>
      <c r="BG24" s="744"/>
      <c r="BH24" s="744"/>
      <c r="BI24" s="744"/>
      <c r="BJ24" s="744"/>
      <c r="BK24" s="744"/>
      <c r="BL24" s="744"/>
      <c r="BM24" s="744"/>
      <c r="BN24" s="744"/>
      <c r="BO24" s="744"/>
      <c r="BP24" s="744"/>
      <c r="BQ24" s="744"/>
      <c r="BR24" s="744"/>
      <c r="BS24" s="744"/>
      <c r="BT24" s="744"/>
      <c r="BU24" s="744"/>
      <c r="BV24" s="744"/>
      <c r="BW24" s="744"/>
      <c r="BX24" s="744"/>
      <c r="BY24" s="744"/>
      <c r="BZ24" s="744"/>
      <c r="CA24" s="744"/>
      <c r="CB24" s="744"/>
      <c r="CC24" s="744"/>
      <c r="CD24" s="744"/>
      <c r="CE24" s="744"/>
      <c r="CF24" s="744"/>
      <c r="CG24" s="744"/>
      <c r="CH24" s="744"/>
      <c r="CI24" s="744"/>
      <c r="CJ24" s="744"/>
      <c r="CK24" s="744"/>
      <c r="CL24" s="744"/>
      <c r="CM24" s="744"/>
      <c r="CN24" s="744"/>
      <c r="CO24" s="744"/>
      <c r="CP24" s="744"/>
      <c r="CQ24" s="744"/>
      <c r="CR24" s="744"/>
      <c r="CS24" s="744"/>
      <c r="CT24" s="744"/>
      <c r="CU24" s="744"/>
      <c r="CV24" s="744"/>
      <c r="CW24" s="744"/>
      <c r="CX24" s="744"/>
      <c r="CY24" s="744"/>
      <c r="CZ24" s="744"/>
      <c r="DA24" s="744"/>
      <c r="DB24" s="744"/>
      <c r="DC24" s="744"/>
      <c r="DD24" s="744"/>
      <c r="DE24" s="744"/>
      <c r="DF24" s="744"/>
      <c r="DG24" s="744"/>
      <c r="DH24" s="744"/>
      <c r="DI24" s="744"/>
      <c r="DJ24" s="744"/>
      <c r="DK24" s="744"/>
      <c r="DL24" s="744"/>
      <c r="DM24" s="744"/>
      <c r="DN24" s="744"/>
      <c r="DO24" s="744"/>
      <c r="DP24" s="744"/>
      <c r="DQ24" s="744"/>
      <c r="DR24" s="744"/>
      <c r="DS24" s="744"/>
      <c r="DT24" s="744"/>
      <c r="DU24" s="744"/>
      <c r="DV24" s="744"/>
      <c r="DW24" s="744"/>
      <c r="DX24" s="744"/>
      <c r="DY24" s="744"/>
      <c r="DZ24" s="744"/>
      <c r="EA24" s="744"/>
    </row>
    <row r="25" spans="1:147" s="745" customFormat="1">
      <c r="A25" s="742"/>
      <c r="B25" s="746" t="s">
        <v>674</v>
      </c>
      <c r="C25" s="747" t="s">
        <v>277</v>
      </c>
      <c r="D25" s="742" t="s">
        <v>44</v>
      </c>
      <c r="E25" s="722">
        <v>1.1499999999999999</v>
      </c>
      <c r="F25" s="748">
        <f>F22*E25</f>
        <v>3.4959999999999996</v>
      </c>
      <c r="G25" s="749"/>
      <c r="H25" s="750"/>
      <c r="I25" s="750"/>
      <c r="J25" s="750"/>
      <c r="K25" s="750"/>
      <c r="L25" s="750"/>
      <c r="M25" s="722"/>
      <c r="N25" s="744"/>
      <c r="O25" s="744"/>
      <c r="P25" s="744"/>
      <c r="Q25" s="744"/>
      <c r="R25" s="744"/>
      <c r="S25" s="744"/>
      <c r="T25" s="744"/>
      <c r="U25" s="744"/>
      <c r="V25" s="744"/>
      <c r="W25" s="744"/>
      <c r="X25" s="744"/>
      <c r="Y25" s="744"/>
      <c r="Z25" s="744"/>
      <c r="AA25" s="744"/>
      <c r="AB25" s="744"/>
      <c r="AC25" s="744"/>
      <c r="AD25" s="744"/>
      <c r="AE25" s="744"/>
      <c r="AF25" s="744"/>
      <c r="AG25" s="744"/>
      <c r="AH25" s="744"/>
      <c r="AI25" s="744"/>
      <c r="AJ25" s="744"/>
      <c r="AK25" s="744"/>
      <c r="AL25" s="744"/>
      <c r="AM25" s="744"/>
      <c r="AN25" s="744"/>
      <c r="AO25" s="744"/>
      <c r="AP25" s="744"/>
      <c r="AQ25" s="744"/>
      <c r="AR25" s="744"/>
      <c r="AS25" s="744"/>
      <c r="AT25" s="744"/>
      <c r="AU25" s="744"/>
      <c r="AV25" s="744"/>
      <c r="AW25" s="744"/>
      <c r="AX25" s="744"/>
      <c r="AY25" s="744"/>
      <c r="AZ25" s="744"/>
      <c r="BA25" s="744"/>
      <c r="BB25" s="744"/>
      <c r="BC25" s="744"/>
      <c r="BD25" s="744"/>
      <c r="BE25" s="744"/>
      <c r="BF25" s="744"/>
      <c r="BG25" s="744"/>
      <c r="BH25" s="744"/>
      <c r="BI25" s="744"/>
      <c r="BJ25" s="744"/>
      <c r="BK25" s="744"/>
      <c r="BL25" s="744"/>
      <c r="BM25" s="744"/>
      <c r="BN25" s="744"/>
      <c r="BO25" s="744"/>
      <c r="BP25" s="744"/>
      <c r="BQ25" s="744"/>
      <c r="BR25" s="744"/>
      <c r="BS25" s="744"/>
      <c r="BT25" s="744"/>
      <c r="BU25" s="744"/>
      <c r="BV25" s="744"/>
      <c r="BW25" s="744"/>
      <c r="BX25" s="744"/>
      <c r="BY25" s="744"/>
      <c r="BZ25" s="744"/>
      <c r="CA25" s="744"/>
      <c r="CB25" s="744"/>
      <c r="CC25" s="744"/>
      <c r="CD25" s="744"/>
      <c r="CE25" s="744"/>
      <c r="CF25" s="744"/>
      <c r="CG25" s="744"/>
      <c r="CH25" s="744"/>
      <c r="CI25" s="744"/>
      <c r="CJ25" s="744"/>
      <c r="CK25" s="744"/>
      <c r="CL25" s="744"/>
      <c r="CM25" s="744"/>
      <c r="CN25" s="744"/>
      <c r="CO25" s="744"/>
      <c r="CP25" s="744"/>
      <c r="CQ25" s="744"/>
      <c r="CR25" s="744"/>
      <c r="CS25" s="744"/>
      <c r="CT25" s="744"/>
      <c r="CU25" s="744"/>
      <c r="CV25" s="744"/>
      <c r="CW25" s="744"/>
      <c r="CX25" s="744"/>
      <c r="CY25" s="744"/>
      <c r="CZ25" s="744"/>
      <c r="DA25" s="744"/>
      <c r="DB25" s="744"/>
      <c r="DC25" s="744"/>
      <c r="DD25" s="744"/>
      <c r="DE25" s="744"/>
      <c r="DF25" s="744"/>
      <c r="DG25" s="744"/>
      <c r="DH25" s="744"/>
      <c r="DI25" s="744"/>
      <c r="DJ25" s="744"/>
      <c r="DK25" s="744"/>
      <c r="DL25" s="744"/>
      <c r="DM25" s="744"/>
      <c r="DN25" s="744"/>
      <c r="DO25" s="744"/>
      <c r="DP25" s="744"/>
      <c r="DQ25" s="744"/>
      <c r="DR25" s="744"/>
      <c r="DS25" s="744"/>
      <c r="DT25" s="744"/>
      <c r="DU25" s="744"/>
      <c r="DV25" s="744"/>
      <c r="DW25" s="744"/>
      <c r="DX25" s="744"/>
      <c r="DY25" s="744"/>
      <c r="DZ25" s="744"/>
      <c r="EA25" s="744"/>
    </row>
    <row r="26" spans="1:147" s="745" customFormat="1">
      <c r="A26" s="742"/>
      <c r="B26" s="746"/>
      <c r="C26" s="747" t="s">
        <v>89</v>
      </c>
      <c r="D26" s="742" t="s">
        <v>16</v>
      </c>
      <c r="E26" s="722">
        <v>0.02</v>
      </c>
      <c r="F26" s="748">
        <f>F22*E26</f>
        <v>6.08E-2</v>
      </c>
      <c r="G26" s="749"/>
      <c r="H26" s="750"/>
      <c r="I26" s="750"/>
      <c r="J26" s="750"/>
      <c r="K26" s="750"/>
      <c r="L26" s="750"/>
      <c r="M26" s="722"/>
      <c r="N26" s="744"/>
      <c r="O26" s="744"/>
      <c r="P26" s="744"/>
      <c r="Q26" s="744"/>
      <c r="R26" s="744"/>
      <c r="S26" s="744"/>
      <c r="T26" s="744"/>
      <c r="U26" s="744"/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744"/>
      <c r="AK26" s="744"/>
      <c r="AL26" s="744"/>
      <c r="AM26" s="744"/>
      <c r="AN26" s="744"/>
      <c r="AO26" s="744"/>
      <c r="AP26" s="744"/>
      <c r="AQ26" s="744"/>
      <c r="AR26" s="744"/>
      <c r="AS26" s="744"/>
      <c r="AT26" s="744"/>
      <c r="AU26" s="744"/>
      <c r="AV26" s="744"/>
      <c r="AW26" s="744"/>
      <c r="AX26" s="744"/>
      <c r="AY26" s="744"/>
      <c r="AZ26" s="744"/>
      <c r="BA26" s="744"/>
      <c r="BB26" s="744"/>
      <c r="BC26" s="744"/>
      <c r="BD26" s="744"/>
      <c r="BE26" s="744"/>
      <c r="BF26" s="744"/>
      <c r="BG26" s="744"/>
      <c r="BH26" s="744"/>
      <c r="BI26" s="744"/>
      <c r="BJ26" s="744"/>
      <c r="BK26" s="744"/>
      <c r="BL26" s="744"/>
      <c r="BM26" s="744"/>
      <c r="BN26" s="744"/>
      <c r="BO26" s="744"/>
      <c r="BP26" s="744"/>
      <c r="BQ26" s="744"/>
      <c r="BR26" s="744"/>
      <c r="BS26" s="744"/>
      <c r="BT26" s="744"/>
      <c r="BU26" s="744"/>
      <c r="BV26" s="744"/>
      <c r="BW26" s="744"/>
      <c r="BX26" s="744"/>
      <c r="BY26" s="744"/>
      <c r="BZ26" s="744"/>
      <c r="CA26" s="744"/>
      <c r="CB26" s="744"/>
      <c r="CC26" s="744"/>
      <c r="CD26" s="744"/>
      <c r="CE26" s="744"/>
      <c r="CF26" s="744"/>
      <c r="CG26" s="744"/>
      <c r="CH26" s="744"/>
      <c r="CI26" s="744"/>
      <c r="CJ26" s="744"/>
      <c r="CK26" s="744"/>
      <c r="CL26" s="744"/>
      <c r="CM26" s="744"/>
      <c r="CN26" s="744"/>
      <c r="CO26" s="744"/>
      <c r="CP26" s="744"/>
      <c r="CQ26" s="744"/>
      <c r="CR26" s="744"/>
      <c r="CS26" s="744"/>
      <c r="CT26" s="744"/>
      <c r="CU26" s="744"/>
      <c r="CV26" s="744"/>
      <c r="CW26" s="744"/>
      <c r="CX26" s="744"/>
      <c r="CY26" s="744"/>
      <c r="CZ26" s="744"/>
      <c r="DA26" s="744"/>
      <c r="DB26" s="744"/>
      <c r="DC26" s="744"/>
      <c r="DD26" s="744"/>
      <c r="DE26" s="744"/>
      <c r="DF26" s="744"/>
      <c r="DG26" s="744"/>
      <c r="DH26" s="744"/>
      <c r="DI26" s="744"/>
      <c r="DJ26" s="744"/>
      <c r="DK26" s="744"/>
      <c r="DL26" s="744"/>
      <c r="DM26" s="744"/>
      <c r="DN26" s="744"/>
      <c r="DO26" s="744"/>
      <c r="DP26" s="744"/>
      <c r="DQ26" s="744"/>
      <c r="DR26" s="744"/>
      <c r="DS26" s="744"/>
      <c r="DT26" s="744"/>
      <c r="DU26" s="744"/>
      <c r="DV26" s="744"/>
      <c r="DW26" s="744"/>
      <c r="DX26" s="744"/>
      <c r="DY26" s="744"/>
      <c r="DZ26" s="744"/>
      <c r="EA26" s="744"/>
    </row>
    <row r="27" spans="1:147" s="745" customFormat="1">
      <c r="A27" s="509">
        <v>6</v>
      </c>
      <c r="B27" s="563" t="s">
        <v>278</v>
      </c>
      <c r="C27" s="751" t="s">
        <v>279</v>
      </c>
      <c r="D27" s="492" t="s">
        <v>44</v>
      </c>
      <c r="E27" s="721"/>
      <c r="F27" s="721">
        <v>1.26</v>
      </c>
      <c r="G27" s="722"/>
      <c r="H27" s="722"/>
      <c r="I27" s="722"/>
      <c r="J27" s="722"/>
      <c r="K27" s="722"/>
      <c r="L27" s="722"/>
      <c r="M27" s="721"/>
      <c r="N27" s="741"/>
      <c r="O27" s="741"/>
      <c r="P27" s="741"/>
      <c r="Q27" s="741"/>
      <c r="R27" s="741"/>
      <c r="S27" s="741"/>
      <c r="T27" s="741"/>
      <c r="U27" s="741"/>
      <c r="V27" s="741"/>
      <c r="W27" s="741"/>
      <c r="X27" s="741"/>
      <c r="Y27" s="741"/>
      <c r="Z27" s="741"/>
      <c r="AA27" s="741"/>
      <c r="AB27" s="741"/>
      <c r="AC27" s="741"/>
      <c r="AD27" s="741"/>
      <c r="AE27" s="741"/>
      <c r="AF27" s="741"/>
      <c r="AG27" s="741"/>
      <c r="AH27" s="741"/>
      <c r="AI27" s="741"/>
      <c r="AJ27" s="741"/>
      <c r="AK27" s="741"/>
      <c r="AL27" s="741"/>
      <c r="AM27" s="741"/>
      <c r="AN27" s="741"/>
      <c r="AO27" s="741"/>
      <c r="AP27" s="741"/>
      <c r="AQ27" s="741"/>
      <c r="AR27" s="741"/>
      <c r="AS27" s="741"/>
      <c r="AT27" s="741"/>
      <c r="AU27" s="741"/>
      <c r="AV27" s="741"/>
      <c r="AW27" s="741"/>
      <c r="AX27" s="741"/>
      <c r="AY27" s="741"/>
      <c r="AZ27" s="741"/>
      <c r="BA27" s="741"/>
      <c r="BB27" s="741"/>
      <c r="BC27" s="741"/>
      <c r="BD27" s="741"/>
      <c r="BE27" s="741"/>
      <c r="BF27" s="741"/>
      <c r="BG27" s="741"/>
      <c r="BH27" s="741"/>
      <c r="BI27" s="741"/>
      <c r="BJ27" s="741"/>
      <c r="BK27" s="741"/>
      <c r="BL27" s="741"/>
      <c r="BM27" s="741"/>
      <c r="BN27" s="741"/>
      <c r="BO27" s="741"/>
      <c r="BP27" s="741"/>
      <c r="BQ27" s="741"/>
      <c r="BR27" s="741"/>
      <c r="BS27" s="741"/>
      <c r="BT27" s="741"/>
      <c r="BU27" s="741"/>
      <c r="BV27" s="741"/>
      <c r="BW27" s="741"/>
      <c r="BX27" s="741"/>
      <c r="BY27" s="741"/>
      <c r="BZ27" s="741"/>
      <c r="CA27" s="741"/>
      <c r="CB27" s="741"/>
      <c r="CC27" s="741"/>
      <c r="CD27" s="741"/>
      <c r="CE27" s="741"/>
      <c r="CF27" s="741"/>
      <c r="CG27" s="741"/>
      <c r="CH27" s="741"/>
      <c r="CI27" s="741"/>
      <c r="CJ27" s="741"/>
      <c r="CK27" s="741"/>
      <c r="CL27" s="741"/>
      <c r="CM27" s="741"/>
      <c r="CN27" s="741"/>
      <c r="CO27" s="741"/>
      <c r="CP27" s="741"/>
      <c r="CQ27" s="741"/>
      <c r="CR27" s="741"/>
      <c r="CS27" s="741"/>
      <c r="CT27" s="741"/>
      <c r="CU27" s="741"/>
      <c r="CV27" s="741"/>
      <c r="CW27" s="741"/>
      <c r="CX27" s="741"/>
      <c r="CY27" s="741"/>
      <c r="CZ27" s="741"/>
      <c r="DA27" s="741"/>
      <c r="DB27" s="741"/>
      <c r="DC27" s="741"/>
      <c r="DD27" s="741"/>
      <c r="DE27" s="741"/>
      <c r="DF27" s="741"/>
      <c r="DG27" s="741"/>
      <c r="DH27" s="741"/>
      <c r="DI27" s="741"/>
      <c r="DJ27" s="741"/>
      <c r="DK27" s="741"/>
    </row>
    <row r="28" spans="1:147" s="745" customFormat="1">
      <c r="A28" s="494"/>
      <c r="B28" s="635"/>
      <c r="C28" s="738" t="s">
        <v>280</v>
      </c>
      <c r="D28" s="724" t="s">
        <v>63</v>
      </c>
      <c r="E28" s="722">
        <f>137/100</f>
        <v>1.37</v>
      </c>
      <c r="F28" s="722">
        <f>F27*E28</f>
        <v>1.7262000000000002</v>
      </c>
      <c r="G28" s="722"/>
      <c r="H28" s="722"/>
      <c r="I28" s="722"/>
      <c r="J28" s="722"/>
      <c r="K28" s="722"/>
      <c r="L28" s="722"/>
      <c r="M28" s="72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752"/>
      <c r="Y28" s="752"/>
      <c r="Z28" s="752"/>
      <c r="AA28" s="752"/>
      <c r="AB28" s="752"/>
      <c r="AC28" s="752"/>
      <c r="AD28" s="752"/>
      <c r="AE28" s="752"/>
      <c r="AF28" s="752"/>
      <c r="AG28" s="752"/>
      <c r="AH28" s="752"/>
      <c r="AI28" s="752"/>
      <c r="AJ28" s="752"/>
      <c r="AK28" s="752"/>
      <c r="AL28" s="752"/>
      <c r="AM28" s="752"/>
      <c r="AN28" s="752"/>
      <c r="AO28" s="752"/>
      <c r="AP28" s="752"/>
      <c r="AQ28" s="752"/>
      <c r="AR28" s="752"/>
      <c r="AS28" s="752"/>
      <c r="AT28" s="752"/>
      <c r="AU28" s="752"/>
      <c r="AV28" s="752"/>
      <c r="AW28" s="752"/>
      <c r="AX28" s="752"/>
      <c r="AY28" s="752"/>
      <c r="AZ28" s="752"/>
      <c r="BA28" s="752"/>
      <c r="BB28" s="752"/>
      <c r="BC28" s="752"/>
      <c r="BD28" s="752"/>
      <c r="BE28" s="752"/>
      <c r="BF28" s="752"/>
      <c r="BG28" s="752"/>
      <c r="BH28" s="752"/>
      <c r="BI28" s="752"/>
      <c r="BJ28" s="752"/>
      <c r="BK28" s="752"/>
      <c r="BL28" s="752"/>
      <c r="BM28" s="752"/>
      <c r="BN28" s="752"/>
      <c r="BO28" s="752"/>
      <c r="BP28" s="752"/>
      <c r="BQ28" s="752"/>
      <c r="BR28" s="752"/>
      <c r="BS28" s="752"/>
      <c r="BT28" s="752"/>
      <c r="BU28" s="752"/>
      <c r="BV28" s="752"/>
      <c r="BW28" s="752"/>
      <c r="BX28" s="752"/>
      <c r="BY28" s="752"/>
      <c r="BZ28" s="752"/>
      <c r="CA28" s="752"/>
      <c r="CB28" s="752"/>
      <c r="CC28" s="752"/>
      <c r="CD28" s="752"/>
      <c r="CE28" s="752"/>
      <c r="CF28" s="752"/>
      <c r="CG28" s="752"/>
      <c r="CH28" s="752"/>
      <c r="CI28" s="752"/>
      <c r="CJ28" s="752"/>
      <c r="CK28" s="752"/>
      <c r="CL28" s="752"/>
      <c r="CM28" s="752"/>
      <c r="CN28" s="752"/>
      <c r="CO28" s="752"/>
      <c r="CP28" s="752"/>
      <c r="CQ28" s="752"/>
      <c r="CR28" s="752"/>
      <c r="CS28" s="752"/>
      <c r="CT28" s="752"/>
      <c r="CU28" s="752"/>
      <c r="CV28" s="752"/>
      <c r="CW28" s="752"/>
      <c r="CX28" s="752"/>
      <c r="CY28" s="752"/>
      <c r="CZ28" s="752"/>
      <c r="DA28" s="752"/>
      <c r="DB28" s="752"/>
      <c r="DC28" s="752"/>
      <c r="DD28" s="752"/>
      <c r="DE28" s="752"/>
      <c r="DF28" s="752"/>
      <c r="DG28" s="752"/>
      <c r="DH28" s="752"/>
      <c r="DI28" s="752"/>
      <c r="DJ28" s="752"/>
      <c r="DK28" s="752"/>
      <c r="DL28" s="752"/>
      <c r="DM28" s="752"/>
      <c r="DN28" s="752"/>
      <c r="DO28" s="752"/>
      <c r="DP28" s="752"/>
      <c r="DQ28" s="752"/>
      <c r="DR28" s="752"/>
      <c r="DS28" s="752"/>
      <c r="DT28" s="752"/>
      <c r="DU28" s="752"/>
      <c r="DV28" s="752"/>
      <c r="DW28" s="752"/>
      <c r="DX28" s="752"/>
      <c r="DY28" s="752"/>
      <c r="DZ28" s="752"/>
      <c r="EA28" s="752"/>
    </row>
    <row r="29" spans="1:147" s="745" customFormat="1">
      <c r="A29" s="492"/>
      <c r="B29" s="729"/>
      <c r="C29" s="730" t="s">
        <v>273</v>
      </c>
      <c r="D29" s="724" t="s">
        <v>46</v>
      </c>
      <c r="E29" s="753">
        <f>28.3/100</f>
        <v>0.28300000000000003</v>
      </c>
      <c r="F29" s="392">
        <f>F27*E29</f>
        <v>0.35658000000000006</v>
      </c>
      <c r="G29" s="722"/>
      <c r="H29" s="722"/>
      <c r="I29" s="722"/>
      <c r="J29" s="722"/>
      <c r="K29" s="722"/>
      <c r="L29" s="722"/>
      <c r="M29" s="722"/>
      <c r="N29" s="732"/>
      <c r="O29" s="732"/>
      <c r="P29" s="732"/>
      <c r="Q29" s="732"/>
      <c r="R29" s="732"/>
      <c r="S29" s="732"/>
      <c r="T29" s="732"/>
      <c r="U29" s="732"/>
      <c r="V29" s="732"/>
      <c r="W29" s="732"/>
      <c r="X29" s="732"/>
      <c r="Y29" s="732"/>
      <c r="Z29" s="732"/>
      <c r="AA29" s="732"/>
      <c r="AB29" s="732"/>
      <c r="AC29" s="732"/>
      <c r="AD29" s="732"/>
      <c r="AE29" s="732"/>
      <c r="AF29" s="732"/>
      <c r="AG29" s="732"/>
      <c r="AH29" s="732"/>
      <c r="AI29" s="732"/>
      <c r="AJ29" s="732"/>
      <c r="AK29" s="732"/>
      <c r="AL29" s="732"/>
      <c r="AM29" s="732"/>
      <c r="AN29" s="732"/>
      <c r="AO29" s="732"/>
      <c r="AP29" s="732"/>
      <c r="AQ29" s="732"/>
      <c r="AR29" s="732"/>
      <c r="AS29" s="732"/>
      <c r="AT29" s="732"/>
      <c r="AU29" s="732"/>
      <c r="AV29" s="732"/>
      <c r="AW29" s="732"/>
      <c r="AX29" s="732"/>
      <c r="AY29" s="732"/>
      <c r="AZ29" s="732"/>
      <c r="BA29" s="732"/>
      <c r="BB29" s="732"/>
      <c r="BC29" s="732"/>
      <c r="BD29" s="732"/>
      <c r="BE29" s="732"/>
      <c r="BF29" s="732"/>
      <c r="BG29" s="732"/>
      <c r="BH29" s="732"/>
      <c r="BI29" s="732"/>
      <c r="BJ29" s="732"/>
      <c r="BK29" s="732"/>
      <c r="BL29" s="732"/>
      <c r="BM29" s="732"/>
      <c r="BN29" s="732"/>
      <c r="BO29" s="732"/>
      <c r="BP29" s="732"/>
      <c r="BQ29" s="732"/>
      <c r="BR29" s="732"/>
      <c r="BS29" s="732"/>
      <c r="BT29" s="732"/>
      <c r="BU29" s="732"/>
      <c r="BV29" s="732"/>
      <c r="BW29" s="732"/>
      <c r="BX29" s="732"/>
      <c r="BY29" s="732"/>
      <c r="BZ29" s="732"/>
      <c r="CA29" s="732"/>
      <c r="CB29" s="732"/>
      <c r="CC29" s="732"/>
      <c r="CD29" s="732"/>
      <c r="CE29" s="732"/>
      <c r="CF29" s="732"/>
      <c r="CG29" s="732"/>
      <c r="CH29" s="732"/>
      <c r="CI29" s="732"/>
      <c r="CJ29" s="732"/>
      <c r="CK29" s="732"/>
      <c r="CL29" s="732"/>
      <c r="CM29" s="732"/>
      <c r="CN29" s="732"/>
      <c r="CO29" s="732"/>
      <c r="CP29" s="732"/>
      <c r="CQ29" s="732"/>
      <c r="CR29" s="732"/>
      <c r="CS29" s="732"/>
      <c r="CT29" s="732"/>
      <c r="CU29" s="732"/>
      <c r="CV29" s="732"/>
      <c r="CW29" s="732"/>
      <c r="CX29" s="732"/>
      <c r="CY29" s="732"/>
      <c r="CZ29" s="732"/>
      <c r="DA29" s="732"/>
      <c r="DB29" s="732"/>
      <c r="DC29" s="732"/>
      <c r="DD29" s="732"/>
      <c r="DE29" s="732"/>
      <c r="DF29" s="732"/>
      <c r="DG29" s="732"/>
      <c r="DH29" s="732"/>
      <c r="DI29" s="732"/>
      <c r="DJ29" s="732"/>
      <c r="DK29" s="732"/>
      <c r="DL29" s="732"/>
      <c r="DM29" s="732"/>
      <c r="DN29" s="732"/>
      <c r="DO29" s="732"/>
      <c r="DP29" s="732"/>
      <c r="DQ29" s="732"/>
      <c r="DR29" s="732"/>
      <c r="DS29" s="732"/>
      <c r="DT29" s="732"/>
      <c r="DU29" s="732"/>
      <c r="DV29" s="732"/>
      <c r="DW29" s="732"/>
      <c r="DX29" s="732"/>
      <c r="DY29" s="732"/>
      <c r="DZ29" s="732"/>
      <c r="EA29" s="732"/>
    </row>
    <row r="30" spans="1:147" s="745" customFormat="1">
      <c r="A30" s="509"/>
      <c r="B30" s="558" t="s">
        <v>628</v>
      </c>
      <c r="C30" s="754" t="s">
        <v>462</v>
      </c>
      <c r="D30" s="755" t="s">
        <v>44</v>
      </c>
      <c r="E30" s="722">
        <f>102/100</f>
        <v>1.02</v>
      </c>
      <c r="F30" s="722">
        <f>F27*E30</f>
        <v>1.2852000000000001</v>
      </c>
      <c r="G30" s="722"/>
      <c r="H30" s="750"/>
      <c r="I30" s="749"/>
      <c r="J30" s="749"/>
      <c r="K30" s="722"/>
      <c r="L30" s="722"/>
      <c r="M30" s="722"/>
      <c r="N30" s="752"/>
      <c r="O30" s="752"/>
      <c r="P30" s="752"/>
      <c r="Q30" s="752"/>
      <c r="R30" s="752"/>
      <c r="S30" s="752"/>
      <c r="T30" s="752"/>
      <c r="U30" s="752"/>
      <c r="V30" s="752"/>
      <c r="W30" s="752"/>
      <c r="X30" s="752"/>
      <c r="Y30" s="752"/>
      <c r="Z30" s="752"/>
      <c r="AA30" s="752"/>
      <c r="AB30" s="752"/>
      <c r="AC30" s="752"/>
      <c r="AD30" s="752"/>
      <c r="AE30" s="752"/>
      <c r="AF30" s="752"/>
      <c r="AG30" s="752"/>
      <c r="AH30" s="752"/>
      <c r="AI30" s="752"/>
      <c r="AJ30" s="752"/>
      <c r="AK30" s="752"/>
      <c r="AL30" s="752"/>
      <c r="AM30" s="752"/>
      <c r="AN30" s="752"/>
      <c r="AO30" s="752"/>
      <c r="AP30" s="752"/>
      <c r="AQ30" s="752"/>
      <c r="AR30" s="752"/>
      <c r="AS30" s="752"/>
      <c r="AT30" s="752"/>
      <c r="AU30" s="752"/>
      <c r="AV30" s="752"/>
      <c r="AW30" s="752"/>
      <c r="AX30" s="752"/>
      <c r="AY30" s="752"/>
      <c r="AZ30" s="752"/>
      <c r="BA30" s="752"/>
      <c r="BB30" s="752"/>
      <c r="BC30" s="752"/>
      <c r="BD30" s="752"/>
      <c r="BE30" s="752"/>
      <c r="BF30" s="752"/>
      <c r="BG30" s="752"/>
      <c r="BH30" s="752"/>
      <c r="BI30" s="752"/>
      <c r="BJ30" s="752"/>
      <c r="BK30" s="752"/>
      <c r="BL30" s="752"/>
      <c r="BM30" s="752"/>
      <c r="BN30" s="752"/>
      <c r="BO30" s="752"/>
      <c r="BP30" s="752"/>
      <c r="BQ30" s="752"/>
      <c r="BR30" s="752"/>
      <c r="BS30" s="752"/>
      <c r="BT30" s="752"/>
      <c r="BU30" s="752"/>
      <c r="BV30" s="752"/>
      <c r="BW30" s="752"/>
      <c r="BX30" s="752"/>
      <c r="BY30" s="752"/>
      <c r="BZ30" s="752"/>
      <c r="CA30" s="752"/>
      <c r="CB30" s="752"/>
      <c r="CC30" s="752"/>
      <c r="CD30" s="752"/>
      <c r="CE30" s="752"/>
      <c r="CF30" s="752"/>
      <c r="CG30" s="752"/>
      <c r="CH30" s="752"/>
      <c r="CI30" s="752"/>
      <c r="CJ30" s="752"/>
      <c r="CK30" s="752"/>
      <c r="CL30" s="752"/>
      <c r="CM30" s="752"/>
      <c r="CN30" s="752"/>
      <c r="CO30" s="752"/>
      <c r="CP30" s="752"/>
      <c r="CQ30" s="752"/>
      <c r="CR30" s="752"/>
      <c r="CS30" s="752"/>
      <c r="CT30" s="752"/>
      <c r="CU30" s="752"/>
      <c r="CV30" s="752"/>
      <c r="CW30" s="752"/>
      <c r="CX30" s="752"/>
      <c r="CY30" s="752"/>
      <c r="CZ30" s="752"/>
      <c r="DA30" s="752"/>
      <c r="DB30" s="752"/>
      <c r="DC30" s="752"/>
      <c r="DD30" s="752"/>
      <c r="DE30" s="752"/>
      <c r="DF30" s="752"/>
      <c r="DG30" s="752"/>
      <c r="DH30" s="752"/>
      <c r="DI30" s="752"/>
      <c r="DJ30" s="752"/>
      <c r="DK30" s="752"/>
      <c r="DL30" s="752"/>
      <c r="DM30" s="752"/>
      <c r="DN30" s="752"/>
      <c r="DO30" s="752"/>
      <c r="DP30" s="752"/>
      <c r="DQ30" s="752"/>
      <c r="DR30" s="752"/>
      <c r="DS30" s="752"/>
      <c r="DT30" s="752"/>
      <c r="DU30" s="752"/>
      <c r="DV30" s="752"/>
      <c r="DW30" s="752"/>
      <c r="DX30" s="752"/>
      <c r="DY30" s="752"/>
      <c r="DZ30" s="752"/>
      <c r="EA30" s="752"/>
    </row>
    <row r="31" spans="1:147" s="745" customFormat="1">
      <c r="A31" s="492"/>
      <c r="B31" s="635"/>
      <c r="C31" s="756" t="s">
        <v>281</v>
      </c>
      <c r="D31" s="494" t="s">
        <v>46</v>
      </c>
      <c r="E31" s="722">
        <f>62/100</f>
        <v>0.62</v>
      </c>
      <c r="F31" s="722">
        <f>F27*E31</f>
        <v>0.78120000000000001</v>
      </c>
      <c r="G31" s="749"/>
      <c r="H31" s="749"/>
      <c r="I31" s="749"/>
      <c r="J31" s="749"/>
      <c r="K31" s="722"/>
      <c r="L31" s="722"/>
      <c r="M31" s="72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752"/>
      <c r="Y31" s="752"/>
      <c r="Z31" s="752"/>
      <c r="AA31" s="752"/>
      <c r="AB31" s="752"/>
      <c r="AC31" s="752"/>
      <c r="AD31" s="752"/>
      <c r="AE31" s="752"/>
      <c r="AF31" s="752"/>
      <c r="AG31" s="752"/>
      <c r="AH31" s="752"/>
      <c r="AI31" s="752"/>
      <c r="AJ31" s="752"/>
      <c r="AK31" s="752"/>
      <c r="AL31" s="752"/>
      <c r="AM31" s="752"/>
      <c r="AN31" s="752"/>
      <c r="AO31" s="752"/>
      <c r="AP31" s="752"/>
      <c r="AQ31" s="752"/>
      <c r="AR31" s="752"/>
      <c r="AS31" s="752"/>
      <c r="AT31" s="752"/>
      <c r="AU31" s="752"/>
      <c r="AV31" s="752"/>
      <c r="AW31" s="752"/>
      <c r="AX31" s="752"/>
      <c r="AY31" s="752"/>
      <c r="AZ31" s="752"/>
      <c r="BA31" s="752"/>
      <c r="BB31" s="752"/>
      <c r="BC31" s="752"/>
      <c r="BD31" s="752"/>
      <c r="BE31" s="752"/>
      <c r="BF31" s="752"/>
      <c r="BG31" s="752"/>
      <c r="BH31" s="752"/>
      <c r="BI31" s="752"/>
      <c r="BJ31" s="752"/>
      <c r="BK31" s="752"/>
      <c r="BL31" s="752"/>
      <c r="BM31" s="752"/>
      <c r="BN31" s="752"/>
      <c r="BO31" s="752"/>
      <c r="BP31" s="752"/>
      <c r="BQ31" s="752"/>
      <c r="BR31" s="752"/>
      <c r="BS31" s="752"/>
      <c r="BT31" s="752"/>
      <c r="BU31" s="752"/>
      <c r="BV31" s="752"/>
      <c r="BW31" s="752"/>
      <c r="BX31" s="752"/>
      <c r="BY31" s="752"/>
      <c r="BZ31" s="752"/>
      <c r="CA31" s="752"/>
      <c r="CB31" s="752"/>
      <c r="CC31" s="752"/>
      <c r="CD31" s="752"/>
      <c r="CE31" s="752"/>
      <c r="CF31" s="752"/>
      <c r="CG31" s="752"/>
      <c r="CH31" s="752"/>
      <c r="CI31" s="752"/>
      <c r="CJ31" s="752"/>
      <c r="CK31" s="752"/>
      <c r="CL31" s="752"/>
      <c r="CM31" s="752"/>
      <c r="CN31" s="752"/>
      <c r="CO31" s="752"/>
      <c r="CP31" s="752"/>
      <c r="CQ31" s="752"/>
      <c r="CR31" s="752"/>
      <c r="CS31" s="752"/>
      <c r="CT31" s="752"/>
      <c r="CU31" s="752"/>
      <c r="CV31" s="752"/>
      <c r="CW31" s="752"/>
      <c r="CX31" s="752"/>
      <c r="CY31" s="752"/>
      <c r="CZ31" s="752"/>
      <c r="DA31" s="752"/>
      <c r="DB31" s="752"/>
      <c r="DC31" s="752"/>
      <c r="DD31" s="752"/>
      <c r="DE31" s="752"/>
      <c r="DF31" s="752"/>
      <c r="DG31" s="752"/>
      <c r="DH31" s="752"/>
      <c r="DI31" s="752"/>
      <c r="DJ31" s="752"/>
      <c r="DK31" s="752"/>
      <c r="DL31" s="752"/>
      <c r="DM31" s="752"/>
      <c r="DN31" s="752"/>
      <c r="DO31" s="752"/>
      <c r="DP31" s="752"/>
      <c r="DQ31" s="752"/>
      <c r="DR31" s="752"/>
      <c r="DS31" s="752"/>
      <c r="DT31" s="752"/>
      <c r="DU31" s="752"/>
      <c r="DV31" s="752"/>
      <c r="DW31" s="752"/>
      <c r="DX31" s="752"/>
      <c r="DY31" s="752"/>
      <c r="DZ31" s="752"/>
      <c r="EA31" s="752"/>
    </row>
    <row r="32" spans="1:147" s="717" customFormat="1">
      <c r="A32" s="718">
        <v>7</v>
      </c>
      <c r="B32" s="627" t="s">
        <v>282</v>
      </c>
      <c r="C32" s="751" t="s">
        <v>283</v>
      </c>
      <c r="D32" s="492" t="s">
        <v>44</v>
      </c>
      <c r="E32" s="748"/>
      <c r="F32" s="721">
        <v>2.78</v>
      </c>
      <c r="G32" s="722"/>
      <c r="H32" s="722"/>
      <c r="I32" s="722"/>
      <c r="J32" s="722"/>
      <c r="K32" s="722"/>
      <c r="L32" s="722"/>
      <c r="M32" s="721"/>
      <c r="N32" s="745"/>
      <c r="O32" s="745"/>
      <c r="P32" s="745"/>
      <c r="Q32" s="745"/>
      <c r="R32" s="745"/>
      <c r="S32" s="745"/>
      <c r="T32" s="745"/>
      <c r="U32" s="745"/>
      <c r="V32" s="745"/>
      <c r="W32" s="745"/>
      <c r="X32" s="745"/>
      <c r="Y32" s="745"/>
      <c r="Z32" s="745"/>
      <c r="AA32" s="745"/>
      <c r="AB32" s="745"/>
      <c r="AC32" s="745"/>
      <c r="AD32" s="745"/>
      <c r="AE32" s="745"/>
      <c r="AF32" s="745"/>
      <c r="AG32" s="745"/>
      <c r="AH32" s="745"/>
      <c r="AI32" s="745"/>
      <c r="AJ32" s="745"/>
      <c r="AK32" s="745"/>
      <c r="AL32" s="745"/>
      <c r="AM32" s="745"/>
      <c r="AN32" s="745"/>
      <c r="AO32" s="745"/>
      <c r="AP32" s="745"/>
      <c r="AQ32" s="745"/>
      <c r="AR32" s="745"/>
      <c r="AS32" s="745"/>
      <c r="AT32" s="745"/>
      <c r="AU32" s="745"/>
      <c r="AV32" s="745"/>
      <c r="AW32" s="745"/>
      <c r="AX32" s="745"/>
      <c r="AY32" s="745"/>
      <c r="AZ32" s="745"/>
      <c r="BA32" s="745"/>
      <c r="BB32" s="745"/>
      <c r="BC32" s="745"/>
      <c r="BD32" s="745"/>
      <c r="BE32" s="745"/>
      <c r="BF32" s="745"/>
      <c r="BG32" s="745"/>
      <c r="BH32" s="745"/>
      <c r="BI32" s="745"/>
      <c r="BJ32" s="745"/>
      <c r="BK32" s="745"/>
      <c r="BL32" s="745"/>
      <c r="BM32" s="745"/>
      <c r="BN32" s="745"/>
      <c r="BO32" s="745"/>
      <c r="BP32" s="745"/>
      <c r="BQ32" s="745"/>
      <c r="BR32" s="745"/>
      <c r="BS32" s="745"/>
      <c r="BT32" s="745"/>
      <c r="BU32" s="745"/>
      <c r="BV32" s="745"/>
      <c r="BW32" s="745"/>
      <c r="BX32" s="745"/>
      <c r="BY32" s="745"/>
      <c r="BZ32" s="745"/>
      <c r="CA32" s="745"/>
      <c r="CB32" s="745"/>
      <c r="CC32" s="745"/>
      <c r="CD32" s="745"/>
      <c r="CE32" s="745"/>
      <c r="CF32" s="745"/>
      <c r="CG32" s="745"/>
      <c r="CH32" s="745"/>
      <c r="CI32" s="745"/>
      <c r="CJ32" s="745"/>
      <c r="CK32" s="745"/>
      <c r="CL32" s="745"/>
      <c r="CM32" s="745"/>
      <c r="CN32" s="745"/>
      <c r="CO32" s="745"/>
      <c r="CP32" s="745"/>
      <c r="CQ32" s="745"/>
      <c r="CR32" s="745"/>
      <c r="CS32" s="745"/>
      <c r="CT32" s="745"/>
      <c r="CU32" s="745"/>
      <c r="CV32" s="745"/>
      <c r="CW32" s="745"/>
      <c r="CX32" s="745"/>
      <c r="CY32" s="745"/>
      <c r="CZ32" s="745"/>
      <c r="DA32" s="745"/>
      <c r="DB32" s="745"/>
      <c r="DC32" s="745"/>
      <c r="DD32" s="745"/>
      <c r="DE32" s="745"/>
      <c r="DF32" s="745"/>
      <c r="DG32" s="745"/>
      <c r="DH32" s="745"/>
      <c r="DI32" s="745"/>
      <c r="DJ32" s="745"/>
      <c r="DK32" s="745"/>
      <c r="DL32" s="745"/>
      <c r="DM32" s="745"/>
      <c r="DN32" s="745"/>
      <c r="DO32" s="745"/>
      <c r="DP32" s="745"/>
      <c r="DQ32" s="745"/>
      <c r="DR32" s="745"/>
      <c r="DS32" s="745"/>
      <c r="DT32" s="745"/>
      <c r="DU32" s="745"/>
      <c r="DV32" s="745"/>
      <c r="DW32" s="745"/>
      <c r="DX32" s="745"/>
      <c r="DY32" s="745"/>
      <c r="DZ32" s="745"/>
      <c r="EA32" s="745"/>
      <c r="EB32" s="745"/>
      <c r="EC32" s="745"/>
      <c r="ED32" s="745"/>
      <c r="EE32" s="745"/>
      <c r="EF32" s="745"/>
      <c r="EG32" s="745"/>
      <c r="EH32" s="745"/>
      <c r="EI32" s="745"/>
      <c r="EJ32" s="745"/>
      <c r="EK32" s="745"/>
      <c r="EL32" s="745"/>
      <c r="EM32" s="745"/>
      <c r="EN32" s="745"/>
      <c r="EO32" s="745"/>
      <c r="EP32" s="745"/>
      <c r="EQ32" s="745"/>
    </row>
    <row r="33" spans="1:147" s="717" customFormat="1">
      <c r="A33" s="494"/>
      <c r="B33" s="757"/>
      <c r="C33" s="723" t="s">
        <v>284</v>
      </c>
      <c r="D33" s="722" t="s">
        <v>63</v>
      </c>
      <c r="E33" s="722">
        <f>187/100</f>
        <v>1.87</v>
      </c>
      <c r="F33" s="722">
        <f>E33*F32</f>
        <v>5.1985999999999999</v>
      </c>
      <c r="G33" s="721"/>
      <c r="H33" s="721"/>
      <c r="I33" s="722"/>
      <c r="J33" s="722"/>
      <c r="K33" s="722"/>
      <c r="L33" s="722"/>
      <c r="M33" s="722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8"/>
      <c r="Y33" s="548"/>
      <c r="Z33" s="548"/>
      <c r="AA33" s="548"/>
      <c r="AB33" s="548"/>
      <c r="AC33" s="548"/>
      <c r="AD33" s="548"/>
      <c r="AE33" s="548"/>
      <c r="AF33" s="548"/>
      <c r="AG33" s="548"/>
      <c r="AH33" s="548"/>
      <c r="AI33" s="548"/>
      <c r="AJ33" s="548"/>
      <c r="AK33" s="548"/>
      <c r="AL33" s="548"/>
      <c r="AM33" s="548"/>
      <c r="AN33" s="548"/>
      <c r="AO33" s="548"/>
      <c r="AP33" s="548"/>
      <c r="AQ33" s="548"/>
      <c r="AR33" s="548"/>
      <c r="AS33" s="548"/>
      <c r="AT33" s="548"/>
      <c r="AU33" s="548"/>
      <c r="AV33" s="548"/>
      <c r="AW33" s="548"/>
      <c r="AX33" s="548"/>
      <c r="AY33" s="548"/>
      <c r="AZ33" s="548"/>
      <c r="BA33" s="548"/>
      <c r="BB33" s="548"/>
      <c r="BC33" s="548"/>
      <c r="BD33" s="548"/>
      <c r="BE33" s="548"/>
      <c r="BF33" s="548"/>
      <c r="BG33" s="548"/>
      <c r="BH33" s="548"/>
      <c r="BI33" s="548"/>
      <c r="BJ33" s="548"/>
      <c r="BK33" s="548"/>
      <c r="BL33" s="548"/>
      <c r="BM33" s="548"/>
      <c r="BN33" s="548"/>
      <c r="BO33" s="548"/>
      <c r="BP33" s="548"/>
      <c r="BQ33" s="548"/>
      <c r="BR33" s="548"/>
      <c r="BS33" s="548"/>
      <c r="BT33" s="548"/>
      <c r="BU33" s="548"/>
      <c r="BV33" s="548"/>
      <c r="BW33" s="548"/>
      <c r="BX33" s="548"/>
      <c r="BY33" s="548"/>
      <c r="BZ33" s="548"/>
      <c r="CA33" s="548"/>
      <c r="CB33" s="548"/>
      <c r="CC33" s="548"/>
      <c r="CD33" s="548"/>
      <c r="CE33" s="548"/>
      <c r="CF33" s="548"/>
      <c r="CG33" s="548"/>
      <c r="CH33" s="548"/>
      <c r="CI33" s="548"/>
      <c r="CJ33" s="548"/>
      <c r="CK33" s="548"/>
      <c r="CL33" s="548"/>
      <c r="CM33" s="548"/>
      <c r="CN33" s="548"/>
      <c r="CO33" s="548"/>
      <c r="CP33" s="548"/>
      <c r="CQ33" s="548"/>
      <c r="CR33" s="548"/>
      <c r="CS33" s="548"/>
      <c r="CT33" s="548"/>
      <c r="CU33" s="548"/>
      <c r="CV33" s="548"/>
      <c r="CW33" s="548"/>
      <c r="CX33" s="548"/>
      <c r="CY33" s="548"/>
      <c r="CZ33" s="548"/>
      <c r="DA33" s="548"/>
      <c r="DB33" s="548"/>
      <c r="DC33" s="548"/>
      <c r="DD33" s="548"/>
      <c r="DE33" s="548"/>
      <c r="DF33" s="548"/>
      <c r="DG33" s="548"/>
      <c r="DH33" s="548"/>
      <c r="DI33" s="548"/>
      <c r="DJ33" s="548"/>
      <c r="DK33" s="548"/>
      <c r="DL33" s="548"/>
      <c r="DM33" s="548"/>
      <c r="DN33" s="548"/>
      <c r="DO33" s="548"/>
      <c r="DP33" s="548"/>
      <c r="DQ33" s="548"/>
      <c r="DR33" s="548"/>
      <c r="DS33" s="548"/>
      <c r="DT33" s="548"/>
      <c r="DU33" s="548"/>
      <c r="DV33" s="548"/>
      <c r="DW33" s="548"/>
      <c r="DX33" s="548"/>
      <c r="DY33" s="548"/>
      <c r="DZ33" s="548"/>
      <c r="EA33" s="548"/>
      <c r="EB33" s="548"/>
      <c r="EC33" s="548"/>
      <c r="ED33" s="548"/>
      <c r="EE33" s="548"/>
      <c r="EF33" s="548"/>
      <c r="EG33" s="548"/>
      <c r="EH33" s="548"/>
      <c r="EI33" s="548"/>
      <c r="EJ33" s="548"/>
      <c r="EK33" s="548"/>
      <c r="EL33" s="548"/>
      <c r="EM33" s="548"/>
      <c r="EN33" s="548"/>
      <c r="EO33" s="548"/>
      <c r="EP33" s="548"/>
      <c r="EQ33" s="548"/>
    </row>
    <row r="34" spans="1:147" s="717" customFormat="1">
      <c r="A34" s="492"/>
      <c r="B34" s="729"/>
      <c r="C34" s="730" t="s">
        <v>273</v>
      </c>
      <c r="D34" s="724" t="s">
        <v>46</v>
      </c>
      <c r="E34" s="392">
        <f>77/100</f>
        <v>0.77</v>
      </c>
      <c r="F34" s="392">
        <f>E34*F32</f>
        <v>2.1406000000000001</v>
      </c>
      <c r="G34" s="392"/>
      <c r="H34" s="722"/>
      <c r="I34" s="722"/>
      <c r="J34" s="722"/>
      <c r="K34" s="722"/>
      <c r="L34" s="392"/>
      <c r="M34" s="722"/>
      <c r="N34" s="732"/>
      <c r="O34" s="732"/>
      <c r="P34" s="732"/>
      <c r="Q34" s="732"/>
      <c r="R34" s="732"/>
      <c r="S34" s="732"/>
      <c r="T34" s="732"/>
      <c r="U34" s="732"/>
      <c r="V34" s="732"/>
      <c r="W34" s="732"/>
      <c r="X34" s="732"/>
      <c r="Y34" s="732"/>
      <c r="Z34" s="732"/>
      <c r="AA34" s="732"/>
      <c r="AB34" s="732"/>
      <c r="AC34" s="732"/>
      <c r="AD34" s="732"/>
      <c r="AE34" s="732"/>
      <c r="AF34" s="732"/>
      <c r="AG34" s="732"/>
      <c r="AH34" s="732"/>
      <c r="AI34" s="732"/>
      <c r="AJ34" s="732"/>
      <c r="AK34" s="732"/>
      <c r="AL34" s="732"/>
      <c r="AM34" s="732"/>
      <c r="AN34" s="732"/>
      <c r="AO34" s="732"/>
      <c r="AP34" s="732"/>
      <c r="AQ34" s="732"/>
      <c r="AR34" s="732"/>
      <c r="AS34" s="732"/>
      <c r="AT34" s="732"/>
      <c r="AU34" s="732"/>
      <c r="AV34" s="732"/>
      <c r="AW34" s="732"/>
      <c r="AX34" s="732"/>
      <c r="AY34" s="732"/>
      <c r="AZ34" s="732"/>
      <c r="BA34" s="732"/>
      <c r="BB34" s="732"/>
      <c r="BC34" s="732"/>
      <c r="BD34" s="732"/>
      <c r="BE34" s="732"/>
      <c r="BF34" s="732"/>
      <c r="BG34" s="732"/>
      <c r="BH34" s="732"/>
      <c r="BI34" s="732"/>
      <c r="BJ34" s="732"/>
      <c r="BK34" s="732"/>
      <c r="BL34" s="732"/>
      <c r="BM34" s="732"/>
      <c r="BN34" s="732"/>
      <c r="BO34" s="732"/>
      <c r="BP34" s="732"/>
      <c r="BQ34" s="732"/>
      <c r="BR34" s="732"/>
      <c r="BS34" s="732"/>
      <c r="BT34" s="732"/>
      <c r="BU34" s="732"/>
      <c r="BV34" s="732"/>
      <c r="BW34" s="732"/>
      <c r="BX34" s="732"/>
      <c r="BY34" s="732"/>
      <c r="BZ34" s="732"/>
      <c r="CA34" s="732"/>
      <c r="CB34" s="732"/>
      <c r="CC34" s="732"/>
      <c r="CD34" s="732"/>
      <c r="CE34" s="732"/>
      <c r="CF34" s="732"/>
      <c r="CG34" s="732"/>
      <c r="CH34" s="732"/>
      <c r="CI34" s="732"/>
      <c r="CJ34" s="732"/>
      <c r="CK34" s="732"/>
      <c r="CL34" s="732"/>
      <c r="CM34" s="732"/>
      <c r="CN34" s="732"/>
      <c r="CO34" s="732"/>
      <c r="CP34" s="732"/>
      <c r="CQ34" s="732"/>
      <c r="CR34" s="732"/>
      <c r="CS34" s="732"/>
      <c r="CT34" s="732"/>
      <c r="CU34" s="732"/>
      <c r="CV34" s="732"/>
      <c r="CW34" s="732"/>
      <c r="CX34" s="732"/>
      <c r="CY34" s="732"/>
      <c r="CZ34" s="732"/>
      <c r="DA34" s="732"/>
      <c r="DB34" s="732"/>
      <c r="DC34" s="732"/>
      <c r="DD34" s="732"/>
      <c r="DE34" s="732"/>
      <c r="DF34" s="732"/>
      <c r="DG34" s="732"/>
      <c r="DH34" s="732"/>
      <c r="DI34" s="732"/>
      <c r="DJ34" s="732"/>
      <c r="DK34" s="732"/>
      <c r="DL34" s="732"/>
      <c r="DM34" s="732"/>
      <c r="DN34" s="732"/>
      <c r="DO34" s="732"/>
      <c r="DP34" s="732"/>
      <c r="DQ34" s="732"/>
      <c r="DR34" s="732"/>
      <c r="DS34" s="732"/>
      <c r="DT34" s="732"/>
      <c r="DU34" s="732"/>
      <c r="DV34" s="732"/>
      <c r="DW34" s="732"/>
      <c r="DX34" s="732"/>
      <c r="DY34" s="732"/>
      <c r="DZ34" s="732"/>
      <c r="EA34" s="732"/>
      <c r="EB34" s="745"/>
      <c r="EC34" s="745"/>
      <c r="ED34" s="745"/>
      <c r="EE34" s="745"/>
      <c r="EF34" s="745"/>
      <c r="EG34" s="745"/>
      <c r="EH34" s="745"/>
      <c r="EI34" s="745"/>
      <c r="EJ34" s="745"/>
      <c r="EK34" s="745"/>
      <c r="EL34" s="745"/>
      <c r="EM34" s="745"/>
      <c r="EN34" s="745"/>
      <c r="EO34" s="745"/>
      <c r="EP34" s="745"/>
      <c r="EQ34" s="745"/>
    </row>
    <row r="35" spans="1:147" s="717" customFormat="1">
      <c r="A35" s="718"/>
      <c r="B35" s="558" t="s">
        <v>675</v>
      </c>
      <c r="C35" s="754" t="s">
        <v>463</v>
      </c>
      <c r="D35" s="755" t="s">
        <v>44</v>
      </c>
      <c r="E35" s="753">
        <f>101.5/100</f>
        <v>1.0149999999999999</v>
      </c>
      <c r="F35" s="722">
        <f>E35*F32</f>
        <v>2.8216999999999994</v>
      </c>
      <c r="G35" s="392"/>
      <c r="H35" s="750"/>
      <c r="I35" s="722"/>
      <c r="J35" s="722"/>
      <c r="K35" s="722"/>
      <c r="L35" s="722"/>
      <c r="M35" s="722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  <c r="AM35" s="745"/>
      <c r="AN35" s="745"/>
      <c r="AO35" s="745"/>
      <c r="AP35" s="745"/>
      <c r="AQ35" s="745"/>
      <c r="AR35" s="745"/>
      <c r="AS35" s="745"/>
      <c r="AT35" s="745"/>
      <c r="AU35" s="745"/>
      <c r="AV35" s="745"/>
      <c r="AW35" s="745"/>
      <c r="AX35" s="745"/>
      <c r="AY35" s="745"/>
      <c r="AZ35" s="745"/>
      <c r="BA35" s="745"/>
      <c r="BB35" s="745"/>
      <c r="BC35" s="745"/>
      <c r="BD35" s="745"/>
      <c r="BE35" s="745"/>
      <c r="BF35" s="745"/>
      <c r="BG35" s="745"/>
      <c r="BH35" s="745"/>
      <c r="BI35" s="745"/>
      <c r="BJ35" s="745"/>
      <c r="BK35" s="745"/>
      <c r="BL35" s="745"/>
      <c r="BM35" s="745"/>
      <c r="BN35" s="745"/>
      <c r="BO35" s="745"/>
      <c r="BP35" s="745"/>
      <c r="BQ35" s="745"/>
      <c r="BR35" s="745"/>
      <c r="BS35" s="745"/>
      <c r="BT35" s="745"/>
      <c r="BU35" s="745"/>
      <c r="BV35" s="745"/>
      <c r="BW35" s="745"/>
      <c r="BX35" s="745"/>
      <c r="BY35" s="745"/>
      <c r="BZ35" s="745"/>
      <c r="CA35" s="745"/>
      <c r="CB35" s="745"/>
      <c r="CC35" s="745"/>
      <c r="CD35" s="745"/>
      <c r="CE35" s="745"/>
      <c r="CF35" s="745"/>
      <c r="CG35" s="745"/>
      <c r="CH35" s="745"/>
      <c r="CI35" s="745"/>
      <c r="CJ35" s="745"/>
      <c r="CK35" s="745"/>
      <c r="CL35" s="745"/>
      <c r="CM35" s="745"/>
      <c r="CN35" s="745"/>
      <c r="CO35" s="745"/>
      <c r="CP35" s="745"/>
      <c r="CQ35" s="745"/>
      <c r="CR35" s="745"/>
      <c r="CS35" s="745"/>
      <c r="CT35" s="745"/>
      <c r="CU35" s="745"/>
      <c r="CV35" s="745"/>
      <c r="CW35" s="745"/>
      <c r="CX35" s="745"/>
      <c r="CY35" s="745"/>
      <c r="CZ35" s="745"/>
      <c r="DA35" s="745"/>
      <c r="DB35" s="745"/>
      <c r="DC35" s="745"/>
      <c r="DD35" s="745"/>
      <c r="DE35" s="745"/>
      <c r="DF35" s="745"/>
      <c r="DG35" s="745"/>
      <c r="DH35" s="745"/>
      <c r="DI35" s="745"/>
      <c r="DJ35" s="745"/>
      <c r="DK35" s="745"/>
      <c r="DL35" s="745"/>
      <c r="DM35" s="745"/>
      <c r="DN35" s="745"/>
      <c r="DO35" s="745"/>
      <c r="DP35" s="745"/>
      <c r="DQ35" s="745"/>
      <c r="DR35" s="745"/>
      <c r="DS35" s="745"/>
      <c r="DT35" s="745"/>
      <c r="DU35" s="745"/>
      <c r="DV35" s="745"/>
      <c r="DW35" s="745"/>
      <c r="DX35" s="745"/>
      <c r="DY35" s="745"/>
      <c r="DZ35" s="745"/>
      <c r="EA35" s="745"/>
      <c r="EB35" s="745"/>
      <c r="EC35" s="745"/>
      <c r="ED35" s="745"/>
      <c r="EE35" s="745"/>
      <c r="EF35" s="745"/>
      <c r="EG35" s="745"/>
      <c r="EH35" s="745"/>
      <c r="EI35" s="745"/>
      <c r="EJ35" s="745"/>
      <c r="EK35" s="745"/>
      <c r="EL35" s="745"/>
      <c r="EM35" s="745"/>
      <c r="EN35" s="745"/>
      <c r="EO35" s="745"/>
      <c r="EP35" s="745"/>
      <c r="EQ35" s="745"/>
    </row>
    <row r="36" spans="1:147" s="717" customFormat="1">
      <c r="A36" s="492"/>
      <c r="B36" s="729" t="s">
        <v>432</v>
      </c>
      <c r="C36" s="754" t="s">
        <v>467</v>
      </c>
      <c r="D36" s="755" t="s">
        <v>47</v>
      </c>
      <c r="E36" s="392" t="s">
        <v>285</v>
      </c>
      <c r="F36" s="725">
        <v>0.29200999999999999</v>
      </c>
      <c r="G36" s="392"/>
      <c r="H36" s="750"/>
      <c r="I36" s="722"/>
      <c r="J36" s="722"/>
      <c r="K36" s="758"/>
      <c r="L36" s="722"/>
      <c r="M36" s="722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  <c r="AM36" s="745"/>
      <c r="AN36" s="745"/>
      <c r="AO36" s="745"/>
      <c r="AP36" s="745"/>
      <c r="AQ36" s="745"/>
      <c r="AR36" s="745"/>
      <c r="AS36" s="745"/>
      <c r="AT36" s="745"/>
      <c r="AU36" s="745"/>
      <c r="AV36" s="745"/>
      <c r="AW36" s="745"/>
      <c r="AX36" s="745"/>
      <c r="AY36" s="745"/>
      <c r="AZ36" s="745"/>
      <c r="BA36" s="745"/>
      <c r="BB36" s="745"/>
      <c r="BC36" s="745"/>
      <c r="BD36" s="745"/>
      <c r="BE36" s="745"/>
      <c r="BF36" s="745"/>
      <c r="BG36" s="745"/>
      <c r="BH36" s="745"/>
      <c r="BI36" s="745"/>
      <c r="BJ36" s="745"/>
      <c r="BK36" s="745"/>
      <c r="BL36" s="745"/>
      <c r="BM36" s="745"/>
      <c r="BN36" s="745"/>
      <c r="BO36" s="745"/>
      <c r="BP36" s="745"/>
      <c r="BQ36" s="745"/>
      <c r="BR36" s="745"/>
      <c r="BS36" s="745"/>
      <c r="BT36" s="745"/>
      <c r="BU36" s="745"/>
      <c r="BV36" s="745"/>
      <c r="BW36" s="745"/>
      <c r="BX36" s="745"/>
      <c r="BY36" s="745"/>
      <c r="BZ36" s="745"/>
      <c r="CA36" s="745"/>
      <c r="CB36" s="745"/>
      <c r="CC36" s="745"/>
      <c r="CD36" s="745"/>
      <c r="CE36" s="745"/>
      <c r="CF36" s="745"/>
      <c r="CG36" s="745"/>
      <c r="CH36" s="745"/>
      <c r="CI36" s="745"/>
      <c r="CJ36" s="745"/>
      <c r="CK36" s="745"/>
      <c r="CL36" s="745"/>
      <c r="CM36" s="745"/>
      <c r="CN36" s="745"/>
      <c r="CO36" s="745"/>
      <c r="CP36" s="745"/>
      <c r="CQ36" s="745"/>
      <c r="CR36" s="745"/>
      <c r="CS36" s="745"/>
      <c r="CT36" s="745"/>
      <c r="CU36" s="745"/>
      <c r="CV36" s="745"/>
      <c r="CW36" s="745"/>
      <c r="CX36" s="745"/>
      <c r="CY36" s="745"/>
      <c r="CZ36" s="745"/>
      <c r="DA36" s="745"/>
      <c r="DB36" s="745"/>
      <c r="DC36" s="745"/>
      <c r="DD36" s="745"/>
      <c r="DE36" s="745"/>
      <c r="DF36" s="745"/>
      <c r="DG36" s="745"/>
      <c r="DH36" s="745"/>
      <c r="DI36" s="745"/>
      <c r="DJ36" s="745"/>
      <c r="DK36" s="745"/>
      <c r="DL36" s="745"/>
      <c r="DM36" s="745"/>
      <c r="DN36" s="745"/>
      <c r="DO36" s="745"/>
      <c r="DP36" s="745"/>
      <c r="DQ36" s="745"/>
      <c r="DR36" s="745"/>
      <c r="DS36" s="745"/>
      <c r="DT36" s="745"/>
      <c r="DU36" s="745"/>
      <c r="DV36" s="745"/>
      <c r="DW36" s="745"/>
      <c r="DX36" s="745"/>
      <c r="DY36" s="745"/>
      <c r="DZ36" s="745"/>
      <c r="EA36" s="745"/>
      <c r="EB36" s="745"/>
      <c r="EC36" s="745"/>
      <c r="ED36" s="745"/>
      <c r="EE36" s="745"/>
      <c r="EF36" s="745"/>
      <c r="EG36" s="745"/>
      <c r="EH36" s="745"/>
      <c r="EI36" s="745"/>
      <c r="EJ36" s="745"/>
      <c r="EK36" s="745"/>
      <c r="EL36" s="745"/>
      <c r="EM36" s="745"/>
      <c r="EN36" s="745"/>
      <c r="EO36" s="745"/>
      <c r="EP36" s="745"/>
      <c r="EQ36" s="745"/>
    </row>
    <row r="37" spans="1:147" s="717" customFormat="1">
      <c r="A37" s="492"/>
      <c r="B37" s="662" t="s">
        <v>676</v>
      </c>
      <c r="C37" s="726" t="s">
        <v>464</v>
      </c>
      <c r="D37" s="755" t="s">
        <v>44</v>
      </c>
      <c r="E37" s="753">
        <f>0.08/100</f>
        <v>8.0000000000000004E-4</v>
      </c>
      <c r="F37" s="753">
        <f>E37*F32</f>
        <v>2.2239999999999998E-3</v>
      </c>
      <c r="G37" s="722"/>
      <c r="H37" s="750"/>
      <c r="I37" s="722"/>
      <c r="J37" s="722"/>
      <c r="K37" s="722"/>
      <c r="L37" s="722"/>
      <c r="M37" s="722"/>
      <c r="N37" s="745"/>
      <c r="O37" s="745"/>
      <c r="P37" s="745"/>
      <c r="Q37" s="745"/>
      <c r="R37" s="745"/>
      <c r="S37" s="745"/>
      <c r="T37" s="745"/>
      <c r="U37" s="745"/>
      <c r="V37" s="745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5"/>
      <c r="AH37" s="745"/>
      <c r="AI37" s="745"/>
      <c r="AJ37" s="745"/>
      <c r="AK37" s="745"/>
      <c r="AL37" s="745"/>
      <c r="AM37" s="745"/>
      <c r="AN37" s="745"/>
      <c r="AO37" s="745"/>
      <c r="AP37" s="745"/>
      <c r="AQ37" s="745"/>
      <c r="AR37" s="745"/>
      <c r="AS37" s="745"/>
      <c r="AT37" s="745"/>
      <c r="AU37" s="745"/>
      <c r="AV37" s="745"/>
      <c r="AW37" s="745"/>
      <c r="AX37" s="745"/>
      <c r="AY37" s="745"/>
      <c r="AZ37" s="745"/>
      <c r="BA37" s="745"/>
      <c r="BB37" s="745"/>
      <c r="BC37" s="745"/>
      <c r="BD37" s="745"/>
      <c r="BE37" s="745"/>
      <c r="BF37" s="745"/>
      <c r="BG37" s="745"/>
      <c r="BH37" s="745"/>
      <c r="BI37" s="745"/>
      <c r="BJ37" s="745"/>
      <c r="BK37" s="745"/>
      <c r="BL37" s="745"/>
      <c r="BM37" s="745"/>
      <c r="BN37" s="745"/>
      <c r="BO37" s="745"/>
      <c r="BP37" s="745"/>
      <c r="BQ37" s="745"/>
      <c r="BR37" s="745"/>
      <c r="BS37" s="745"/>
      <c r="BT37" s="745"/>
      <c r="BU37" s="745"/>
      <c r="BV37" s="745"/>
      <c r="BW37" s="745"/>
      <c r="BX37" s="745"/>
      <c r="BY37" s="745"/>
      <c r="BZ37" s="745"/>
      <c r="CA37" s="745"/>
      <c r="CB37" s="745"/>
      <c r="CC37" s="745"/>
      <c r="CD37" s="745"/>
      <c r="CE37" s="745"/>
      <c r="CF37" s="745"/>
      <c r="CG37" s="745"/>
      <c r="CH37" s="745"/>
      <c r="CI37" s="745"/>
      <c r="CJ37" s="745"/>
      <c r="CK37" s="745"/>
      <c r="CL37" s="745"/>
      <c r="CM37" s="745"/>
      <c r="CN37" s="745"/>
      <c r="CO37" s="745"/>
      <c r="CP37" s="745"/>
      <c r="CQ37" s="745"/>
      <c r="CR37" s="745"/>
      <c r="CS37" s="745"/>
      <c r="CT37" s="745"/>
      <c r="CU37" s="745"/>
      <c r="CV37" s="745"/>
      <c r="CW37" s="745"/>
      <c r="CX37" s="745"/>
      <c r="CY37" s="745"/>
      <c r="CZ37" s="745"/>
      <c r="DA37" s="745"/>
      <c r="DB37" s="745"/>
      <c r="DC37" s="745"/>
      <c r="DD37" s="745"/>
      <c r="DE37" s="745"/>
      <c r="DF37" s="745"/>
      <c r="DG37" s="745"/>
      <c r="DH37" s="745"/>
      <c r="DI37" s="745"/>
      <c r="DJ37" s="745"/>
      <c r="DK37" s="745"/>
      <c r="DL37" s="745"/>
      <c r="DM37" s="745"/>
      <c r="DN37" s="745"/>
      <c r="DO37" s="745"/>
      <c r="DP37" s="745"/>
      <c r="DQ37" s="745"/>
      <c r="DR37" s="745"/>
      <c r="DS37" s="745"/>
      <c r="DT37" s="745"/>
      <c r="DU37" s="745"/>
      <c r="DV37" s="745"/>
      <c r="DW37" s="745"/>
      <c r="DX37" s="745"/>
      <c r="DY37" s="745"/>
      <c r="DZ37" s="745"/>
      <c r="EA37" s="745"/>
      <c r="EB37" s="745"/>
      <c r="EC37" s="745"/>
      <c r="ED37" s="745"/>
      <c r="EE37" s="745"/>
      <c r="EF37" s="745"/>
      <c r="EG37" s="745"/>
      <c r="EH37" s="745"/>
      <c r="EI37" s="745"/>
      <c r="EJ37" s="745"/>
      <c r="EK37" s="745"/>
      <c r="EL37" s="745"/>
      <c r="EM37" s="745"/>
      <c r="EN37" s="745"/>
      <c r="EO37" s="745"/>
      <c r="EP37" s="745"/>
      <c r="EQ37" s="745"/>
    </row>
    <row r="38" spans="1:147" s="717" customFormat="1">
      <c r="A38" s="718"/>
      <c r="B38" s="662" t="s">
        <v>655</v>
      </c>
      <c r="C38" s="756" t="s">
        <v>286</v>
      </c>
      <c r="D38" s="755" t="s">
        <v>48</v>
      </c>
      <c r="E38" s="727">
        <f>7.54/100</f>
        <v>7.5399999999999995E-2</v>
      </c>
      <c r="F38" s="722">
        <f>E38*F32</f>
        <v>0.20961199999999997</v>
      </c>
      <c r="G38" s="392"/>
      <c r="H38" s="750"/>
      <c r="I38" s="722"/>
      <c r="J38" s="722"/>
      <c r="K38" s="722"/>
      <c r="L38" s="722"/>
      <c r="M38" s="722"/>
      <c r="N38" s="745"/>
      <c r="O38" s="745"/>
      <c r="P38" s="745"/>
      <c r="Q38" s="745"/>
      <c r="R38" s="745"/>
      <c r="S38" s="745"/>
      <c r="T38" s="745"/>
      <c r="U38" s="745"/>
      <c r="V38" s="745"/>
      <c r="W38" s="745"/>
      <c r="X38" s="745"/>
      <c r="Y38" s="745"/>
      <c r="Z38" s="745"/>
      <c r="AA38" s="745"/>
      <c r="AB38" s="745"/>
      <c r="AC38" s="745"/>
      <c r="AD38" s="745"/>
      <c r="AE38" s="745"/>
      <c r="AF38" s="745"/>
      <c r="AG38" s="745"/>
      <c r="AH38" s="745"/>
      <c r="AI38" s="745"/>
      <c r="AJ38" s="745"/>
      <c r="AK38" s="745"/>
      <c r="AL38" s="745"/>
      <c r="AM38" s="745"/>
      <c r="AN38" s="745"/>
      <c r="AO38" s="745"/>
      <c r="AP38" s="745"/>
      <c r="AQ38" s="745"/>
      <c r="AR38" s="745"/>
      <c r="AS38" s="745"/>
      <c r="AT38" s="745"/>
      <c r="AU38" s="745"/>
      <c r="AV38" s="745"/>
      <c r="AW38" s="745"/>
      <c r="AX38" s="745"/>
      <c r="AY38" s="745"/>
      <c r="AZ38" s="745"/>
      <c r="BA38" s="745"/>
      <c r="BB38" s="745"/>
      <c r="BC38" s="745"/>
      <c r="BD38" s="745"/>
      <c r="BE38" s="745"/>
      <c r="BF38" s="745"/>
      <c r="BG38" s="745"/>
      <c r="BH38" s="745"/>
      <c r="BI38" s="745"/>
      <c r="BJ38" s="745"/>
      <c r="BK38" s="745"/>
      <c r="BL38" s="745"/>
      <c r="BM38" s="745"/>
      <c r="BN38" s="745"/>
      <c r="BO38" s="745"/>
      <c r="BP38" s="745"/>
      <c r="BQ38" s="745"/>
      <c r="BR38" s="745"/>
      <c r="BS38" s="745"/>
      <c r="BT38" s="745"/>
      <c r="BU38" s="745"/>
      <c r="BV38" s="745"/>
      <c r="BW38" s="745"/>
      <c r="BX38" s="745"/>
      <c r="BY38" s="745"/>
      <c r="BZ38" s="745"/>
      <c r="CA38" s="745"/>
      <c r="CB38" s="745"/>
      <c r="CC38" s="745"/>
      <c r="CD38" s="745"/>
      <c r="CE38" s="745"/>
      <c r="CF38" s="745"/>
      <c r="CG38" s="745"/>
      <c r="CH38" s="745"/>
      <c r="CI38" s="745"/>
      <c r="CJ38" s="745"/>
      <c r="CK38" s="745"/>
      <c r="CL38" s="745"/>
      <c r="CM38" s="745"/>
      <c r="CN38" s="745"/>
      <c r="CO38" s="745"/>
      <c r="CP38" s="745"/>
      <c r="CQ38" s="745"/>
      <c r="CR38" s="745"/>
      <c r="CS38" s="745"/>
      <c r="CT38" s="745"/>
      <c r="CU38" s="745"/>
      <c r="CV38" s="745"/>
      <c r="CW38" s="745"/>
      <c r="CX38" s="745"/>
      <c r="CY38" s="745"/>
      <c r="CZ38" s="745"/>
      <c r="DA38" s="745"/>
      <c r="DB38" s="745"/>
      <c r="DC38" s="745"/>
      <c r="DD38" s="745"/>
      <c r="DE38" s="745"/>
      <c r="DF38" s="745"/>
      <c r="DG38" s="745"/>
      <c r="DH38" s="745"/>
      <c r="DI38" s="745"/>
      <c r="DJ38" s="745"/>
      <c r="DK38" s="745"/>
      <c r="DL38" s="745"/>
      <c r="DM38" s="745"/>
      <c r="DN38" s="745"/>
      <c r="DO38" s="745"/>
      <c r="DP38" s="745"/>
      <c r="DQ38" s="745"/>
      <c r="DR38" s="745"/>
      <c r="DS38" s="745"/>
      <c r="DT38" s="745"/>
      <c r="DU38" s="745"/>
      <c r="DV38" s="745"/>
      <c r="DW38" s="745"/>
      <c r="DX38" s="745"/>
      <c r="DY38" s="745"/>
      <c r="DZ38" s="745"/>
      <c r="EA38" s="745"/>
      <c r="EB38" s="745"/>
      <c r="EC38" s="745"/>
      <c r="ED38" s="745"/>
      <c r="EE38" s="745"/>
      <c r="EF38" s="745"/>
      <c r="EG38" s="745"/>
      <c r="EH38" s="745"/>
      <c r="EI38" s="745"/>
      <c r="EJ38" s="745"/>
      <c r="EK38" s="745"/>
      <c r="EL38" s="745"/>
      <c r="EM38" s="745"/>
      <c r="EN38" s="745"/>
      <c r="EO38" s="745"/>
      <c r="EP38" s="745"/>
      <c r="EQ38" s="745"/>
    </row>
    <row r="39" spans="1:147" s="717" customFormat="1">
      <c r="A39" s="718"/>
      <c r="B39" s="662" t="s">
        <v>657</v>
      </c>
      <c r="C39" s="756" t="s">
        <v>287</v>
      </c>
      <c r="D39" s="755" t="s">
        <v>44</v>
      </c>
      <c r="E39" s="759">
        <v>8.0000000000000004E-4</v>
      </c>
      <c r="F39" s="722">
        <f>E39*F32</f>
        <v>2.2239999999999998E-3</v>
      </c>
      <c r="G39" s="392"/>
      <c r="H39" s="750"/>
      <c r="I39" s="722"/>
      <c r="J39" s="722"/>
      <c r="K39" s="722"/>
      <c r="L39" s="722"/>
      <c r="M39" s="722"/>
      <c r="N39" s="745"/>
      <c r="O39" s="745"/>
      <c r="P39" s="745"/>
      <c r="Q39" s="745"/>
      <c r="R39" s="745"/>
      <c r="S39" s="745"/>
      <c r="T39" s="745"/>
      <c r="U39" s="745"/>
      <c r="V39" s="745"/>
      <c r="W39" s="745"/>
      <c r="X39" s="745"/>
      <c r="Y39" s="745"/>
      <c r="Z39" s="745"/>
      <c r="AA39" s="745"/>
      <c r="AB39" s="745"/>
      <c r="AC39" s="745"/>
      <c r="AD39" s="745"/>
      <c r="AE39" s="745"/>
      <c r="AF39" s="745"/>
      <c r="AG39" s="745"/>
      <c r="AH39" s="745"/>
      <c r="AI39" s="745"/>
      <c r="AJ39" s="745"/>
      <c r="AK39" s="745"/>
      <c r="AL39" s="745"/>
      <c r="AM39" s="745"/>
      <c r="AN39" s="745"/>
      <c r="AO39" s="745"/>
      <c r="AP39" s="745"/>
      <c r="AQ39" s="745"/>
      <c r="AR39" s="745"/>
      <c r="AS39" s="745"/>
      <c r="AT39" s="745"/>
      <c r="AU39" s="745"/>
      <c r="AV39" s="745"/>
      <c r="AW39" s="745"/>
      <c r="AX39" s="745"/>
      <c r="AY39" s="745"/>
      <c r="AZ39" s="745"/>
      <c r="BA39" s="745"/>
      <c r="BB39" s="745"/>
      <c r="BC39" s="745"/>
      <c r="BD39" s="745"/>
      <c r="BE39" s="745"/>
      <c r="BF39" s="745"/>
      <c r="BG39" s="745"/>
      <c r="BH39" s="745"/>
      <c r="BI39" s="745"/>
      <c r="BJ39" s="745"/>
      <c r="BK39" s="745"/>
      <c r="BL39" s="745"/>
      <c r="BM39" s="745"/>
      <c r="BN39" s="745"/>
      <c r="BO39" s="745"/>
      <c r="BP39" s="745"/>
      <c r="BQ39" s="745"/>
      <c r="BR39" s="745"/>
      <c r="BS39" s="745"/>
      <c r="BT39" s="745"/>
      <c r="BU39" s="745"/>
      <c r="BV39" s="745"/>
      <c r="BW39" s="745"/>
      <c r="BX39" s="745"/>
      <c r="BY39" s="745"/>
      <c r="BZ39" s="745"/>
      <c r="CA39" s="745"/>
      <c r="CB39" s="745"/>
      <c r="CC39" s="745"/>
      <c r="CD39" s="745"/>
      <c r="CE39" s="745"/>
      <c r="CF39" s="745"/>
      <c r="CG39" s="745"/>
      <c r="CH39" s="745"/>
      <c r="CI39" s="745"/>
      <c r="CJ39" s="745"/>
      <c r="CK39" s="745"/>
      <c r="CL39" s="745"/>
      <c r="CM39" s="745"/>
      <c r="CN39" s="745"/>
      <c r="CO39" s="745"/>
      <c r="CP39" s="745"/>
      <c r="CQ39" s="745"/>
      <c r="CR39" s="745"/>
      <c r="CS39" s="745"/>
      <c r="CT39" s="745"/>
      <c r="CU39" s="745"/>
      <c r="CV39" s="745"/>
      <c r="CW39" s="745"/>
      <c r="CX39" s="745"/>
      <c r="CY39" s="745"/>
      <c r="CZ39" s="745"/>
      <c r="DA39" s="745"/>
      <c r="DB39" s="745"/>
      <c r="DC39" s="745"/>
      <c r="DD39" s="745"/>
      <c r="DE39" s="745"/>
      <c r="DF39" s="745"/>
      <c r="DG39" s="745"/>
      <c r="DH39" s="745"/>
      <c r="DI39" s="745"/>
      <c r="DJ39" s="745"/>
      <c r="DK39" s="745"/>
      <c r="DL39" s="745"/>
      <c r="DM39" s="745"/>
      <c r="DN39" s="745"/>
      <c r="DO39" s="745"/>
      <c r="DP39" s="745"/>
      <c r="DQ39" s="745"/>
      <c r="DR39" s="745"/>
      <c r="DS39" s="745"/>
      <c r="DT39" s="745"/>
      <c r="DU39" s="745"/>
      <c r="DV39" s="745"/>
      <c r="DW39" s="745"/>
      <c r="DX39" s="745"/>
      <c r="DY39" s="745"/>
      <c r="DZ39" s="745"/>
      <c r="EA39" s="745"/>
      <c r="EB39" s="745"/>
      <c r="EC39" s="745"/>
      <c r="ED39" s="745"/>
      <c r="EE39" s="745"/>
      <c r="EF39" s="745"/>
      <c r="EG39" s="745"/>
      <c r="EH39" s="745"/>
      <c r="EI39" s="745"/>
      <c r="EJ39" s="745"/>
      <c r="EK39" s="745"/>
      <c r="EL39" s="745"/>
      <c r="EM39" s="745"/>
      <c r="EN39" s="745"/>
      <c r="EO39" s="745"/>
      <c r="EP39" s="745"/>
      <c r="EQ39" s="745"/>
    </row>
    <row r="40" spans="1:147" s="717" customFormat="1">
      <c r="A40" s="718"/>
      <c r="B40" s="635"/>
      <c r="C40" s="726" t="s">
        <v>281</v>
      </c>
      <c r="D40" s="755" t="s">
        <v>46</v>
      </c>
      <c r="E40" s="722">
        <f>7/100</f>
        <v>7.0000000000000007E-2</v>
      </c>
      <c r="F40" s="722">
        <f>E40*F32</f>
        <v>0.1946</v>
      </c>
      <c r="G40" s="392"/>
      <c r="H40" s="749"/>
      <c r="I40" s="722"/>
      <c r="J40" s="722"/>
      <c r="K40" s="722"/>
      <c r="L40" s="722"/>
      <c r="M40" s="722"/>
      <c r="N40" s="745"/>
      <c r="O40" s="745"/>
      <c r="P40" s="745"/>
      <c r="Q40" s="745"/>
      <c r="R40" s="745"/>
      <c r="S40" s="745"/>
      <c r="T40" s="745"/>
      <c r="U40" s="745"/>
      <c r="V40" s="745"/>
      <c r="W40" s="745"/>
      <c r="X40" s="745"/>
      <c r="Y40" s="745"/>
      <c r="Z40" s="745"/>
      <c r="AA40" s="745"/>
      <c r="AB40" s="745"/>
      <c r="AC40" s="745"/>
      <c r="AD40" s="745"/>
      <c r="AE40" s="745"/>
      <c r="AF40" s="745"/>
      <c r="AG40" s="745"/>
      <c r="AH40" s="745"/>
      <c r="AI40" s="745"/>
      <c r="AJ40" s="745"/>
      <c r="AK40" s="745"/>
      <c r="AL40" s="745"/>
      <c r="AM40" s="745"/>
      <c r="AN40" s="745"/>
      <c r="AO40" s="745"/>
      <c r="AP40" s="745"/>
      <c r="AQ40" s="745"/>
      <c r="AR40" s="745"/>
      <c r="AS40" s="745"/>
      <c r="AT40" s="745"/>
      <c r="AU40" s="745"/>
      <c r="AV40" s="745"/>
      <c r="AW40" s="745"/>
      <c r="AX40" s="745"/>
      <c r="AY40" s="745"/>
      <c r="AZ40" s="745"/>
      <c r="BA40" s="745"/>
      <c r="BB40" s="745"/>
      <c r="BC40" s="745"/>
      <c r="BD40" s="745"/>
      <c r="BE40" s="745"/>
      <c r="BF40" s="745"/>
      <c r="BG40" s="745"/>
      <c r="BH40" s="745"/>
      <c r="BI40" s="745"/>
      <c r="BJ40" s="745"/>
      <c r="BK40" s="745"/>
      <c r="BL40" s="745"/>
      <c r="BM40" s="745"/>
      <c r="BN40" s="745"/>
      <c r="BO40" s="745"/>
      <c r="BP40" s="745"/>
      <c r="BQ40" s="745"/>
      <c r="BR40" s="745"/>
      <c r="BS40" s="745"/>
      <c r="BT40" s="745"/>
      <c r="BU40" s="745"/>
      <c r="BV40" s="745"/>
      <c r="BW40" s="745"/>
      <c r="BX40" s="745"/>
      <c r="BY40" s="745"/>
      <c r="BZ40" s="745"/>
      <c r="CA40" s="745"/>
      <c r="CB40" s="745"/>
      <c r="CC40" s="745"/>
      <c r="CD40" s="745"/>
      <c r="CE40" s="745"/>
      <c r="CF40" s="745"/>
      <c r="CG40" s="745"/>
      <c r="CH40" s="745"/>
      <c r="CI40" s="745"/>
      <c r="CJ40" s="745"/>
      <c r="CK40" s="745"/>
      <c r="CL40" s="745"/>
      <c r="CM40" s="745"/>
      <c r="CN40" s="745"/>
      <c r="CO40" s="745"/>
      <c r="CP40" s="745"/>
      <c r="CQ40" s="745"/>
      <c r="CR40" s="745"/>
      <c r="CS40" s="745"/>
      <c r="CT40" s="745"/>
      <c r="CU40" s="745"/>
      <c r="CV40" s="745"/>
      <c r="CW40" s="745"/>
      <c r="CX40" s="745"/>
      <c r="CY40" s="745"/>
      <c r="CZ40" s="745"/>
      <c r="DA40" s="745"/>
      <c r="DB40" s="745"/>
      <c r="DC40" s="745"/>
      <c r="DD40" s="745"/>
      <c r="DE40" s="745"/>
      <c r="DF40" s="745"/>
      <c r="DG40" s="745"/>
      <c r="DH40" s="745"/>
      <c r="DI40" s="745"/>
      <c r="DJ40" s="745"/>
      <c r="DK40" s="745"/>
      <c r="DL40" s="745"/>
      <c r="DM40" s="745"/>
      <c r="DN40" s="745"/>
      <c r="DO40" s="745"/>
      <c r="DP40" s="745"/>
      <c r="DQ40" s="745"/>
      <c r="DR40" s="745"/>
      <c r="DS40" s="745"/>
      <c r="DT40" s="745"/>
      <c r="DU40" s="745"/>
      <c r="DV40" s="745"/>
      <c r="DW40" s="745"/>
      <c r="DX40" s="745"/>
      <c r="DY40" s="745"/>
      <c r="DZ40" s="745"/>
      <c r="EA40" s="745"/>
      <c r="EB40" s="745"/>
      <c r="EC40" s="745"/>
      <c r="ED40" s="745"/>
      <c r="EE40" s="745"/>
      <c r="EF40" s="745"/>
      <c r="EG40" s="745"/>
      <c r="EH40" s="745"/>
      <c r="EI40" s="745"/>
      <c r="EJ40" s="745"/>
      <c r="EK40" s="745"/>
      <c r="EL40" s="745"/>
      <c r="EM40" s="745"/>
      <c r="EN40" s="745"/>
      <c r="EO40" s="745"/>
      <c r="EP40" s="745"/>
      <c r="EQ40" s="745"/>
    </row>
    <row r="41" spans="1:147" s="717" customFormat="1">
      <c r="A41" s="718">
        <v>8</v>
      </c>
      <c r="B41" s="627" t="s">
        <v>282</v>
      </c>
      <c r="C41" s="751" t="s">
        <v>288</v>
      </c>
      <c r="D41" s="492" t="s">
        <v>44</v>
      </c>
      <c r="E41" s="748"/>
      <c r="F41" s="721">
        <v>0.65</v>
      </c>
      <c r="G41" s="722"/>
      <c r="H41" s="722"/>
      <c r="I41" s="722"/>
      <c r="J41" s="722"/>
      <c r="K41" s="722"/>
      <c r="L41" s="722"/>
      <c r="M41" s="721"/>
      <c r="N41" s="745"/>
      <c r="O41" s="745"/>
      <c r="P41" s="745"/>
      <c r="Q41" s="745"/>
      <c r="R41" s="745"/>
      <c r="S41" s="745"/>
      <c r="T41" s="745"/>
      <c r="U41" s="745"/>
      <c r="V41" s="745"/>
      <c r="W41" s="745"/>
      <c r="X41" s="745"/>
      <c r="Y41" s="745"/>
      <c r="Z41" s="745"/>
      <c r="AA41" s="745"/>
      <c r="AB41" s="745"/>
      <c r="AC41" s="745"/>
      <c r="AD41" s="745"/>
      <c r="AE41" s="745"/>
      <c r="AF41" s="745"/>
      <c r="AG41" s="745"/>
      <c r="AH41" s="745"/>
      <c r="AI41" s="745"/>
      <c r="AJ41" s="745"/>
      <c r="AK41" s="745"/>
      <c r="AL41" s="745"/>
      <c r="AM41" s="745"/>
      <c r="AN41" s="745"/>
      <c r="AO41" s="745"/>
      <c r="AP41" s="745"/>
      <c r="AQ41" s="745"/>
      <c r="AR41" s="745"/>
      <c r="AS41" s="745"/>
      <c r="AT41" s="745"/>
      <c r="AU41" s="745"/>
      <c r="AV41" s="745"/>
      <c r="AW41" s="745"/>
      <c r="AX41" s="745"/>
      <c r="AY41" s="745"/>
      <c r="AZ41" s="745"/>
      <c r="BA41" s="745"/>
      <c r="BB41" s="745"/>
      <c r="BC41" s="745"/>
      <c r="BD41" s="745"/>
      <c r="BE41" s="745"/>
      <c r="BF41" s="745"/>
      <c r="BG41" s="745"/>
      <c r="BH41" s="745"/>
      <c r="BI41" s="745"/>
      <c r="BJ41" s="745"/>
      <c r="BK41" s="745"/>
      <c r="BL41" s="745"/>
      <c r="BM41" s="745"/>
      <c r="BN41" s="745"/>
      <c r="BO41" s="745"/>
      <c r="BP41" s="745"/>
      <c r="BQ41" s="745"/>
      <c r="BR41" s="745"/>
      <c r="BS41" s="745"/>
      <c r="BT41" s="745"/>
      <c r="BU41" s="745"/>
      <c r="BV41" s="745"/>
      <c r="BW41" s="745"/>
      <c r="BX41" s="745"/>
      <c r="BY41" s="745"/>
      <c r="BZ41" s="745"/>
      <c r="CA41" s="745"/>
      <c r="CB41" s="745"/>
      <c r="CC41" s="745"/>
      <c r="CD41" s="745"/>
      <c r="CE41" s="745"/>
      <c r="CF41" s="745"/>
      <c r="CG41" s="745"/>
      <c r="CH41" s="745"/>
      <c r="CI41" s="745"/>
      <c r="CJ41" s="745"/>
      <c r="CK41" s="745"/>
      <c r="CL41" s="745"/>
      <c r="CM41" s="745"/>
      <c r="CN41" s="745"/>
      <c r="CO41" s="745"/>
      <c r="CP41" s="745"/>
      <c r="CQ41" s="745"/>
      <c r="CR41" s="745"/>
      <c r="CS41" s="745"/>
      <c r="CT41" s="745"/>
      <c r="CU41" s="745"/>
      <c r="CV41" s="745"/>
      <c r="CW41" s="745"/>
      <c r="CX41" s="745"/>
      <c r="CY41" s="745"/>
      <c r="CZ41" s="745"/>
      <c r="DA41" s="745"/>
      <c r="DB41" s="745"/>
      <c r="DC41" s="745"/>
      <c r="DD41" s="745"/>
      <c r="DE41" s="745"/>
      <c r="DF41" s="745"/>
      <c r="DG41" s="745"/>
      <c r="DH41" s="745"/>
      <c r="DI41" s="745"/>
      <c r="DJ41" s="745"/>
      <c r="DK41" s="745"/>
      <c r="DL41" s="745"/>
      <c r="DM41" s="745"/>
      <c r="DN41" s="745"/>
      <c r="DO41" s="745"/>
      <c r="DP41" s="745"/>
      <c r="DQ41" s="745"/>
      <c r="DR41" s="745"/>
      <c r="DS41" s="745"/>
      <c r="DT41" s="745"/>
      <c r="DU41" s="745"/>
      <c r="DV41" s="745"/>
      <c r="DW41" s="745"/>
      <c r="DX41" s="745"/>
      <c r="DY41" s="745"/>
      <c r="DZ41" s="745"/>
      <c r="EA41" s="745"/>
      <c r="EB41" s="745"/>
      <c r="EC41" s="745"/>
      <c r="ED41" s="745"/>
      <c r="EE41" s="745"/>
      <c r="EF41" s="745"/>
      <c r="EG41" s="745"/>
      <c r="EH41" s="745"/>
      <c r="EI41" s="745"/>
      <c r="EJ41" s="745"/>
      <c r="EK41" s="745"/>
      <c r="EL41" s="745"/>
      <c r="EM41" s="745"/>
      <c r="EN41" s="745"/>
      <c r="EO41" s="745"/>
      <c r="EP41" s="745"/>
      <c r="EQ41" s="745"/>
    </row>
    <row r="42" spans="1:147" s="717" customFormat="1">
      <c r="A42" s="494"/>
      <c r="B42" s="757"/>
      <c r="C42" s="723" t="s">
        <v>284</v>
      </c>
      <c r="D42" s="722" t="s">
        <v>63</v>
      </c>
      <c r="E42" s="722">
        <f>187/100</f>
        <v>1.87</v>
      </c>
      <c r="F42" s="722">
        <f>E42*F41</f>
        <v>1.2155</v>
      </c>
      <c r="G42" s="721"/>
      <c r="H42" s="721"/>
      <c r="I42" s="722"/>
      <c r="J42" s="722"/>
      <c r="K42" s="722"/>
      <c r="L42" s="722"/>
      <c r="M42" s="722"/>
      <c r="N42" s="745"/>
      <c r="O42" s="745"/>
      <c r="P42" s="745"/>
      <c r="Q42" s="745"/>
      <c r="R42" s="745"/>
      <c r="S42" s="745"/>
      <c r="T42" s="745"/>
      <c r="U42" s="745"/>
      <c r="V42" s="745"/>
      <c r="W42" s="745"/>
      <c r="X42" s="745"/>
      <c r="Y42" s="745"/>
      <c r="Z42" s="745"/>
      <c r="AA42" s="745"/>
      <c r="AB42" s="745"/>
      <c r="AC42" s="745"/>
      <c r="AD42" s="745"/>
      <c r="AE42" s="745"/>
      <c r="AF42" s="745"/>
      <c r="AG42" s="745"/>
      <c r="AH42" s="745"/>
      <c r="AI42" s="745"/>
      <c r="AJ42" s="745"/>
      <c r="AK42" s="745"/>
      <c r="AL42" s="745"/>
      <c r="AM42" s="745"/>
      <c r="AN42" s="745"/>
      <c r="AO42" s="745"/>
      <c r="AP42" s="745"/>
      <c r="AQ42" s="745"/>
      <c r="AR42" s="745"/>
      <c r="AS42" s="745"/>
      <c r="AT42" s="745"/>
      <c r="AU42" s="745"/>
      <c r="AV42" s="745"/>
      <c r="AW42" s="745"/>
      <c r="AX42" s="745"/>
      <c r="AY42" s="745"/>
      <c r="AZ42" s="745"/>
      <c r="BA42" s="745"/>
      <c r="BB42" s="745"/>
      <c r="BC42" s="745"/>
      <c r="BD42" s="745"/>
      <c r="BE42" s="745"/>
      <c r="BF42" s="745"/>
      <c r="BG42" s="745"/>
      <c r="BH42" s="745"/>
      <c r="BI42" s="745"/>
      <c r="BJ42" s="745"/>
      <c r="BK42" s="745"/>
      <c r="BL42" s="745"/>
      <c r="BM42" s="745"/>
      <c r="BN42" s="745"/>
      <c r="BO42" s="745"/>
      <c r="BP42" s="745"/>
      <c r="BQ42" s="745"/>
      <c r="BR42" s="745"/>
      <c r="BS42" s="745"/>
      <c r="BT42" s="745"/>
      <c r="BU42" s="745"/>
      <c r="BV42" s="745"/>
      <c r="BW42" s="745"/>
      <c r="BX42" s="745"/>
      <c r="BY42" s="745"/>
      <c r="BZ42" s="745"/>
      <c r="CA42" s="745"/>
      <c r="CB42" s="745"/>
      <c r="CC42" s="745"/>
      <c r="CD42" s="745"/>
      <c r="CE42" s="745"/>
      <c r="CF42" s="745"/>
      <c r="CG42" s="745"/>
      <c r="CH42" s="745"/>
      <c r="CI42" s="745"/>
      <c r="CJ42" s="745"/>
      <c r="CK42" s="745"/>
      <c r="CL42" s="745"/>
      <c r="CM42" s="745"/>
      <c r="CN42" s="745"/>
      <c r="CO42" s="745"/>
      <c r="CP42" s="745"/>
      <c r="CQ42" s="745"/>
      <c r="CR42" s="745"/>
      <c r="CS42" s="745"/>
      <c r="CT42" s="745"/>
      <c r="CU42" s="745"/>
      <c r="CV42" s="745"/>
      <c r="CW42" s="745"/>
      <c r="CX42" s="745"/>
      <c r="CY42" s="745"/>
      <c r="CZ42" s="745"/>
      <c r="DA42" s="745"/>
      <c r="DB42" s="745"/>
      <c r="DC42" s="745"/>
      <c r="DD42" s="745"/>
      <c r="DE42" s="745"/>
      <c r="DF42" s="745"/>
      <c r="DG42" s="745"/>
      <c r="DH42" s="745"/>
      <c r="DI42" s="745"/>
      <c r="DJ42" s="745"/>
      <c r="DK42" s="745"/>
      <c r="DL42" s="745"/>
      <c r="DM42" s="745"/>
      <c r="DN42" s="745"/>
      <c r="DO42" s="745"/>
      <c r="DP42" s="745"/>
      <c r="DQ42" s="745"/>
      <c r="DR42" s="745"/>
      <c r="DS42" s="745"/>
      <c r="DT42" s="745"/>
      <c r="DU42" s="745"/>
      <c r="DV42" s="745"/>
      <c r="DW42" s="745"/>
      <c r="DX42" s="745"/>
      <c r="DY42" s="745"/>
      <c r="DZ42" s="745"/>
      <c r="EA42" s="745"/>
      <c r="EB42" s="745"/>
      <c r="EC42" s="745"/>
      <c r="ED42" s="745"/>
      <c r="EE42" s="745"/>
      <c r="EF42" s="745"/>
      <c r="EG42" s="745"/>
      <c r="EH42" s="745"/>
      <c r="EI42" s="745"/>
      <c r="EJ42" s="745"/>
      <c r="EK42" s="745"/>
      <c r="EL42" s="745"/>
      <c r="EM42" s="745"/>
      <c r="EN42" s="745"/>
      <c r="EO42" s="745"/>
      <c r="EP42" s="745"/>
      <c r="EQ42" s="745"/>
    </row>
    <row r="43" spans="1:147" s="717" customFormat="1">
      <c r="A43" s="492"/>
      <c r="B43" s="729"/>
      <c r="C43" s="730" t="s">
        <v>273</v>
      </c>
      <c r="D43" s="724" t="s">
        <v>46</v>
      </c>
      <c r="E43" s="392">
        <f>77/100</f>
        <v>0.77</v>
      </c>
      <c r="F43" s="392">
        <f>E43*F41</f>
        <v>0.50050000000000006</v>
      </c>
      <c r="G43" s="392"/>
      <c r="H43" s="722"/>
      <c r="I43" s="722"/>
      <c r="J43" s="722"/>
      <c r="K43" s="722"/>
      <c r="L43" s="392"/>
      <c r="M43" s="722"/>
      <c r="N43" s="745"/>
      <c r="O43" s="745"/>
      <c r="P43" s="745"/>
      <c r="Q43" s="745"/>
      <c r="R43" s="745"/>
      <c r="S43" s="745"/>
      <c r="T43" s="745"/>
      <c r="U43" s="745"/>
      <c r="V43" s="745"/>
      <c r="W43" s="745"/>
      <c r="X43" s="745"/>
      <c r="Y43" s="745"/>
      <c r="Z43" s="745"/>
      <c r="AA43" s="745"/>
      <c r="AB43" s="745"/>
      <c r="AC43" s="745"/>
      <c r="AD43" s="745"/>
      <c r="AE43" s="745"/>
      <c r="AF43" s="745"/>
      <c r="AG43" s="745"/>
      <c r="AH43" s="745"/>
      <c r="AI43" s="745"/>
      <c r="AJ43" s="745"/>
      <c r="AK43" s="745"/>
      <c r="AL43" s="745"/>
      <c r="AM43" s="745"/>
      <c r="AN43" s="745"/>
      <c r="AO43" s="745"/>
      <c r="AP43" s="745"/>
      <c r="AQ43" s="745"/>
      <c r="AR43" s="745"/>
      <c r="AS43" s="745"/>
      <c r="AT43" s="745"/>
      <c r="AU43" s="745"/>
      <c r="AV43" s="745"/>
      <c r="AW43" s="745"/>
      <c r="AX43" s="745"/>
      <c r="AY43" s="745"/>
      <c r="AZ43" s="745"/>
      <c r="BA43" s="745"/>
      <c r="BB43" s="745"/>
      <c r="BC43" s="745"/>
      <c r="BD43" s="745"/>
      <c r="BE43" s="745"/>
      <c r="BF43" s="745"/>
      <c r="BG43" s="745"/>
      <c r="BH43" s="745"/>
      <c r="BI43" s="745"/>
      <c r="BJ43" s="745"/>
      <c r="BK43" s="745"/>
      <c r="BL43" s="745"/>
      <c r="BM43" s="745"/>
      <c r="BN43" s="745"/>
      <c r="BO43" s="745"/>
      <c r="BP43" s="745"/>
      <c r="BQ43" s="745"/>
      <c r="BR43" s="745"/>
      <c r="BS43" s="745"/>
      <c r="BT43" s="745"/>
      <c r="BU43" s="745"/>
      <c r="BV43" s="745"/>
      <c r="BW43" s="745"/>
      <c r="BX43" s="745"/>
      <c r="BY43" s="745"/>
      <c r="BZ43" s="745"/>
      <c r="CA43" s="745"/>
      <c r="CB43" s="745"/>
      <c r="CC43" s="745"/>
      <c r="CD43" s="745"/>
      <c r="CE43" s="745"/>
      <c r="CF43" s="745"/>
      <c r="CG43" s="745"/>
      <c r="CH43" s="745"/>
      <c r="CI43" s="745"/>
      <c r="CJ43" s="745"/>
      <c r="CK43" s="745"/>
      <c r="CL43" s="745"/>
      <c r="CM43" s="745"/>
      <c r="CN43" s="745"/>
      <c r="CO43" s="745"/>
      <c r="CP43" s="745"/>
      <c r="CQ43" s="745"/>
      <c r="CR43" s="745"/>
      <c r="CS43" s="745"/>
      <c r="CT43" s="745"/>
      <c r="CU43" s="745"/>
      <c r="CV43" s="745"/>
      <c r="CW43" s="745"/>
      <c r="CX43" s="745"/>
      <c r="CY43" s="745"/>
      <c r="CZ43" s="745"/>
      <c r="DA43" s="745"/>
      <c r="DB43" s="745"/>
      <c r="DC43" s="745"/>
      <c r="DD43" s="745"/>
      <c r="DE43" s="745"/>
      <c r="DF43" s="745"/>
      <c r="DG43" s="745"/>
      <c r="DH43" s="745"/>
      <c r="DI43" s="745"/>
      <c r="DJ43" s="745"/>
      <c r="DK43" s="745"/>
      <c r="DL43" s="745"/>
      <c r="DM43" s="745"/>
      <c r="DN43" s="745"/>
      <c r="DO43" s="745"/>
      <c r="DP43" s="745"/>
      <c r="DQ43" s="745"/>
      <c r="DR43" s="745"/>
      <c r="DS43" s="745"/>
      <c r="DT43" s="745"/>
      <c r="DU43" s="745"/>
      <c r="DV43" s="745"/>
      <c r="DW43" s="745"/>
      <c r="DX43" s="745"/>
      <c r="DY43" s="745"/>
      <c r="DZ43" s="745"/>
      <c r="EA43" s="745"/>
      <c r="EB43" s="745"/>
      <c r="EC43" s="745"/>
      <c r="ED43" s="745"/>
      <c r="EE43" s="745"/>
      <c r="EF43" s="745"/>
      <c r="EG43" s="745"/>
      <c r="EH43" s="745"/>
      <c r="EI43" s="745"/>
      <c r="EJ43" s="745"/>
      <c r="EK43" s="745"/>
      <c r="EL43" s="745"/>
      <c r="EM43" s="745"/>
      <c r="EN43" s="745"/>
      <c r="EO43" s="745"/>
      <c r="EP43" s="745"/>
      <c r="EQ43" s="745"/>
    </row>
    <row r="44" spans="1:147" s="717" customFormat="1">
      <c r="A44" s="718"/>
      <c r="B44" s="558" t="s">
        <v>675</v>
      </c>
      <c r="C44" s="754" t="s">
        <v>463</v>
      </c>
      <c r="D44" s="755" t="s">
        <v>44</v>
      </c>
      <c r="E44" s="753">
        <f>101.5/100</f>
        <v>1.0149999999999999</v>
      </c>
      <c r="F44" s="722">
        <f>E44*F41</f>
        <v>0.65974999999999995</v>
      </c>
      <c r="G44" s="392"/>
      <c r="H44" s="750"/>
      <c r="I44" s="722"/>
      <c r="J44" s="722"/>
      <c r="K44" s="722"/>
      <c r="L44" s="722"/>
      <c r="M44" s="722"/>
      <c r="N44" s="745"/>
      <c r="O44" s="745"/>
      <c r="P44" s="745"/>
      <c r="Q44" s="745"/>
      <c r="R44" s="745"/>
      <c r="S44" s="745"/>
      <c r="T44" s="745"/>
      <c r="U44" s="745"/>
      <c r="V44" s="745"/>
      <c r="W44" s="745"/>
      <c r="X44" s="745"/>
      <c r="Y44" s="745"/>
      <c r="Z44" s="745"/>
      <c r="AA44" s="745"/>
      <c r="AB44" s="745"/>
      <c r="AC44" s="745"/>
      <c r="AD44" s="745"/>
      <c r="AE44" s="745"/>
      <c r="AF44" s="745"/>
      <c r="AG44" s="745"/>
      <c r="AH44" s="745"/>
      <c r="AI44" s="745"/>
      <c r="AJ44" s="745"/>
      <c r="AK44" s="745"/>
      <c r="AL44" s="745"/>
      <c r="AM44" s="745"/>
      <c r="AN44" s="745"/>
      <c r="AO44" s="745"/>
      <c r="AP44" s="745"/>
      <c r="AQ44" s="745"/>
      <c r="AR44" s="745"/>
      <c r="AS44" s="745"/>
      <c r="AT44" s="745"/>
      <c r="AU44" s="745"/>
      <c r="AV44" s="745"/>
      <c r="AW44" s="745"/>
      <c r="AX44" s="745"/>
      <c r="AY44" s="745"/>
      <c r="AZ44" s="745"/>
      <c r="BA44" s="745"/>
      <c r="BB44" s="745"/>
      <c r="BC44" s="745"/>
      <c r="BD44" s="745"/>
      <c r="BE44" s="745"/>
      <c r="BF44" s="745"/>
      <c r="BG44" s="745"/>
      <c r="BH44" s="745"/>
      <c r="BI44" s="745"/>
      <c r="BJ44" s="745"/>
      <c r="BK44" s="745"/>
      <c r="BL44" s="745"/>
      <c r="BM44" s="745"/>
      <c r="BN44" s="745"/>
      <c r="BO44" s="745"/>
      <c r="BP44" s="745"/>
      <c r="BQ44" s="745"/>
      <c r="BR44" s="745"/>
      <c r="BS44" s="745"/>
      <c r="BT44" s="745"/>
      <c r="BU44" s="745"/>
      <c r="BV44" s="745"/>
      <c r="BW44" s="745"/>
      <c r="BX44" s="745"/>
      <c r="BY44" s="745"/>
      <c r="BZ44" s="745"/>
      <c r="CA44" s="745"/>
      <c r="CB44" s="745"/>
      <c r="CC44" s="745"/>
      <c r="CD44" s="745"/>
      <c r="CE44" s="745"/>
      <c r="CF44" s="745"/>
      <c r="CG44" s="745"/>
      <c r="CH44" s="745"/>
      <c r="CI44" s="745"/>
      <c r="CJ44" s="745"/>
      <c r="CK44" s="745"/>
      <c r="CL44" s="745"/>
      <c r="CM44" s="745"/>
      <c r="CN44" s="745"/>
      <c r="CO44" s="745"/>
      <c r="CP44" s="745"/>
      <c r="CQ44" s="745"/>
      <c r="CR44" s="745"/>
      <c r="CS44" s="745"/>
      <c r="CT44" s="745"/>
      <c r="CU44" s="745"/>
      <c r="CV44" s="745"/>
      <c r="CW44" s="745"/>
      <c r="CX44" s="745"/>
      <c r="CY44" s="745"/>
      <c r="CZ44" s="745"/>
      <c r="DA44" s="745"/>
      <c r="DB44" s="745"/>
      <c r="DC44" s="745"/>
      <c r="DD44" s="745"/>
      <c r="DE44" s="745"/>
      <c r="DF44" s="745"/>
      <c r="DG44" s="745"/>
      <c r="DH44" s="745"/>
      <c r="DI44" s="745"/>
      <c r="DJ44" s="745"/>
      <c r="DK44" s="745"/>
      <c r="DL44" s="745"/>
      <c r="DM44" s="745"/>
      <c r="DN44" s="745"/>
      <c r="DO44" s="745"/>
      <c r="DP44" s="745"/>
      <c r="DQ44" s="745"/>
      <c r="DR44" s="745"/>
      <c r="DS44" s="745"/>
      <c r="DT44" s="745"/>
      <c r="DU44" s="745"/>
      <c r="DV44" s="745"/>
      <c r="DW44" s="745"/>
      <c r="DX44" s="745"/>
      <c r="DY44" s="745"/>
      <c r="DZ44" s="745"/>
      <c r="EA44" s="745"/>
      <c r="EB44" s="745"/>
      <c r="EC44" s="745"/>
      <c r="ED44" s="745"/>
      <c r="EE44" s="745"/>
      <c r="EF44" s="745"/>
      <c r="EG44" s="745"/>
      <c r="EH44" s="745"/>
      <c r="EI44" s="745"/>
      <c r="EJ44" s="745"/>
      <c r="EK44" s="745"/>
      <c r="EL44" s="745"/>
      <c r="EM44" s="745"/>
      <c r="EN44" s="745"/>
      <c r="EO44" s="745"/>
      <c r="EP44" s="745"/>
      <c r="EQ44" s="745"/>
    </row>
    <row r="45" spans="1:147" s="717" customFormat="1">
      <c r="A45" s="492"/>
      <c r="B45" s="729" t="s">
        <v>432</v>
      </c>
      <c r="C45" s="754" t="s">
        <v>467</v>
      </c>
      <c r="D45" s="755" t="s">
        <v>47</v>
      </c>
      <c r="E45" s="392" t="s">
        <v>285</v>
      </c>
      <c r="F45" s="725">
        <v>6.1080000000000002E-2</v>
      </c>
      <c r="G45" s="392"/>
      <c r="H45" s="750"/>
      <c r="I45" s="722"/>
      <c r="J45" s="722"/>
      <c r="K45" s="758"/>
      <c r="L45" s="722"/>
      <c r="M45" s="722"/>
      <c r="N45" s="745"/>
      <c r="O45" s="745"/>
      <c r="P45" s="745"/>
      <c r="Q45" s="745"/>
      <c r="R45" s="745"/>
      <c r="S45" s="745"/>
      <c r="T45" s="745"/>
      <c r="U45" s="745"/>
      <c r="V45" s="745"/>
      <c r="W45" s="745"/>
      <c r="X45" s="745"/>
      <c r="Y45" s="745"/>
      <c r="Z45" s="745"/>
      <c r="AA45" s="745"/>
      <c r="AB45" s="745"/>
      <c r="AC45" s="745"/>
      <c r="AD45" s="745"/>
      <c r="AE45" s="745"/>
      <c r="AF45" s="745"/>
      <c r="AG45" s="745"/>
      <c r="AH45" s="745"/>
      <c r="AI45" s="745"/>
      <c r="AJ45" s="745"/>
      <c r="AK45" s="745"/>
      <c r="AL45" s="745"/>
      <c r="AM45" s="745"/>
      <c r="AN45" s="745"/>
      <c r="AO45" s="745"/>
      <c r="AP45" s="745"/>
      <c r="AQ45" s="745"/>
      <c r="AR45" s="745"/>
      <c r="AS45" s="745"/>
      <c r="AT45" s="745"/>
      <c r="AU45" s="745"/>
      <c r="AV45" s="745"/>
      <c r="AW45" s="745"/>
      <c r="AX45" s="745"/>
      <c r="AY45" s="745"/>
      <c r="AZ45" s="745"/>
      <c r="BA45" s="745"/>
      <c r="BB45" s="745"/>
      <c r="BC45" s="745"/>
      <c r="BD45" s="745"/>
      <c r="BE45" s="745"/>
      <c r="BF45" s="745"/>
      <c r="BG45" s="745"/>
      <c r="BH45" s="745"/>
      <c r="BI45" s="745"/>
      <c r="BJ45" s="745"/>
      <c r="BK45" s="745"/>
      <c r="BL45" s="745"/>
      <c r="BM45" s="745"/>
      <c r="BN45" s="745"/>
      <c r="BO45" s="745"/>
      <c r="BP45" s="745"/>
      <c r="BQ45" s="745"/>
      <c r="BR45" s="745"/>
      <c r="BS45" s="745"/>
      <c r="BT45" s="745"/>
      <c r="BU45" s="745"/>
      <c r="BV45" s="745"/>
      <c r="BW45" s="745"/>
      <c r="BX45" s="745"/>
      <c r="BY45" s="745"/>
      <c r="BZ45" s="745"/>
      <c r="CA45" s="745"/>
      <c r="CB45" s="745"/>
      <c r="CC45" s="745"/>
      <c r="CD45" s="745"/>
      <c r="CE45" s="745"/>
      <c r="CF45" s="745"/>
      <c r="CG45" s="745"/>
      <c r="CH45" s="745"/>
      <c r="CI45" s="745"/>
      <c r="CJ45" s="745"/>
      <c r="CK45" s="745"/>
      <c r="CL45" s="745"/>
      <c r="CM45" s="745"/>
      <c r="CN45" s="745"/>
      <c r="CO45" s="745"/>
      <c r="CP45" s="745"/>
      <c r="CQ45" s="745"/>
      <c r="CR45" s="745"/>
      <c r="CS45" s="745"/>
      <c r="CT45" s="745"/>
      <c r="CU45" s="745"/>
      <c r="CV45" s="745"/>
      <c r="CW45" s="745"/>
      <c r="CX45" s="745"/>
      <c r="CY45" s="745"/>
      <c r="CZ45" s="745"/>
      <c r="DA45" s="745"/>
      <c r="DB45" s="745"/>
      <c r="DC45" s="745"/>
      <c r="DD45" s="745"/>
      <c r="DE45" s="745"/>
      <c r="DF45" s="745"/>
      <c r="DG45" s="745"/>
      <c r="DH45" s="745"/>
      <c r="DI45" s="745"/>
      <c r="DJ45" s="745"/>
      <c r="DK45" s="745"/>
      <c r="DL45" s="745"/>
      <c r="DM45" s="745"/>
      <c r="DN45" s="745"/>
      <c r="DO45" s="745"/>
      <c r="DP45" s="745"/>
      <c r="DQ45" s="745"/>
      <c r="DR45" s="745"/>
      <c r="DS45" s="745"/>
      <c r="DT45" s="745"/>
      <c r="DU45" s="745"/>
      <c r="DV45" s="745"/>
      <c r="DW45" s="745"/>
      <c r="DX45" s="745"/>
      <c r="DY45" s="745"/>
      <c r="DZ45" s="745"/>
      <c r="EA45" s="745"/>
      <c r="EB45" s="745"/>
      <c r="EC45" s="745"/>
      <c r="ED45" s="745"/>
      <c r="EE45" s="745"/>
      <c r="EF45" s="745"/>
      <c r="EG45" s="745"/>
      <c r="EH45" s="745"/>
      <c r="EI45" s="745"/>
      <c r="EJ45" s="745"/>
      <c r="EK45" s="745"/>
      <c r="EL45" s="745"/>
      <c r="EM45" s="745"/>
      <c r="EN45" s="745"/>
      <c r="EO45" s="745"/>
      <c r="EP45" s="745"/>
      <c r="EQ45" s="745"/>
    </row>
    <row r="46" spans="1:147" s="717" customFormat="1">
      <c r="A46" s="492"/>
      <c r="B46" s="662" t="s">
        <v>676</v>
      </c>
      <c r="C46" s="726" t="s">
        <v>464</v>
      </c>
      <c r="D46" s="755" t="s">
        <v>44</v>
      </c>
      <c r="E46" s="722">
        <f>0.08/100</f>
        <v>8.0000000000000004E-4</v>
      </c>
      <c r="F46" s="722">
        <f>E46*F41</f>
        <v>5.2000000000000006E-4</v>
      </c>
      <c r="G46" s="722"/>
      <c r="H46" s="750"/>
      <c r="I46" s="722"/>
      <c r="J46" s="722"/>
      <c r="K46" s="722"/>
      <c r="L46" s="722"/>
      <c r="M46" s="722"/>
      <c r="N46" s="745"/>
      <c r="O46" s="745"/>
      <c r="P46" s="745"/>
      <c r="Q46" s="745"/>
      <c r="R46" s="745"/>
      <c r="S46" s="745"/>
      <c r="T46" s="745"/>
      <c r="U46" s="745"/>
      <c r="V46" s="745"/>
      <c r="W46" s="745"/>
      <c r="X46" s="745"/>
      <c r="Y46" s="745"/>
      <c r="Z46" s="745"/>
      <c r="AA46" s="745"/>
      <c r="AB46" s="745"/>
      <c r="AC46" s="745"/>
      <c r="AD46" s="745"/>
      <c r="AE46" s="745"/>
      <c r="AF46" s="745"/>
      <c r="AG46" s="745"/>
      <c r="AH46" s="745"/>
      <c r="AI46" s="745"/>
      <c r="AJ46" s="745"/>
      <c r="AK46" s="745"/>
      <c r="AL46" s="745"/>
      <c r="AM46" s="745"/>
      <c r="AN46" s="745"/>
      <c r="AO46" s="745"/>
      <c r="AP46" s="745"/>
      <c r="AQ46" s="745"/>
      <c r="AR46" s="745"/>
      <c r="AS46" s="745"/>
      <c r="AT46" s="745"/>
      <c r="AU46" s="745"/>
      <c r="AV46" s="745"/>
      <c r="AW46" s="745"/>
      <c r="AX46" s="745"/>
      <c r="AY46" s="745"/>
      <c r="AZ46" s="745"/>
      <c r="BA46" s="745"/>
      <c r="BB46" s="745"/>
      <c r="BC46" s="745"/>
      <c r="BD46" s="745"/>
      <c r="BE46" s="745"/>
      <c r="BF46" s="745"/>
      <c r="BG46" s="745"/>
      <c r="BH46" s="745"/>
      <c r="BI46" s="745"/>
      <c r="BJ46" s="745"/>
      <c r="BK46" s="745"/>
      <c r="BL46" s="745"/>
      <c r="BM46" s="745"/>
      <c r="BN46" s="745"/>
      <c r="BO46" s="745"/>
      <c r="BP46" s="745"/>
      <c r="BQ46" s="745"/>
      <c r="BR46" s="745"/>
      <c r="BS46" s="745"/>
      <c r="BT46" s="745"/>
      <c r="BU46" s="745"/>
      <c r="BV46" s="745"/>
      <c r="BW46" s="745"/>
      <c r="BX46" s="745"/>
      <c r="BY46" s="745"/>
      <c r="BZ46" s="745"/>
      <c r="CA46" s="745"/>
      <c r="CB46" s="745"/>
      <c r="CC46" s="745"/>
      <c r="CD46" s="745"/>
      <c r="CE46" s="745"/>
      <c r="CF46" s="745"/>
      <c r="CG46" s="745"/>
      <c r="CH46" s="745"/>
      <c r="CI46" s="745"/>
      <c r="CJ46" s="745"/>
      <c r="CK46" s="745"/>
      <c r="CL46" s="745"/>
      <c r="CM46" s="745"/>
      <c r="CN46" s="745"/>
      <c r="CO46" s="745"/>
      <c r="CP46" s="745"/>
      <c r="CQ46" s="745"/>
      <c r="CR46" s="745"/>
      <c r="CS46" s="745"/>
      <c r="CT46" s="745"/>
      <c r="CU46" s="745"/>
      <c r="CV46" s="745"/>
      <c r="CW46" s="745"/>
      <c r="CX46" s="745"/>
      <c r="CY46" s="745"/>
      <c r="CZ46" s="745"/>
      <c r="DA46" s="745"/>
      <c r="DB46" s="745"/>
      <c r="DC46" s="745"/>
      <c r="DD46" s="745"/>
      <c r="DE46" s="745"/>
      <c r="DF46" s="745"/>
      <c r="DG46" s="745"/>
      <c r="DH46" s="745"/>
      <c r="DI46" s="745"/>
      <c r="DJ46" s="745"/>
      <c r="DK46" s="745"/>
      <c r="DL46" s="745"/>
      <c r="DM46" s="745"/>
      <c r="DN46" s="745"/>
      <c r="DO46" s="745"/>
      <c r="DP46" s="745"/>
      <c r="DQ46" s="745"/>
      <c r="DR46" s="745"/>
      <c r="DS46" s="745"/>
      <c r="DT46" s="745"/>
      <c r="DU46" s="745"/>
      <c r="DV46" s="745"/>
      <c r="DW46" s="745"/>
      <c r="DX46" s="745"/>
      <c r="DY46" s="745"/>
      <c r="DZ46" s="745"/>
      <c r="EA46" s="745"/>
      <c r="EB46" s="745"/>
      <c r="EC46" s="745"/>
      <c r="ED46" s="745"/>
      <c r="EE46" s="745"/>
      <c r="EF46" s="745"/>
      <c r="EG46" s="745"/>
      <c r="EH46" s="745"/>
      <c r="EI46" s="745"/>
      <c r="EJ46" s="745"/>
      <c r="EK46" s="745"/>
      <c r="EL46" s="745"/>
      <c r="EM46" s="745"/>
      <c r="EN46" s="745"/>
      <c r="EO46" s="745"/>
      <c r="EP46" s="745"/>
      <c r="EQ46" s="745"/>
    </row>
    <row r="47" spans="1:147" s="717" customFormat="1">
      <c r="A47" s="718"/>
      <c r="B47" s="662" t="s">
        <v>655</v>
      </c>
      <c r="C47" s="756" t="s">
        <v>286</v>
      </c>
      <c r="D47" s="755" t="s">
        <v>48</v>
      </c>
      <c r="E47" s="727">
        <f>7.54/100</f>
        <v>7.5399999999999995E-2</v>
      </c>
      <c r="F47" s="722">
        <f>E47*F41</f>
        <v>4.9009999999999998E-2</v>
      </c>
      <c r="G47" s="392"/>
      <c r="H47" s="750"/>
      <c r="I47" s="722"/>
      <c r="J47" s="722"/>
      <c r="K47" s="722"/>
      <c r="L47" s="722"/>
      <c r="M47" s="722"/>
      <c r="N47" s="745"/>
      <c r="O47" s="745"/>
      <c r="P47" s="745"/>
      <c r="Q47" s="745"/>
      <c r="R47" s="745"/>
      <c r="S47" s="745"/>
      <c r="T47" s="745"/>
      <c r="U47" s="745"/>
      <c r="V47" s="745"/>
      <c r="W47" s="745"/>
      <c r="X47" s="745"/>
      <c r="Y47" s="745"/>
      <c r="Z47" s="745"/>
      <c r="AA47" s="745"/>
      <c r="AB47" s="745"/>
      <c r="AC47" s="745"/>
      <c r="AD47" s="745"/>
      <c r="AE47" s="745"/>
      <c r="AF47" s="745"/>
      <c r="AG47" s="745"/>
      <c r="AH47" s="745"/>
      <c r="AI47" s="745"/>
      <c r="AJ47" s="745"/>
      <c r="AK47" s="745"/>
      <c r="AL47" s="745"/>
      <c r="AM47" s="745"/>
      <c r="AN47" s="745"/>
      <c r="AO47" s="745"/>
      <c r="AP47" s="745"/>
      <c r="AQ47" s="745"/>
      <c r="AR47" s="745"/>
      <c r="AS47" s="745"/>
      <c r="AT47" s="745"/>
      <c r="AU47" s="745"/>
      <c r="AV47" s="745"/>
      <c r="AW47" s="745"/>
      <c r="AX47" s="745"/>
      <c r="AY47" s="745"/>
      <c r="AZ47" s="745"/>
      <c r="BA47" s="745"/>
      <c r="BB47" s="745"/>
      <c r="BC47" s="745"/>
      <c r="BD47" s="745"/>
      <c r="BE47" s="745"/>
      <c r="BF47" s="745"/>
      <c r="BG47" s="745"/>
      <c r="BH47" s="745"/>
      <c r="BI47" s="745"/>
      <c r="BJ47" s="745"/>
      <c r="BK47" s="745"/>
      <c r="BL47" s="745"/>
      <c r="BM47" s="745"/>
      <c r="BN47" s="745"/>
      <c r="BO47" s="745"/>
      <c r="BP47" s="745"/>
      <c r="BQ47" s="745"/>
      <c r="BR47" s="745"/>
      <c r="BS47" s="745"/>
      <c r="BT47" s="745"/>
      <c r="BU47" s="745"/>
      <c r="BV47" s="745"/>
      <c r="BW47" s="745"/>
      <c r="BX47" s="745"/>
      <c r="BY47" s="745"/>
      <c r="BZ47" s="745"/>
      <c r="CA47" s="745"/>
      <c r="CB47" s="745"/>
      <c r="CC47" s="745"/>
      <c r="CD47" s="745"/>
      <c r="CE47" s="745"/>
      <c r="CF47" s="745"/>
      <c r="CG47" s="745"/>
      <c r="CH47" s="745"/>
      <c r="CI47" s="745"/>
      <c r="CJ47" s="745"/>
      <c r="CK47" s="745"/>
      <c r="CL47" s="745"/>
      <c r="CM47" s="745"/>
      <c r="CN47" s="745"/>
      <c r="CO47" s="745"/>
      <c r="CP47" s="745"/>
      <c r="CQ47" s="745"/>
      <c r="CR47" s="745"/>
      <c r="CS47" s="745"/>
      <c r="CT47" s="745"/>
      <c r="CU47" s="745"/>
      <c r="CV47" s="745"/>
      <c r="CW47" s="745"/>
      <c r="CX47" s="745"/>
      <c r="CY47" s="745"/>
      <c r="CZ47" s="745"/>
      <c r="DA47" s="745"/>
      <c r="DB47" s="745"/>
      <c r="DC47" s="745"/>
      <c r="DD47" s="745"/>
      <c r="DE47" s="745"/>
      <c r="DF47" s="745"/>
      <c r="DG47" s="745"/>
      <c r="DH47" s="745"/>
      <c r="DI47" s="745"/>
      <c r="DJ47" s="745"/>
      <c r="DK47" s="745"/>
      <c r="DL47" s="745"/>
      <c r="DM47" s="745"/>
      <c r="DN47" s="745"/>
      <c r="DO47" s="745"/>
      <c r="DP47" s="745"/>
      <c r="DQ47" s="745"/>
      <c r="DR47" s="745"/>
      <c r="DS47" s="745"/>
      <c r="DT47" s="745"/>
      <c r="DU47" s="745"/>
      <c r="DV47" s="745"/>
      <c r="DW47" s="745"/>
      <c r="DX47" s="745"/>
      <c r="DY47" s="745"/>
      <c r="DZ47" s="745"/>
      <c r="EA47" s="745"/>
      <c r="EB47" s="745"/>
      <c r="EC47" s="745"/>
      <c r="ED47" s="745"/>
      <c r="EE47" s="745"/>
      <c r="EF47" s="745"/>
      <c r="EG47" s="745"/>
      <c r="EH47" s="745"/>
      <c r="EI47" s="745"/>
      <c r="EJ47" s="745"/>
      <c r="EK47" s="745"/>
      <c r="EL47" s="745"/>
      <c r="EM47" s="745"/>
      <c r="EN47" s="745"/>
      <c r="EO47" s="745"/>
      <c r="EP47" s="745"/>
      <c r="EQ47" s="745"/>
    </row>
    <row r="48" spans="1:147" s="717" customFormat="1">
      <c r="A48" s="718"/>
      <c r="B48" s="662" t="s">
        <v>657</v>
      </c>
      <c r="C48" s="756" t="s">
        <v>287</v>
      </c>
      <c r="D48" s="755" t="s">
        <v>44</v>
      </c>
      <c r="E48" s="759">
        <v>8.0000000000000004E-4</v>
      </c>
      <c r="F48" s="722">
        <f>E48*F41</f>
        <v>5.2000000000000006E-4</v>
      </c>
      <c r="G48" s="392"/>
      <c r="H48" s="750"/>
      <c r="I48" s="722"/>
      <c r="J48" s="722"/>
      <c r="K48" s="722"/>
      <c r="L48" s="722"/>
      <c r="M48" s="722"/>
      <c r="N48" s="745"/>
      <c r="O48" s="745"/>
      <c r="P48" s="745"/>
      <c r="Q48" s="745"/>
      <c r="R48" s="745"/>
      <c r="S48" s="745"/>
      <c r="T48" s="745"/>
      <c r="U48" s="745"/>
      <c r="V48" s="745"/>
      <c r="W48" s="745"/>
      <c r="X48" s="745"/>
      <c r="Y48" s="745"/>
      <c r="Z48" s="745"/>
      <c r="AA48" s="745"/>
      <c r="AB48" s="745"/>
      <c r="AC48" s="745"/>
      <c r="AD48" s="745"/>
      <c r="AE48" s="745"/>
      <c r="AF48" s="745"/>
      <c r="AG48" s="745"/>
      <c r="AH48" s="745"/>
      <c r="AI48" s="745"/>
      <c r="AJ48" s="745"/>
      <c r="AK48" s="745"/>
      <c r="AL48" s="745"/>
      <c r="AM48" s="745"/>
      <c r="AN48" s="745"/>
      <c r="AO48" s="745"/>
      <c r="AP48" s="745"/>
      <c r="AQ48" s="745"/>
      <c r="AR48" s="745"/>
      <c r="AS48" s="745"/>
      <c r="AT48" s="745"/>
      <c r="AU48" s="745"/>
      <c r="AV48" s="745"/>
      <c r="AW48" s="745"/>
      <c r="AX48" s="745"/>
      <c r="AY48" s="745"/>
      <c r="AZ48" s="745"/>
      <c r="BA48" s="745"/>
      <c r="BB48" s="745"/>
      <c r="BC48" s="745"/>
      <c r="BD48" s="745"/>
      <c r="BE48" s="745"/>
      <c r="BF48" s="745"/>
      <c r="BG48" s="745"/>
      <c r="BH48" s="745"/>
      <c r="BI48" s="745"/>
      <c r="BJ48" s="745"/>
      <c r="BK48" s="745"/>
      <c r="BL48" s="745"/>
      <c r="BM48" s="745"/>
      <c r="BN48" s="745"/>
      <c r="BO48" s="745"/>
      <c r="BP48" s="745"/>
      <c r="BQ48" s="745"/>
      <c r="BR48" s="745"/>
      <c r="BS48" s="745"/>
      <c r="BT48" s="745"/>
      <c r="BU48" s="745"/>
      <c r="BV48" s="745"/>
      <c r="BW48" s="745"/>
      <c r="BX48" s="745"/>
      <c r="BY48" s="745"/>
      <c r="BZ48" s="745"/>
      <c r="CA48" s="745"/>
      <c r="CB48" s="745"/>
      <c r="CC48" s="745"/>
      <c r="CD48" s="745"/>
      <c r="CE48" s="745"/>
      <c r="CF48" s="745"/>
      <c r="CG48" s="745"/>
      <c r="CH48" s="745"/>
      <c r="CI48" s="745"/>
      <c r="CJ48" s="745"/>
      <c r="CK48" s="745"/>
      <c r="CL48" s="745"/>
      <c r="CM48" s="745"/>
      <c r="CN48" s="745"/>
      <c r="CO48" s="745"/>
      <c r="CP48" s="745"/>
      <c r="CQ48" s="745"/>
      <c r="CR48" s="745"/>
      <c r="CS48" s="745"/>
      <c r="CT48" s="745"/>
      <c r="CU48" s="745"/>
      <c r="CV48" s="745"/>
      <c r="CW48" s="745"/>
      <c r="CX48" s="745"/>
      <c r="CY48" s="745"/>
      <c r="CZ48" s="745"/>
      <c r="DA48" s="745"/>
      <c r="DB48" s="745"/>
      <c r="DC48" s="745"/>
      <c r="DD48" s="745"/>
      <c r="DE48" s="745"/>
      <c r="DF48" s="745"/>
      <c r="DG48" s="745"/>
      <c r="DH48" s="745"/>
      <c r="DI48" s="745"/>
      <c r="DJ48" s="745"/>
      <c r="DK48" s="745"/>
      <c r="DL48" s="745"/>
      <c r="DM48" s="745"/>
      <c r="DN48" s="745"/>
      <c r="DO48" s="745"/>
      <c r="DP48" s="745"/>
      <c r="DQ48" s="745"/>
      <c r="DR48" s="745"/>
      <c r="DS48" s="745"/>
      <c r="DT48" s="745"/>
      <c r="DU48" s="745"/>
      <c r="DV48" s="745"/>
      <c r="DW48" s="745"/>
      <c r="DX48" s="745"/>
      <c r="DY48" s="745"/>
      <c r="DZ48" s="745"/>
      <c r="EA48" s="745"/>
      <c r="EB48" s="745"/>
      <c r="EC48" s="745"/>
      <c r="ED48" s="745"/>
      <c r="EE48" s="745"/>
      <c r="EF48" s="745"/>
      <c r="EG48" s="745"/>
      <c r="EH48" s="745"/>
      <c r="EI48" s="745"/>
      <c r="EJ48" s="745"/>
      <c r="EK48" s="745"/>
      <c r="EL48" s="745"/>
      <c r="EM48" s="745"/>
      <c r="EN48" s="745"/>
      <c r="EO48" s="745"/>
      <c r="EP48" s="745"/>
      <c r="EQ48" s="745"/>
    </row>
    <row r="49" spans="1:147" s="717" customFormat="1">
      <c r="A49" s="718"/>
      <c r="B49" s="635"/>
      <c r="C49" s="726" t="s">
        <v>281</v>
      </c>
      <c r="D49" s="755" t="s">
        <v>46</v>
      </c>
      <c r="E49" s="722">
        <f>7/100</f>
        <v>7.0000000000000007E-2</v>
      </c>
      <c r="F49" s="722">
        <f>E49*F41</f>
        <v>4.5500000000000006E-2</v>
      </c>
      <c r="G49" s="392"/>
      <c r="H49" s="749"/>
      <c r="I49" s="722"/>
      <c r="J49" s="722"/>
      <c r="K49" s="722"/>
      <c r="L49" s="722"/>
      <c r="M49" s="722"/>
      <c r="N49" s="745"/>
      <c r="O49" s="745"/>
      <c r="P49" s="745"/>
      <c r="Q49" s="745"/>
      <c r="R49" s="745"/>
      <c r="S49" s="745"/>
      <c r="T49" s="745"/>
      <c r="U49" s="745"/>
      <c r="V49" s="745"/>
      <c r="W49" s="745"/>
      <c r="X49" s="745"/>
      <c r="Y49" s="745"/>
      <c r="Z49" s="745"/>
      <c r="AA49" s="745"/>
      <c r="AB49" s="745"/>
      <c r="AC49" s="745"/>
      <c r="AD49" s="745"/>
      <c r="AE49" s="745"/>
      <c r="AF49" s="745"/>
      <c r="AG49" s="745"/>
      <c r="AH49" s="745"/>
      <c r="AI49" s="745"/>
      <c r="AJ49" s="745"/>
      <c r="AK49" s="745"/>
      <c r="AL49" s="745"/>
      <c r="AM49" s="745"/>
      <c r="AN49" s="745"/>
      <c r="AO49" s="745"/>
      <c r="AP49" s="745"/>
      <c r="AQ49" s="745"/>
      <c r="AR49" s="745"/>
      <c r="AS49" s="745"/>
      <c r="AT49" s="745"/>
      <c r="AU49" s="745"/>
      <c r="AV49" s="745"/>
      <c r="AW49" s="745"/>
      <c r="AX49" s="745"/>
      <c r="AY49" s="745"/>
      <c r="AZ49" s="745"/>
      <c r="BA49" s="745"/>
      <c r="BB49" s="745"/>
      <c r="BC49" s="745"/>
      <c r="BD49" s="745"/>
      <c r="BE49" s="745"/>
      <c r="BF49" s="745"/>
      <c r="BG49" s="745"/>
      <c r="BH49" s="745"/>
      <c r="BI49" s="745"/>
      <c r="BJ49" s="745"/>
      <c r="BK49" s="745"/>
      <c r="BL49" s="745"/>
      <c r="BM49" s="745"/>
      <c r="BN49" s="745"/>
      <c r="BO49" s="745"/>
      <c r="BP49" s="745"/>
      <c r="BQ49" s="745"/>
      <c r="BR49" s="745"/>
      <c r="BS49" s="745"/>
      <c r="BT49" s="745"/>
      <c r="BU49" s="745"/>
      <c r="BV49" s="745"/>
      <c r="BW49" s="745"/>
      <c r="BX49" s="745"/>
      <c r="BY49" s="745"/>
      <c r="BZ49" s="745"/>
      <c r="CA49" s="745"/>
      <c r="CB49" s="745"/>
      <c r="CC49" s="745"/>
      <c r="CD49" s="745"/>
      <c r="CE49" s="745"/>
      <c r="CF49" s="745"/>
      <c r="CG49" s="745"/>
      <c r="CH49" s="745"/>
      <c r="CI49" s="745"/>
      <c r="CJ49" s="745"/>
      <c r="CK49" s="745"/>
      <c r="CL49" s="745"/>
      <c r="CM49" s="745"/>
      <c r="CN49" s="745"/>
      <c r="CO49" s="745"/>
      <c r="CP49" s="745"/>
      <c r="CQ49" s="745"/>
      <c r="CR49" s="745"/>
      <c r="CS49" s="745"/>
      <c r="CT49" s="745"/>
      <c r="CU49" s="745"/>
      <c r="CV49" s="745"/>
      <c r="CW49" s="745"/>
      <c r="CX49" s="745"/>
      <c r="CY49" s="745"/>
      <c r="CZ49" s="745"/>
      <c r="DA49" s="745"/>
      <c r="DB49" s="745"/>
      <c r="DC49" s="745"/>
      <c r="DD49" s="745"/>
      <c r="DE49" s="745"/>
      <c r="DF49" s="745"/>
      <c r="DG49" s="745"/>
      <c r="DH49" s="745"/>
      <c r="DI49" s="745"/>
      <c r="DJ49" s="745"/>
      <c r="DK49" s="745"/>
      <c r="DL49" s="745"/>
      <c r="DM49" s="745"/>
      <c r="DN49" s="745"/>
      <c r="DO49" s="745"/>
      <c r="DP49" s="745"/>
      <c r="DQ49" s="745"/>
      <c r="DR49" s="745"/>
      <c r="DS49" s="745"/>
      <c r="DT49" s="745"/>
      <c r="DU49" s="745"/>
      <c r="DV49" s="745"/>
      <c r="DW49" s="745"/>
      <c r="DX49" s="745"/>
      <c r="DY49" s="745"/>
      <c r="DZ49" s="745"/>
      <c r="EA49" s="745"/>
      <c r="EB49" s="745"/>
      <c r="EC49" s="745"/>
      <c r="ED49" s="745"/>
      <c r="EE49" s="745"/>
      <c r="EF49" s="745"/>
      <c r="EG49" s="745"/>
      <c r="EH49" s="745"/>
      <c r="EI49" s="745"/>
      <c r="EJ49" s="745"/>
      <c r="EK49" s="745"/>
      <c r="EL49" s="745"/>
      <c r="EM49" s="745"/>
      <c r="EN49" s="745"/>
      <c r="EO49" s="745"/>
      <c r="EP49" s="745"/>
      <c r="EQ49" s="745"/>
    </row>
    <row r="50" spans="1:147" s="745" customFormat="1">
      <c r="A50" s="509">
        <v>9</v>
      </c>
      <c r="B50" s="563" t="s">
        <v>401</v>
      </c>
      <c r="C50" s="751" t="s">
        <v>289</v>
      </c>
      <c r="D50" s="492" t="s">
        <v>44</v>
      </c>
      <c r="E50" s="721"/>
      <c r="F50" s="721">
        <v>0.56000000000000005</v>
      </c>
      <c r="G50" s="722"/>
      <c r="H50" s="722"/>
      <c r="I50" s="722"/>
      <c r="J50" s="722"/>
      <c r="K50" s="722"/>
      <c r="L50" s="722"/>
      <c r="M50" s="721"/>
      <c r="N50" s="741"/>
      <c r="O50" s="741"/>
      <c r="P50" s="741"/>
      <c r="Q50" s="741"/>
      <c r="R50" s="741"/>
      <c r="S50" s="741"/>
      <c r="T50" s="741"/>
      <c r="U50" s="741"/>
      <c r="V50" s="741"/>
      <c r="W50" s="741"/>
      <c r="X50" s="741"/>
      <c r="Y50" s="741"/>
      <c r="Z50" s="741"/>
      <c r="AA50" s="741"/>
      <c r="AB50" s="741"/>
      <c r="AC50" s="741"/>
      <c r="AD50" s="741"/>
      <c r="AE50" s="741"/>
      <c r="AF50" s="741"/>
      <c r="AG50" s="741"/>
      <c r="AH50" s="741"/>
      <c r="AI50" s="741"/>
      <c r="AJ50" s="741"/>
      <c r="AK50" s="741"/>
      <c r="AL50" s="741"/>
      <c r="AM50" s="741"/>
      <c r="AN50" s="741"/>
      <c r="AO50" s="741"/>
      <c r="AP50" s="741"/>
      <c r="AQ50" s="741"/>
      <c r="AR50" s="741"/>
      <c r="AS50" s="741"/>
      <c r="AT50" s="741"/>
      <c r="AU50" s="741"/>
      <c r="AV50" s="741"/>
      <c r="AW50" s="741"/>
      <c r="AX50" s="741"/>
      <c r="AY50" s="741"/>
      <c r="AZ50" s="741"/>
      <c r="BA50" s="741"/>
      <c r="BB50" s="741"/>
      <c r="BC50" s="741"/>
      <c r="BD50" s="741"/>
      <c r="BE50" s="741"/>
      <c r="BF50" s="741"/>
      <c r="BG50" s="741"/>
      <c r="BH50" s="741"/>
      <c r="BI50" s="741"/>
      <c r="BJ50" s="741"/>
      <c r="BK50" s="741"/>
      <c r="BL50" s="741"/>
      <c r="BM50" s="741"/>
      <c r="BN50" s="741"/>
      <c r="BO50" s="741"/>
      <c r="BP50" s="741"/>
      <c r="BQ50" s="741"/>
      <c r="BR50" s="741"/>
      <c r="BS50" s="741"/>
      <c r="BT50" s="741"/>
      <c r="BU50" s="741"/>
      <c r="BV50" s="741"/>
      <c r="BW50" s="741"/>
      <c r="BX50" s="741"/>
      <c r="BY50" s="741"/>
      <c r="BZ50" s="741"/>
      <c r="CA50" s="741"/>
      <c r="CB50" s="741"/>
      <c r="CC50" s="741"/>
      <c r="CD50" s="741"/>
      <c r="CE50" s="741"/>
      <c r="CF50" s="741"/>
      <c r="CG50" s="741"/>
      <c r="CH50" s="741"/>
      <c r="CI50" s="741"/>
      <c r="CJ50" s="741"/>
      <c r="CK50" s="741"/>
      <c r="CL50" s="741"/>
      <c r="CM50" s="741"/>
      <c r="CN50" s="741"/>
      <c r="CO50" s="741"/>
      <c r="CP50" s="741"/>
      <c r="CQ50" s="741"/>
      <c r="CR50" s="741"/>
      <c r="CS50" s="741"/>
      <c r="CT50" s="741"/>
      <c r="CU50" s="741"/>
      <c r="CV50" s="741"/>
      <c r="CW50" s="741"/>
      <c r="CX50" s="741"/>
      <c r="CY50" s="741"/>
      <c r="CZ50" s="741"/>
      <c r="DA50" s="741"/>
      <c r="DB50" s="741"/>
      <c r="DC50" s="741"/>
      <c r="DD50" s="741"/>
      <c r="DE50" s="741"/>
      <c r="DF50" s="741"/>
      <c r="DG50" s="741"/>
      <c r="DH50" s="741"/>
      <c r="DI50" s="741"/>
      <c r="DJ50" s="741"/>
      <c r="DK50" s="741"/>
    </row>
    <row r="51" spans="1:147" s="745" customFormat="1">
      <c r="A51" s="494"/>
      <c r="B51" s="635"/>
      <c r="C51" s="723" t="s">
        <v>284</v>
      </c>
      <c r="D51" s="722" t="s">
        <v>63</v>
      </c>
      <c r="E51" s="722">
        <f>137/100</f>
        <v>1.37</v>
      </c>
      <c r="F51" s="722">
        <f>E51*F50</f>
        <v>0.7672000000000001</v>
      </c>
      <c r="G51" s="722"/>
      <c r="H51" s="722"/>
      <c r="I51" s="722"/>
      <c r="J51" s="722"/>
      <c r="K51" s="722"/>
      <c r="L51" s="722"/>
      <c r="M51" s="722"/>
      <c r="N51" s="752"/>
      <c r="O51" s="752"/>
      <c r="P51" s="752"/>
      <c r="Q51" s="752"/>
      <c r="R51" s="752"/>
      <c r="S51" s="752"/>
      <c r="T51" s="752"/>
      <c r="U51" s="752"/>
      <c r="V51" s="752"/>
      <c r="W51" s="752"/>
      <c r="X51" s="752"/>
      <c r="Y51" s="752"/>
      <c r="Z51" s="752"/>
      <c r="AA51" s="752"/>
      <c r="AB51" s="752"/>
      <c r="AC51" s="752"/>
      <c r="AD51" s="752"/>
      <c r="AE51" s="752"/>
      <c r="AF51" s="752"/>
      <c r="AG51" s="752"/>
      <c r="AH51" s="752"/>
      <c r="AI51" s="752"/>
      <c r="AJ51" s="752"/>
      <c r="AK51" s="752"/>
      <c r="AL51" s="752"/>
      <c r="AM51" s="752"/>
      <c r="AN51" s="752"/>
      <c r="AO51" s="752"/>
      <c r="AP51" s="752"/>
      <c r="AQ51" s="752"/>
      <c r="AR51" s="752"/>
      <c r="AS51" s="752"/>
      <c r="AT51" s="752"/>
      <c r="AU51" s="752"/>
      <c r="AV51" s="752"/>
      <c r="AW51" s="752"/>
      <c r="AX51" s="752"/>
      <c r="AY51" s="752"/>
      <c r="AZ51" s="752"/>
      <c r="BA51" s="752"/>
      <c r="BB51" s="752"/>
      <c r="BC51" s="752"/>
      <c r="BD51" s="752"/>
      <c r="BE51" s="752"/>
      <c r="BF51" s="752"/>
      <c r="BG51" s="752"/>
      <c r="BH51" s="752"/>
      <c r="BI51" s="752"/>
      <c r="BJ51" s="752"/>
      <c r="BK51" s="752"/>
      <c r="BL51" s="752"/>
      <c r="BM51" s="752"/>
      <c r="BN51" s="752"/>
      <c r="BO51" s="752"/>
      <c r="BP51" s="752"/>
      <c r="BQ51" s="752"/>
      <c r="BR51" s="752"/>
      <c r="BS51" s="752"/>
      <c r="BT51" s="752"/>
      <c r="BU51" s="752"/>
      <c r="BV51" s="752"/>
      <c r="BW51" s="752"/>
      <c r="BX51" s="752"/>
      <c r="BY51" s="752"/>
      <c r="BZ51" s="752"/>
      <c r="CA51" s="752"/>
      <c r="CB51" s="752"/>
      <c r="CC51" s="752"/>
      <c r="CD51" s="752"/>
      <c r="CE51" s="752"/>
      <c r="CF51" s="752"/>
      <c r="CG51" s="752"/>
      <c r="CH51" s="752"/>
      <c r="CI51" s="752"/>
      <c r="CJ51" s="752"/>
      <c r="CK51" s="752"/>
      <c r="CL51" s="752"/>
      <c r="CM51" s="752"/>
      <c r="CN51" s="752"/>
      <c r="CO51" s="752"/>
      <c r="CP51" s="752"/>
      <c r="CQ51" s="752"/>
      <c r="CR51" s="752"/>
      <c r="CS51" s="752"/>
      <c r="CT51" s="752"/>
      <c r="CU51" s="752"/>
      <c r="CV51" s="752"/>
      <c r="CW51" s="752"/>
      <c r="CX51" s="752"/>
      <c r="CY51" s="752"/>
      <c r="CZ51" s="752"/>
      <c r="DA51" s="752"/>
      <c r="DB51" s="752"/>
      <c r="DC51" s="752"/>
      <c r="DD51" s="752"/>
      <c r="DE51" s="752"/>
      <c r="DF51" s="752"/>
      <c r="DG51" s="752"/>
      <c r="DH51" s="752"/>
      <c r="DI51" s="752"/>
      <c r="DJ51" s="752"/>
      <c r="DK51" s="752"/>
      <c r="DL51" s="752"/>
      <c r="DM51" s="752"/>
      <c r="DN51" s="752"/>
      <c r="DO51" s="752"/>
      <c r="DP51" s="752"/>
      <c r="DQ51" s="752"/>
      <c r="DR51" s="752"/>
      <c r="DS51" s="752"/>
      <c r="DT51" s="752"/>
      <c r="DU51" s="752"/>
      <c r="DV51" s="752"/>
      <c r="DW51" s="752"/>
      <c r="DX51" s="752"/>
      <c r="DY51" s="752"/>
      <c r="DZ51" s="752"/>
      <c r="EA51" s="752"/>
    </row>
    <row r="52" spans="1:147" s="745" customFormat="1">
      <c r="A52" s="492"/>
      <c r="B52" s="729"/>
      <c r="C52" s="730" t="s">
        <v>273</v>
      </c>
      <c r="D52" s="724" t="s">
        <v>46</v>
      </c>
      <c r="E52" s="722">
        <f>28.3/100</f>
        <v>0.28300000000000003</v>
      </c>
      <c r="F52" s="392">
        <f>E52*F50</f>
        <v>0.15848000000000004</v>
      </c>
      <c r="G52" s="722"/>
      <c r="H52" s="722"/>
      <c r="I52" s="722"/>
      <c r="J52" s="722"/>
      <c r="K52" s="722"/>
      <c r="L52" s="722"/>
      <c r="M52" s="722"/>
      <c r="N52" s="732"/>
      <c r="O52" s="732"/>
      <c r="P52" s="732"/>
      <c r="Q52" s="732"/>
      <c r="R52" s="732"/>
      <c r="S52" s="732"/>
      <c r="T52" s="732"/>
      <c r="U52" s="732"/>
      <c r="V52" s="732"/>
      <c r="W52" s="732"/>
      <c r="X52" s="732"/>
      <c r="Y52" s="732"/>
      <c r="Z52" s="732"/>
      <c r="AA52" s="732"/>
      <c r="AB52" s="732"/>
      <c r="AC52" s="732"/>
      <c r="AD52" s="732"/>
      <c r="AE52" s="732"/>
      <c r="AF52" s="732"/>
      <c r="AG52" s="732"/>
      <c r="AH52" s="732"/>
      <c r="AI52" s="732"/>
      <c r="AJ52" s="732"/>
      <c r="AK52" s="732"/>
      <c r="AL52" s="732"/>
      <c r="AM52" s="732"/>
      <c r="AN52" s="732"/>
      <c r="AO52" s="732"/>
      <c r="AP52" s="732"/>
      <c r="AQ52" s="732"/>
      <c r="AR52" s="732"/>
      <c r="AS52" s="732"/>
      <c r="AT52" s="732"/>
      <c r="AU52" s="732"/>
      <c r="AV52" s="732"/>
      <c r="AW52" s="732"/>
      <c r="AX52" s="732"/>
      <c r="AY52" s="732"/>
      <c r="AZ52" s="732"/>
      <c r="BA52" s="732"/>
      <c r="BB52" s="732"/>
      <c r="BC52" s="732"/>
      <c r="BD52" s="732"/>
      <c r="BE52" s="732"/>
      <c r="BF52" s="732"/>
      <c r="BG52" s="732"/>
      <c r="BH52" s="732"/>
      <c r="BI52" s="732"/>
      <c r="BJ52" s="732"/>
      <c r="BK52" s="732"/>
      <c r="BL52" s="732"/>
      <c r="BM52" s="732"/>
      <c r="BN52" s="732"/>
      <c r="BO52" s="732"/>
      <c r="BP52" s="732"/>
      <c r="BQ52" s="732"/>
      <c r="BR52" s="732"/>
      <c r="BS52" s="732"/>
      <c r="BT52" s="732"/>
      <c r="BU52" s="732"/>
      <c r="BV52" s="732"/>
      <c r="BW52" s="732"/>
      <c r="BX52" s="732"/>
      <c r="BY52" s="732"/>
      <c r="BZ52" s="732"/>
      <c r="CA52" s="732"/>
      <c r="CB52" s="732"/>
      <c r="CC52" s="732"/>
      <c r="CD52" s="732"/>
      <c r="CE52" s="732"/>
      <c r="CF52" s="732"/>
      <c r="CG52" s="732"/>
      <c r="CH52" s="732"/>
      <c r="CI52" s="732"/>
      <c r="CJ52" s="732"/>
      <c r="CK52" s="732"/>
      <c r="CL52" s="732"/>
      <c r="CM52" s="732"/>
      <c r="CN52" s="732"/>
      <c r="CO52" s="732"/>
      <c r="CP52" s="732"/>
      <c r="CQ52" s="732"/>
      <c r="CR52" s="732"/>
      <c r="CS52" s="732"/>
      <c r="CT52" s="732"/>
      <c r="CU52" s="732"/>
      <c r="CV52" s="732"/>
      <c r="CW52" s="732"/>
      <c r="CX52" s="732"/>
      <c r="CY52" s="732"/>
      <c r="CZ52" s="732"/>
      <c r="DA52" s="732"/>
      <c r="DB52" s="732"/>
      <c r="DC52" s="732"/>
      <c r="DD52" s="732"/>
      <c r="DE52" s="732"/>
      <c r="DF52" s="732"/>
      <c r="DG52" s="732"/>
      <c r="DH52" s="732"/>
      <c r="DI52" s="732"/>
      <c r="DJ52" s="732"/>
      <c r="DK52" s="732"/>
      <c r="DL52" s="732"/>
      <c r="DM52" s="732"/>
      <c r="DN52" s="732"/>
      <c r="DO52" s="732"/>
      <c r="DP52" s="732"/>
      <c r="DQ52" s="732"/>
      <c r="DR52" s="732"/>
      <c r="DS52" s="732"/>
      <c r="DT52" s="732"/>
      <c r="DU52" s="732"/>
      <c r="DV52" s="732"/>
      <c r="DW52" s="732"/>
      <c r="DX52" s="732"/>
      <c r="DY52" s="732"/>
      <c r="DZ52" s="732"/>
      <c r="EA52" s="732"/>
    </row>
    <row r="53" spans="1:147" s="745" customFormat="1">
      <c r="A53" s="492"/>
      <c r="B53" s="729" t="s">
        <v>465</v>
      </c>
      <c r="C53" s="730" t="s">
        <v>466</v>
      </c>
      <c r="D53" s="724" t="s">
        <v>47</v>
      </c>
      <c r="E53" s="722" t="s">
        <v>285</v>
      </c>
      <c r="F53" s="760">
        <v>2.6610000000000002E-2</v>
      </c>
      <c r="G53" s="722"/>
      <c r="H53" s="750"/>
      <c r="I53" s="750"/>
      <c r="J53" s="750"/>
      <c r="K53" s="750"/>
      <c r="L53" s="750"/>
      <c r="M53" s="722"/>
      <c r="N53" s="732"/>
      <c r="O53" s="732"/>
      <c r="P53" s="732"/>
      <c r="Q53" s="732"/>
      <c r="R53" s="732"/>
      <c r="S53" s="732"/>
      <c r="T53" s="732"/>
      <c r="U53" s="732"/>
      <c r="V53" s="732"/>
      <c r="W53" s="732"/>
      <c r="X53" s="732"/>
      <c r="Y53" s="732"/>
      <c r="Z53" s="732"/>
      <c r="AA53" s="732"/>
      <c r="AB53" s="732"/>
      <c r="AC53" s="732"/>
      <c r="AD53" s="732"/>
      <c r="AE53" s="732"/>
      <c r="AF53" s="732"/>
      <c r="AG53" s="732"/>
      <c r="AH53" s="732"/>
      <c r="AI53" s="732"/>
      <c r="AJ53" s="732"/>
      <c r="AK53" s="732"/>
      <c r="AL53" s="732"/>
      <c r="AM53" s="732"/>
      <c r="AN53" s="732"/>
      <c r="AO53" s="732"/>
      <c r="AP53" s="732"/>
      <c r="AQ53" s="732"/>
      <c r="AR53" s="732"/>
      <c r="AS53" s="732"/>
      <c r="AT53" s="732"/>
      <c r="AU53" s="732"/>
      <c r="AV53" s="732"/>
      <c r="AW53" s="732"/>
      <c r="AX53" s="732"/>
      <c r="AY53" s="732"/>
      <c r="AZ53" s="732"/>
      <c r="BA53" s="732"/>
      <c r="BB53" s="732"/>
      <c r="BC53" s="732"/>
      <c r="BD53" s="732"/>
      <c r="BE53" s="732"/>
      <c r="BF53" s="732"/>
      <c r="BG53" s="732"/>
      <c r="BH53" s="732"/>
      <c r="BI53" s="732"/>
      <c r="BJ53" s="732"/>
      <c r="BK53" s="732"/>
      <c r="BL53" s="732"/>
      <c r="BM53" s="732"/>
      <c r="BN53" s="732"/>
      <c r="BO53" s="732"/>
      <c r="BP53" s="732"/>
      <c r="BQ53" s="732"/>
      <c r="BR53" s="732"/>
      <c r="BS53" s="732"/>
      <c r="BT53" s="732"/>
      <c r="BU53" s="732"/>
      <c r="BV53" s="732"/>
      <c r="BW53" s="732"/>
      <c r="BX53" s="732"/>
      <c r="BY53" s="732"/>
      <c r="BZ53" s="732"/>
      <c r="CA53" s="732"/>
      <c r="CB53" s="732"/>
      <c r="CC53" s="732"/>
      <c r="CD53" s="732"/>
      <c r="CE53" s="732"/>
      <c r="CF53" s="732"/>
      <c r="CG53" s="732"/>
      <c r="CH53" s="732"/>
      <c r="CI53" s="732"/>
      <c r="CJ53" s="732"/>
      <c r="CK53" s="732"/>
      <c r="CL53" s="732"/>
      <c r="CM53" s="732"/>
      <c r="CN53" s="732"/>
      <c r="CO53" s="732"/>
      <c r="CP53" s="732"/>
      <c r="CQ53" s="732"/>
      <c r="CR53" s="732"/>
      <c r="CS53" s="732"/>
      <c r="CT53" s="732"/>
      <c r="CU53" s="732"/>
      <c r="CV53" s="732"/>
      <c r="CW53" s="732"/>
      <c r="CX53" s="732"/>
      <c r="CY53" s="732"/>
      <c r="CZ53" s="732"/>
      <c r="DA53" s="732"/>
      <c r="DB53" s="732"/>
      <c r="DC53" s="732"/>
      <c r="DD53" s="732"/>
      <c r="DE53" s="732"/>
      <c r="DF53" s="732"/>
      <c r="DG53" s="732"/>
      <c r="DH53" s="732"/>
      <c r="DI53" s="732"/>
      <c r="DJ53" s="732"/>
      <c r="DK53" s="732"/>
      <c r="DL53" s="732"/>
      <c r="DM53" s="732"/>
      <c r="DN53" s="732"/>
      <c r="DO53" s="732"/>
      <c r="DP53" s="732"/>
      <c r="DQ53" s="732"/>
      <c r="DR53" s="732"/>
      <c r="DS53" s="732"/>
      <c r="DT53" s="732"/>
      <c r="DU53" s="732"/>
      <c r="DV53" s="732"/>
      <c r="DW53" s="732"/>
      <c r="DX53" s="732"/>
      <c r="DY53" s="732"/>
      <c r="DZ53" s="732"/>
      <c r="EA53" s="732"/>
    </row>
    <row r="54" spans="1:147" s="745" customFormat="1">
      <c r="A54" s="509"/>
      <c r="B54" s="558" t="s">
        <v>679</v>
      </c>
      <c r="C54" s="754" t="s">
        <v>678</v>
      </c>
      <c r="D54" s="755" t="s">
        <v>44</v>
      </c>
      <c r="E54" s="722">
        <f>102/100</f>
        <v>1.02</v>
      </c>
      <c r="F54" s="722">
        <f>E54*F50</f>
        <v>0.57120000000000004</v>
      </c>
      <c r="G54" s="392"/>
      <c r="H54" s="750"/>
      <c r="I54" s="749"/>
      <c r="J54" s="749"/>
      <c r="K54" s="722"/>
      <c r="L54" s="722"/>
      <c r="M54" s="72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752"/>
      <c r="Y54" s="752"/>
      <c r="Z54" s="752"/>
      <c r="AA54" s="752"/>
      <c r="AB54" s="752"/>
      <c r="AC54" s="752"/>
      <c r="AD54" s="752"/>
      <c r="AE54" s="752"/>
      <c r="AF54" s="752"/>
      <c r="AG54" s="752"/>
      <c r="AH54" s="752"/>
      <c r="AI54" s="752"/>
      <c r="AJ54" s="752"/>
      <c r="AK54" s="752"/>
      <c r="AL54" s="752"/>
      <c r="AM54" s="752"/>
      <c r="AN54" s="752"/>
      <c r="AO54" s="752"/>
      <c r="AP54" s="752"/>
      <c r="AQ54" s="752"/>
      <c r="AR54" s="752"/>
      <c r="AS54" s="752"/>
      <c r="AT54" s="752"/>
      <c r="AU54" s="752"/>
      <c r="AV54" s="752"/>
      <c r="AW54" s="752"/>
      <c r="AX54" s="752"/>
      <c r="AY54" s="752"/>
      <c r="AZ54" s="752"/>
      <c r="BA54" s="752"/>
      <c r="BB54" s="752"/>
      <c r="BC54" s="752"/>
      <c r="BD54" s="752"/>
      <c r="BE54" s="752"/>
      <c r="BF54" s="752"/>
      <c r="BG54" s="752"/>
      <c r="BH54" s="752"/>
      <c r="BI54" s="752"/>
      <c r="BJ54" s="752"/>
      <c r="BK54" s="752"/>
      <c r="BL54" s="752"/>
      <c r="BM54" s="752"/>
      <c r="BN54" s="752"/>
      <c r="BO54" s="752"/>
      <c r="BP54" s="752"/>
      <c r="BQ54" s="752"/>
      <c r="BR54" s="752"/>
      <c r="BS54" s="752"/>
      <c r="BT54" s="752"/>
      <c r="BU54" s="752"/>
      <c r="BV54" s="752"/>
      <c r="BW54" s="752"/>
      <c r="BX54" s="752"/>
      <c r="BY54" s="752"/>
      <c r="BZ54" s="752"/>
      <c r="CA54" s="752"/>
      <c r="CB54" s="752"/>
      <c r="CC54" s="752"/>
      <c r="CD54" s="752"/>
      <c r="CE54" s="752"/>
      <c r="CF54" s="752"/>
      <c r="CG54" s="752"/>
      <c r="CH54" s="752"/>
      <c r="CI54" s="752"/>
      <c r="CJ54" s="752"/>
      <c r="CK54" s="752"/>
      <c r="CL54" s="752"/>
      <c r="CM54" s="752"/>
      <c r="CN54" s="752"/>
      <c r="CO54" s="752"/>
      <c r="CP54" s="752"/>
      <c r="CQ54" s="752"/>
      <c r="CR54" s="752"/>
      <c r="CS54" s="752"/>
      <c r="CT54" s="752"/>
      <c r="CU54" s="752"/>
      <c r="CV54" s="752"/>
      <c r="CW54" s="752"/>
      <c r="CX54" s="752"/>
      <c r="CY54" s="752"/>
      <c r="CZ54" s="752"/>
      <c r="DA54" s="752"/>
      <c r="DB54" s="752"/>
      <c r="DC54" s="752"/>
      <c r="DD54" s="752"/>
      <c r="DE54" s="752"/>
      <c r="DF54" s="752"/>
      <c r="DG54" s="752"/>
      <c r="DH54" s="752"/>
      <c r="DI54" s="752"/>
      <c r="DJ54" s="752"/>
      <c r="DK54" s="752"/>
      <c r="DL54" s="752"/>
      <c r="DM54" s="752"/>
      <c r="DN54" s="752"/>
      <c r="DO54" s="752"/>
      <c r="DP54" s="752"/>
      <c r="DQ54" s="752"/>
      <c r="DR54" s="752"/>
      <c r="DS54" s="752"/>
      <c r="DT54" s="752"/>
      <c r="DU54" s="752"/>
      <c r="DV54" s="752"/>
      <c r="DW54" s="752"/>
      <c r="DX54" s="752"/>
      <c r="DY54" s="752"/>
      <c r="DZ54" s="752"/>
      <c r="EA54" s="752"/>
    </row>
    <row r="55" spans="1:147" s="745" customFormat="1">
      <c r="A55" s="492"/>
      <c r="B55" s="635"/>
      <c r="C55" s="726" t="s">
        <v>281</v>
      </c>
      <c r="D55" s="755" t="s">
        <v>46</v>
      </c>
      <c r="E55" s="722">
        <f>62/100</f>
        <v>0.62</v>
      </c>
      <c r="F55" s="722">
        <f>E55*F50</f>
        <v>0.34720000000000001</v>
      </c>
      <c r="G55" s="749"/>
      <c r="H55" s="749"/>
      <c r="I55" s="749"/>
      <c r="J55" s="749"/>
      <c r="K55" s="722"/>
      <c r="L55" s="722"/>
      <c r="M55" s="72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752"/>
      <c r="Y55" s="752"/>
      <c r="Z55" s="752"/>
      <c r="AA55" s="752"/>
      <c r="AB55" s="752"/>
      <c r="AC55" s="752"/>
      <c r="AD55" s="752"/>
      <c r="AE55" s="752"/>
      <c r="AF55" s="752"/>
      <c r="AG55" s="752"/>
      <c r="AH55" s="752"/>
      <c r="AI55" s="752"/>
      <c r="AJ55" s="752"/>
      <c r="AK55" s="752"/>
      <c r="AL55" s="752"/>
      <c r="AM55" s="752"/>
      <c r="AN55" s="752"/>
      <c r="AO55" s="752"/>
      <c r="AP55" s="752"/>
      <c r="AQ55" s="752"/>
      <c r="AR55" s="752"/>
      <c r="AS55" s="752"/>
      <c r="AT55" s="752"/>
      <c r="AU55" s="752"/>
      <c r="AV55" s="752"/>
      <c r="AW55" s="752"/>
      <c r="AX55" s="752"/>
      <c r="AY55" s="752"/>
      <c r="AZ55" s="752"/>
      <c r="BA55" s="752"/>
      <c r="BB55" s="752"/>
      <c r="BC55" s="752"/>
      <c r="BD55" s="752"/>
      <c r="BE55" s="752"/>
      <c r="BF55" s="752"/>
      <c r="BG55" s="752"/>
      <c r="BH55" s="752"/>
      <c r="BI55" s="752"/>
      <c r="BJ55" s="752"/>
      <c r="BK55" s="752"/>
      <c r="BL55" s="752"/>
      <c r="BM55" s="752"/>
      <c r="BN55" s="752"/>
      <c r="BO55" s="752"/>
      <c r="BP55" s="752"/>
      <c r="BQ55" s="752"/>
      <c r="BR55" s="752"/>
      <c r="BS55" s="752"/>
      <c r="BT55" s="752"/>
      <c r="BU55" s="752"/>
      <c r="BV55" s="752"/>
      <c r="BW55" s="752"/>
      <c r="BX55" s="752"/>
      <c r="BY55" s="752"/>
      <c r="BZ55" s="752"/>
      <c r="CA55" s="752"/>
      <c r="CB55" s="752"/>
      <c r="CC55" s="752"/>
      <c r="CD55" s="752"/>
      <c r="CE55" s="752"/>
      <c r="CF55" s="752"/>
      <c r="CG55" s="752"/>
      <c r="CH55" s="752"/>
      <c r="CI55" s="752"/>
      <c r="CJ55" s="752"/>
      <c r="CK55" s="752"/>
      <c r="CL55" s="752"/>
      <c r="CM55" s="752"/>
      <c r="CN55" s="752"/>
      <c r="CO55" s="752"/>
      <c r="CP55" s="752"/>
      <c r="CQ55" s="752"/>
      <c r="CR55" s="752"/>
      <c r="CS55" s="752"/>
      <c r="CT55" s="752"/>
      <c r="CU55" s="752"/>
      <c r="CV55" s="752"/>
      <c r="CW55" s="752"/>
      <c r="CX55" s="752"/>
      <c r="CY55" s="752"/>
      <c r="CZ55" s="752"/>
      <c r="DA55" s="752"/>
      <c r="DB55" s="752"/>
      <c r="DC55" s="752"/>
      <c r="DD55" s="752"/>
      <c r="DE55" s="752"/>
      <c r="DF55" s="752"/>
      <c r="DG55" s="752"/>
      <c r="DH55" s="752"/>
      <c r="DI55" s="752"/>
      <c r="DJ55" s="752"/>
      <c r="DK55" s="752"/>
      <c r="DL55" s="752"/>
      <c r="DM55" s="752"/>
      <c r="DN55" s="752"/>
      <c r="DO55" s="752"/>
      <c r="DP55" s="752"/>
      <c r="DQ55" s="752"/>
      <c r="DR55" s="752"/>
      <c r="DS55" s="752"/>
      <c r="DT55" s="752"/>
      <c r="DU55" s="752"/>
      <c r="DV55" s="752"/>
      <c r="DW55" s="752"/>
      <c r="DX55" s="752"/>
      <c r="DY55" s="752"/>
      <c r="DZ55" s="752"/>
      <c r="EA55" s="752"/>
    </row>
    <row r="56" spans="1:147" s="741" customFormat="1">
      <c r="A56" s="492">
        <v>10</v>
      </c>
      <c r="B56" s="563" t="s">
        <v>200</v>
      </c>
      <c r="C56" s="528" t="s">
        <v>290</v>
      </c>
      <c r="D56" s="492" t="s">
        <v>44</v>
      </c>
      <c r="E56" s="761"/>
      <c r="F56" s="721">
        <v>0.06</v>
      </c>
      <c r="G56" s="721"/>
      <c r="H56" s="762"/>
      <c r="I56" s="721"/>
      <c r="J56" s="721"/>
      <c r="K56" s="721"/>
      <c r="L56" s="719"/>
      <c r="M56" s="721"/>
      <c r="N56" s="763"/>
      <c r="O56" s="763"/>
      <c r="P56" s="763"/>
      <c r="Q56" s="763"/>
      <c r="R56" s="763"/>
      <c r="S56" s="763"/>
      <c r="T56" s="763"/>
      <c r="U56" s="763"/>
      <c r="V56" s="763"/>
      <c r="W56" s="763"/>
      <c r="X56" s="763"/>
      <c r="Y56" s="763"/>
      <c r="Z56" s="763"/>
      <c r="AA56" s="763"/>
      <c r="AB56" s="763"/>
      <c r="AC56" s="763"/>
      <c r="AD56" s="763"/>
      <c r="AE56" s="763"/>
      <c r="AF56" s="763"/>
      <c r="AG56" s="763"/>
      <c r="AH56" s="763"/>
      <c r="AI56" s="763"/>
      <c r="AJ56" s="763"/>
      <c r="AK56" s="763"/>
      <c r="AL56" s="763"/>
      <c r="AM56" s="763"/>
      <c r="AN56" s="763"/>
      <c r="AO56" s="763"/>
      <c r="AP56" s="763"/>
      <c r="AQ56" s="763"/>
      <c r="AR56" s="763"/>
      <c r="AS56" s="763"/>
      <c r="AT56" s="763"/>
      <c r="AU56" s="763"/>
      <c r="AV56" s="763"/>
      <c r="AW56" s="763"/>
      <c r="AX56" s="763"/>
      <c r="AY56" s="763"/>
      <c r="AZ56" s="763"/>
      <c r="BA56" s="763"/>
      <c r="BB56" s="763"/>
      <c r="BC56" s="763"/>
      <c r="BD56" s="763"/>
      <c r="BE56" s="763"/>
      <c r="BF56" s="763"/>
      <c r="BG56" s="763"/>
      <c r="BH56" s="763"/>
      <c r="BI56" s="763"/>
      <c r="BJ56" s="763"/>
      <c r="BK56" s="763"/>
      <c r="BL56" s="763"/>
      <c r="BM56" s="763"/>
      <c r="BN56" s="763"/>
      <c r="BO56" s="763"/>
      <c r="BP56" s="763"/>
      <c r="BQ56" s="763"/>
      <c r="BR56" s="763"/>
      <c r="BS56" s="763"/>
    </row>
    <row r="57" spans="1:147" s="752" customFormat="1">
      <c r="A57" s="492"/>
      <c r="B57" s="558"/>
      <c r="C57" s="738" t="s">
        <v>284</v>
      </c>
      <c r="D57" s="724" t="s">
        <v>63</v>
      </c>
      <c r="E57" s="764">
        <v>13.5</v>
      </c>
      <c r="F57" s="722">
        <f>F56*E57</f>
        <v>0.80999999999999994</v>
      </c>
      <c r="G57" s="722"/>
      <c r="H57" s="722"/>
      <c r="I57" s="722"/>
      <c r="J57" s="722"/>
      <c r="K57" s="722"/>
      <c r="L57" s="722"/>
      <c r="M57" s="722"/>
      <c r="N57" s="765"/>
      <c r="O57" s="765"/>
      <c r="P57" s="765"/>
      <c r="Q57" s="765"/>
      <c r="R57" s="765"/>
      <c r="S57" s="765"/>
      <c r="T57" s="765"/>
      <c r="U57" s="765"/>
      <c r="V57" s="765"/>
      <c r="W57" s="765"/>
      <c r="X57" s="765"/>
      <c r="Y57" s="765"/>
      <c r="Z57" s="765"/>
      <c r="AA57" s="765"/>
      <c r="AB57" s="765"/>
      <c r="AC57" s="765"/>
      <c r="AD57" s="765"/>
      <c r="AE57" s="765"/>
      <c r="AF57" s="765"/>
      <c r="AG57" s="765"/>
      <c r="AH57" s="765"/>
      <c r="AI57" s="765"/>
      <c r="AJ57" s="765"/>
      <c r="AK57" s="765"/>
      <c r="AL57" s="765"/>
      <c r="AM57" s="765"/>
      <c r="AN57" s="765"/>
      <c r="AO57" s="765"/>
      <c r="AP57" s="765"/>
      <c r="AQ57" s="765"/>
      <c r="AR57" s="765"/>
      <c r="AS57" s="765"/>
      <c r="AT57" s="765"/>
      <c r="AU57" s="765"/>
      <c r="AV57" s="765"/>
      <c r="AW57" s="765"/>
      <c r="AX57" s="765"/>
      <c r="AY57" s="765"/>
      <c r="AZ57" s="765"/>
      <c r="BA57" s="765"/>
      <c r="BB57" s="765"/>
      <c r="BC57" s="765"/>
      <c r="BD57" s="765"/>
      <c r="BE57" s="765"/>
      <c r="BF57" s="765"/>
      <c r="BG57" s="765"/>
      <c r="BH57" s="765"/>
      <c r="BI57" s="765"/>
      <c r="BJ57" s="765"/>
      <c r="BK57" s="765"/>
      <c r="BL57" s="765"/>
      <c r="BM57" s="765"/>
      <c r="BN57" s="765"/>
      <c r="BO57" s="765"/>
      <c r="BP57" s="765"/>
      <c r="BQ57" s="765"/>
      <c r="BR57" s="765"/>
      <c r="BS57" s="765"/>
    </row>
    <row r="58" spans="1:147" s="752" customFormat="1">
      <c r="A58" s="492"/>
      <c r="B58" s="558" t="s">
        <v>675</v>
      </c>
      <c r="C58" s="754" t="s">
        <v>463</v>
      </c>
      <c r="D58" s="755" t="s">
        <v>44</v>
      </c>
      <c r="E58" s="766">
        <v>1.0149999999999999</v>
      </c>
      <c r="F58" s="722">
        <f>F56*E58</f>
        <v>6.0899999999999989E-2</v>
      </c>
      <c r="G58" s="392"/>
      <c r="H58" s="722"/>
      <c r="I58" s="722"/>
      <c r="J58" s="722"/>
      <c r="K58" s="722"/>
      <c r="L58" s="722"/>
      <c r="M58" s="722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765"/>
      <c r="AJ58" s="765"/>
      <c r="AK58" s="765"/>
      <c r="AL58" s="765"/>
      <c r="AM58" s="765"/>
      <c r="AN58" s="765"/>
      <c r="AO58" s="765"/>
      <c r="AP58" s="765"/>
      <c r="AQ58" s="765"/>
      <c r="AR58" s="765"/>
      <c r="AS58" s="765"/>
      <c r="AT58" s="765"/>
      <c r="AU58" s="765"/>
      <c r="AV58" s="765"/>
      <c r="AW58" s="765"/>
      <c r="AX58" s="765"/>
      <c r="AY58" s="765"/>
      <c r="AZ58" s="765"/>
      <c r="BA58" s="765"/>
      <c r="BB58" s="765"/>
      <c r="BC58" s="765"/>
      <c r="BD58" s="765"/>
      <c r="BE58" s="765"/>
      <c r="BF58" s="765"/>
      <c r="BG58" s="765"/>
      <c r="BH58" s="765"/>
      <c r="BI58" s="765"/>
      <c r="BJ58" s="765"/>
      <c r="BK58" s="765"/>
      <c r="BL58" s="765"/>
      <c r="BM58" s="765"/>
      <c r="BN58" s="765"/>
      <c r="BO58" s="765"/>
      <c r="BP58" s="765"/>
      <c r="BQ58" s="765"/>
      <c r="BR58" s="765"/>
      <c r="BS58" s="765"/>
    </row>
    <row r="59" spans="1:147" s="717" customFormat="1">
      <c r="A59" s="492"/>
      <c r="B59" s="729" t="s">
        <v>432</v>
      </c>
      <c r="C59" s="754" t="s">
        <v>467</v>
      </c>
      <c r="D59" s="755" t="s">
        <v>47</v>
      </c>
      <c r="E59" s="392" t="s">
        <v>285</v>
      </c>
      <c r="F59" s="725">
        <v>5.5100000000000001E-3</v>
      </c>
      <c r="G59" s="392"/>
      <c r="H59" s="750"/>
      <c r="I59" s="722"/>
      <c r="J59" s="722"/>
      <c r="K59" s="758"/>
      <c r="L59" s="722"/>
      <c r="M59" s="722"/>
      <c r="N59" s="745"/>
      <c r="O59" s="745"/>
      <c r="P59" s="745"/>
      <c r="Q59" s="745"/>
      <c r="R59" s="745"/>
      <c r="S59" s="745"/>
      <c r="T59" s="745"/>
      <c r="U59" s="745"/>
      <c r="V59" s="745"/>
      <c r="W59" s="745"/>
      <c r="X59" s="745"/>
      <c r="Y59" s="745"/>
      <c r="Z59" s="745"/>
      <c r="AA59" s="745"/>
      <c r="AB59" s="745"/>
      <c r="AC59" s="745"/>
      <c r="AD59" s="745"/>
      <c r="AE59" s="745"/>
      <c r="AF59" s="745"/>
      <c r="AG59" s="745"/>
      <c r="AH59" s="745"/>
      <c r="AI59" s="745"/>
      <c r="AJ59" s="745"/>
      <c r="AK59" s="745"/>
      <c r="AL59" s="745"/>
      <c r="AM59" s="745"/>
      <c r="AN59" s="745"/>
      <c r="AO59" s="745"/>
      <c r="AP59" s="745"/>
      <c r="AQ59" s="745"/>
      <c r="AR59" s="745"/>
      <c r="AS59" s="745"/>
      <c r="AT59" s="745"/>
      <c r="AU59" s="745"/>
      <c r="AV59" s="745"/>
      <c r="AW59" s="745"/>
      <c r="AX59" s="745"/>
      <c r="AY59" s="745"/>
      <c r="AZ59" s="745"/>
      <c r="BA59" s="745"/>
      <c r="BB59" s="745"/>
      <c r="BC59" s="745"/>
      <c r="BD59" s="745"/>
      <c r="BE59" s="745"/>
      <c r="BF59" s="745"/>
      <c r="BG59" s="745"/>
      <c r="BH59" s="745"/>
      <c r="BI59" s="745"/>
      <c r="BJ59" s="745"/>
      <c r="BK59" s="745"/>
      <c r="BL59" s="745"/>
      <c r="BM59" s="745"/>
      <c r="BN59" s="745"/>
      <c r="BO59" s="745"/>
      <c r="BP59" s="745"/>
      <c r="BQ59" s="745"/>
      <c r="BR59" s="745"/>
      <c r="BS59" s="745"/>
      <c r="BT59" s="745"/>
      <c r="BU59" s="745"/>
      <c r="BV59" s="745"/>
      <c r="BW59" s="745"/>
      <c r="BX59" s="745"/>
      <c r="BY59" s="745"/>
      <c r="BZ59" s="745"/>
      <c r="CA59" s="745"/>
      <c r="CB59" s="745"/>
      <c r="CC59" s="745"/>
      <c r="CD59" s="745"/>
      <c r="CE59" s="745"/>
      <c r="CF59" s="745"/>
      <c r="CG59" s="745"/>
      <c r="CH59" s="745"/>
      <c r="CI59" s="745"/>
      <c r="CJ59" s="745"/>
      <c r="CK59" s="745"/>
      <c r="CL59" s="745"/>
      <c r="CM59" s="745"/>
      <c r="CN59" s="745"/>
      <c r="CO59" s="745"/>
      <c r="CP59" s="745"/>
      <c r="CQ59" s="745"/>
      <c r="CR59" s="745"/>
      <c r="CS59" s="745"/>
      <c r="CT59" s="745"/>
      <c r="CU59" s="745"/>
      <c r="CV59" s="745"/>
      <c r="CW59" s="745"/>
      <c r="CX59" s="745"/>
      <c r="CY59" s="745"/>
      <c r="CZ59" s="745"/>
      <c r="DA59" s="745"/>
      <c r="DB59" s="745"/>
      <c r="DC59" s="745"/>
      <c r="DD59" s="745"/>
      <c r="DE59" s="745"/>
      <c r="DF59" s="745"/>
      <c r="DG59" s="745"/>
      <c r="DH59" s="745"/>
      <c r="DI59" s="745"/>
      <c r="DJ59" s="745"/>
      <c r="DK59" s="745"/>
      <c r="DL59" s="745"/>
      <c r="DM59" s="745"/>
      <c r="DN59" s="745"/>
      <c r="DO59" s="745"/>
      <c r="DP59" s="745"/>
      <c r="DQ59" s="745"/>
      <c r="DR59" s="745"/>
      <c r="DS59" s="745"/>
      <c r="DT59" s="745"/>
      <c r="DU59" s="745"/>
      <c r="DV59" s="745"/>
      <c r="DW59" s="745"/>
      <c r="DX59" s="745"/>
      <c r="DY59" s="745"/>
      <c r="DZ59" s="745"/>
      <c r="EA59" s="745"/>
      <c r="EB59" s="745"/>
      <c r="EC59" s="745"/>
      <c r="ED59" s="745"/>
      <c r="EE59" s="745"/>
      <c r="EF59" s="745"/>
      <c r="EG59" s="745"/>
      <c r="EH59" s="745"/>
      <c r="EI59" s="745"/>
      <c r="EJ59" s="745"/>
      <c r="EK59" s="745"/>
      <c r="EL59" s="745"/>
      <c r="EM59" s="745"/>
      <c r="EN59" s="745"/>
      <c r="EO59" s="745"/>
      <c r="EP59" s="745"/>
      <c r="EQ59" s="745"/>
    </row>
    <row r="60" spans="1:147" s="732" customFormat="1">
      <c r="A60" s="492"/>
      <c r="B60" s="662" t="s">
        <v>677</v>
      </c>
      <c r="C60" s="756" t="s">
        <v>291</v>
      </c>
      <c r="D60" s="755" t="s">
        <v>44</v>
      </c>
      <c r="E60" s="767">
        <v>3.78E-2</v>
      </c>
      <c r="F60" s="753">
        <f>F56*E60</f>
        <v>2.2680000000000001E-3</v>
      </c>
      <c r="G60" s="392"/>
      <c r="H60" s="722"/>
      <c r="I60" s="722"/>
      <c r="J60" s="722"/>
      <c r="K60" s="722"/>
      <c r="L60" s="722"/>
      <c r="M60" s="722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5"/>
      <c r="Y60" s="765"/>
      <c r="Z60" s="765"/>
      <c r="AA60" s="765"/>
      <c r="AB60" s="765"/>
      <c r="AC60" s="765"/>
      <c r="AD60" s="765"/>
      <c r="AE60" s="765"/>
      <c r="AF60" s="765"/>
      <c r="AG60" s="765"/>
      <c r="AH60" s="765"/>
      <c r="AI60" s="765"/>
      <c r="AJ60" s="765"/>
      <c r="AK60" s="765"/>
      <c r="AL60" s="765"/>
      <c r="AM60" s="765"/>
      <c r="AN60" s="765"/>
      <c r="AO60" s="765"/>
      <c r="AP60" s="765"/>
      <c r="AQ60" s="765"/>
      <c r="AR60" s="765"/>
      <c r="AS60" s="765"/>
      <c r="AT60" s="765"/>
      <c r="AU60" s="765"/>
      <c r="AV60" s="765"/>
      <c r="AW60" s="765"/>
      <c r="AX60" s="765"/>
      <c r="AY60" s="765"/>
      <c r="AZ60" s="765"/>
      <c r="BA60" s="765"/>
      <c r="BB60" s="765"/>
      <c r="BC60" s="765"/>
      <c r="BD60" s="765"/>
      <c r="BE60" s="765"/>
      <c r="BF60" s="765"/>
      <c r="BG60" s="765"/>
      <c r="BH60" s="765"/>
      <c r="BI60" s="765"/>
      <c r="BJ60" s="765"/>
      <c r="BK60" s="765"/>
      <c r="BL60" s="765"/>
      <c r="BM60" s="765"/>
      <c r="BN60" s="765"/>
      <c r="BO60" s="765"/>
      <c r="BP60" s="765"/>
      <c r="BQ60" s="765"/>
      <c r="BR60" s="765"/>
      <c r="BS60" s="765"/>
    </row>
    <row r="61" spans="1:147" s="732" customFormat="1">
      <c r="A61" s="492"/>
      <c r="B61" s="662" t="s">
        <v>655</v>
      </c>
      <c r="C61" s="756" t="s">
        <v>286</v>
      </c>
      <c r="D61" s="755" t="s">
        <v>48</v>
      </c>
      <c r="E61" s="764">
        <v>2.9</v>
      </c>
      <c r="F61" s="722">
        <f>F56*E61</f>
        <v>0.17399999999999999</v>
      </c>
      <c r="G61" s="392"/>
      <c r="H61" s="722"/>
      <c r="I61" s="722"/>
      <c r="J61" s="722"/>
      <c r="K61" s="722"/>
      <c r="L61" s="722"/>
      <c r="M61" s="722"/>
      <c r="N61" s="765"/>
      <c r="O61" s="765"/>
      <c r="P61" s="765"/>
      <c r="Q61" s="765"/>
      <c r="R61" s="765"/>
      <c r="S61" s="765"/>
      <c r="T61" s="765"/>
      <c r="U61" s="765"/>
      <c r="V61" s="765"/>
      <c r="W61" s="765"/>
      <c r="X61" s="765"/>
      <c r="Y61" s="765"/>
      <c r="Z61" s="765"/>
      <c r="AA61" s="765"/>
      <c r="AB61" s="765"/>
      <c r="AC61" s="765"/>
      <c r="AD61" s="765"/>
      <c r="AE61" s="765"/>
      <c r="AF61" s="765"/>
      <c r="AG61" s="765"/>
      <c r="AH61" s="765"/>
      <c r="AI61" s="765"/>
      <c r="AJ61" s="765"/>
      <c r="AK61" s="765"/>
      <c r="AL61" s="765"/>
      <c r="AM61" s="765"/>
      <c r="AN61" s="765"/>
      <c r="AO61" s="765"/>
      <c r="AP61" s="765"/>
      <c r="AQ61" s="765"/>
      <c r="AR61" s="765"/>
      <c r="AS61" s="765"/>
      <c r="AT61" s="765"/>
      <c r="AU61" s="765"/>
      <c r="AV61" s="765"/>
      <c r="AW61" s="765"/>
      <c r="AX61" s="765"/>
      <c r="AY61" s="765"/>
      <c r="AZ61" s="765"/>
      <c r="BA61" s="765"/>
      <c r="BB61" s="765"/>
      <c r="BC61" s="765"/>
      <c r="BD61" s="765"/>
      <c r="BE61" s="765"/>
      <c r="BF61" s="765"/>
      <c r="BG61" s="765"/>
      <c r="BH61" s="765"/>
      <c r="BI61" s="765"/>
      <c r="BJ61" s="765"/>
      <c r="BK61" s="765"/>
      <c r="BL61" s="765"/>
      <c r="BM61" s="765"/>
      <c r="BN61" s="765"/>
      <c r="BO61" s="765"/>
      <c r="BP61" s="765"/>
      <c r="BQ61" s="765"/>
      <c r="BR61" s="765"/>
      <c r="BS61" s="765"/>
    </row>
    <row r="62" spans="1:147" s="732" customFormat="1">
      <c r="A62" s="492"/>
      <c r="B62" s="558" t="s">
        <v>661</v>
      </c>
      <c r="C62" s="754" t="s">
        <v>468</v>
      </c>
      <c r="D62" s="755" t="s">
        <v>198</v>
      </c>
      <c r="E62" s="767">
        <v>2.3E-3</v>
      </c>
      <c r="F62" s="768">
        <f>E62*F56</f>
        <v>1.3799999999999999E-4</v>
      </c>
      <c r="G62" s="392"/>
      <c r="H62" s="727"/>
      <c r="I62" s="722"/>
      <c r="J62" s="722"/>
      <c r="K62" s="722"/>
      <c r="L62" s="722"/>
      <c r="M62" s="727"/>
      <c r="N62" s="765"/>
      <c r="O62" s="765"/>
      <c r="P62" s="765"/>
      <c r="Q62" s="765"/>
      <c r="R62" s="765"/>
      <c r="S62" s="765"/>
      <c r="T62" s="765"/>
      <c r="U62" s="765"/>
      <c r="V62" s="765"/>
      <c r="W62" s="765"/>
      <c r="X62" s="765"/>
      <c r="Y62" s="765"/>
      <c r="Z62" s="765"/>
      <c r="AA62" s="765"/>
      <c r="AB62" s="765"/>
      <c r="AC62" s="765"/>
      <c r="AD62" s="765"/>
      <c r="AE62" s="765"/>
      <c r="AF62" s="765"/>
      <c r="AG62" s="765"/>
      <c r="AH62" s="765"/>
      <c r="AI62" s="765"/>
      <c r="AJ62" s="765"/>
      <c r="AK62" s="765"/>
      <c r="AL62" s="765"/>
      <c r="AM62" s="765"/>
      <c r="AN62" s="765"/>
      <c r="AO62" s="765"/>
      <c r="AP62" s="765"/>
      <c r="AQ62" s="765"/>
      <c r="AR62" s="765"/>
      <c r="AS62" s="765"/>
      <c r="AT62" s="765"/>
      <c r="AU62" s="765"/>
      <c r="AV62" s="765"/>
      <c r="AW62" s="765"/>
      <c r="AX62" s="765"/>
      <c r="AY62" s="765"/>
      <c r="AZ62" s="765"/>
      <c r="BA62" s="765"/>
      <c r="BB62" s="765"/>
      <c r="BC62" s="765"/>
      <c r="BD62" s="765"/>
      <c r="BE62" s="765"/>
      <c r="BF62" s="765"/>
      <c r="BG62" s="765"/>
      <c r="BH62" s="765"/>
      <c r="BI62" s="765"/>
      <c r="BJ62" s="765"/>
      <c r="BK62" s="765"/>
      <c r="BL62" s="765"/>
      <c r="BM62" s="765"/>
      <c r="BN62" s="765"/>
      <c r="BO62" s="765"/>
      <c r="BP62" s="765"/>
      <c r="BQ62" s="765"/>
      <c r="BR62" s="765"/>
      <c r="BS62" s="765"/>
    </row>
    <row r="63" spans="1:147" s="732" customFormat="1">
      <c r="A63" s="492"/>
      <c r="B63" s="769"/>
      <c r="C63" s="756" t="s">
        <v>273</v>
      </c>
      <c r="D63" s="755" t="s">
        <v>46</v>
      </c>
      <c r="E63" s="764">
        <v>1.1200000000000001</v>
      </c>
      <c r="F63" s="392">
        <f>E63*F56</f>
        <v>6.720000000000001E-2</v>
      </c>
      <c r="G63" s="748"/>
      <c r="H63" s="748"/>
      <c r="I63" s="748"/>
      <c r="J63" s="748"/>
      <c r="K63" s="758"/>
      <c r="L63" s="739"/>
      <c r="M63" s="722"/>
      <c r="N63" s="765"/>
      <c r="O63" s="765"/>
      <c r="P63" s="765"/>
      <c r="Q63" s="765"/>
      <c r="R63" s="765"/>
      <c r="S63" s="765"/>
      <c r="T63" s="765"/>
      <c r="U63" s="765"/>
      <c r="V63" s="765"/>
      <c r="W63" s="765"/>
      <c r="X63" s="765"/>
      <c r="Y63" s="765"/>
      <c r="Z63" s="765"/>
      <c r="AA63" s="765"/>
      <c r="AB63" s="765"/>
      <c r="AC63" s="765"/>
      <c r="AD63" s="765"/>
      <c r="AE63" s="765"/>
      <c r="AF63" s="765"/>
      <c r="AG63" s="765"/>
      <c r="AH63" s="765"/>
      <c r="AI63" s="765"/>
      <c r="AJ63" s="765"/>
      <c r="AK63" s="765"/>
      <c r="AL63" s="765"/>
      <c r="AM63" s="765"/>
      <c r="AN63" s="765"/>
      <c r="AO63" s="765"/>
      <c r="AP63" s="765"/>
      <c r="AQ63" s="765"/>
      <c r="AR63" s="765"/>
      <c r="AS63" s="765"/>
      <c r="AT63" s="765"/>
      <c r="AU63" s="765"/>
      <c r="AV63" s="765"/>
      <c r="AW63" s="765"/>
      <c r="AX63" s="765"/>
      <c r="AY63" s="765"/>
      <c r="AZ63" s="765"/>
      <c r="BA63" s="765"/>
      <c r="BB63" s="765"/>
      <c r="BC63" s="765"/>
      <c r="BD63" s="765"/>
      <c r="BE63" s="765"/>
      <c r="BF63" s="765"/>
      <c r="BG63" s="765"/>
      <c r="BH63" s="765"/>
      <c r="BI63" s="765"/>
      <c r="BJ63" s="765"/>
      <c r="BK63" s="765"/>
      <c r="BL63" s="765"/>
      <c r="BM63" s="765"/>
      <c r="BN63" s="765"/>
      <c r="BO63" s="765"/>
      <c r="BP63" s="765"/>
      <c r="BQ63" s="765"/>
      <c r="BR63" s="765"/>
      <c r="BS63" s="765"/>
    </row>
    <row r="64" spans="1:147" s="732" customFormat="1">
      <c r="A64" s="492"/>
      <c r="B64" s="769"/>
      <c r="C64" s="757" t="s">
        <v>281</v>
      </c>
      <c r="D64" s="755" t="s">
        <v>46</v>
      </c>
      <c r="E64" s="764">
        <v>0.95</v>
      </c>
      <c r="F64" s="392">
        <f>E64*F56</f>
        <v>5.6999999999999995E-2</v>
      </c>
      <c r="G64" s="748"/>
      <c r="H64" s="739"/>
      <c r="I64" s="739"/>
      <c r="J64" s="739"/>
      <c r="K64" s="739"/>
      <c r="L64" s="739"/>
      <c r="M64" s="722"/>
      <c r="N64" s="765"/>
      <c r="O64" s="765"/>
      <c r="P64" s="765"/>
      <c r="Q64" s="765"/>
      <c r="R64" s="765"/>
      <c r="S64" s="765"/>
      <c r="T64" s="765"/>
      <c r="U64" s="765"/>
      <c r="V64" s="765"/>
      <c r="W64" s="765"/>
      <c r="X64" s="765"/>
      <c r="Y64" s="765"/>
      <c r="Z64" s="765"/>
      <c r="AA64" s="765"/>
      <c r="AB64" s="765"/>
      <c r="AC64" s="765"/>
      <c r="AD64" s="765"/>
      <c r="AE64" s="765"/>
      <c r="AF64" s="765"/>
      <c r="AG64" s="765"/>
      <c r="AH64" s="765"/>
      <c r="AI64" s="765"/>
      <c r="AJ64" s="765"/>
      <c r="AK64" s="765"/>
      <c r="AL64" s="765"/>
      <c r="AM64" s="765"/>
      <c r="AN64" s="765"/>
      <c r="AO64" s="765"/>
      <c r="AP64" s="765"/>
      <c r="AQ64" s="765"/>
      <c r="AR64" s="765"/>
      <c r="AS64" s="765"/>
      <c r="AT64" s="765"/>
      <c r="AU64" s="765"/>
      <c r="AV64" s="765"/>
      <c r="AW64" s="765"/>
      <c r="AX64" s="765"/>
      <c r="AY64" s="765"/>
      <c r="AZ64" s="765"/>
      <c r="BA64" s="765"/>
      <c r="BB64" s="765"/>
      <c r="BC64" s="765"/>
      <c r="BD64" s="765"/>
      <c r="BE64" s="765"/>
      <c r="BF64" s="765"/>
      <c r="BG64" s="765"/>
      <c r="BH64" s="765"/>
      <c r="BI64" s="765"/>
      <c r="BJ64" s="765"/>
      <c r="BK64" s="765"/>
      <c r="BL64" s="765"/>
      <c r="BM64" s="765"/>
      <c r="BN64" s="765"/>
      <c r="BO64" s="765"/>
      <c r="BP64" s="765"/>
      <c r="BQ64" s="765"/>
      <c r="BR64" s="765"/>
      <c r="BS64" s="765"/>
    </row>
    <row r="65" spans="1:224" s="717" customFormat="1">
      <c r="A65" s="718"/>
      <c r="B65" s="718"/>
      <c r="C65" s="718" t="s">
        <v>292</v>
      </c>
      <c r="D65" s="718"/>
      <c r="E65" s="719"/>
      <c r="F65" s="719"/>
      <c r="G65" s="719"/>
      <c r="H65" s="719"/>
      <c r="I65" s="719"/>
      <c r="J65" s="719"/>
      <c r="K65" s="719"/>
      <c r="L65" s="719"/>
      <c r="M65" s="722"/>
    </row>
    <row r="66" spans="1:224" s="745" customFormat="1">
      <c r="A66" s="501">
        <v>11</v>
      </c>
      <c r="B66" s="502" t="s">
        <v>293</v>
      </c>
      <c r="C66" s="528" t="s">
        <v>294</v>
      </c>
      <c r="D66" s="504" t="s">
        <v>48</v>
      </c>
      <c r="E66" s="770"/>
      <c r="F66" s="721">
        <v>9.35</v>
      </c>
      <c r="G66" s="722"/>
      <c r="H66" s="722"/>
      <c r="I66" s="722"/>
      <c r="J66" s="748"/>
      <c r="K66" s="722"/>
      <c r="L66" s="748"/>
      <c r="M66" s="721"/>
      <c r="N66" s="771"/>
      <c r="O66" s="771"/>
      <c r="P66" s="771"/>
      <c r="Q66" s="771"/>
      <c r="R66" s="771"/>
      <c r="S66" s="771"/>
      <c r="T66" s="771"/>
      <c r="U66" s="771"/>
      <c r="V66" s="771"/>
      <c r="W66" s="771"/>
      <c r="X66" s="771"/>
      <c r="Y66" s="771"/>
      <c r="Z66" s="771"/>
      <c r="AA66" s="771"/>
      <c r="AB66" s="771"/>
      <c r="AC66" s="771"/>
      <c r="AD66" s="771"/>
      <c r="AE66" s="771"/>
      <c r="AF66" s="771"/>
      <c r="AG66" s="771"/>
      <c r="AH66" s="771"/>
      <c r="AI66" s="771"/>
      <c r="AJ66" s="771"/>
      <c r="AK66" s="771"/>
      <c r="AL66" s="771"/>
      <c r="AM66" s="771"/>
      <c r="AN66" s="771"/>
      <c r="AO66" s="771"/>
      <c r="AP66" s="771"/>
      <c r="AQ66" s="771"/>
      <c r="AR66" s="771"/>
      <c r="AS66" s="771"/>
      <c r="AT66" s="771"/>
      <c r="AU66" s="771"/>
      <c r="AV66" s="771"/>
      <c r="AW66" s="771"/>
      <c r="AX66" s="771"/>
      <c r="AY66" s="771"/>
      <c r="AZ66" s="771"/>
      <c r="BA66" s="771"/>
      <c r="BB66" s="771"/>
      <c r="BC66" s="771"/>
      <c r="BD66" s="771"/>
      <c r="BE66" s="771"/>
      <c r="BF66" s="771"/>
      <c r="BG66" s="771"/>
      <c r="BH66" s="771"/>
      <c r="BI66" s="771"/>
      <c r="BJ66" s="771"/>
      <c r="BK66" s="771"/>
      <c r="BL66" s="771"/>
      <c r="BM66" s="771"/>
      <c r="BN66" s="771"/>
      <c r="BO66" s="771"/>
      <c r="BP66" s="771"/>
      <c r="BQ66" s="771"/>
      <c r="BR66" s="771"/>
      <c r="BS66" s="771"/>
      <c r="BT66" s="771"/>
      <c r="BU66" s="771"/>
      <c r="BV66" s="771"/>
      <c r="BW66" s="771"/>
      <c r="BX66" s="771"/>
      <c r="BY66" s="771"/>
      <c r="BZ66" s="771"/>
      <c r="CA66" s="771"/>
      <c r="CB66" s="771"/>
      <c r="CC66" s="771"/>
      <c r="CD66" s="771"/>
      <c r="CE66" s="771"/>
      <c r="CF66" s="771"/>
      <c r="CG66" s="771"/>
      <c r="CH66" s="771"/>
      <c r="CI66" s="771"/>
      <c r="CJ66" s="771"/>
      <c r="CK66" s="771"/>
      <c r="CL66" s="771"/>
      <c r="CM66" s="771"/>
      <c r="CN66" s="771"/>
      <c r="CO66" s="771"/>
      <c r="CP66" s="771"/>
      <c r="CQ66" s="771"/>
      <c r="CR66" s="771"/>
      <c r="CS66" s="771"/>
      <c r="CT66" s="771"/>
      <c r="CU66" s="771"/>
      <c r="CV66" s="771"/>
      <c r="CW66" s="771"/>
      <c r="CX66" s="771"/>
      <c r="CY66" s="771"/>
      <c r="CZ66" s="771"/>
      <c r="DA66" s="771"/>
      <c r="DB66" s="771"/>
      <c r="DC66" s="771"/>
      <c r="DD66" s="771"/>
      <c r="DE66" s="771"/>
      <c r="DF66" s="771"/>
      <c r="DG66" s="771"/>
      <c r="DH66" s="771"/>
      <c r="DI66" s="771"/>
      <c r="DJ66" s="771"/>
      <c r="DK66" s="771"/>
      <c r="DL66" s="771"/>
      <c r="DM66" s="771"/>
      <c r="DN66" s="771"/>
      <c r="DO66" s="771"/>
      <c r="DP66" s="771"/>
      <c r="DQ66" s="771"/>
      <c r="DR66" s="771"/>
      <c r="DS66" s="771"/>
      <c r="DT66" s="771"/>
      <c r="DU66" s="771"/>
      <c r="DV66" s="771"/>
      <c r="DW66" s="771"/>
      <c r="DX66" s="771"/>
      <c r="DY66" s="771"/>
      <c r="DZ66" s="771"/>
      <c r="EA66" s="771"/>
      <c r="EB66" s="771"/>
      <c r="EC66" s="771"/>
      <c r="ED66" s="771"/>
      <c r="EE66" s="771"/>
      <c r="EF66" s="771"/>
      <c r="EG66" s="771"/>
      <c r="EH66" s="771"/>
      <c r="EI66" s="771"/>
      <c r="EJ66" s="771"/>
      <c r="EK66" s="771"/>
      <c r="EL66" s="771"/>
      <c r="EM66" s="771"/>
      <c r="EN66" s="771"/>
      <c r="EO66" s="771"/>
      <c r="EP66" s="771"/>
      <c r="EQ66" s="771"/>
      <c r="ER66" s="771"/>
      <c r="ES66" s="771"/>
      <c r="ET66" s="771"/>
      <c r="EU66" s="771"/>
      <c r="EV66" s="771"/>
      <c r="EW66" s="771"/>
      <c r="EX66" s="771"/>
      <c r="EY66" s="771"/>
      <c r="EZ66" s="771"/>
      <c r="FA66" s="771"/>
      <c r="FB66" s="771"/>
      <c r="FC66" s="771"/>
      <c r="FD66" s="771"/>
      <c r="FE66" s="771"/>
      <c r="FF66" s="771"/>
      <c r="FG66" s="771"/>
      <c r="FH66" s="771"/>
      <c r="FI66" s="771"/>
      <c r="FJ66" s="771"/>
      <c r="FK66" s="771"/>
      <c r="FL66" s="771"/>
      <c r="FM66" s="771"/>
      <c r="FN66" s="771"/>
      <c r="FO66" s="771"/>
      <c r="FP66" s="771"/>
      <c r="FQ66" s="771"/>
      <c r="FR66" s="771"/>
      <c r="FS66" s="771"/>
      <c r="FT66" s="771"/>
      <c r="FU66" s="771"/>
      <c r="FV66" s="771"/>
      <c r="FW66" s="771"/>
      <c r="FX66" s="771"/>
      <c r="FY66" s="771"/>
      <c r="FZ66" s="771"/>
      <c r="GA66" s="771"/>
      <c r="GB66" s="771"/>
      <c r="GC66" s="771"/>
      <c r="GD66" s="771"/>
      <c r="GE66" s="771"/>
      <c r="GF66" s="771"/>
      <c r="GG66" s="771"/>
      <c r="GH66" s="771"/>
      <c r="GI66" s="771"/>
      <c r="GJ66" s="771"/>
      <c r="GK66" s="771"/>
      <c r="GL66" s="771"/>
      <c r="GM66" s="771"/>
      <c r="GN66" s="771"/>
      <c r="GO66" s="771"/>
      <c r="GP66" s="771"/>
      <c r="GQ66" s="771"/>
      <c r="GR66" s="771"/>
      <c r="GS66" s="771"/>
      <c r="GT66" s="771"/>
      <c r="GU66" s="771"/>
      <c r="GV66" s="771"/>
      <c r="GW66" s="771"/>
      <c r="GX66" s="771"/>
      <c r="GY66" s="771"/>
      <c r="GZ66" s="771"/>
      <c r="HA66" s="771"/>
      <c r="HB66" s="771"/>
      <c r="HC66" s="771"/>
      <c r="HD66" s="771"/>
      <c r="HE66" s="771"/>
      <c r="HF66" s="771"/>
      <c r="HG66" s="771"/>
      <c r="HH66" s="752"/>
      <c r="HI66" s="752"/>
      <c r="HJ66" s="752"/>
      <c r="HK66" s="752"/>
      <c r="HL66" s="752"/>
      <c r="HM66" s="752"/>
      <c r="HN66" s="752"/>
      <c r="HO66" s="752"/>
      <c r="HP66" s="752"/>
    </row>
    <row r="67" spans="1:224" s="745" customFormat="1">
      <c r="A67" s="504"/>
      <c r="B67" s="772"/>
      <c r="C67" s="773" t="s">
        <v>280</v>
      </c>
      <c r="D67" s="498" t="s">
        <v>63</v>
      </c>
      <c r="E67" s="722">
        <f>600/100</f>
        <v>6</v>
      </c>
      <c r="F67" s="722">
        <f>E67*F66</f>
        <v>56.099999999999994</v>
      </c>
      <c r="G67" s="722"/>
      <c r="H67" s="722"/>
      <c r="I67" s="722"/>
      <c r="J67" s="722"/>
      <c r="K67" s="722"/>
      <c r="L67" s="722"/>
      <c r="M67" s="722"/>
      <c r="N67" s="771"/>
      <c r="O67" s="771"/>
      <c r="P67" s="771"/>
      <c r="Q67" s="771"/>
      <c r="R67" s="771"/>
      <c r="S67" s="771"/>
      <c r="T67" s="771"/>
      <c r="U67" s="771"/>
      <c r="V67" s="771"/>
      <c r="W67" s="771"/>
      <c r="X67" s="771"/>
      <c r="Y67" s="771"/>
      <c r="Z67" s="771"/>
      <c r="AA67" s="771"/>
      <c r="AB67" s="771"/>
      <c r="AC67" s="771"/>
      <c r="AD67" s="771"/>
      <c r="AE67" s="771"/>
      <c r="AF67" s="771"/>
      <c r="AG67" s="771"/>
      <c r="AH67" s="771"/>
      <c r="AI67" s="771"/>
      <c r="AJ67" s="771"/>
      <c r="AK67" s="771"/>
      <c r="AL67" s="771"/>
      <c r="AM67" s="771"/>
      <c r="AN67" s="771"/>
      <c r="AO67" s="771"/>
      <c r="AP67" s="771"/>
      <c r="AQ67" s="771"/>
      <c r="AR67" s="771"/>
      <c r="AS67" s="771"/>
      <c r="AT67" s="771"/>
      <c r="AU67" s="771"/>
      <c r="AV67" s="771"/>
      <c r="AW67" s="771"/>
      <c r="AX67" s="771"/>
      <c r="AY67" s="771"/>
      <c r="AZ67" s="771"/>
      <c r="BA67" s="771"/>
      <c r="BB67" s="771"/>
      <c r="BC67" s="771"/>
      <c r="BD67" s="771"/>
      <c r="BE67" s="771"/>
      <c r="BF67" s="771"/>
      <c r="BG67" s="771"/>
      <c r="BH67" s="771"/>
      <c r="BI67" s="771"/>
      <c r="BJ67" s="771"/>
      <c r="BK67" s="771"/>
      <c r="BL67" s="771"/>
      <c r="BM67" s="771"/>
      <c r="BN67" s="771"/>
      <c r="BO67" s="771"/>
      <c r="BP67" s="771"/>
      <c r="BQ67" s="771"/>
      <c r="BR67" s="771"/>
      <c r="BS67" s="771"/>
      <c r="BT67" s="771"/>
      <c r="BU67" s="771"/>
      <c r="BV67" s="771"/>
      <c r="BW67" s="771"/>
      <c r="BX67" s="771"/>
      <c r="BY67" s="771"/>
      <c r="BZ67" s="771"/>
      <c r="CA67" s="771"/>
      <c r="CB67" s="771"/>
      <c r="CC67" s="771"/>
      <c r="CD67" s="771"/>
      <c r="CE67" s="771"/>
      <c r="CF67" s="771"/>
      <c r="CG67" s="771"/>
      <c r="CH67" s="771"/>
      <c r="CI67" s="771"/>
      <c r="CJ67" s="771"/>
      <c r="CK67" s="771"/>
      <c r="CL67" s="771"/>
      <c r="CM67" s="771"/>
      <c r="CN67" s="771"/>
      <c r="CO67" s="771"/>
      <c r="CP67" s="771"/>
      <c r="CQ67" s="771"/>
      <c r="CR67" s="771"/>
      <c r="CS67" s="771"/>
      <c r="CT67" s="771"/>
      <c r="CU67" s="771"/>
      <c r="CV67" s="771"/>
      <c r="CW67" s="771"/>
      <c r="CX67" s="771"/>
      <c r="CY67" s="771"/>
      <c r="CZ67" s="771"/>
      <c r="DA67" s="771"/>
      <c r="DB67" s="771"/>
      <c r="DC67" s="771"/>
      <c r="DD67" s="771"/>
      <c r="DE67" s="771"/>
      <c r="DF67" s="771"/>
      <c r="DG67" s="771"/>
      <c r="DH67" s="771"/>
      <c r="DI67" s="771"/>
      <c r="DJ67" s="771"/>
      <c r="DK67" s="771"/>
      <c r="DL67" s="771"/>
      <c r="DM67" s="771"/>
      <c r="DN67" s="771"/>
      <c r="DO67" s="771"/>
      <c r="DP67" s="771"/>
      <c r="DQ67" s="771"/>
      <c r="DR67" s="771"/>
      <c r="DS67" s="771"/>
      <c r="DT67" s="771"/>
      <c r="DU67" s="771"/>
      <c r="DV67" s="771"/>
      <c r="DW67" s="771"/>
      <c r="DX67" s="771"/>
      <c r="DY67" s="771"/>
      <c r="DZ67" s="771"/>
      <c r="EA67" s="771"/>
      <c r="EB67" s="771"/>
      <c r="EC67" s="771"/>
      <c r="ED67" s="771"/>
      <c r="EE67" s="771"/>
      <c r="EF67" s="771"/>
      <c r="EG67" s="771"/>
      <c r="EH67" s="771"/>
      <c r="EI67" s="771"/>
      <c r="EJ67" s="771"/>
      <c r="EK67" s="771"/>
      <c r="EL67" s="771"/>
      <c r="EM67" s="771"/>
      <c r="EN67" s="771"/>
      <c r="EO67" s="771"/>
      <c r="EP67" s="771"/>
      <c r="EQ67" s="771"/>
      <c r="ER67" s="771"/>
      <c r="ES67" s="771"/>
      <c r="ET67" s="771"/>
      <c r="EU67" s="771"/>
      <c r="EV67" s="771"/>
      <c r="EW67" s="771"/>
      <c r="EX67" s="771"/>
      <c r="EY67" s="771"/>
      <c r="EZ67" s="771"/>
      <c r="FA67" s="771"/>
      <c r="FB67" s="771"/>
      <c r="FC67" s="771"/>
      <c r="FD67" s="771"/>
      <c r="FE67" s="771"/>
      <c r="FF67" s="771"/>
      <c r="FG67" s="771"/>
      <c r="FH67" s="771"/>
      <c r="FI67" s="771"/>
      <c r="FJ67" s="771"/>
      <c r="FK67" s="771"/>
      <c r="FL67" s="771"/>
      <c r="FM67" s="771"/>
      <c r="FN67" s="771"/>
      <c r="FO67" s="771"/>
      <c r="FP67" s="771"/>
      <c r="FQ67" s="771"/>
      <c r="FR67" s="771"/>
      <c r="FS67" s="771"/>
      <c r="FT67" s="771"/>
      <c r="FU67" s="771"/>
      <c r="FV67" s="771"/>
      <c r="FW67" s="771"/>
      <c r="FX67" s="771"/>
      <c r="FY67" s="771"/>
      <c r="FZ67" s="771"/>
      <c r="GA67" s="771"/>
      <c r="GB67" s="771"/>
      <c r="GC67" s="771"/>
      <c r="GD67" s="771"/>
      <c r="GE67" s="771"/>
      <c r="GF67" s="771"/>
      <c r="GG67" s="771"/>
      <c r="GH67" s="771"/>
      <c r="GI67" s="771"/>
      <c r="GJ67" s="771"/>
      <c r="GK67" s="771"/>
      <c r="GL67" s="771"/>
      <c r="GM67" s="771"/>
      <c r="GN67" s="771"/>
      <c r="GO67" s="771"/>
      <c r="GP67" s="771"/>
      <c r="GQ67" s="771"/>
      <c r="GR67" s="771"/>
      <c r="GS67" s="771"/>
      <c r="GT67" s="771"/>
      <c r="GU67" s="771"/>
      <c r="GV67" s="771"/>
      <c r="GW67" s="771"/>
      <c r="GX67" s="771"/>
      <c r="GY67" s="771"/>
      <c r="GZ67" s="771"/>
      <c r="HA67" s="771"/>
      <c r="HB67" s="771"/>
      <c r="HC67" s="771"/>
      <c r="HD67" s="771"/>
      <c r="HE67" s="771"/>
      <c r="HF67" s="771"/>
      <c r="HG67" s="771"/>
      <c r="HH67" s="752"/>
      <c r="HI67" s="752"/>
      <c r="HJ67" s="752"/>
      <c r="HK67" s="752"/>
      <c r="HL67" s="752"/>
      <c r="HM67" s="752"/>
      <c r="HN67" s="752"/>
      <c r="HO67" s="752"/>
      <c r="HP67" s="752"/>
    </row>
    <row r="68" spans="1:224" s="745" customFormat="1">
      <c r="A68" s="504"/>
      <c r="B68" s="772"/>
      <c r="C68" s="773" t="s">
        <v>295</v>
      </c>
      <c r="D68" s="498" t="s">
        <v>46</v>
      </c>
      <c r="E68" s="722">
        <f>18/100</f>
        <v>0.18</v>
      </c>
      <c r="F68" s="722">
        <f>E68*F66</f>
        <v>1.6829999999999998</v>
      </c>
      <c r="G68" s="722"/>
      <c r="H68" s="722"/>
      <c r="I68" s="722"/>
      <c r="J68" s="722"/>
      <c r="K68" s="722"/>
      <c r="L68" s="722"/>
      <c r="M68" s="722"/>
      <c r="N68" s="771"/>
      <c r="O68" s="771"/>
      <c r="P68" s="771"/>
      <c r="Q68" s="771"/>
      <c r="R68" s="771"/>
      <c r="S68" s="771"/>
      <c r="T68" s="771"/>
      <c r="U68" s="771"/>
      <c r="V68" s="771"/>
      <c r="W68" s="771"/>
      <c r="X68" s="771"/>
      <c r="Y68" s="771"/>
      <c r="Z68" s="771"/>
      <c r="AA68" s="771"/>
      <c r="AB68" s="771"/>
      <c r="AC68" s="771"/>
      <c r="AD68" s="771"/>
      <c r="AE68" s="771"/>
      <c r="AF68" s="771"/>
      <c r="AG68" s="771"/>
      <c r="AH68" s="771"/>
      <c r="AI68" s="771"/>
      <c r="AJ68" s="771"/>
      <c r="AK68" s="771"/>
      <c r="AL68" s="771"/>
      <c r="AM68" s="771"/>
      <c r="AN68" s="771"/>
      <c r="AO68" s="771"/>
      <c r="AP68" s="771"/>
      <c r="AQ68" s="771"/>
      <c r="AR68" s="771"/>
      <c r="AS68" s="771"/>
      <c r="AT68" s="771"/>
      <c r="AU68" s="771"/>
      <c r="AV68" s="771"/>
      <c r="AW68" s="771"/>
      <c r="AX68" s="771"/>
      <c r="AY68" s="771"/>
      <c r="AZ68" s="771"/>
      <c r="BA68" s="771"/>
      <c r="BB68" s="771"/>
      <c r="BC68" s="771"/>
      <c r="BD68" s="771"/>
      <c r="BE68" s="771"/>
      <c r="BF68" s="771"/>
      <c r="BG68" s="771"/>
      <c r="BH68" s="771"/>
      <c r="BI68" s="771"/>
      <c r="BJ68" s="771"/>
      <c r="BK68" s="771"/>
      <c r="BL68" s="771"/>
      <c r="BM68" s="771"/>
      <c r="BN68" s="771"/>
      <c r="BO68" s="771"/>
      <c r="BP68" s="771"/>
      <c r="BQ68" s="771"/>
      <c r="BR68" s="771"/>
      <c r="BS68" s="771"/>
      <c r="BT68" s="771"/>
      <c r="BU68" s="771"/>
      <c r="BV68" s="771"/>
      <c r="BW68" s="771"/>
      <c r="BX68" s="771"/>
      <c r="BY68" s="771"/>
      <c r="BZ68" s="771"/>
      <c r="CA68" s="771"/>
      <c r="CB68" s="771"/>
      <c r="CC68" s="771"/>
      <c r="CD68" s="771"/>
      <c r="CE68" s="771"/>
      <c r="CF68" s="771"/>
      <c r="CG68" s="771"/>
      <c r="CH68" s="771"/>
      <c r="CI68" s="771"/>
      <c r="CJ68" s="771"/>
      <c r="CK68" s="771"/>
      <c r="CL68" s="771"/>
      <c r="CM68" s="771"/>
      <c r="CN68" s="771"/>
      <c r="CO68" s="771"/>
      <c r="CP68" s="771"/>
      <c r="CQ68" s="771"/>
      <c r="CR68" s="771"/>
      <c r="CS68" s="771"/>
      <c r="CT68" s="771"/>
      <c r="CU68" s="771"/>
      <c r="CV68" s="771"/>
      <c r="CW68" s="771"/>
      <c r="CX68" s="771"/>
      <c r="CY68" s="771"/>
      <c r="CZ68" s="771"/>
      <c r="DA68" s="771"/>
      <c r="DB68" s="771"/>
      <c r="DC68" s="771"/>
      <c r="DD68" s="771"/>
      <c r="DE68" s="771"/>
      <c r="DF68" s="771"/>
      <c r="DG68" s="771"/>
      <c r="DH68" s="771"/>
      <c r="DI68" s="771"/>
      <c r="DJ68" s="771"/>
      <c r="DK68" s="771"/>
      <c r="DL68" s="771"/>
      <c r="DM68" s="771"/>
      <c r="DN68" s="771"/>
      <c r="DO68" s="771"/>
      <c r="DP68" s="771"/>
      <c r="DQ68" s="771"/>
      <c r="DR68" s="771"/>
      <c r="DS68" s="771"/>
      <c r="DT68" s="771"/>
      <c r="DU68" s="771"/>
      <c r="DV68" s="771"/>
      <c r="DW68" s="771"/>
      <c r="DX68" s="771"/>
      <c r="DY68" s="771"/>
      <c r="DZ68" s="771"/>
      <c r="EA68" s="771"/>
      <c r="EB68" s="771"/>
      <c r="EC68" s="771"/>
      <c r="ED68" s="771"/>
      <c r="EE68" s="771"/>
      <c r="EF68" s="771"/>
      <c r="EG68" s="771"/>
      <c r="EH68" s="771"/>
      <c r="EI68" s="771"/>
      <c r="EJ68" s="771"/>
      <c r="EK68" s="771"/>
      <c r="EL68" s="771"/>
      <c r="EM68" s="771"/>
      <c r="EN68" s="771"/>
      <c r="EO68" s="771"/>
      <c r="EP68" s="771"/>
      <c r="EQ68" s="771"/>
      <c r="ER68" s="771"/>
      <c r="ES68" s="771"/>
      <c r="ET68" s="771"/>
      <c r="EU68" s="771"/>
      <c r="EV68" s="771"/>
      <c r="EW68" s="771"/>
      <c r="EX68" s="771"/>
      <c r="EY68" s="771"/>
      <c r="EZ68" s="771"/>
      <c r="FA68" s="771"/>
      <c r="FB68" s="771"/>
      <c r="FC68" s="771"/>
      <c r="FD68" s="771"/>
      <c r="FE68" s="771"/>
      <c r="FF68" s="771"/>
      <c r="FG68" s="771"/>
      <c r="FH68" s="771"/>
      <c r="FI68" s="771"/>
      <c r="FJ68" s="771"/>
      <c r="FK68" s="771"/>
      <c r="FL68" s="771"/>
      <c r="FM68" s="771"/>
      <c r="FN68" s="771"/>
      <c r="FO68" s="771"/>
      <c r="FP68" s="771"/>
      <c r="FQ68" s="771"/>
      <c r="FR68" s="771"/>
      <c r="FS68" s="771"/>
      <c r="FT68" s="771"/>
      <c r="FU68" s="771"/>
      <c r="FV68" s="771"/>
      <c r="FW68" s="771"/>
      <c r="FX68" s="771"/>
      <c r="FY68" s="771"/>
      <c r="FZ68" s="771"/>
      <c r="GA68" s="771"/>
      <c r="GB68" s="771"/>
      <c r="GC68" s="771"/>
      <c r="GD68" s="771"/>
      <c r="GE68" s="771"/>
      <c r="GF68" s="771"/>
      <c r="GG68" s="771"/>
      <c r="GH68" s="771"/>
      <c r="GI68" s="771"/>
      <c r="GJ68" s="771"/>
      <c r="GK68" s="771"/>
      <c r="GL68" s="771"/>
      <c r="GM68" s="771"/>
      <c r="GN68" s="771"/>
      <c r="GO68" s="771"/>
      <c r="GP68" s="771"/>
      <c r="GQ68" s="771"/>
      <c r="GR68" s="771"/>
      <c r="GS68" s="771"/>
      <c r="GT68" s="771"/>
      <c r="GU68" s="771"/>
      <c r="GV68" s="771"/>
      <c r="GW68" s="771"/>
      <c r="GX68" s="771"/>
      <c r="GY68" s="771"/>
      <c r="GZ68" s="771"/>
      <c r="HA68" s="771"/>
      <c r="HB68" s="771"/>
      <c r="HC68" s="771"/>
      <c r="HD68" s="771"/>
      <c r="HE68" s="771"/>
      <c r="HF68" s="771"/>
      <c r="HG68" s="771"/>
      <c r="HH68" s="752"/>
      <c r="HI68" s="752"/>
      <c r="HJ68" s="752"/>
      <c r="HK68" s="752"/>
      <c r="HL68" s="752"/>
      <c r="HM68" s="752"/>
      <c r="HN68" s="752"/>
      <c r="HO68" s="752"/>
      <c r="HP68" s="752"/>
    </row>
    <row r="69" spans="1:224" s="745" customFormat="1">
      <c r="A69" s="504"/>
      <c r="B69" s="774" t="s">
        <v>680</v>
      </c>
      <c r="C69" s="773" t="s">
        <v>296</v>
      </c>
      <c r="D69" s="498" t="s">
        <v>48</v>
      </c>
      <c r="E69" s="722">
        <v>0.99</v>
      </c>
      <c r="F69" s="722">
        <f>E69*F66</f>
        <v>9.2564999999999991</v>
      </c>
      <c r="G69" s="748"/>
      <c r="H69" s="722"/>
      <c r="I69" s="722"/>
      <c r="J69" s="722"/>
      <c r="K69" s="722"/>
      <c r="L69" s="722"/>
      <c r="M69" s="722"/>
      <c r="N69" s="771"/>
      <c r="O69" s="771"/>
      <c r="P69" s="771"/>
      <c r="Q69" s="771"/>
      <c r="R69" s="771"/>
      <c r="S69" s="771"/>
      <c r="T69" s="771"/>
      <c r="U69" s="771"/>
      <c r="V69" s="771"/>
      <c r="W69" s="771"/>
      <c r="X69" s="771"/>
      <c r="Y69" s="771"/>
      <c r="Z69" s="771"/>
      <c r="AA69" s="771"/>
      <c r="AB69" s="771"/>
      <c r="AC69" s="771"/>
      <c r="AD69" s="771"/>
      <c r="AE69" s="771"/>
      <c r="AF69" s="771"/>
      <c r="AG69" s="771"/>
      <c r="AH69" s="771"/>
      <c r="AI69" s="771"/>
      <c r="AJ69" s="771"/>
      <c r="AK69" s="771"/>
      <c r="AL69" s="771"/>
      <c r="AM69" s="771"/>
      <c r="AN69" s="771"/>
      <c r="AO69" s="771"/>
      <c r="AP69" s="771"/>
      <c r="AQ69" s="771"/>
      <c r="AR69" s="771"/>
      <c r="AS69" s="771"/>
      <c r="AT69" s="771"/>
      <c r="AU69" s="771"/>
      <c r="AV69" s="771"/>
      <c r="AW69" s="771"/>
      <c r="AX69" s="771"/>
      <c r="AY69" s="771"/>
      <c r="AZ69" s="771"/>
      <c r="BA69" s="771"/>
      <c r="BB69" s="771"/>
      <c r="BC69" s="771"/>
      <c r="BD69" s="771"/>
      <c r="BE69" s="771"/>
      <c r="BF69" s="771"/>
      <c r="BG69" s="771"/>
      <c r="BH69" s="771"/>
      <c r="BI69" s="771"/>
      <c r="BJ69" s="771"/>
      <c r="BK69" s="771"/>
      <c r="BL69" s="771"/>
      <c r="BM69" s="771"/>
      <c r="BN69" s="771"/>
      <c r="BO69" s="771"/>
      <c r="BP69" s="771"/>
      <c r="BQ69" s="771"/>
      <c r="BR69" s="771"/>
      <c r="BS69" s="771"/>
      <c r="BT69" s="771"/>
      <c r="BU69" s="771"/>
      <c r="BV69" s="771"/>
      <c r="BW69" s="771"/>
      <c r="BX69" s="771"/>
      <c r="BY69" s="771"/>
      <c r="BZ69" s="771"/>
      <c r="CA69" s="771"/>
      <c r="CB69" s="771"/>
      <c r="CC69" s="771"/>
      <c r="CD69" s="771"/>
      <c r="CE69" s="771"/>
      <c r="CF69" s="771"/>
      <c r="CG69" s="771"/>
      <c r="CH69" s="771"/>
      <c r="CI69" s="771"/>
      <c r="CJ69" s="771"/>
      <c r="CK69" s="771"/>
      <c r="CL69" s="771"/>
      <c r="CM69" s="771"/>
      <c r="CN69" s="771"/>
      <c r="CO69" s="771"/>
      <c r="CP69" s="771"/>
      <c r="CQ69" s="771"/>
      <c r="CR69" s="771"/>
      <c r="CS69" s="771"/>
      <c r="CT69" s="771"/>
      <c r="CU69" s="771"/>
      <c r="CV69" s="771"/>
      <c r="CW69" s="771"/>
      <c r="CX69" s="771"/>
      <c r="CY69" s="771"/>
      <c r="CZ69" s="771"/>
      <c r="DA69" s="771"/>
      <c r="DB69" s="771"/>
      <c r="DC69" s="771"/>
      <c r="DD69" s="771"/>
      <c r="DE69" s="771"/>
      <c r="DF69" s="771"/>
      <c r="DG69" s="771"/>
      <c r="DH69" s="771"/>
      <c r="DI69" s="771"/>
      <c r="DJ69" s="771"/>
      <c r="DK69" s="771"/>
      <c r="DL69" s="771"/>
      <c r="DM69" s="771"/>
      <c r="DN69" s="771"/>
      <c r="DO69" s="771"/>
      <c r="DP69" s="771"/>
      <c r="DQ69" s="771"/>
      <c r="DR69" s="771"/>
      <c r="DS69" s="771"/>
      <c r="DT69" s="771"/>
      <c r="DU69" s="771"/>
      <c r="DV69" s="771"/>
      <c r="DW69" s="771"/>
      <c r="DX69" s="771"/>
      <c r="DY69" s="771"/>
      <c r="DZ69" s="771"/>
      <c r="EA69" s="771"/>
      <c r="EB69" s="771"/>
      <c r="EC69" s="771"/>
      <c r="ED69" s="771"/>
      <c r="EE69" s="771"/>
      <c r="EF69" s="771"/>
      <c r="EG69" s="771"/>
      <c r="EH69" s="771"/>
      <c r="EI69" s="771"/>
      <c r="EJ69" s="771"/>
      <c r="EK69" s="771"/>
      <c r="EL69" s="771"/>
      <c r="EM69" s="771"/>
      <c r="EN69" s="771"/>
      <c r="EO69" s="771"/>
      <c r="EP69" s="771"/>
      <c r="EQ69" s="771"/>
      <c r="ER69" s="771"/>
      <c r="ES69" s="771"/>
      <c r="ET69" s="771"/>
      <c r="EU69" s="771"/>
      <c r="EV69" s="771"/>
      <c r="EW69" s="771"/>
      <c r="EX69" s="771"/>
      <c r="EY69" s="771"/>
      <c r="EZ69" s="771"/>
      <c r="FA69" s="771"/>
      <c r="FB69" s="771"/>
      <c r="FC69" s="771"/>
      <c r="FD69" s="771"/>
      <c r="FE69" s="771"/>
      <c r="FF69" s="771"/>
      <c r="FG69" s="771"/>
      <c r="FH69" s="771"/>
      <c r="FI69" s="771"/>
      <c r="FJ69" s="771"/>
      <c r="FK69" s="771"/>
      <c r="FL69" s="771"/>
      <c r="FM69" s="771"/>
      <c r="FN69" s="771"/>
      <c r="FO69" s="771"/>
      <c r="FP69" s="771"/>
      <c r="FQ69" s="771"/>
      <c r="FR69" s="771"/>
      <c r="FS69" s="771"/>
      <c r="FT69" s="771"/>
      <c r="FU69" s="771"/>
      <c r="FV69" s="771"/>
      <c r="FW69" s="771"/>
      <c r="FX69" s="771"/>
      <c r="FY69" s="771"/>
      <c r="FZ69" s="771"/>
      <c r="GA69" s="771"/>
      <c r="GB69" s="771"/>
      <c r="GC69" s="771"/>
      <c r="GD69" s="771"/>
      <c r="GE69" s="771"/>
      <c r="GF69" s="771"/>
      <c r="GG69" s="771"/>
      <c r="GH69" s="771"/>
      <c r="GI69" s="771"/>
      <c r="GJ69" s="771"/>
      <c r="GK69" s="771"/>
      <c r="GL69" s="771"/>
      <c r="GM69" s="771"/>
      <c r="GN69" s="771"/>
      <c r="GO69" s="771"/>
      <c r="GP69" s="771"/>
      <c r="GQ69" s="771"/>
      <c r="GR69" s="771"/>
      <c r="GS69" s="771"/>
      <c r="GT69" s="771"/>
      <c r="GU69" s="771"/>
      <c r="GV69" s="771"/>
      <c r="GW69" s="771"/>
      <c r="GX69" s="771"/>
      <c r="GY69" s="771"/>
      <c r="GZ69" s="771"/>
      <c r="HA69" s="771"/>
      <c r="HB69" s="771"/>
      <c r="HC69" s="771"/>
      <c r="HD69" s="771"/>
      <c r="HE69" s="771"/>
      <c r="HF69" s="771"/>
      <c r="HG69" s="771"/>
      <c r="HH69" s="752"/>
      <c r="HI69" s="752"/>
      <c r="HJ69" s="752"/>
      <c r="HK69" s="752"/>
      <c r="HL69" s="752"/>
      <c r="HM69" s="752"/>
      <c r="HN69" s="752"/>
      <c r="HO69" s="752"/>
      <c r="HP69" s="752"/>
    </row>
    <row r="70" spans="1:224" s="745" customFormat="1">
      <c r="A70" s="504"/>
      <c r="B70" s="635" t="s">
        <v>681</v>
      </c>
      <c r="C70" s="773" t="s">
        <v>297</v>
      </c>
      <c r="D70" s="498" t="s">
        <v>44</v>
      </c>
      <c r="E70" s="722">
        <f>3.6/100</f>
        <v>3.6000000000000004E-2</v>
      </c>
      <c r="F70" s="722">
        <f>E70*F66</f>
        <v>0.33660000000000001</v>
      </c>
      <c r="G70" s="392"/>
      <c r="H70" s="722"/>
      <c r="I70" s="722"/>
      <c r="J70" s="722"/>
      <c r="K70" s="722"/>
      <c r="L70" s="722"/>
      <c r="M70" s="722"/>
      <c r="N70" s="771"/>
      <c r="O70" s="771"/>
      <c r="P70" s="771"/>
      <c r="Q70" s="771"/>
      <c r="R70" s="771"/>
      <c r="S70" s="771"/>
      <c r="T70" s="771"/>
      <c r="U70" s="771"/>
      <c r="V70" s="771"/>
      <c r="W70" s="771"/>
      <c r="X70" s="771"/>
      <c r="Y70" s="771"/>
      <c r="Z70" s="771"/>
      <c r="AA70" s="771"/>
      <c r="AB70" s="771"/>
      <c r="AC70" s="771"/>
      <c r="AD70" s="771"/>
      <c r="AE70" s="771"/>
      <c r="AF70" s="771"/>
      <c r="AG70" s="771"/>
      <c r="AH70" s="771"/>
      <c r="AI70" s="771"/>
      <c r="AJ70" s="771"/>
      <c r="AK70" s="771"/>
      <c r="AL70" s="771"/>
      <c r="AM70" s="771"/>
      <c r="AN70" s="771"/>
      <c r="AO70" s="771"/>
      <c r="AP70" s="771"/>
      <c r="AQ70" s="771"/>
      <c r="AR70" s="771"/>
      <c r="AS70" s="771"/>
      <c r="AT70" s="771"/>
      <c r="AU70" s="771"/>
      <c r="AV70" s="771"/>
      <c r="AW70" s="771"/>
      <c r="AX70" s="771"/>
      <c r="AY70" s="771"/>
      <c r="AZ70" s="771"/>
      <c r="BA70" s="771"/>
      <c r="BB70" s="771"/>
      <c r="BC70" s="771"/>
      <c r="BD70" s="771"/>
      <c r="BE70" s="771"/>
      <c r="BF70" s="771"/>
      <c r="BG70" s="771"/>
      <c r="BH70" s="771"/>
      <c r="BI70" s="771"/>
      <c r="BJ70" s="771"/>
      <c r="BK70" s="771"/>
      <c r="BL70" s="771"/>
      <c r="BM70" s="771"/>
      <c r="BN70" s="771"/>
      <c r="BO70" s="771"/>
      <c r="BP70" s="771"/>
      <c r="BQ70" s="771"/>
      <c r="BR70" s="771"/>
      <c r="BS70" s="771"/>
      <c r="BT70" s="771"/>
      <c r="BU70" s="771"/>
      <c r="BV70" s="771"/>
      <c r="BW70" s="771"/>
      <c r="BX70" s="771"/>
      <c r="BY70" s="771"/>
      <c r="BZ70" s="771"/>
      <c r="CA70" s="771"/>
      <c r="CB70" s="771"/>
      <c r="CC70" s="771"/>
      <c r="CD70" s="771"/>
      <c r="CE70" s="771"/>
      <c r="CF70" s="771"/>
      <c r="CG70" s="771"/>
      <c r="CH70" s="771"/>
      <c r="CI70" s="771"/>
      <c r="CJ70" s="771"/>
      <c r="CK70" s="771"/>
      <c r="CL70" s="771"/>
      <c r="CM70" s="771"/>
      <c r="CN70" s="771"/>
      <c r="CO70" s="771"/>
      <c r="CP70" s="771"/>
      <c r="CQ70" s="771"/>
      <c r="CR70" s="771"/>
      <c r="CS70" s="771"/>
      <c r="CT70" s="771"/>
      <c r="CU70" s="771"/>
      <c r="CV70" s="771"/>
      <c r="CW70" s="771"/>
      <c r="CX70" s="771"/>
      <c r="CY70" s="771"/>
      <c r="CZ70" s="771"/>
      <c r="DA70" s="771"/>
      <c r="DB70" s="771"/>
      <c r="DC70" s="771"/>
      <c r="DD70" s="771"/>
      <c r="DE70" s="771"/>
      <c r="DF70" s="771"/>
      <c r="DG70" s="771"/>
      <c r="DH70" s="771"/>
      <c r="DI70" s="771"/>
      <c r="DJ70" s="771"/>
      <c r="DK70" s="771"/>
      <c r="DL70" s="771"/>
      <c r="DM70" s="771"/>
      <c r="DN70" s="771"/>
      <c r="DO70" s="771"/>
      <c r="DP70" s="771"/>
      <c r="DQ70" s="771"/>
      <c r="DR70" s="771"/>
      <c r="DS70" s="771"/>
      <c r="DT70" s="771"/>
      <c r="DU70" s="771"/>
      <c r="DV70" s="771"/>
      <c r="DW70" s="771"/>
      <c r="DX70" s="771"/>
      <c r="DY70" s="771"/>
      <c r="DZ70" s="771"/>
      <c r="EA70" s="771"/>
      <c r="EB70" s="771"/>
      <c r="EC70" s="771"/>
      <c r="ED70" s="771"/>
      <c r="EE70" s="771"/>
      <c r="EF70" s="771"/>
      <c r="EG70" s="771"/>
      <c r="EH70" s="771"/>
      <c r="EI70" s="771"/>
      <c r="EJ70" s="771"/>
      <c r="EK70" s="771"/>
      <c r="EL70" s="771"/>
      <c r="EM70" s="771"/>
      <c r="EN70" s="771"/>
      <c r="EO70" s="771"/>
      <c r="EP70" s="771"/>
      <c r="EQ70" s="771"/>
      <c r="ER70" s="771"/>
      <c r="ES70" s="771"/>
      <c r="ET70" s="771"/>
      <c r="EU70" s="771"/>
      <c r="EV70" s="771"/>
      <c r="EW70" s="771"/>
      <c r="EX70" s="771"/>
      <c r="EY70" s="771"/>
      <c r="EZ70" s="771"/>
      <c r="FA70" s="771"/>
      <c r="FB70" s="771"/>
      <c r="FC70" s="771"/>
      <c r="FD70" s="771"/>
      <c r="FE70" s="771"/>
      <c r="FF70" s="771"/>
      <c r="FG70" s="771"/>
      <c r="FH70" s="771"/>
      <c r="FI70" s="771"/>
      <c r="FJ70" s="771"/>
      <c r="FK70" s="771"/>
      <c r="FL70" s="771"/>
      <c r="FM70" s="771"/>
      <c r="FN70" s="771"/>
      <c r="FO70" s="771"/>
      <c r="FP70" s="771"/>
      <c r="FQ70" s="771"/>
      <c r="FR70" s="771"/>
      <c r="FS70" s="771"/>
      <c r="FT70" s="771"/>
      <c r="FU70" s="771"/>
      <c r="FV70" s="771"/>
      <c r="FW70" s="771"/>
      <c r="FX70" s="771"/>
      <c r="FY70" s="771"/>
      <c r="FZ70" s="771"/>
      <c r="GA70" s="771"/>
      <c r="GB70" s="771"/>
      <c r="GC70" s="771"/>
      <c r="GD70" s="771"/>
      <c r="GE70" s="771"/>
      <c r="GF70" s="771"/>
      <c r="GG70" s="771"/>
      <c r="GH70" s="771"/>
      <c r="GI70" s="771"/>
      <c r="GJ70" s="771"/>
      <c r="GK70" s="771"/>
      <c r="GL70" s="771"/>
      <c r="GM70" s="771"/>
      <c r="GN70" s="771"/>
      <c r="GO70" s="771"/>
      <c r="GP70" s="771"/>
      <c r="GQ70" s="771"/>
      <c r="GR70" s="771"/>
      <c r="GS70" s="771"/>
      <c r="GT70" s="771"/>
      <c r="GU70" s="771"/>
      <c r="GV70" s="771"/>
      <c r="GW70" s="771"/>
      <c r="GX70" s="771"/>
      <c r="GY70" s="771"/>
      <c r="GZ70" s="771"/>
      <c r="HA70" s="771"/>
      <c r="HB70" s="771"/>
      <c r="HC70" s="771"/>
      <c r="HD70" s="771"/>
      <c r="HE70" s="771"/>
      <c r="HF70" s="771"/>
      <c r="HG70" s="771"/>
      <c r="HH70" s="752"/>
      <c r="HI70" s="752"/>
      <c r="HJ70" s="752"/>
      <c r="HK70" s="752"/>
      <c r="HL70" s="752"/>
      <c r="HM70" s="752"/>
      <c r="HN70" s="752"/>
      <c r="HO70" s="752"/>
      <c r="HP70" s="752"/>
    </row>
    <row r="71" spans="1:224" s="745" customFormat="1">
      <c r="A71" s="498"/>
      <c r="B71" s="774"/>
      <c r="C71" s="773" t="s">
        <v>201</v>
      </c>
      <c r="D71" s="498" t="s">
        <v>46</v>
      </c>
      <c r="E71" s="722">
        <f>8/100</f>
        <v>0.08</v>
      </c>
      <c r="F71" s="722">
        <f>E71*F66</f>
        <v>0.748</v>
      </c>
      <c r="G71" s="722"/>
      <c r="H71" s="722"/>
      <c r="I71" s="722"/>
      <c r="J71" s="722"/>
      <c r="K71" s="722"/>
      <c r="L71" s="722"/>
      <c r="M71" s="722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C71" s="771"/>
      <c r="AD71" s="771"/>
      <c r="AE71" s="771"/>
      <c r="AF71" s="771"/>
      <c r="AG71" s="771"/>
      <c r="AH71" s="771"/>
      <c r="AI71" s="771"/>
      <c r="AJ71" s="771"/>
      <c r="AK71" s="771"/>
      <c r="AL71" s="771"/>
      <c r="AM71" s="771"/>
      <c r="AN71" s="771"/>
      <c r="AO71" s="771"/>
      <c r="AP71" s="771"/>
      <c r="AQ71" s="771"/>
      <c r="AR71" s="771"/>
      <c r="AS71" s="771"/>
      <c r="AT71" s="771"/>
      <c r="AU71" s="771"/>
      <c r="AV71" s="771"/>
      <c r="AW71" s="771"/>
      <c r="AX71" s="771"/>
      <c r="AY71" s="771"/>
      <c r="AZ71" s="771"/>
      <c r="BA71" s="771"/>
      <c r="BB71" s="771"/>
      <c r="BC71" s="771"/>
      <c r="BD71" s="771"/>
      <c r="BE71" s="771"/>
      <c r="BF71" s="771"/>
      <c r="BG71" s="771"/>
      <c r="BH71" s="771"/>
      <c r="BI71" s="771"/>
      <c r="BJ71" s="771"/>
      <c r="BK71" s="771"/>
      <c r="BL71" s="771"/>
      <c r="BM71" s="771"/>
      <c r="BN71" s="771"/>
      <c r="BO71" s="771"/>
      <c r="BP71" s="771"/>
      <c r="BQ71" s="771"/>
      <c r="BR71" s="771"/>
      <c r="BS71" s="771"/>
      <c r="BT71" s="771"/>
      <c r="BU71" s="771"/>
      <c r="BV71" s="771"/>
      <c r="BW71" s="771"/>
      <c r="BX71" s="771"/>
      <c r="BY71" s="771"/>
      <c r="BZ71" s="771"/>
      <c r="CA71" s="771"/>
      <c r="CB71" s="771"/>
      <c r="CC71" s="771"/>
      <c r="CD71" s="771"/>
      <c r="CE71" s="771"/>
      <c r="CF71" s="771"/>
      <c r="CG71" s="771"/>
      <c r="CH71" s="771"/>
      <c r="CI71" s="771"/>
      <c r="CJ71" s="771"/>
      <c r="CK71" s="771"/>
      <c r="CL71" s="771"/>
      <c r="CM71" s="771"/>
      <c r="CN71" s="771"/>
      <c r="CO71" s="771"/>
      <c r="CP71" s="771"/>
      <c r="CQ71" s="771"/>
      <c r="CR71" s="771"/>
      <c r="CS71" s="771"/>
      <c r="CT71" s="771"/>
      <c r="CU71" s="771"/>
      <c r="CV71" s="771"/>
      <c r="CW71" s="771"/>
      <c r="CX71" s="771"/>
      <c r="CY71" s="771"/>
      <c r="CZ71" s="771"/>
      <c r="DA71" s="771"/>
      <c r="DB71" s="771"/>
      <c r="DC71" s="771"/>
      <c r="DD71" s="771"/>
      <c r="DE71" s="771"/>
      <c r="DF71" s="771"/>
      <c r="DG71" s="771"/>
      <c r="DH71" s="771"/>
      <c r="DI71" s="771"/>
      <c r="DJ71" s="771"/>
      <c r="DK71" s="771"/>
      <c r="DL71" s="771"/>
      <c r="DM71" s="771"/>
      <c r="DN71" s="771"/>
      <c r="DO71" s="771"/>
      <c r="DP71" s="771"/>
      <c r="DQ71" s="771"/>
      <c r="DR71" s="771"/>
      <c r="DS71" s="771"/>
      <c r="DT71" s="771"/>
      <c r="DU71" s="771"/>
      <c r="DV71" s="771"/>
      <c r="DW71" s="771"/>
      <c r="DX71" s="771"/>
      <c r="DY71" s="771"/>
      <c r="DZ71" s="771"/>
      <c r="EA71" s="771"/>
      <c r="EB71" s="771"/>
      <c r="EC71" s="771"/>
      <c r="ED71" s="771"/>
      <c r="EE71" s="771"/>
      <c r="EF71" s="771"/>
      <c r="EG71" s="771"/>
      <c r="EH71" s="771"/>
      <c r="EI71" s="771"/>
      <c r="EJ71" s="771"/>
      <c r="EK71" s="771"/>
      <c r="EL71" s="771"/>
      <c r="EM71" s="771"/>
      <c r="EN71" s="771"/>
      <c r="EO71" s="771"/>
      <c r="EP71" s="771"/>
      <c r="EQ71" s="771"/>
      <c r="ER71" s="771"/>
      <c r="ES71" s="771"/>
      <c r="ET71" s="771"/>
      <c r="EU71" s="771"/>
      <c r="EV71" s="771"/>
      <c r="EW71" s="771"/>
      <c r="EX71" s="771"/>
      <c r="EY71" s="771"/>
      <c r="EZ71" s="771"/>
      <c r="FA71" s="771"/>
      <c r="FB71" s="771"/>
      <c r="FC71" s="771"/>
      <c r="FD71" s="771"/>
      <c r="FE71" s="771"/>
      <c r="FF71" s="771"/>
      <c r="FG71" s="771"/>
      <c r="FH71" s="771"/>
      <c r="FI71" s="771"/>
      <c r="FJ71" s="771"/>
      <c r="FK71" s="771"/>
      <c r="FL71" s="771"/>
      <c r="FM71" s="771"/>
      <c r="FN71" s="771"/>
      <c r="FO71" s="771"/>
      <c r="FP71" s="771"/>
      <c r="FQ71" s="771"/>
      <c r="FR71" s="771"/>
      <c r="FS71" s="771"/>
      <c r="FT71" s="771"/>
      <c r="FU71" s="771"/>
      <c r="FV71" s="771"/>
      <c r="FW71" s="771"/>
      <c r="FX71" s="771"/>
      <c r="FY71" s="771"/>
      <c r="FZ71" s="771"/>
      <c r="GA71" s="771"/>
      <c r="GB71" s="771"/>
      <c r="GC71" s="771"/>
      <c r="GD71" s="771"/>
      <c r="GE71" s="771"/>
      <c r="GF71" s="771"/>
      <c r="GG71" s="771"/>
      <c r="GH71" s="771"/>
      <c r="GI71" s="771"/>
      <c r="GJ71" s="771"/>
      <c r="GK71" s="771"/>
      <c r="GL71" s="771"/>
      <c r="GM71" s="771"/>
      <c r="GN71" s="771"/>
      <c r="GO71" s="771"/>
      <c r="GP71" s="771"/>
      <c r="GQ71" s="771"/>
      <c r="GR71" s="771"/>
      <c r="GS71" s="771"/>
      <c r="GT71" s="771"/>
      <c r="GU71" s="771"/>
      <c r="GV71" s="771"/>
      <c r="GW71" s="771"/>
      <c r="GX71" s="771"/>
      <c r="GY71" s="771"/>
      <c r="GZ71" s="771"/>
      <c r="HA71" s="771"/>
      <c r="HB71" s="771"/>
      <c r="HC71" s="771"/>
      <c r="HD71" s="771"/>
      <c r="HE71" s="771"/>
      <c r="HF71" s="771"/>
      <c r="HG71" s="771"/>
      <c r="HH71" s="752"/>
      <c r="HI71" s="752"/>
      <c r="HJ71" s="752"/>
      <c r="HK71" s="752"/>
      <c r="HL71" s="752"/>
      <c r="HM71" s="752"/>
      <c r="HN71" s="752"/>
      <c r="HO71" s="752"/>
      <c r="HP71" s="752"/>
    </row>
    <row r="72" spans="1:224" s="745" customFormat="1">
      <c r="A72" s="504">
        <v>12</v>
      </c>
      <c r="B72" s="502" t="s">
        <v>581</v>
      </c>
      <c r="C72" s="720" t="s">
        <v>298</v>
      </c>
      <c r="D72" s="504" t="s">
        <v>48</v>
      </c>
      <c r="E72" s="775"/>
      <c r="F72" s="776">
        <v>9.35</v>
      </c>
      <c r="G72" s="776"/>
      <c r="H72" s="776"/>
      <c r="I72" s="721"/>
      <c r="J72" s="719"/>
      <c r="K72" s="776"/>
      <c r="L72" s="776"/>
      <c r="M72" s="721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777"/>
      <c r="Y72" s="777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7"/>
      <c r="AK72" s="777"/>
      <c r="AL72" s="777"/>
      <c r="AM72" s="777"/>
      <c r="AN72" s="777"/>
      <c r="AO72" s="777"/>
      <c r="AP72" s="777"/>
      <c r="AQ72" s="777"/>
      <c r="AR72" s="777"/>
      <c r="AS72" s="777"/>
      <c r="AT72" s="777"/>
      <c r="AU72" s="777"/>
      <c r="AV72" s="777"/>
      <c r="AW72" s="777"/>
      <c r="AX72" s="777"/>
      <c r="AY72" s="777"/>
      <c r="AZ72" s="777"/>
      <c r="BA72" s="777"/>
      <c r="BB72" s="777"/>
      <c r="BC72" s="777"/>
      <c r="BD72" s="777"/>
      <c r="BE72" s="777"/>
      <c r="BF72" s="777"/>
      <c r="BG72" s="777"/>
      <c r="BH72" s="777"/>
      <c r="BI72" s="777"/>
      <c r="BJ72" s="777"/>
      <c r="BK72" s="777"/>
      <c r="BL72" s="777"/>
      <c r="BM72" s="777"/>
      <c r="BN72" s="777"/>
      <c r="BO72" s="777"/>
      <c r="BP72" s="777"/>
      <c r="BQ72" s="777"/>
      <c r="BR72" s="777"/>
      <c r="BS72" s="777"/>
      <c r="BT72" s="777"/>
      <c r="BU72" s="777"/>
      <c r="BV72" s="777"/>
      <c r="BW72" s="777"/>
      <c r="BX72" s="777"/>
      <c r="BY72" s="777"/>
      <c r="BZ72" s="777"/>
      <c r="CA72" s="777"/>
      <c r="CB72" s="777"/>
      <c r="CC72" s="777"/>
      <c r="CD72" s="777"/>
      <c r="CE72" s="777"/>
      <c r="CF72" s="777"/>
      <c r="CG72" s="777"/>
      <c r="CH72" s="777"/>
      <c r="CI72" s="777"/>
      <c r="CJ72" s="777"/>
      <c r="CK72" s="777"/>
      <c r="CL72" s="777"/>
      <c r="CM72" s="777"/>
      <c r="CN72" s="777"/>
      <c r="CO72" s="777"/>
      <c r="CP72" s="777"/>
      <c r="CQ72" s="777"/>
      <c r="CR72" s="777"/>
      <c r="CS72" s="777"/>
      <c r="CT72" s="777"/>
      <c r="CU72" s="777"/>
      <c r="CV72" s="777"/>
      <c r="CW72" s="777"/>
      <c r="CX72" s="777"/>
      <c r="CY72" s="777"/>
      <c r="CZ72" s="777"/>
      <c r="DA72" s="777"/>
      <c r="DB72" s="777"/>
      <c r="DC72" s="777"/>
      <c r="DD72" s="777"/>
      <c r="DE72" s="777"/>
      <c r="DF72" s="777"/>
      <c r="DG72" s="777"/>
      <c r="DH72" s="777"/>
      <c r="DI72" s="777"/>
      <c r="DJ72" s="777"/>
      <c r="DK72" s="777"/>
      <c r="DL72" s="777"/>
      <c r="DM72" s="777"/>
      <c r="DN72" s="777"/>
      <c r="DO72" s="777"/>
      <c r="DP72" s="777"/>
      <c r="DQ72" s="777"/>
      <c r="DR72" s="777"/>
      <c r="DS72" s="777"/>
      <c r="DT72" s="777"/>
      <c r="DU72" s="777"/>
      <c r="DV72" s="777"/>
      <c r="DW72" s="777"/>
      <c r="DX72" s="777"/>
      <c r="DY72" s="777"/>
      <c r="DZ72" s="777"/>
      <c r="EA72" s="777"/>
      <c r="EB72" s="777"/>
      <c r="EC72" s="777"/>
      <c r="ED72" s="777"/>
      <c r="EE72" s="777"/>
      <c r="EF72" s="777"/>
      <c r="EG72" s="777"/>
      <c r="EH72" s="777"/>
      <c r="EI72" s="777"/>
      <c r="EJ72" s="777"/>
      <c r="EK72" s="777"/>
      <c r="EL72" s="777"/>
      <c r="EM72" s="777"/>
      <c r="EN72" s="777"/>
      <c r="EO72" s="777"/>
      <c r="EP72" s="777"/>
      <c r="EQ72" s="777"/>
      <c r="ER72" s="777"/>
      <c r="ES72" s="777"/>
      <c r="ET72" s="777"/>
      <c r="EU72" s="777"/>
      <c r="EV72" s="777"/>
      <c r="EW72" s="777"/>
      <c r="EX72" s="777"/>
      <c r="EY72" s="777"/>
      <c r="EZ72" s="777"/>
      <c r="FA72" s="777"/>
      <c r="FB72" s="777"/>
      <c r="FC72" s="777"/>
      <c r="FD72" s="777"/>
      <c r="FE72" s="777"/>
      <c r="FF72" s="777"/>
      <c r="FG72" s="777"/>
      <c r="FH72" s="777"/>
      <c r="FI72" s="777"/>
      <c r="FJ72" s="777"/>
      <c r="FK72" s="777"/>
      <c r="FL72" s="777"/>
      <c r="FM72" s="777"/>
      <c r="FN72" s="777"/>
      <c r="FO72" s="777"/>
      <c r="FP72" s="777"/>
      <c r="FQ72" s="777"/>
      <c r="FR72" s="777"/>
      <c r="FS72" s="777"/>
      <c r="FT72" s="777"/>
      <c r="FU72" s="777"/>
      <c r="FV72" s="777"/>
      <c r="FW72" s="777"/>
      <c r="FX72" s="777"/>
      <c r="FY72" s="777"/>
      <c r="FZ72" s="777"/>
      <c r="GA72" s="777"/>
      <c r="GB72" s="777"/>
      <c r="GC72" s="777"/>
      <c r="GD72" s="777"/>
      <c r="GE72" s="777"/>
      <c r="GF72" s="777"/>
      <c r="GG72" s="777"/>
      <c r="GH72" s="777"/>
      <c r="GI72" s="777"/>
      <c r="GJ72" s="777"/>
      <c r="GK72" s="777"/>
      <c r="GL72" s="777"/>
      <c r="GM72" s="777"/>
      <c r="GN72" s="777"/>
      <c r="GO72" s="777"/>
      <c r="GP72" s="777"/>
      <c r="GQ72" s="777"/>
      <c r="GR72" s="777"/>
      <c r="GS72" s="777"/>
      <c r="GT72" s="777"/>
      <c r="GU72" s="777"/>
      <c r="GV72" s="777"/>
      <c r="GW72" s="777"/>
      <c r="GX72" s="777"/>
      <c r="GY72" s="777"/>
      <c r="GZ72" s="777"/>
      <c r="HA72" s="763"/>
      <c r="HB72" s="763"/>
      <c r="HC72" s="763"/>
      <c r="HD72" s="763"/>
      <c r="HE72" s="763"/>
      <c r="HF72" s="763"/>
      <c r="HG72" s="763"/>
      <c r="HH72" s="763"/>
      <c r="HI72" s="763"/>
      <c r="HJ72" s="763"/>
      <c r="HK72" s="763"/>
      <c r="HL72" s="763"/>
      <c r="HM72" s="763"/>
      <c r="HN72" s="763"/>
      <c r="HO72" s="763"/>
      <c r="HP72" s="763"/>
    </row>
    <row r="73" spans="1:224" s="745" customFormat="1">
      <c r="A73" s="504"/>
      <c r="B73" s="772"/>
      <c r="C73" s="773" t="s">
        <v>280</v>
      </c>
      <c r="D73" s="498" t="s">
        <v>63</v>
      </c>
      <c r="E73" s="748">
        <f>106/100</f>
        <v>1.06</v>
      </c>
      <c r="F73" s="722">
        <f>F72*E73</f>
        <v>9.9109999999999996</v>
      </c>
      <c r="G73" s="749"/>
      <c r="H73" s="749"/>
      <c r="I73" s="748"/>
      <c r="J73" s="722"/>
      <c r="K73" s="739"/>
      <c r="L73" s="739"/>
      <c r="M73" s="722"/>
      <c r="N73" s="771"/>
      <c r="O73" s="771"/>
      <c r="P73" s="771"/>
      <c r="Q73" s="771"/>
      <c r="R73" s="771"/>
      <c r="S73" s="771"/>
      <c r="T73" s="771"/>
      <c r="U73" s="771"/>
      <c r="V73" s="771"/>
      <c r="W73" s="771"/>
      <c r="X73" s="771"/>
      <c r="Y73" s="771"/>
      <c r="Z73" s="771"/>
      <c r="AA73" s="771"/>
      <c r="AB73" s="771"/>
      <c r="AC73" s="771"/>
      <c r="AD73" s="771"/>
      <c r="AE73" s="771"/>
      <c r="AF73" s="771"/>
      <c r="AG73" s="771"/>
      <c r="AH73" s="771"/>
      <c r="AI73" s="771"/>
      <c r="AJ73" s="771"/>
      <c r="AK73" s="771"/>
      <c r="AL73" s="771"/>
      <c r="AM73" s="771"/>
      <c r="AN73" s="771"/>
      <c r="AO73" s="771"/>
      <c r="AP73" s="771"/>
      <c r="AQ73" s="771"/>
      <c r="AR73" s="771"/>
      <c r="AS73" s="771"/>
      <c r="AT73" s="771"/>
      <c r="AU73" s="771"/>
      <c r="AV73" s="771"/>
      <c r="AW73" s="771"/>
      <c r="AX73" s="771"/>
      <c r="AY73" s="771"/>
      <c r="AZ73" s="771"/>
      <c r="BA73" s="771"/>
      <c r="BB73" s="771"/>
      <c r="BC73" s="771"/>
      <c r="BD73" s="771"/>
      <c r="BE73" s="771"/>
      <c r="BF73" s="771"/>
      <c r="BG73" s="771"/>
      <c r="BH73" s="771"/>
      <c r="BI73" s="771"/>
      <c r="BJ73" s="771"/>
      <c r="BK73" s="771"/>
      <c r="BL73" s="771"/>
      <c r="BM73" s="771"/>
      <c r="BN73" s="771"/>
      <c r="BO73" s="771"/>
      <c r="BP73" s="771"/>
      <c r="BQ73" s="771"/>
      <c r="BR73" s="771"/>
      <c r="BS73" s="771"/>
      <c r="BT73" s="771"/>
      <c r="BU73" s="771"/>
      <c r="BV73" s="771"/>
      <c r="BW73" s="771"/>
      <c r="BX73" s="771"/>
      <c r="BY73" s="771"/>
      <c r="BZ73" s="771"/>
      <c r="CA73" s="771"/>
      <c r="CB73" s="771"/>
      <c r="CC73" s="771"/>
      <c r="CD73" s="771"/>
      <c r="CE73" s="771"/>
      <c r="CF73" s="771"/>
      <c r="CG73" s="771"/>
      <c r="CH73" s="771"/>
      <c r="CI73" s="771"/>
      <c r="CJ73" s="771"/>
      <c r="CK73" s="771"/>
      <c r="CL73" s="771"/>
      <c r="CM73" s="771"/>
      <c r="CN73" s="771"/>
      <c r="CO73" s="771"/>
      <c r="CP73" s="771"/>
      <c r="CQ73" s="771"/>
      <c r="CR73" s="771"/>
      <c r="CS73" s="771"/>
      <c r="CT73" s="771"/>
      <c r="CU73" s="771"/>
      <c r="CV73" s="771"/>
      <c r="CW73" s="771"/>
      <c r="CX73" s="771"/>
      <c r="CY73" s="771"/>
      <c r="CZ73" s="771"/>
      <c r="DA73" s="771"/>
      <c r="DB73" s="771"/>
      <c r="DC73" s="771"/>
      <c r="DD73" s="771"/>
      <c r="DE73" s="771"/>
      <c r="DF73" s="771"/>
      <c r="DG73" s="771"/>
      <c r="DH73" s="771"/>
      <c r="DI73" s="771"/>
      <c r="DJ73" s="771"/>
      <c r="DK73" s="771"/>
      <c r="DL73" s="771"/>
      <c r="DM73" s="771"/>
      <c r="DN73" s="771"/>
      <c r="DO73" s="771"/>
      <c r="DP73" s="771"/>
      <c r="DQ73" s="771"/>
      <c r="DR73" s="771"/>
      <c r="DS73" s="771"/>
      <c r="DT73" s="771"/>
      <c r="DU73" s="771"/>
      <c r="DV73" s="771"/>
      <c r="DW73" s="771"/>
      <c r="DX73" s="771"/>
      <c r="DY73" s="771"/>
      <c r="DZ73" s="771"/>
      <c r="EA73" s="771"/>
      <c r="EB73" s="771"/>
      <c r="EC73" s="771"/>
      <c r="ED73" s="771"/>
      <c r="EE73" s="771"/>
      <c r="EF73" s="771"/>
      <c r="EG73" s="771"/>
      <c r="EH73" s="771"/>
      <c r="EI73" s="771"/>
      <c r="EJ73" s="771"/>
      <c r="EK73" s="771"/>
      <c r="EL73" s="771"/>
      <c r="EM73" s="771"/>
      <c r="EN73" s="771"/>
      <c r="EO73" s="771"/>
      <c r="EP73" s="771"/>
      <c r="EQ73" s="771"/>
      <c r="ER73" s="771"/>
      <c r="ES73" s="771"/>
      <c r="ET73" s="771"/>
      <c r="EU73" s="771"/>
      <c r="EV73" s="771"/>
      <c r="EW73" s="771"/>
      <c r="EX73" s="771"/>
      <c r="EY73" s="771"/>
      <c r="EZ73" s="771"/>
      <c r="FA73" s="771"/>
      <c r="FB73" s="771"/>
      <c r="FC73" s="771"/>
      <c r="FD73" s="771"/>
      <c r="FE73" s="771"/>
      <c r="FF73" s="771"/>
      <c r="FG73" s="771"/>
      <c r="FH73" s="771"/>
      <c r="FI73" s="771"/>
      <c r="FJ73" s="771"/>
      <c r="FK73" s="771"/>
      <c r="FL73" s="771"/>
      <c r="FM73" s="771"/>
      <c r="FN73" s="771"/>
      <c r="FO73" s="771"/>
      <c r="FP73" s="771"/>
      <c r="FQ73" s="771"/>
      <c r="FR73" s="771"/>
      <c r="FS73" s="771"/>
      <c r="FT73" s="771"/>
      <c r="FU73" s="771"/>
      <c r="FV73" s="771"/>
      <c r="FW73" s="771"/>
      <c r="FX73" s="771"/>
      <c r="FY73" s="771"/>
      <c r="FZ73" s="771"/>
      <c r="GA73" s="771"/>
      <c r="GB73" s="771"/>
      <c r="GC73" s="771"/>
      <c r="GD73" s="771"/>
      <c r="GE73" s="771"/>
      <c r="GF73" s="771"/>
      <c r="GG73" s="771"/>
      <c r="GH73" s="771"/>
      <c r="GI73" s="771"/>
      <c r="GJ73" s="771"/>
      <c r="GK73" s="771"/>
      <c r="GL73" s="771"/>
      <c r="GM73" s="771"/>
      <c r="GN73" s="771"/>
      <c r="GO73" s="771"/>
      <c r="GP73" s="771"/>
      <c r="GQ73" s="771"/>
      <c r="GR73" s="771"/>
      <c r="GS73" s="771"/>
      <c r="GT73" s="771"/>
      <c r="GU73" s="771"/>
      <c r="GV73" s="771"/>
      <c r="GW73" s="771"/>
      <c r="GX73" s="771"/>
      <c r="GY73" s="771"/>
      <c r="GZ73" s="771"/>
      <c r="HA73" s="765"/>
      <c r="HB73" s="765"/>
      <c r="HC73" s="765"/>
      <c r="HD73" s="765"/>
      <c r="HE73" s="765"/>
      <c r="HF73" s="765"/>
      <c r="HG73" s="765"/>
      <c r="HH73" s="765"/>
      <c r="HI73" s="765"/>
      <c r="HJ73" s="765"/>
      <c r="HK73" s="765"/>
      <c r="HL73" s="765"/>
      <c r="HM73" s="765"/>
      <c r="HN73" s="765"/>
      <c r="HO73" s="765"/>
      <c r="HP73" s="765"/>
    </row>
    <row r="74" spans="1:224" s="745" customFormat="1">
      <c r="A74" s="504"/>
      <c r="B74" s="774" t="s">
        <v>686</v>
      </c>
      <c r="C74" s="773" t="s">
        <v>299</v>
      </c>
      <c r="D74" s="498" t="s">
        <v>66</v>
      </c>
      <c r="E74" s="778">
        <f>4.1/100</f>
        <v>4.0999999999999995E-2</v>
      </c>
      <c r="F74" s="722">
        <f>F72*E74</f>
        <v>0.38334999999999991</v>
      </c>
      <c r="G74" s="749"/>
      <c r="H74" s="749"/>
      <c r="I74" s="722"/>
      <c r="J74" s="749"/>
      <c r="K74" s="748"/>
      <c r="L74" s="739"/>
      <c r="M74" s="722"/>
      <c r="N74" s="771"/>
      <c r="O74" s="771"/>
      <c r="P74" s="771"/>
      <c r="Q74" s="771"/>
      <c r="R74" s="771"/>
      <c r="S74" s="771"/>
      <c r="T74" s="771"/>
      <c r="U74" s="771"/>
      <c r="V74" s="771"/>
      <c r="W74" s="771"/>
      <c r="X74" s="771"/>
      <c r="Y74" s="771"/>
      <c r="Z74" s="771"/>
      <c r="AA74" s="771"/>
      <c r="AB74" s="771"/>
      <c r="AC74" s="771"/>
      <c r="AD74" s="771"/>
      <c r="AE74" s="771"/>
      <c r="AF74" s="771"/>
      <c r="AG74" s="771"/>
      <c r="AH74" s="771"/>
      <c r="AI74" s="771"/>
      <c r="AJ74" s="771"/>
      <c r="AK74" s="771"/>
      <c r="AL74" s="771"/>
      <c r="AM74" s="771"/>
      <c r="AN74" s="771"/>
      <c r="AO74" s="771"/>
      <c r="AP74" s="771"/>
      <c r="AQ74" s="771"/>
      <c r="AR74" s="771"/>
      <c r="AS74" s="771"/>
      <c r="AT74" s="771"/>
      <c r="AU74" s="771"/>
      <c r="AV74" s="771"/>
      <c r="AW74" s="771"/>
      <c r="AX74" s="771"/>
      <c r="AY74" s="771"/>
      <c r="AZ74" s="771"/>
      <c r="BA74" s="771"/>
      <c r="BB74" s="771"/>
      <c r="BC74" s="771"/>
      <c r="BD74" s="771"/>
      <c r="BE74" s="771"/>
      <c r="BF74" s="771"/>
      <c r="BG74" s="771"/>
      <c r="BH74" s="771"/>
      <c r="BI74" s="771"/>
      <c r="BJ74" s="771"/>
      <c r="BK74" s="771"/>
      <c r="BL74" s="771"/>
      <c r="BM74" s="771"/>
      <c r="BN74" s="771"/>
      <c r="BO74" s="771"/>
      <c r="BP74" s="771"/>
      <c r="BQ74" s="771"/>
      <c r="BR74" s="771"/>
      <c r="BS74" s="771"/>
      <c r="BT74" s="771"/>
      <c r="BU74" s="771"/>
      <c r="BV74" s="771"/>
      <c r="BW74" s="771"/>
      <c r="BX74" s="771"/>
      <c r="BY74" s="771"/>
      <c r="BZ74" s="771"/>
      <c r="CA74" s="771"/>
      <c r="CB74" s="771"/>
      <c r="CC74" s="771"/>
      <c r="CD74" s="771"/>
      <c r="CE74" s="771"/>
      <c r="CF74" s="771"/>
      <c r="CG74" s="771"/>
      <c r="CH74" s="771"/>
      <c r="CI74" s="771"/>
      <c r="CJ74" s="771"/>
      <c r="CK74" s="771"/>
      <c r="CL74" s="771"/>
      <c r="CM74" s="771"/>
      <c r="CN74" s="771"/>
      <c r="CO74" s="771"/>
      <c r="CP74" s="771"/>
      <c r="CQ74" s="771"/>
      <c r="CR74" s="771"/>
      <c r="CS74" s="771"/>
      <c r="CT74" s="771"/>
      <c r="CU74" s="771"/>
      <c r="CV74" s="771"/>
      <c r="CW74" s="771"/>
      <c r="CX74" s="771"/>
      <c r="CY74" s="771"/>
      <c r="CZ74" s="771"/>
      <c r="DA74" s="771"/>
      <c r="DB74" s="771"/>
      <c r="DC74" s="771"/>
      <c r="DD74" s="771"/>
      <c r="DE74" s="771"/>
      <c r="DF74" s="771"/>
      <c r="DG74" s="771"/>
      <c r="DH74" s="771"/>
      <c r="DI74" s="771"/>
      <c r="DJ74" s="771"/>
      <c r="DK74" s="771"/>
      <c r="DL74" s="771"/>
      <c r="DM74" s="771"/>
      <c r="DN74" s="771"/>
      <c r="DO74" s="771"/>
      <c r="DP74" s="771"/>
      <c r="DQ74" s="771"/>
      <c r="DR74" s="771"/>
      <c r="DS74" s="771"/>
      <c r="DT74" s="771"/>
      <c r="DU74" s="771"/>
      <c r="DV74" s="771"/>
      <c r="DW74" s="771"/>
      <c r="DX74" s="771"/>
      <c r="DY74" s="771"/>
      <c r="DZ74" s="771"/>
      <c r="EA74" s="771"/>
      <c r="EB74" s="771"/>
      <c r="EC74" s="771"/>
      <c r="ED74" s="771"/>
      <c r="EE74" s="771"/>
      <c r="EF74" s="771"/>
      <c r="EG74" s="771"/>
      <c r="EH74" s="771"/>
      <c r="EI74" s="771"/>
      <c r="EJ74" s="771"/>
      <c r="EK74" s="771"/>
      <c r="EL74" s="771"/>
      <c r="EM74" s="771"/>
      <c r="EN74" s="771"/>
      <c r="EO74" s="771"/>
      <c r="EP74" s="771"/>
      <c r="EQ74" s="771"/>
      <c r="ER74" s="771"/>
      <c r="ES74" s="771"/>
      <c r="ET74" s="771"/>
      <c r="EU74" s="771"/>
      <c r="EV74" s="771"/>
      <c r="EW74" s="771"/>
      <c r="EX74" s="771"/>
      <c r="EY74" s="771"/>
      <c r="EZ74" s="771"/>
      <c r="FA74" s="771"/>
      <c r="FB74" s="771"/>
      <c r="FC74" s="771"/>
      <c r="FD74" s="771"/>
      <c r="FE74" s="771"/>
      <c r="FF74" s="771"/>
      <c r="FG74" s="771"/>
      <c r="FH74" s="771"/>
      <c r="FI74" s="771"/>
      <c r="FJ74" s="771"/>
      <c r="FK74" s="771"/>
      <c r="FL74" s="771"/>
      <c r="FM74" s="771"/>
      <c r="FN74" s="771"/>
      <c r="FO74" s="771"/>
      <c r="FP74" s="771"/>
      <c r="FQ74" s="771"/>
      <c r="FR74" s="771"/>
      <c r="FS74" s="771"/>
      <c r="FT74" s="771"/>
      <c r="FU74" s="771"/>
      <c r="FV74" s="771"/>
      <c r="FW74" s="771"/>
      <c r="FX74" s="771"/>
      <c r="FY74" s="771"/>
      <c r="FZ74" s="771"/>
      <c r="GA74" s="771"/>
      <c r="GB74" s="771"/>
      <c r="GC74" s="771"/>
      <c r="GD74" s="771"/>
      <c r="GE74" s="771"/>
      <c r="GF74" s="771"/>
      <c r="GG74" s="771"/>
      <c r="GH74" s="771"/>
      <c r="GI74" s="771"/>
      <c r="GJ74" s="771"/>
      <c r="GK74" s="771"/>
      <c r="GL74" s="771"/>
      <c r="GM74" s="771"/>
      <c r="GN74" s="771"/>
      <c r="GO74" s="771"/>
      <c r="GP74" s="771"/>
      <c r="GQ74" s="771"/>
      <c r="GR74" s="771"/>
      <c r="GS74" s="771"/>
      <c r="GT74" s="771"/>
      <c r="GU74" s="771"/>
      <c r="GV74" s="771"/>
      <c r="GW74" s="771"/>
      <c r="GX74" s="771"/>
      <c r="GY74" s="771"/>
      <c r="GZ74" s="771"/>
      <c r="HA74" s="765"/>
      <c r="HB74" s="765"/>
      <c r="HC74" s="765"/>
      <c r="HD74" s="765"/>
      <c r="HE74" s="765"/>
      <c r="HF74" s="765"/>
      <c r="HG74" s="765"/>
      <c r="HH74" s="765"/>
      <c r="HI74" s="765"/>
      <c r="HJ74" s="765"/>
      <c r="HK74" s="765"/>
      <c r="HL74" s="765"/>
      <c r="HM74" s="765"/>
      <c r="HN74" s="765"/>
      <c r="HO74" s="765"/>
      <c r="HP74" s="765"/>
    </row>
    <row r="75" spans="1:224" s="745" customFormat="1">
      <c r="A75" s="504"/>
      <c r="B75" s="774" t="s">
        <v>682</v>
      </c>
      <c r="C75" s="773" t="s">
        <v>300</v>
      </c>
      <c r="D75" s="498" t="s">
        <v>44</v>
      </c>
      <c r="E75" s="779">
        <f>2.44/100</f>
        <v>2.4399999999999998E-2</v>
      </c>
      <c r="F75" s="722">
        <f>F72*E75</f>
        <v>0.22813999999999998</v>
      </c>
      <c r="G75" s="748"/>
      <c r="H75" s="722"/>
      <c r="I75" s="722"/>
      <c r="J75" s="722"/>
      <c r="K75" s="739"/>
      <c r="L75" s="739"/>
      <c r="M75" s="722"/>
      <c r="N75" s="771"/>
      <c r="O75" s="771"/>
      <c r="P75" s="771"/>
      <c r="Q75" s="771"/>
      <c r="R75" s="771"/>
      <c r="S75" s="771"/>
      <c r="T75" s="771"/>
      <c r="U75" s="771"/>
      <c r="V75" s="771"/>
      <c r="W75" s="771"/>
      <c r="X75" s="771"/>
      <c r="Y75" s="771"/>
      <c r="Z75" s="771"/>
      <c r="AA75" s="771"/>
      <c r="AB75" s="771"/>
      <c r="AC75" s="771"/>
      <c r="AD75" s="771"/>
      <c r="AE75" s="771"/>
      <c r="AF75" s="771"/>
      <c r="AG75" s="771"/>
      <c r="AH75" s="771"/>
      <c r="AI75" s="771"/>
      <c r="AJ75" s="771"/>
      <c r="AK75" s="771"/>
      <c r="AL75" s="771"/>
      <c r="AM75" s="771"/>
      <c r="AN75" s="771"/>
      <c r="AO75" s="771"/>
      <c r="AP75" s="771"/>
      <c r="AQ75" s="771"/>
      <c r="AR75" s="771"/>
      <c r="AS75" s="771"/>
      <c r="AT75" s="771"/>
      <c r="AU75" s="771"/>
      <c r="AV75" s="771"/>
      <c r="AW75" s="771"/>
      <c r="AX75" s="771"/>
      <c r="AY75" s="771"/>
      <c r="AZ75" s="771"/>
      <c r="BA75" s="771"/>
      <c r="BB75" s="771"/>
      <c r="BC75" s="771"/>
      <c r="BD75" s="771"/>
      <c r="BE75" s="771"/>
      <c r="BF75" s="771"/>
      <c r="BG75" s="771"/>
      <c r="BH75" s="771"/>
      <c r="BI75" s="771"/>
      <c r="BJ75" s="771"/>
      <c r="BK75" s="771"/>
      <c r="BL75" s="771"/>
      <c r="BM75" s="771"/>
      <c r="BN75" s="771"/>
      <c r="BO75" s="771"/>
      <c r="BP75" s="771"/>
      <c r="BQ75" s="771"/>
      <c r="BR75" s="771"/>
      <c r="BS75" s="771"/>
      <c r="BT75" s="771"/>
      <c r="BU75" s="771"/>
      <c r="BV75" s="771"/>
      <c r="BW75" s="771"/>
      <c r="BX75" s="771"/>
      <c r="BY75" s="771"/>
      <c r="BZ75" s="771"/>
      <c r="CA75" s="771"/>
      <c r="CB75" s="771"/>
      <c r="CC75" s="771"/>
      <c r="CD75" s="771"/>
      <c r="CE75" s="771"/>
      <c r="CF75" s="771"/>
      <c r="CG75" s="771"/>
      <c r="CH75" s="771"/>
      <c r="CI75" s="771"/>
      <c r="CJ75" s="771"/>
      <c r="CK75" s="771"/>
      <c r="CL75" s="771"/>
      <c r="CM75" s="771"/>
      <c r="CN75" s="771"/>
      <c r="CO75" s="771"/>
      <c r="CP75" s="771"/>
      <c r="CQ75" s="771"/>
      <c r="CR75" s="771"/>
      <c r="CS75" s="771"/>
      <c r="CT75" s="771"/>
      <c r="CU75" s="771"/>
      <c r="CV75" s="771"/>
      <c r="CW75" s="771"/>
      <c r="CX75" s="771"/>
      <c r="CY75" s="771"/>
      <c r="CZ75" s="771"/>
      <c r="DA75" s="771"/>
      <c r="DB75" s="771"/>
      <c r="DC75" s="771"/>
      <c r="DD75" s="771"/>
      <c r="DE75" s="771"/>
      <c r="DF75" s="771"/>
      <c r="DG75" s="771"/>
      <c r="DH75" s="771"/>
      <c r="DI75" s="771"/>
      <c r="DJ75" s="771"/>
      <c r="DK75" s="771"/>
      <c r="DL75" s="771"/>
      <c r="DM75" s="771"/>
      <c r="DN75" s="771"/>
      <c r="DO75" s="771"/>
      <c r="DP75" s="771"/>
      <c r="DQ75" s="771"/>
      <c r="DR75" s="771"/>
      <c r="DS75" s="771"/>
      <c r="DT75" s="771"/>
      <c r="DU75" s="771"/>
      <c r="DV75" s="771"/>
      <c r="DW75" s="771"/>
      <c r="DX75" s="771"/>
      <c r="DY75" s="771"/>
      <c r="DZ75" s="771"/>
      <c r="EA75" s="771"/>
      <c r="EB75" s="771"/>
      <c r="EC75" s="771"/>
      <c r="ED75" s="771"/>
      <c r="EE75" s="771"/>
      <c r="EF75" s="771"/>
      <c r="EG75" s="771"/>
      <c r="EH75" s="771"/>
      <c r="EI75" s="771"/>
      <c r="EJ75" s="771"/>
      <c r="EK75" s="771"/>
      <c r="EL75" s="771"/>
      <c r="EM75" s="771"/>
      <c r="EN75" s="771"/>
      <c r="EO75" s="771"/>
      <c r="EP75" s="771"/>
      <c r="EQ75" s="771"/>
      <c r="ER75" s="771"/>
      <c r="ES75" s="771"/>
      <c r="ET75" s="771"/>
      <c r="EU75" s="771"/>
      <c r="EV75" s="771"/>
      <c r="EW75" s="771"/>
      <c r="EX75" s="771"/>
      <c r="EY75" s="771"/>
      <c r="EZ75" s="771"/>
      <c r="FA75" s="771"/>
      <c r="FB75" s="771"/>
      <c r="FC75" s="771"/>
      <c r="FD75" s="771"/>
      <c r="FE75" s="771"/>
      <c r="FF75" s="771"/>
      <c r="FG75" s="771"/>
      <c r="FH75" s="771"/>
      <c r="FI75" s="771"/>
      <c r="FJ75" s="771"/>
      <c r="FK75" s="771"/>
      <c r="FL75" s="771"/>
      <c r="FM75" s="771"/>
      <c r="FN75" s="771"/>
      <c r="FO75" s="771"/>
      <c r="FP75" s="771"/>
      <c r="FQ75" s="771"/>
      <c r="FR75" s="771"/>
      <c r="FS75" s="771"/>
      <c r="FT75" s="771"/>
      <c r="FU75" s="771"/>
      <c r="FV75" s="771"/>
      <c r="FW75" s="771"/>
      <c r="FX75" s="771"/>
      <c r="FY75" s="771"/>
      <c r="FZ75" s="771"/>
      <c r="GA75" s="771"/>
      <c r="GB75" s="771"/>
      <c r="GC75" s="771"/>
      <c r="GD75" s="771"/>
      <c r="GE75" s="771"/>
      <c r="GF75" s="771"/>
      <c r="GG75" s="771"/>
      <c r="GH75" s="771"/>
      <c r="GI75" s="771"/>
      <c r="GJ75" s="771"/>
      <c r="GK75" s="771"/>
      <c r="GL75" s="771"/>
      <c r="GM75" s="771"/>
      <c r="GN75" s="771"/>
      <c r="GO75" s="771"/>
      <c r="GP75" s="771"/>
      <c r="GQ75" s="771"/>
      <c r="GR75" s="771"/>
      <c r="GS75" s="771"/>
      <c r="GT75" s="771"/>
      <c r="GU75" s="771"/>
      <c r="GV75" s="771"/>
      <c r="GW75" s="771"/>
      <c r="GX75" s="771"/>
      <c r="GY75" s="771"/>
      <c r="GZ75" s="771"/>
      <c r="HA75" s="765"/>
      <c r="HB75" s="765"/>
      <c r="HC75" s="765"/>
      <c r="HD75" s="765"/>
      <c r="HE75" s="765"/>
      <c r="HF75" s="765"/>
      <c r="HG75" s="765"/>
      <c r="HH75" s="765"/>
      <c r="HI75" s="765"/>
      <c r="HJ75" s="765"/>
      <c r="HK75" s="765"/>
      <c r="HL75" s="765"/>
      <c r="HM75" s="765"/>
      <c r="HN75" s="765"/>
      <c r="HO75" s="765"/>
      <c r="HP75" s="765"/>
    </row>
    <row r="76" spans="1:224" s="745" customFormat="1">
      <c r="A76" s="504"/>
      <c r="B76" s="772"/>
      <c r="C76" s="773" t="s">
        <v>295</v>
      </c>
      <c r="D76" s="498" t="s">
        <v>46</v>
      </c>
      <c r="E76" s="778">
        <f>2.7/100</f>
        <v>2.7000000000000003E-2</v>
      </c>
      <c r="F76" s="722">
        <f>F72*E76</f>
        <v>0.25245000000000001</v>
      </c>
      <c r="G76" s="749"/>
      <c r="H76" s="749"/>
      <c r="I76" s="722"/>
      <c r="J76" s="749"/>
      <c r="K76" s="748"/>
      <c r="L76" s="739"/>
      <c r="M76" s="722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  <c r="AS76" s="771"/>
      <c r="AT76" s="771"/>
      <c r="AU76" s="771"/>
      <c r="AV76" s="771"/>
      <c r="AW76" s="771"/>
      <c r="AX76" s="771"/>
      <c r="AY76" s="771"/>
      <c r="AZ76" s="771"/>
      <c r="BA76" s="771"/>
      <c r="BB76" s="771"/>
      <c r="BC76" s="771"/>
      <c r="BD76" s="771"/>
      <c r="BE76" s="771"/>
      <c r="BF76" s="771"/>
      <c r="BG76" s="771"/>
      <c r="BH76" s="771"/>
      <c r="BI76" s="771"/>
      <c r="BJ76" s="771"/>
      <c r="BK76" s="771"/>
      <c r="BL76" s="771"/>
      <c r="BM76" s="771"/>
      <c r="BN76" s="771"/>
      <c r="BO76" s="771"/>
      <c r="BP76" s="771"/>
      <c r="BQ76" s="771"/>
      <c r="BR76" s="771"/>
      <c r="BS76" s="771"/>
      <c r="BT76" s="771"/>
      <c r="BU76" s="771"/>
      <c r="BV76" s="771"/>
      <c r="BW76" s="771"/>
      <c r="BX76" s="771"/>
      <c r="BY76" s="771"/>
      <c r="BZ76" s="771"/>
      <c r="CA76" s="771"/>
      <c r="CB76" s="771"/>
      <c r="CC76" s="771"/>
      <c r="CD76" s="771"/>
      <c r="CE76" s="771"/>
      <c r="CF76" s="771"/>
      <c r="CG76" s="771"/>
      <c r="CH76" s="771"/>
      <c r="CI76" s="771"/>
      <c r="CJ76" s="771"/>
      <c r="CK76" s="771"/>
      <c r="CL76" s="771"/>
      <c r="CM76" s="771"/>
      <c r="CN76" s="771"/>
      <c r="CO76" s="771"/>
      <c r="CP76" s="771"/>
      <c r="CQ76" s="771"/>
      <c r="CR76" s="771"/>
      <c r="CS76" s="771"/>
      <c r="CT76" s="771"/>
      <c r="CU76" s="771"/>
      <c r="CV76" s="771"/>
      <c r="CW76" s="771"/>
      <c r="CX76" s="771"/>
      <c r="CY76" s="771"/>
      <c r="CZ76" s="771"/>
      <c r="DA76" s="771"/>
      <c r="DB76" s="771"/>
      <c r="DC76" s="771"/>
      <c r="DD76" s="771"/>
      <c r="DE76" s="771"/>
      <c r="DF76" s="771"/>
      <c r="DG76" s="771"/>
      <c r="DH76" s="771"/>
      <c r="DI76" s="771"/>
      <c r="DJ76" s="771"/>
      <c r="DK76" s="771"/>
      <c r="DL76" s="771"/>
      <c r="DM76" s="771"/>
      <c r="DN76" s="771"/>
      <c r="DO76" s="771"/>
      <c r="DP76" s="771"/>
      <c r="DQ76" s="771"/>
      <c r="DR76" s="771"/>
      <c r="DS76" s="771"/>
      <c r="DT76" s="771"/>
      <c r="DU76" s="771"/>
      <c r="DV76" s="771"/>
      <c r="DW76" s="771"/>
      <c r="DX76" s="771"/>
      <c r="DY76" s="771"/>
      <c r="DZ76" s="771"/>
      <c r="EA76" s="771"/>
      <c r="EB76" s="771"/>
      <c r="EC76" s="771"/>
      <c r="ED76" s="771"/>
      <c r="EE76" s="771"/>
      <c r="EF76" s="771"/>
      <c r="EG76" s="771"/>
      <c r="EH76" s="771"/>
      <c r="EI76" s="771"/>
      <c r="EJ76" s="771"/>
      <c r="EK76" s="771"/>
      <c r="EL76" s="771"/>
      <c r="EM76" s="771"/>
      <c r="EN76" s="771"/>
      <c r="EO76" s="771"/>
      <c r="EP76" s="771"/>
      <c r="EQ76" s="771"/>
      <c r="ER76" s="771"/>
      <c r="ES76" s="771"/>
      <c r="ET76" s="771"/>
      <c r="EU76" s="771"/>
      <c r="EV76" s="771"/>
      <c r="EW76" s="771"/>
      <c r="EX76" s="771"/>
      <c r="EY76" s="771"/>
      <c r="EZ76" s="771"/>
      <c r="FA76" s="771"/>
      <c r="FB76" s="771"/>
      <c r="FC76" s="771"/>
      <c r="FD76" s="771"/>
      <c r="FE76" s="771"/>
      <c r="FF76" s="771"/>
      <c r="FG76" s="771"/>
      <c r="FH76" s="771"/>
      <c r="FI76" s="771"/>
      <c r="FJ76" s="771"/>
      <c r="FK76" s="771"/>
      <c r="FL76" s="771"/>
      <c r="FM76" s="771"/>
      <c r="FN76" s="771"/>
      <c r="FO76" s="771"/>
      <c r="FP76" s="771"/>
      <c r="FQ76" s="771"/>
      <c r="FR76" s="771"/>
      <c r="FS76" s="771"/>
      <c r="FT76" s="771"/>
      <c r="FU76" s="771"/>
      <c r="FV76" s="771"/>
      <c r="FW76" s="771"/>
      <c r="FX76" s="771"/>
      <c r="FY76" s="771"/>
      <c r="FZ76" s="771"/>
      <c r="GA76" s="771"/>
      <c r="GB76" s="771"/>
      <c r="GC76" s="771"/>
      <c r="GD76" s="771"/>
      <c r="GE76" s="771"/>
      <c r="GF76" s="771"/>
      <c r="GG76" s="771"/>
      <c r="GH76" s="771"/>
      <c r="GI76" s="771"/>
      <c r="GJ76" s="771"/>
      <c r="GK76" s="771"/>
      <c r="GL76" s="771"/>
      <c r="GM76" s="771"/>
      <c r="GN76" s="771"/>
      <c r="GO76" s="771"/>
      <c r="GP76" s="771"/>
      <c r="GQ76" s="771"/>
      <c r="GR76" s="771"/>
      <c r="GS76" s="771"/>
      <c r="GT76" s="771"/>
      <c r="GU76" s="771"/>
      <c r="GV76" s="771"/>
      <c r="GW76" s="771"/>
      <c r="GX76" s="771"/>
      <c r="GY76" s="771"/>
      <c r="GZ76" s="771"/>
      <c r="HA76" s="765"/>
      <c r="HB76" s="765"/>
      <c r="HC76" s="765"/>
      <c r="HD76" s="765"/>
      <c r="HE76" s="765"/>
      <c r="HF76" s="765"/>
      <c r="HG76" s="765"/>
      <c r="HH76" s="765"/>
      <c r="HI76" s="765"/>
      <c r="HJ76" s="765"/>
      <c r="HK76" s="765"/>
      <c r="HL76" s="765"/>
      <c r="HM76" s="765"/>
      <c r="HN76" s="765"/>
      <c r="HO76" s="765"/>
      <c r="HP76" s="765"/>
    </row>
    <row r="77" spans="1:224" s="745" customFormat="1">
      <c r="A77" s="498"/>
      <c r="B77" s="774"/>
      <c r="C77" s="773" t="s">
        <v>201</v>
      </c>
      <c r="D77" s="498" t="s">
        <v>46</v>
      </c>
      <c r="E77" s="778">
        <f>0.2/100</f>
        <v>2E-3</v>
      </c>
      <c r="F77" s="749">
        <f>F72*E77</f>
        <v>1.8700000000000001E-2</v>
      </c>
      <c r="G77" s="748"/>
      <c r="H77" s="722"/>
      <c r="I77" s="722"/>
      <c r="J77" s="722"/>
      <c r="K77" s="739"/>
      <c r="L77" s="739"/>
      <c r="M77" s="722"/>
      <c r="N77" s="771"/>
      <c r="O77" s="771"/>
      <c r="P77" s="771"/>
      <c r="Q77" s="771"/>
      <c r="R77" s="771"/>
      <c r="S77" s="771"/>
      <c r="T77" s="771"/>
      <c r="U77" s="771"/>
      <c r="V77" s="771"/>
      <c r="W77" s="771"/>
      <c r="X77" s="771"/>
      <c r="Y77" s="771"/>
      <c r="Z77" s="771"/>
      <c r="AA77" s="771"/>
      <c r="AB77" s="771"/>
      <c r="AC77" s="771"/>
      <c r="AD77" s="771"/>
      <c r="AE77" s="771"/>
      <c r="AF77" s="771"/>
      <c r="AG77" s="771"/>
      <c r="AH77" s="771"/>
      <c r="AI77" s="771"/>
      <c r="AJ77" s="771"/>
      <c r="AK77" s="771"/>
      <c r="AL77" s="771"/>
      <c r="AM77" s="771"/>
      <c r="AN77" s="771"/>
      <c r="AO77" s="771"/>
      <c r="AP77" s="771"/>
      <c r="AQ77" s="771"/>
      <c r="AR77" s="771"/>
      <c r="AS77" s="771"/>
      <c r="AT77" s="771"/>
      <c r="AU77" s="771"/>
      <c r="AV77" s="771"/>
      <c r="AW77" s="771"/>
      <c r="AX77" s="771"/>
      <c r="AY77" s="771"/>
      <c r="AZ77" s="771"/>
      <c r="BA77" s="771"/>
      <c r="BB77" s="771"/>
      <c r="BC77" s="771"/>
      <c r="BD77" s="771"/>
      <c r="BE77" s="771"/>
      <c r="BF77" s="771"/>
      <c r="BG77" s="771"/>
      <c r="BH77" s="771"/>
      <c r="BI77" s="771"/>
      <c r="BJ77" s="771"/>
      <c r="BK77" s="771"/>
      <c r="BL77" s="771"/>
      <c r="BM77" s="771"/>
      <c r="BN77" s="771"/>
      <c r="BO77" s="771"/>
      <c r="BP77" s="771"/>
      <c r="BQ77" s="771"/>
      <c r="BR77" s="771"/>
      <c r="BS77" s="771"/>
      <c r="BT77" s="771"/>
      <c r="BU77" s="771"/>
      <c r="BV77" s="771"/>
      <c r="BW77" s="771"/>
      <c r="BX77" s="771"/>
      <c r="BY77" s="771"/>
      <c r="BZ77" s="771"/>
      <c r="CA77" s="771"/>
      <c r="CB77" s="771"/>
      <c r="CC77" s="771"/>
      <c r="CD77" s="771"/>
      <c r="CE77" s="771"/>
      <c r="CF77" s="771"/>
      <c r="CG77" s="771"/>
      <c r="CH77" s="771"/>
      <c r="CI77" s="771"/>
      <c r="CJ77" s="771"/>
      <c r="CK77" s="771"/>
      <c r="CL77" s="771"/>
      <c r="CM77" s="771"/>
      <c r="CN77" s="771"/>
      <c r="CO77" s="771"/>
      <c r="CP77" s="771"/>
      <c r="CQ77" s="771"/>
      <c r="CR77" s="771"/>
      <c r="CS77" s="771"/>
      <c r="CT77" s="771"/>
      <c r="CU77" s="771"/>
      <c r="CV77" s="771"/>
      <c r="CW77" s="771"/>
      <c r="CX77" s="771"/>
      <c r="CY77" s="771"/>
      <c r="CZ77" s="771"/>
      <c r="DA77" s="771"/>
      <c r="DB77" s="771"/>
      <c r="DC77" s="771"/>
      <c r="DD77" s="771"/>
      <c r="DE77" s="771"/>
      <c r="DF77" s="771"/>
      <c r="DG77" s="771"/>
      <c r="DH77" s="771"/>
      <c r="DI77" s="771"/>
      <c r="DJ77" s="771"/>
      <c r="DK77" s="771"/>
      <c r="DL77" s="771"/>
      <c r="DM77" s="771"/>
      <c r="DN77" s="771"/>
      <c r="DO77" s="771"/>
      <c r="DP77" s="771"/>
      <c r="DQ77" s="771"/>
      <c r="DR77" s="771"/>
      <c r="DS77" s="771"/>
      <c r="DT77" s="771"/>
      <c r="DU77" s="771"/>
      <c r="DV77" s="771"/>
      <c r="DW77" s="771"/>
      <c r="DX77" s="771"/>
      <c r="DY77" s="771"/>
      <c r="DZ77" s="771"/>
      <c r="EA77" s="771"/>
      <c r="EB77" s="771"/>
      <c r="EC77" s="771"/>
      <c r="ED77" s="771"/>
      <c r="EE77" s="771"/>
      <c r="EF77" s="771"/>
      <c r="EG77" s="771"/>
      <c r="EH77" s="771"/>
      <c r="EI77" s="771"/>
      <c r="EJ77" s="771"/>
      <c r="EK77" s="771"/>
      <c r="EL77" s="771"/>
      <c r="EM77" s="771"/>
      <c r="EN77" s="771"/>
      <c r="EO77" s="771"/>
      <c r="EP77" s="771"/>
      <c r="EQ77" s="771"/>
      <c r="ER77" s="771"/>
      <c r="ES77" s="771"/>
      <c r="ET77" s="771"/>
      <c r="EU77" s="771"/>
      <c r="EV77" s="771"/>
      <c r="EW77" s="771"/>
      <c r="EX77" s="771"/>
      <c r="EY77" s="771"/>
      <c r="EZ77" s="771"/>
      <c r="FA77" s="771"/>
      <c r="FB77" s="771"/>
      <c r="FC77" s="771"/>
      <c r="FD77" s="771"/>
      <c r="FE77" s="771"/>
      <c r="FF77" s="771"/>
      <c r="FG77" s="771"/>
      <c r="FH77" s="771"/>
      <c r="FI77" s="771"/>
      <c r="FJ77" s="771"/>
      <c r="FK77" s="771"/>
      <c r="FL77" s="771"/>
      <c r="FM77" s="771"/>
      <c r="FN77" s="771"/>
      <c r="FO77" s="771"/>
      <c r="FP77" s="771"/>
      <c r="FQ77" s="771"/>
      <c r="FR77" s="771"/>
      <c r="FS77" s="771"/>
      <c r="FT77" s="771"/>
      <c r="FU77" s="771"/>
      <c r="FV77" s="771"/>
      <c r="FW77" s="771"/>
      <c r="FX77" s="771"/>
      <c r="FY77" s="771"/>
      <c r="FZ77" s="771"/>
      <c r="GA77" s="771"/>
      <c r="GB77" s="771"/>
      <c r="GC77" s="771"/>
      <c r="GD77" s="771"/>
      <c r="GE77" s="771"/>
      <c r="GF77" s="771"/>
      <c r="GG77" s="771"/>
      <c r="GH77" s="771"/>
      <c r="GI77" s="771"/>
      <c r="GJ77" s="771"/>
      <c r="GK77" s="771"/>
      <c r="GL77" s="771"/>
      <c r="GM77" s="771"/>
      <c r="GN77" s="771"/>
      <c r="GO77" s="771"/>
      <c r="GP77" s="771"/>
      <c r="GQ77" s="771"/>
      <c r="GR77" s="771"/>
      <c r="GS77" s="771"/>
      <c r="GT77" s="771"/>
      <c r="GU77" s="771"/>
      <c r="GV77" s="771"/>
      <c r="GW77" s="771"/>
      <c r="GX77" s="771"/>
      <c r="GY77" s="771"/>
      <c r="GZ77" s="771"/>
      <c r="HA77" s="765"/>
      <c r="HB77" s="765"/>
      <c r="HC77" s="765"/>
      <c r="HD77" s="765"/>
      <c r="HE77" s="765"/>
      <c r="HF77" s="765"/>
      <c r="HG77" s="765"/>
      <c r="HH77" s="765"/>
      <c r="HI77" s="765"/>
      <c r="HJ77" s="765"/>
      <c r="HK77" s="765"/>
      <c r="HL77" s="765"/>
      <c r="HM77" s="765"/>
      <c r="HN77" s="765"/>
      <c r="HO77" s="765"/>
      <c r="HP77" s="765"/>
    </row>
    <row r="78" spans="1:224" s="745" customFormat="1">
      <c r="A78" s="718">
        <v>13</v>
      </c>
      <c r="B78" s="772" t="s">
        <v>202</v>
      </c>
      <c r="C78" s="720" t="s">
        <v>301</v>
      </c>
      <c r="D78" s="492" t="s">
        <v>48</v>
      </c>
      <c r="E78" s="719"/>
      <c r="F78" s="776">
        <f>F72</f>
        <v>9.35</v>
      </c>
      <c r="G78" s="721"/>
      <c r="H78" s="721"/>
      <c r="I78" s="721"/>
      <c r="J78" s="721"/>
      <c r="K78" s="721"/>
      <c r="L78" s="721"/>
      <c r="M78" s="721"/>
    </row>
    <row r="79" spans="1:224" s="745" customFormat="1">
      <c r="A79" s="504"/>
      <c r="B79" s="772"/>
      <c r="C79" s="773" t="s">
        <v>280</v>
      </c>
      <c r="D79" s="498" t="s">
        <v>63</v>
      </c>
      <c r="E79" s="753">
        <f>85.6/100</f>
        <v>0.85599999999999998</v>
      </c>
      <c r="F79" s="722">
        <f>F78*E79</f>
        <v>8.0035999999999987</v>
      </c>
      <c r="G79" s="722"/>
      <c r="H79" s="722"/>
      <c r="I79" s="722"/>
      <c r="J79" s="722"/>
      <c r="K79" s="722"/>
      <c r="L79" s="722"/>
      <c r="M79" s="722"/>
    </row>
    <row r="80" spans="1:224" s="745" customFormat="1">
      <c r="A80" s="718"/>
      <c r="B80" s="635" t="s">
        <v>683</v>
      </c>
      <c r="C80" s="780" t="s">
        <v>302</v>
      </c>
      <c r="D80" s="498" t="s">
        <v>198</v>
      </c>
      <c r="E80" s="753">
        <f>63/100</f>
        <v>0.63</v>
      </c>
      <c r="F80" s="722">
        <f>F78*E80</f>
        <v>5.8904999999999994</v>
      </c>
      <c r="G80" s="748"/>
      <c r="H80" s="722"/>
      <c r="I80" s="722"/>
      <c r="J80" s="722"/>
      <c r="K80" s="722"/>
      <c r="L80" s="722"/>
      <c r="M80" s="722"/>
    </row>
    <row r="81" spans="1:224" s="745" customFormat="1">
      <c r="A81" s="718"/>
      <c r="B81" s="635" t="s">
        <v>684</v>
      </c>
      <c r="C81" s="773" t="s">
        <v>303</v>
      </c>
      <c r="D81" s="498" t="s">
        <v>198</v>
      </c>
      <c r="E81" s="753">
        <f>92/100</f>
        <v>0.92</v>
      </c>
      <c r="F81" s="722">
        <f>F78*E81</f>
        <v>8.6020000000000003</v>
      </c>
      <c r="G81" s="748"/>
      <c r="H81" s="722"/>
      <c r="I81" s="722"/>
      <c r="J81" s="722"/>
      <c r="K81" s="722"/>
      <c r="L81" s="722"/>
      <c r="M81" s="722"/>
    </row>
    <row r="82" spans="1:224" s="745" customFormat="1">
      <c r="A82" s="718"/>
      <c r="B82" s="772"/>
      <c r="C82" s="773" t="s">
        <v>295</v>
      </c>
      <c r="D82" s="498" t="s">
        <v>46</v>
      </c>
      <c r="E82" s="753">
        <f>1.2/100</f>
        <v>1.2E-2</v>
      </c>
      <c r="F82" s="722">
        <f>F78*E82</f>
        <v>0.11219999999999999</v>
      </c>
      <c r="G82" s="722"/>
      <c r="H82" s="722"/>
      <c r="I82" s="722"/>
      <c r="J82" s="722"/>
      <c r="K82" s="722"/>
      <c r="L82" s="722"/>
      <c r="M82" s="722"/>
    </row>
    <row r="83" spans="1:224" s="745" customFormat="1">
      <c r="A83" s="781"/>
      <c r="B83" s="774"/>
      <c r="C83" s="773" t="s">
        <v>201</v>
      </c>
      <c r="D83" s="498" t="s">
        <v>46</v>
      </c>
      <c r="E83" s="753">
        <f>1.8/100</f>
        <v>1.8000000000000002E-2</v>
      </c>
      <c r="F83" s="722">
        <f>F78*E83</f>
        <v>0.16830000000000001</v>
      </c>
      <c r="G83" s="722"/>
      <c r="H83" s="722"/>
      <c r="I83" s="722"/>
      <c r="J83" s="722"/>
      <c r="K83" s="722"/>
      <c r="L83" s="722"/>
      <c r="M83" s="722"/>
    </row>
    <row r="84" spans="1:224" s="745" customFormat="1">
      <c r="A84" s="504">
        <v>14</v>
      </c>
      <c r="B84" s="782" t="s">
        <v>584</v>
      </c>
      <c r="C84" s="783" t="s">
        <v>402</v>
      </c>
      <c r="D84" s="504" t="s">
        <v>304</v>
      </c>
      <c r="E84" s="719"/>
      <c r="F84" s="776">
        <v>1.73</v>
      </c>
      <c r="G84" s="719"/>
      <c r="H84" s="721"/>
      <c r="I84" s="721"/>
      <c r="J84" s="721"/>
      <c r="K84" s="719"/>
      <c r="L84" s="719"/>
      <c r="M84" s="721"/>
      <c r="N84" s="763"/>
      <c r="O84" s="763"/>
      <c r="P84" s="763"/>
      <c r="Q84" s="763"/>
      <c r="R84" s="763"/>
      <c r="S84" s="763"/>
      <c r="T84" s="763"/>
      <c r="U84" s="763"/>
      <c r="V84" s="763"/>
      <c r="W84" s="763"/>
      <c r="X84" s="763"/>
      <c r="Y84" s="763"/>
      <c r="Z84" s="763"/>
      <c r="AA84" s="763"/>
      <c r="AB84" s="763"/>
      <c r="AC84" s="763"/>
      <c r="AD84" s="763"/>
      <c r="AE84" s="763"/>
      <c r="AF84" s="763"/>
      <c r="AG84" s="763"/>
      <c r="AH84" s="763"/>
      <c r="AI84" s="763"/>
      <c r="AJ84" s="763"/>
      <c r="AK84" s="763"/>
      <c r="AL84" s="763"/>
      <c r="AM84" s="763"/>
      <c r="AN84" s="763"/>
      <c r="AO84" s="763"/>
      <c r="AP84" s="763"/>
      <c r="AQ84" s="763"/>
      <c r="AR84" s="763"/>
      <c r="AS84" s="763"/>
      <c r="AT84" s="763"/>
      <c r="AU84" s="763"/>
      <c r="AV84" s="763"/>
      <c r="AW84" s="763"/>
      <c r="AX84" s="763"/>
      <c r="AY84" s="763"/>
      <c r="AZ84" s="763"/>
      <c r="BA84" s="763"/>
      <c r="BB84" s="763"/>
      <c r="BC84" s="763"/>
      <c r="BD84" s="763"/>
      <c r="BE84" s="763"/>
      <c r="BF84" s="763"/>
      <c r="BG84" s="763"/>
      <c r="BH84" s="763"/>
      <c r="BI84" s="763"/>
      <c r="BJ84" s="763"/>
      <c r="BK84" s="763"/>
      <c r="BL84" s="763"/>
      <c r="BM84" s="763"/>
      <c r="BN84" s="763"/>
      <c r="BO84" s="763"/>
      <c r="BP84" s="763"/>
      <c r="BQ84" s="763"/>
      <c r="BR84" s="763"/>
      <c r="BS84" s="763"/>
      <c r="BT84" s="763"/>
      <c r="BU84" s="763"/>
      <c r="BV84" s="763"/>
      <c r="BW84" s="763"/>
      <c r="BX84" s="763"/>
      <c r="BY84" s="763"/>
      <c r="BZ84" s="763"/>
      <c r="CA84" s="763"/>
      <c r="CB84" s="763"/>
      <c r="CC84" s="763"/>
      <c r="CD84" s="763"/>
      <c r="CE84" s="763"/>
      <c r="CF84" s="763"/>
      <c r="CG84" s="763"/>
      <c r="CH84" s="763"/>
      <c r="CI84" s="763"/>
      <c r="CJ84" s="763"/>
      <c r="CK84" s="763"/>
      <c r="CL84" s="763"/>
      <c r="CM84" s="763"/>
      <c r="CN84" s="763"/>
      <c r="CO84" s="763"/>
      <c r="CP84" s="763"/>
      <c r="CQ84" s="763"/>
      <c r="CR84" s="763"/>
      <c r="CS84" s="763"/>
      <c r="CT84" s="763"/>
      <c r="CU84" s="763"/>
      <c r="CV84" s="763"/>
      <c r="CW84" s="763"/>
      <c r="CX84" s="763"/>
      <c r="CY84" s="763"/>
      <c r="CZ84" s="763"/>
      <c r="DA84" s="763"/>
      <c r="DB84" s="763"/>
      <c r="DC84" s="763"/>
      <c r="DD84" s="763"/>
      <c r="DE84" s="763"/>
      <c r="DF84" s="763"/>
      <c r="DG84" s="763"/>
      <c r="DH84" s="763"/>
      <c r="DI84" s="763"/>
      <c r="DJ84" s="763"/>
      <c r="DK84" s="763"/>
      <c r="DL84" s="763"/>
      <c r="DM84" s="763"/>
      <c r="DN84" s="763"/>
      <c r="DO84" s="763"/>
      <c r="DP84" s="763"/>
      <c r="DQ84" s="763"/>
      <c r="DR84" s="763"/>
      <c r="DS84" s="763"/>
      <c r="DT84" s="763"/>
      <c r="DU84" s="763"/>
      <c r="DV84" s="763"/>
      <c r="DW84" s="763"/>
      <c r="DX84" s="763"/>
      <c r="DY84" s="763"/>
      <c r="DZ84" s="763"/>
      <c r="EA84" s="763"/>
      <c r="EB84" s="763"/>
      <c r="EC84" s="763"/>
      <c r="ED84" s="763"/>
      <c r="EE84" s="763"/>
      <c r="EF84" s="763"/>
      <c r="EG84" s="763"/>
      <c r="EH84" s="763"/>
      <c r="EI84" s="763"/>
      <c r="EJ84" s="763"/>
      <c r="EK84" s="763"/>
      <c r="EL84" s="763"/>
      <c r="EM84" s="763"/>
      <c r="EN84" s="763"/>
      <c r="EO84" s="763"/>
      <c r="EP84" s="763"/>
      <c r="EQ84" s="763"/>
      <c r="ER84" s="763"/>
      <c r="ES84" s="763"/>
      <c r="ET84" s="763"/>
      <c r="EU84" s="763"/>
      <c r="EV84" s="763"/>
      <c r="EW84" s="763"/>
      <c r="EX84" s="763"/>
      <c r="EY84" s="763"/>
      <c r="EZ84" s="763"/>
      <c r="FA84" s="763"/>
      <c r="FB84" s="763"/>
      <c r="FC84" s="763"/>
      <c r="FD84" s="763"/>
      <c r="FE84" s="763"/>
      <c r="FF84" s="763"/>
      <c r="FG84" s="763"/>
      <c r="FH84" s="763"/>
      <c r="FI84" s="763"/>
      <c r="FJ84" s="763"/>
      <c r="FK84" s="763"/>
      <c r="FL84" s="763"/>
      <c r="FM84" s="763"/>
      <c r="FN84" s="763"/>
      <c r="FO84" s="763"/>
      <c r="FP84" s="763"/>
      <c r="FQ84" s="763"/>
      <c r="FR84" s="763"/>
      <c r="FS84" s="763"/>
      <c r="FT84" s="763"/>
      <c r="FU84" s="763"/>
      <c r="FV84" s="763"/>
      <c r="FW84" s="763"/>
      <c r="FX84" s="763"/>
      <c r="FY84" s="763"/>
      <c r="FZ84" s="763"/>
      <c r="GA84" s="763"/>
      <c r="GB84" s="763"/>
      <c r="GC84" s="763"/>
      <c r="GD84" s="763"/>
      <c r="GE84" s="763"/>
      <c r="GF84" s="763"/>
      <c r="GG84" s="763"/>
      <c r="GH84" s="763"/>
      <c r="GI84" s="763"/>
      <c r="GJ84" s="763"/>
      <c r="GK84" s="763"/>
      <c r="GL84" s="763"/>
      <c r="GM84" s="763"/>
      <c r="GN84" s="763"/>
      <c r="GO84" s="763"/>
      <c r="GP84" s="763"/>
      <c r="GQ84" s="763"/>
      <c r="GR84" s="763"/>
      <c r="GS84" s="763"/>
      <c r="GT84" s="763"/>
      <c r="GU84" s="763"/>
      <c r="GV84" s="763"/>
      <c r="GW84" s="763"/>
      <c r="GX84" s="763"/>
      <c r="GY84" s="763"/>
      <c r="GZ84" s="763"/>
      <c r="HA84" s="763"/>
      <c r="HB84" s="763"/>
      <c r="HC84" s="763"/>
      <c r="HD84" s="763"/>
      <c r="HE84" s="763"/>
      <c r="HF84" s="763"/>
      <c r="HG84" s="763"/>
      <c r="HH84" s="763"/>
      <c r="HI84" s="763"/>
      <c r="HJ84" s="763"/>
      <c r="HK84" s="763"/>
      <c r="HL84" s="763"/>
      <c r="HM84" s="763"/>
      <c r="HN84" s="763"/>
      <c r="HO84" s="763"/>
      <c r="HP84" s="763"/>
    </row>
    <row r="85" spans="1:224" s="745" customFormat="1">
      <c r="A85" s="504"/>
      <c r="B85" s="772"/>
      <c r="C85" s="773" t="s">
        <v>280</v>
      </c>
      <c r="D85" s="498" t="s">
        <v>63</v>
      </c>
      <c r="E85" s="748">
        <v>2.72</v>
      </c>
      <c r="F85" s="784">
        <f>F84*E85</f>
        <v>4.7056000000000004</v>
      </c>
      <c r="G85" s="748"/>
      <c r="H85" s="748"/>
      <c r="I85" s="722"/>
      <c r="J85" s="722"/>
      <c r="K85" s="722"/>
      <c r="L85" s="722"/>
      <c r="M85" s="722"/>
      <c r="N85" s="765"/>
      <c r="O85" s="765"/>
      <c r="P85" s="765"/>
      <c r="Q85" s="765"/>
      <c r="R85" s="765"/>
      <c r="S85" s="765"/>
      <c r="T85" s="765"/>
      <c r="U85" s="765"/>
      <c r="V85" s="765"/>
      <c r="W85" s="765"/>
      <c r="X85" s="765"/>
      <c r="Y85" s="765"/>
      <c r="Z85" s="765"/>
      <c r="AA85" s="765"/>
      <c r="AB85" s="765"/>
      <c r="AC85" s="765"/>
      <c r="AD85" s="765"/>
      <c r="AE85" s="765"/>
      <c r="AF85" s="765"/>
      <c r="AG85" s="765"/>
      <c r="AH85" s="765"/>
      <c r="AI85" s="765"/>
      <c r="AJ85" s="765"/>
      <c r="AK85" s="765"/>
      <c r="AL85" s="765"/>
      <c r="AM85" s="765"/>
      <c r="AN85" s="765"/>
      <c r="AO85" s="765"/>
      <c r="AP85" s="765"/>
      <c r="AQ85" s="765"/>
      <c r="AR85" s="765"/>
      <c r="AS85" s="765"/>
      <c r="AT85" s="765"/>
      <c r="AU85" s="765"/>
      <c r="AV85" s="765"/>
      <c r="AW85" s="765"/>
      <c r="AX85" s="765"/>
      <c r="AY85" s="765"/>
      <c r="AZ85" s="765"/>
      <c r="BA85" s="765"/>
      <c r="BB85" s="765"/>
      <c r="BC85" s="765"/>
      <c r="BD85" s="765"/>
      <c r="BE85" s="765"/>
      <c r="BF85" s="765"/>
      <c r="BG85" s="765"/>
      <c r="BH85" s="765"/>
      <c r="BI85" s="765"/>
      <c r="BJ85" s="765"/>
      <c r="BK85" s="765"/>
      <c r="BL85" s="765"/>
      <c r="BM85" s="765"/>
      <c r="BN85" s="765"/>
      <c r="BO85" s="765"/>
      <c r="BP85" s="765"/>
      <c r="BQ85" s="765"/>
      <c r="BR85" s="765"/>
      <c r="BS85" s="765"/>
      <c r="BT85" s="765"/>
      <c r="BU85" s="765"/>
      <c r="BV85" s="765"/>
      <c r="BW85" s="765"/>
      <c r="BX85" s="765"/>
      <c r="BY85" s="765"/>
      <c r="BZ85" s="765"/>
      <c r="CA85" s="765"/>
      <c r="CB85" s="765"/>
      <c r="CC85" s="765"/>
      <c r="CD85" s="765"/>
      <c r="CE85" s="765"/>
      <c r="CF85" s="765"/>
      <c r="CG85" s="765"/>
      <c r="CH85" s="765"/>
      <c r="CI85" s="765"/>
      <c r="CJ85" s="765"/>
      <c r="CK85" s="765"/>
      <c r="CL85" s="765"/>
      <c r="CM85" s="765"/>
      <c r="CN85" s="765"/>
      <c r="CO85" s="765"/>
      <c r="CP85" s="765"/>
      <c r="CQ85" s="765"/>
      <c r="CR85" s="765"/>
      <c r="CS85" s="765"/>
      <c r="CT85" s="765"/>
      <c r="CU85" s="765"/>
      <c r="CV85" s="765"/>
      <c r="CW85" s="765"/>
      <c r="CX85" s="765"/>
      <c r="CY85" s="765"/>
      <c r="CZ85" s="765"/>
      <c r="DA85" s="765"/>
      <c r="DB85" s="765"/>
      <c r="DC85" s="765"/>
      <c r="DD85" s="765"/>
      <c r="DE85" s="765"/>
      <c r="DF85" s="765"/>
      <c r="DG85" s="765"/>
      <c r="DH85" s="765"/>
      <c r="DI85" s="765"/>
      <c r="DJ85" s="765"/>
      <c r="DK85" s="765"/>
      <c r="DL85" s="765"/>
      <c r="DM85" s="765"/>
      <c r="DN85" s="765"/>
      <c r="DO85" s="765"/>
      <c r="DP85" s="765"/>
      <c r="DQ85" s="765"/>
      <c r="DR85" s="765"/>
      <c r="DS85" s="765"/>
      <c r="DT85" s="765"/>
      <c r="DU85" s="765"/>
      <c r="DV85" s="765"/>
      <c r="DW85" s="765"/>
      <c r="DX85" s="765"/>
      <c r="DY85" s="765"/>
      <c r="DZ85" s="765"/>
      <c r="EA85" s="765"/>
      <c r="EB85" s="765"/>
      <c r="EC85" s="765"/>
      <c r="ED85" s="765"/>
      <c r="EE85" s="765"/>
      <c r="EF85" s="765"/>
      <c r="EG85" s="765"/>
      <c r="EH85" s="765"/>
      <c r="EI85" s="765"/>
      <c r="EJ85" s="765"/>
      <c r="EK85" s="765"/>
      <c r="EL85" s="765"/>
      <c r="EM85" s="765"/>
      <c r="EN85" s="765"/>
      <c r="EO85" s="765"/>
      <c r="EP85" s="765"/>
      <c r="EQ85" s="765"/>
      <c r="ER85" s="765"/>
      <c r="ES85" s="765"/>
      <c r="ET85" s="765"/>
      <c r="EU85" s="765"/>
      <c r="EV85" s="765"/>
      <c r="EW85" s="765"/>
      <c r="EX85" s="765"/>
      <c r="EY85" s="765"/>
      <c r="EZ85" s="765"/>
      <c r="FA85" s="765"/>
      <c r="FB85" s="765"/>
      <c r="FC85" s="765"/>
      <c r="FD85" s="765"/>
      <c r="FE85" s="765"/>
      <c r="FF85" s="765"/>
      <c r="FG85" s="765"/>
      <c r="FH85" s="765"/>
      <c r="FI85" s="765"/>
      <c r="FJ85" s="765"/>
      <c r="FK85" s="765"/>
      <c r="FL85" s="765"/>
      <c r="FM85" s="765"/>
      <c r="FN85" s="765"/>
      <c r="FO85" s="765"/>
      <c r="FP85" s="765"/>
      <c r="FQ85" s="765"/>
      <c r="FR85" s="765"/>
      <c r="FS85" s="765"/>
      <c r="FT85" s="765"/>
      <c r="FU85" s="765"/>
      <c r="FV85" s="765"/>
      <c r="FW85" s="765"/>
      <c r="FX85" s="765"/>
      <c r="FY85" s="765"/>
      <c r="FZ85" s="765"/>
      <c r="GA85" s="765"/>
      <c r="GB85" s="765"/>
      <c r="GC85" s="765"/>
      <c r="GD85" s="765"/>
      <c r="GE85" s="765"/>
      <c r="GF85" s="765"/>
      <c r="GG85" s="765"/>
      <c r="GH85" s="765"/>
      <c r="GI85" s="765"/>
      <c r="GJ85" s="765"/>
      <c r="GK85" s="765"/>
      <c r="GL85" s="765"/>
      <c r="GM85" s="765"/>
      <c r="GN85" s="765"/>
      <c r="GO85" s="765"/>
      <c r="GP85" s="765"/>
      <c r="GQ85" s="765"/>
      <c r="GR85" s="765"/>
      <c r="GS85" s="765"/>
      <c r="GT85" s="765"/>
      <c r="GU85" s="765"/>
      <c r="GV85" s="765"/>
      <c r="GW85" s="765"/>
      <c r="GX85" s="765"/>
      <c r="GY85" s="765"/>
      <c r="GZ85" s="765"/>
      <c r="HA85" s="765"/>
      <c r="HB85" s="765"/>
      <c r="HC85" s="765"/>
      <c r="HD85" s="765"/>
      <c r="HE85" s="765"/>
      <c r="HF85" s="765"/>
      <c r="HG85" s="765"/>
      <c r="HH85" s="765"/>
      <c r="HI85" s="765"/>
      <c r="HJ85" s="765"/>
      <c r="HK85" s="765"/>
      <c r="HL85" s="765"/>
      <c r="HM85" s="765"/>
      <c r="HN85" s="765"/>
      <c r="HO85" s="765"/>
      <c r="HP85" s="765"/>
    </row>
    <row r="86" spans="1:224" s="745" customFormat="1">
      <c r="A86" s="504"/>
      <c r="B86" s="785" t="s">
        <v>687</v>
      </c>
      <c r="C86" s="726" t="s">
        <v>469</v>
      </c>
      <c r="D86" s="494" t="s">
        <v>66</v>
      </c>
      <c r="E86" s="748">
        <f>3.57/100</f>
        <v>3.5699999999999996E-2</v>
      </c>
      <c r="F86" s="784">
        <f>F84*E86</f>
        <v>6.176099999999999E-2</v>
      </c>
      <c r="G86" s="784"/>
      <c r="H86" s="784"/>
      <c r="I86" s="784"/>
      <c r="J86" s="784"/>
      <c r="K86" s="784"/>
      <c r="L86" s="784"/>
      <c r="M86" s="722"/>
      <c r="N86" s="765"/>
      <c r="O86" s="765"/>
      <c r="P86" s="765"/>
      <c r="Q86" s="765"/>
      <c r="R86" s="765"/>
      <c r="S86" s="765"/>
      <c r="T86" s="765"/>
      <c r="U86" s="765"/>
      <c r="V86" s="765"/>
      <c r="W86" s="765"/>
      <c r="X86" s="765"/>
      <c r="Y86" s="765"/>
      <c r="Z86" s="765"/>
      <c r="AA86" s="765"/>
      <c r="AB86" s="765"/>
      <c r="AC86" s="765"/>
      <c r="AD86" s="765"/>
      <c r="AE86" s="765"/>
      <c r="AF86" s="765"/>
      <c r="AG86" s="765"/>
      <c r="AH86" s="765"/>
      <c r="AI86" s="765"/>
      <c r="AJ86" s="765"/>
      <c r="AK86" s="765"/>
      <c r="AL86" s="765"/>
      <c r="AM86" s="765"/>
      <c r="AN86" s="765"/>
      <c r="AO86" s="765"/>
      <c r="AP86" s="765"/>
      <c r="AQ86" s="765"/>
      <c r="AR86" s="765"/>
      <c r="AS86" s="765"/>
      <c r="AT86" s="765"/>
      <c r="AU86" s="765"/>
      <c r="AV86" s="765"/>
      <c r="AW86" s="765"/>
      <c r="AX86" s="765"/>
      <c r="AY86" s="765"/>
      <c r="AZ86" s="765"/>
      <c r="BA86" s="765"/>
      <c r="BB86" s="765"/>
      <c r="BC86" s="765"/>
      <c r="BD86" s="765"/>
      <c r="BE86" s="765"/>
      <c r="BF86" s="765"/>
      <c r="BG86" s="765"/>
      <c r="BH86" s="765"/>
      <c r="BI86" s="765"/>
      <c r="BJ86" s="765"/>
      <c r="BK86" s="765"/>
      <c r="BL86" s="765"/>
      <c r="BM86" s="765"/>
      <c r="BN86" s="765"/>
      <c r="BO86" s="765"/>
      <c r="BP86" s="765"/>
      <c r="BQ86" s="765"/>
      <c r="BR86" s="765"/>
      <c r="BS86" s="765"/>
      <c r="BT86" s="765"/>
      <c r="BU86" s="765"/>
      <c r="BV86" s="765"/>
      <c r="BW86" s="765"/>
      <c r="BX86" s="765"/>
      <c r="BY86" s="765"/>
      <c r="BZ86" s="765"/>
      <c r="CA86" s="765"/>
      <c r="CB86" s="765"/>
      <c r="CC86" s="765"/>
      <c r="CD86" s="765"/>
      <c r="CE86" s="765"/>
      <c r="CF86" s="765"/>
      <c r="CG86" s="765"/>
      <c r="CH86" s="765"/>
      <c r="CI86" s="765"/>
      <c r="CJ86" s="765"/>
      <c r="CK86" s="765"/>
      <c r="CL86" s="765"/>
      <c r="CM86" s="765"/>
      <c r="CN86" s="765"/>
      <c r="CO86" s="765"/>
      <c r="CP86" s="765"/>
      <c r="CQ86" s="765"/>
      <c r="CR86" s="765"/>
      <c r="CS86" s="765"/>
      <c r="CT86" s="765"/>
      <c r="CU86" s="765"/>
      <c r="CV86" s="765"/>
      <c r="CW86" s="765"/>
      <c r="CX86" s="765"/>
      <c r="CY86" s="765"/>
      <c r="CZ86" s="765"/>
      <c r="DA86" s="765"/>
      <c r="DB86" s="765"/>
      <c r="DC86" s="765"/>
      <c r="DD86" s="765"/>
      <c r="DE86" s="765"/>
      <c r="DF86" s="765"/>
      <c r="DG86" s="765"/>
      <c r="DH86" s="765"/>
      <c r="DI86" s="765"/>
      <c r="DJ86" s="765"/>
      <c r="DK86" s="765"/>
      <c r="DL86" s="765"/>
      <c r="DM86" s="765"/>
      <c r="DN86" s="765"/>
      <c r="DO86" s="765"/>
      <c r="DP86" s="765"/>
      <c r="DQ86" s="765"/>
      <c r="DR86" s="765"/>
      <c r="DS86" s="765"/>
      <c r="DT86" s="765"/>
      <c r="DU86" s="765"/>
      <c r="DV86" s="765"/>
      <c r="DW86" s="765"/>
      <c r="DX86" s="765"/>
      <c r="DY86" s="765"/>
      <c r="DZ86" s="765"/>
      <c r="EA86" s="765"/>
      <c r="EB86" s="765"/>
      <c r="EC86" s="765"/>
      <c r="ED86" s="765"/>
      <c r="EE86" s="765"/>
      <c r="EF86" s="765"/>
      <c r="EG86" s="765"/>
      <c r="EH86" s="765"/>
      <c r="EI86" s="765"/>
      <c r="EJ86" s="765"/>
      <c r="EK86" s="765"/>
      <c r="EL86" s="765"/>
      <c r="EM86" s="765"/>
      <c r="EN86" s="765"/>
      <c r="EO86" s="765"/>
      <c r="EP86" s="765"/>
      <c r="EQ86" s="765"/>
      <c r="ER86" s="765"/>
      <c r="ES86" s="765"/>
      <c r="ET86" s="765"/>
      <c r="EU86" s="765"/>
      <c r="EV86" s="765"/>
      <c r="EW86" s="765"/>
      <c r="EX86" s="765"/>
      <c r="EY86" s="765"/>
      <c r="EZ86" s="765"/>
      <c r="FA86" s="765"/>
      <c r="FB86" s="765"/>
      <c r="FC86" s="765"/>
      <c r="FD86" s="765"/>
      <c r="FE86" s="765"/>
      <c r="FF86" s="765"/>
      <c r="FG86" s="765"/>
      <c r="FH86" s="765"/>
      <c r="FI86" s="765"/>
      <c r="FJ86" s="765"/>
      <c r="FK86" s="765"/>
      <c r="FL86" s="765"/>
      <c r="FM86" s="765"/>
      <c r="FN86" s="765"/>
      <c r="FO86" s="765"/>
      <c r="FP86" s="765"/>
      <c r="FQ86" s="765"/>
      <c r="FR86" s="765"/>
      <c r="FS86" s="765"/>
      <c r="FT86" s="765"/>
      <c r="FU86" s="765"/>
      <c r="FV86" s="765"/>
      <c r="FW86" s="765"/>
      <c r="FX86" s="765"/>
      <c r="FY86" s="765"/>
      <c r="FZ86" s="765"/>
      <c r="GA86" s="765"/>
      <c r="GB86" s="765"/>
      <c r="GC86" s="765"/>
      <c r="GD86" s="765"/>
      <c r="GE86" s="765"/>
      <c r="GF86" s="765"/>
      <c r="GG86" s="765"/>
      <c r="GH86" s="765"/>
      <c r="GI86" s="765"/>
      <c r="GJ86" s="765"/>
      <c r="GK86" s="765"/>
      <c r="GL86" s="765"/>
      <c r="GM86" s="765"/>
      <c r="GN86" s="765"/>
      <c r="GO86" s="765"/>
      <c r="GP86" s="765"/>
      <c r="GQ86" s="765"/>
      <c r="GR86" s="765"/>
      <c r="GS86" s="765"/>
      <c r="GT86" s="765"/>
      <c r="GU86" s="765"/>
      <c r="GV86" s="765"/>
      <c r="GW86" s="765"/>
      <c r="GX86" s="765"/>
      <c r="GY86" s="765"/>
      <c r="GZ86" s="765"/>
      <c r="HA86" s="765"/>
      <c r="HB86" s="765"/>
      <c r="HC86" s="765"/>
      <c r="HD86" s="765"/>
      <c r="HE86" s="765"/>
      <c r="HF86" s="765"/>
      <c r="HG86" s="765"/>
      <c r="HH86" s="765"/>
      <c r="HI86" s="765"/>
      <c r="HJ86" s="765"/>
      <c r="HK86" s="765"/>
      <c r="HL86" s="765"/>
      <c r="HM86" s="765"/>
      <c r="HN86" s="765"/>
      <c r="HO86" s="765"/>
      <c r="HP86" s="765"/>
    </row>
    <row r="87" spans="1:224" s="745" customFormat="1">
      <c r="A87" s="504"/>
      <c r="B87" s="774" t="s">
        <v>688</v>
      </c>
      <c r="C87" s="773" t="s">
        <v>305</v>
      </c>
      <c r="D87" s="498" t="s">
        <v>48</v>
      </c>
      <c r="E87" s="748">
        <f>100/100</f>
        <v>1</v>
      </c>
      <c r="F87" s="784">
        <f>F84*E87</f>
        <v>1.73</v>
      </c>
      <c r="G87" s="748"/>
      <c r="H87" s="722"/>
      <c r="I87" s="722"/>
      <c r="J87" s="722"/>
      <c r="K87" s="722"/>
      <c r="L87" s="722"/>
      <c r="M87" s="722"/>
      <c r="N87" s="765"/>
      <c r="O87" s="765"/>
      <c r="P87" s="765"/>
      <c r="Q87" s="765"/>
      <c r="R87" s="765"/>
      <c r="S87" s="765"/>
      <c r="T87" s="765"/>
      <c r="U87" s="765"/>
      <c r="V87" s="765"/>
      <c r="W87" s="765"/>
      <c r="X87" s="765"/>
      <c r="Y87" s="765"/>
      <c r="Z87" s="765"/>
      <c r="AA87" s="765"/>
      <c r="AB87" s="765"/>
      <c r="AC87" s="765"/>
      <c r="AD87" s="765"/>
      <c r="AE87" s="765"/>
      <c r="AF87" s="765"/>
      <c r="AG87" s="765"/>
      <c r="AH87" s="765"/>
      <c r="AI87" s="765"/>
      <c r="AJ87" s="765"/>
      <c r="AK87" s="765"/>
      <c r="AL87" s="765"/>
      <c r="AM87" s="765"/>
      <c r="AN87" s="765"/>
      <c r="AO87" s="765"/>
      <c r="AP87" s="765"/>
      <c r="AQ87" s="765"/>
      <c r="AR87" s="765"/>
      <c r="AS87" s="765"/>
      <c r="AT87" s="765"/>
      <c r="AU87" s="765"/>
      <c r="AV87" s="765"/>
      <c r="AW87" s="765"/>
      <c r="AX87" s="765"/>
      <c r="AY87" s="765"/>
      <c r="AZ87" s="765"/>
      <c r="BA87" s="765"/>
      <c r="BB87" s="765"/>
      <c r="BC87" s="765"/>
      <c r="BD87" s="765"/>
      <c r="BE87" s="765"/>
      <c r="BF87" s="765"/>
      <c r="BG87" s="765"/>
      <c r="BH87" s="765"/>
      <c r="BI87" s="765"/>
      <c r="BJ87" s="765"/>
      <c r="BK87" s="765"/>
      <c r="BL87" s="765"/>
      <c r="BM87" s="765"/>
      <c r="BN87" s="765"/>
      <c r="BO87" s="765"/>
      <c r="BP87" s="765"/>
      <c r="BQ87" s="765"/>
      <c r="BR87" s="765"/>
      <c r="BS87" s="765"/>
      <c r="BT87" s="765"/>
      <c r="BU87" s="765"/>
      <c r="BV87" s="765"/>
      <c r="BW87" s="765"/>
      <c r="BX87" s="765"/>
      <c r="BY87" s="765"/>
      <c r="BZ87" s="765"/>
      <c r="CA87" s="765"/>
      <c r="CB87" s="765"/>
      <c r="CC87" s="765"/>
      <c r="CD87" s="765"/>
      <c r="CE87" s="765"/>
      <c r="CF87" s="765"/>
      <c r="CG87" s="765"/>
      <c r="CH87" s="765"/>
      <c r="CI87" s="765"/>
      <c r="CJ87" s="765"/>
      <c r="CK87" s="765"/>
      <c r="CL87" s="765"/>
      <c r="CM87" s="765"/>
      <c r="CN87" s="765"/>
      <c r="CO87" s="765"/>
      <c r="CP87" s="765"/>
      <c r="CQ87" s="765"/>
      <c r="CR87" s="765"/>
      <c r="CS87" s="765"/>
      <c r="CT87" s="765"/>
      <c r="CU87" s="765"/>
      <c r="CV87" s="765"/>
      <c r="CW87" s="765"/>
      <c r="CX87" s="765"/>
      <c r="CY87" s="765"/>
      <c r="CZ87" s="765"/>
      <c r="DA87" s="765"/>
      <c r="DB87" s="765"/>
      <c r="DC87" s="765"/>
      <c r="DD87" s="765"/>
      <c r="DE87" s="765"/>
      <c r="DF87" s="765"/>
      <c r="DG87" s="765"/>
      <c r="DH87" s="765"/>
      <c r="DI87" s="765"/>
      <c r="DJ87" s="765"/>
      <c r="DK87" s="765"/>
      <c r="DL87" s="765"/>
      <c r="DM87" s="765"/>
      <c r="DN87" s="765"/>
      <c r="DO87" s="765"/>
      <c r="DP87" s="765"/>
      <c r="DQ87" s="765"/>
      <c r="DR87" s="765"/>
      <c r="DS87" s="765"/>
      <c r="DT87" s="765"/>
      <c r="DU87" s="765"/>
      <c r="DV87" s="765"/>
      <c r="DW87" s="765"/>
      <c r="DX87" s="765"/>
      <c r="DY87" s="765"/>
      <c r="DZ87" s="765"/>
      <c r="EA87" s="765"/>
      <c r="EB87" s="765"/>
      <c r="EC87" s="765"/>
      <c r="ED87" s="765"/>
      <c r="EE87" s="765"/>
      <c r="EF87" s="765"/>
      <c r="EG87" s="765"/>
      <c r="EH87" s="765"/>
      <c r="EI87" s="765"/>
      <c r="EJ87" s="765"/>
      <c r="EK87" s="765"/>
      <c r="EL87" s="765"/>
      <c r="EM87" s="765"/>
      <c r="EN87" s="765"/>
      <c r="EO87" s="765"/>
      <c r="EP87" s="765"/>
      <c r="EQ87" s="765"/>
      <c r="ER87" s="765"/>
      <c r="ES87" s="765"/>
      <c r="ET87" s="765"/>
      <c r="EU87" s="765"/>
      <c r="EV87" s="765"/>
      <c r="EW87" s="765"/>
      <c r="EX87" s="765"/>
      <c r="EY87" s="765"/>
      <c r="EZ87" s="765"/>
      <c r="FA87" s="765"/>
      <c r="FB87" s="765"/>
      <c r="FC87" s="765"/>
      <c r="FD87" s="765"/>
      <c r="FE87" s="765"/>
      <c r="FF87" s="765"/>
      <c r="FG87" s="765"/>
      <c r="FH87" s="765"/>
      <c r="FI87" s="765"/>
      <c r="FJ87" s="765"/>
      <c r="FK87" s="765"/>
      <c r="FL87" s="765"/>
      <c r="FM87" s="765"/>
      <c r="FN87" s="765"/>
      <c r="FO87" s="765"/>
      <c r="FP87" s="765"/>
      <c r="FQ87" s="765"/>
      <c r="FR87" s="765"/>
      <c r="FS87" s="765"/>
      <c r="FT87" s="765"/>
      <c r="FU87" s="765"/>
      <c r="FV87" s="765"/>
      <c r="FW87" s="765"/>
      <c r="FX87" s="765"/>
      <c r="FY87" s="765"/>
      <c r="FZ87" s="765"/>
      <c r="GA87" s="765"/>
      <c r="GB87" s="765"/>
      <c r="GC87" s="765"/>
      <c r="GD87" s="765"/>
      <c r="GE87" s="765"/>
      <c r="GF87" s="765"/>
      <c r="GG87" s="765"/>
      <c r="GH87" s="765"/>
      <c r="GI87" s="765"/>
      <c r="GJ87" s="765"/>
      <c r="GK87" s="765"/>
      <c r="GL87" s="765"/>
      <c r="GM87" s="765"/>
      <c r="GN87" s="765"/>
      <c r="GO87" s="765"/>
      <c r="GP87" s="765"/>
      <c r="GQ87" s="765"/>
      <c r="GR87" s="765"/>
      <c r="GS87" s="765"/>
      <c r="GT87" s="765"/>
      <c r="GU87" s="765"/>
      <c r="GV87" s="765"/>
      <c r="GW87" s="765"/>
      <c r="GX87" s="765"/>
      <c r="GY87" s="765"/>
      <c r="GZ87" s="765"/>
      <c r="HA87" s="765"/>
      <c r="HB87" s="765"/>
      <c r="HC87" s="765"/>
      <c r="HD87" s="765"/>
      <c r="HE87" s="765"/>
      <c r="HF87" s="765"/>
      <c r="HG87" s="765"/>
      <c r="HH87" s="765"/>
      <c r="HI87" s="765"/>
      <c r="HJ87" s="765"/>
      <c r="HK87" s="765"/>
      <c r="HL87" s="765"/>
      <c r="HM87" s="765"/>
      <c r="HN87" s="765"/>
      <c r="HO87" s="765"/>
      <c r="HP87" s="765"/>
    </row>
    <row r="88" spans="1:224" s="745" customFormat="1">
      <c r="A88" s="504"/>
      <c r="B88" s="785" t="s">
        <v>685</v>
      </c>
      <c r="C88" s="786" t="s">
        <v>306</v>
      </c>
      <c r="D88" s="498" t="s">
        <v>131</v>
      </c>
      <c r="E88" s="748"/>
      <c r="F88" s="784">
        <v>2</v>
      </c>
      <c r="G88" s="784"/>
      <c r="H88" s="784"/>
      <c r="I88" s="784"/>
      <c r="J88" s="784"/>
      <c r="K88" s="784"/>
      <c r="L88" s="784"/>
      <c r="M88" s="722"/>
      <c r="N88" s="765"/>
      <c r="O88" s="765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  <c r="AG88" s="765"/>
      <c r="AH88" s="765"/>
      <c r="AI88" s="765"/>
      <c r="AJ88" s="765"/>
      <c r="AK88" s="765"/>
      <c r="AL88" s="765"/>
      <c r="AM88" s="765"/>
      <c r="AN88" s="765"/>
      <c r="AO88" s="765"/>
      <c r="AP88" s="765"/>
      <c r="AQ88" s="765"/>
      <c r="AR88" s="765"/>
      <c r="AS88" s="765"/>
      <c r="AT88" s="765"/>
      <c r="AU88" s="765"/>
      <c r="AV88" s="765"/>
      <c r="AW88" s="765"/>
      <c r="AX88" s="765"/>
      <c r="AY88" s="765"/>
      <c r="AZ88" s="765"/>
      <c r="BA88" s="765"/>
      <c r="BB88" s="765"/>
      <c r="BC88" s="765"/>
      <c r="BD88" s="765"/>
      <c r="BE88" s="765"/>
      <c r="BF88" s="765"/>
      <c r="BG88" s="765"/>
      <c r="BH88" s="765"/>
      <c r="BI88" s="765"/>
      <c r="BJ88" s="765"/>
      <c r="BK88" s="765"/>
      <c r="BL88" s="765"/>
      <c r="BM88" s="765"/>
      <c r="BN88" s="765"/>
      <c r="BO88" s="765"/>
      <c r="BP88" s="765"/>
      <c r="BQ88" s="765"/>
      <c r="BR88" s="765"/>
      <c r="BS88" s="765"/>
      <c r="BT88" s="765"/>
      <c r="BU88" s="765"/>
      <c r="BV88" s="765"/>
      <c r="BW88" s="765"/>
      <c r="BX88" s="765"/>
      <c r="BY88" s="765"/>
      <c r="BZ88" s="765"/>
      <c r="CA88" s="765"/>
      <c r="CB88" s="765"/>
      <c r="CC88" s="765"/>
      <c r="CD88" s="765"/>
      <c r="CE88" s="765"/>
      <c r="CF88" s="765"/>
      <c r="CG88" s="765"/>
      <c r="CH88" s="765"/>
      <c r="CI88" s="765"/>
      <c r="CJ88" s="765"/>
      <c r="CK88" s="765"/>
      <c r="CL88" s="765"/>
      <c r="CM88" s="765"/>
      <c r="CN88" s="765"/>
      <c r="CO88" s="765"/>
      <c r="CP88" s="765"/>
      <c r="CQ88" s="765"/>
      <c r="CR88" s="765"/>
      <c r="CS88" s="765"/>
      <c r="CT88" s="765"/>
      <c r="CU88" s="765"/>
      <c r="CV88" s="765"/>
      <c r="CW88" s="765"/>
      <c r="CX88" s="765"/>
      <c r="CY88" s="765"/>
      <c r="CZ88" s="765"/>
      <c r="DA88" s="765"/>
      <c r="DB88" s="765"/>
      <c r="DC88" s="765"/>
      <c r="DD88" s="765"/>
      <c r="DE88" s="765"/>
      <c r="DF88" s="765"/>
      <c r="DG88" s="765"/>
      <c r="DH88" s="765"/>
      <c r="DI88" s="765"/>
      <c r="DJ88" s="765"/>
      <c r="DK88" s="765"/>
      <c r="DL88" s="765"/>
      <c r="DM88" s="765"/>
      <c r="DN88" s="765"/>
      <c r="DO88" s="765"/>
      <c r="DP88" s="765"/>
      <c r="DQ88" s="765"/>
      <c r="DR88" s="765"/>
      <c r="DS88" s="765"/>
      <c r="DT88" s="765"/>
      <c r="DU88" s="765"/>
      <c r="DV88" s="765"/>
      <c r="DW88" s="765"/>
      <c r="DX88" s="765"/>
      <c r="DY88" s="765"/>
      <c r="DZ88" s="765"/>
      <c r="EA88" s="765"/>
      <c r="EB88" s="765"/>
      <c r="EC88" s="765"/>
      <c r="ED88" s="765"/>
      <c r="EE88" s="765"/>
      <c r="EF88" s="765"/>
      <c r="EG88" s="765"/>
      <c r="EH88" s="765"/>
      <c r="EI88" s="765"/>
      <c r="EJ88" s="765"/>
      <c r="EK88" s="765"/>
      <c r="EL88" s="765"/>
      <c r="EM88" s="765"/>
      <c r="EN88" s="765"/>
      <c r="EO88" s="765"/>
      <c r="EP88" s="765"/>
      <c r="EQ88" s="765"/>
      <c r="ER88" s="765"/>
      <c r="ES88" s="765"/>
      <c r="ET88" s="765"/>
      <c r="EU88" s="765"/>
      <c r="EV88" s="765"/>
      <c r="EW88" s="765"/>
      <c r="EX88" s="765"/>
      <c r="EY88" s="765"/>
      <c r="EZ88" s="765"/>
      <c r="FA88" s="765"/>
      <c r="FB88" s="765"/>
      <c r="FC88" s="765"/>
      <c r="FD88" s="765"/>
      <c r="FE88" s="765"/>
      <c r="FF88" s="765"/>
      <c r="FG88" s="765"/>
      <c r="FH88" s="765"/>
      <c r="FI88" s="765"/>
      <c r="FJ88" s="765"/>
      <c r="FK88" s="765"/>
      <c r="FL88" s="765"/>
      <c r="FM88" s="765"/>
      <c r="FN88" s="765"/>
      <c r="FO88" s="765"/>
      <c r="FP88" s="765"/>
      <c r="FQ88" s="765"/>
      <c r="FR88" s="765"/>
      <c r="FS88" s="765"/>
      <c r="FT88" s="765"/>
      <c r="FU88" s="765"/>
      <c r="FV88" s="765"/>
      <c r="FW88" s="765"/>
      <c r="FX88" s="765"/>
      <c r="FY88" s="765"/>
      <c r="FZ88" s="765"/>
      <c r="GA88" s="765"/>
      <c r="GB88" s="765"/>
      <c r="GC88" s="765"/>
      <c r="GD88" s="765"/>
      <c r="GE88" s="765"/>
      <c r="GF88" s="765"/>
      <c r="GG88" s="765"/>
      <c r="GH88" s="765"/>
      <c r="GI88" s="765"/>
      <c r="GJ88" s="765"/>
      <c r="GK88" s="765"/>
      <c r="GL88" s="765"/>
      <c r="GM88" s="765"/>
      <c r="GN88" s="765"/>
      <c r="GO88" s="765"/>
      <c r="GP88" s="765"/>
      <c r="GQ88" s="765"/>
      <c r="GR88" s="765"/>
      <c r="GS88" s="765"/>
      <c r="GT88" s="765"/>
      <c r="GU88" s="765"/>
      <c r="GV88" s="765"/>
      <c r="GW88" s="765"/>
      <c r="GX88" s="765"/>
      <c r="GY88" s="765"/>
      <c r="GZ88" s="765"/>
      <c r="HA88" s="765"/>
      <c r="HB88" s="765"/>
      <c r="HC88" s="765"/>
      <c r="HD88" s="765"/>
      <c r="HE88" s="765"/>
      <c r="HF88" s="765"/>
      <c r="HG88" s="765"/>
      <c r="HH88" s="765"/>
      <c r="HI88" s="765"/>
      <c r="HJ88" s="765"/>
      <c r="HK88" s="765"/>
      <c r="HL88" s="765"/>
      <c r="HM88" s="765"/>
      <c r="HN88" s="765"/>
      <c r="HO88" s="765"/>
      <c r="HP88" s="765"/>
    </row>
    <row r="89" spans="1:224" s="745" customFormat="1">
      <c r="A89" s="504"/>
      <c r="B89" s="785" t="s">
        <v>470</v>
      </c>
      <c r="C89" s="786" t="s">
        <v>471</v>
      </c>
      <c r="D89" s="498" t="s">
        <v>110</v>
      </c>
      <c r="E89" s="748">
        <v>4</v>
      </c>
      <c r="F89" s="784">
        <f>F84*E89</f>
        <v>6.92</v>
      </c>
      <c r="G89" s="784"/>
      <c r="H89" s="784"/>
      <c r="I89" s="784"/>
      <c r="J89" s="784"/>
      <c r="K89" s="784"/>
      <c r="L89" s="784"/>
      <c r="M89" s="722"/>
      <c r="N89" s="765"/>
      <c r="O89" s="765"/>
      <c r="P89" s="765"/>
      <c r="Q89" s="765"/>
      <c r="R89" s="765"/>
      <c r="S89" s="765"/>
      <c r="T89" s="765"/>
      <c r="U89" s="765"/>
      <c r="V89" s="765"/>
      <c r="W89" s="765"/>
      <c r="X89" s="765"/>
      <c r="Y89" s="765"/>
      <c r="Z89" s="765"/>
      <c r="AA89" s="765"/>
      <c r="AB89" s="765"/>
      <c r="AC89" s="765"/>
      <c r="AD89" s="765"/>
      <c r="AE89" s="765"/>
      <c r="AF89" s="765"/>
      <c r="AG89" s="765"/>
      <c r="AH89" s="765"/>
      <c r="AI89" s="765"/>
      <c r="AJ89" s="765"/>
      <c r="AK89" s="765"/>
      <c r="AL89" s="765"/>
      <c r="AM89" s="765"/>
      <c r="AN89" s="765"/>
      <c r="AO89" s="765"/>
      <c r="AP89" s="765"/>
      <c r="AQ89" s="765"/>
      <c r="AR89" s="765"/>
      <c r="AS89" s="765"/>
      <c r="AT89" s="765"/>
      <c r="AU89" s="765"/>
      <c r="AV89" s="765"/>
      <c r="AW89" s="765"/>
      <c r="AX89" s="765"/>
      <c r="AY89" s="765"/>
      <c r="AZ89" s="765"/>
      <c r="BA89" s="765"/>
      <c r="BB89" s="765"/>
      <c r="BC89" s="765"/>
      <c r="BD89" s="765"/>
      <c r="BE89" s="765"/>
      <c r="BF89" s="765"/>
      <c r="BG89" s="765"/>
      <c r="BH89" s="765"/>
      <c r="BI89" s="765"/>
      <c r="BJ89" s="765"/>
      <c r="BK89" s="765"/>
      <c r="BL89" s="765"/>
      <c r="BM89" s="765"/>
      <c r="BN89" s="765"/>
      <c r="BO89" s="765"/>
      <c r="BP89" s="765"/>
      <c r="BQ89" s="765"/>
      <c r="BR89" s="765"/>
      <c r="BS89" s="765"/>
      <c r="BT89" s="765"/>
      <c r="BU89" s="765"/>
      <c r="BV89" s="765"/>
      <c r="BW89" s="765"/>
      <c r="BX89" s="765"/>
      <c r="BY89" s="765"/>
      <c r="BZ89" s="765"/>
      <c r="CA89" s="765"/>
      <c r="CB89" s="765"/>
      <c r="CC89" s="765"/>
      <c r="CD89" s="765"/>
      <c r="CE89" s="765"/>
      <c r="CF89" s="765"/>
      <c r="CG89" s="765"/>
      <c r="CH89" s="765"/>
      <c r="CI89" s="765"/>
      <c r="CJ89" s="765"/>
      <c r="CK89" s="765"/>
      <c r="CL89" s="765"/>
      <c r="CM89" s="765"/>
      <c r="CN89" s="765"/>
      <c r="CO89" s="765"/>
      <c r="CP89" s="765"/>
      <c r="CQ89" s="765"/>
      <c r="CR89" s="765"/>
      <c r="CS89" s="765"/>
      <c r="CT89" s="765"/>
      <c r="CU89" s="765"/>
      <c r="CV89" s="765"/>
      <c r="CW89" s="765"/>
      <c r="CX89" s="765"/>
      <c r="CY89" s="765"/>
      <c r="CZ89" s="765"/>
      <c r="DA89" s="765"/>
      <c r="DB89" s="765"/>
      <c r="DC89" s="765"/>
      <c r="DD89" s="765"/>
      <c r="DE89" s="765"/>
      <c r="DF89" s="765"/>
      <c r="DG89" s="765"/>
      <c r="DH89" s="765"/>
      <c r="DI89" s="765"/>
      <c r="DJ89" s="765"/>
      <c r="DK89" s="765"/>
      <c r="DL89" s="765"/>
      <c r="DM89" s="765"/>
      <c r="DN89" s="765"/>
      <c r="DO89" s="765"/>
      <c r="DP89" s="765"/>
      <c r="DQ89" s="765"/>
      <c r="DR89" s="765"/>
      <c r="DS89" s="765"/>
      <c r="DT89" s="765"/>
      <c r="DU89" s="765"/>
      <c r="DV89" s="765"/>
      <c r="DW89" s="765"/>
      <c r="DX89" s="765"/>
      <c r="DY89" s="765"/>
      <c r="DZ89" s="765"/>
      <c r="EA89" s="765"/>
      <c r="EB89" s="765"/>
      <c r="EC89" s="765"/>
      <c r="ED89" s="765"/>
      <c r="EE89" s="765"/>
      <c r="EF89" s="765"/>
      <c r="EG89" s="765"/>
      <c r="EH89" s="765"/>
      <c r="EI89" s="765"/>
      <c r="EJ89" s="765"/>
      <c r="EK89" s="765"/>
      <c r="EL89" s="765"/>
      <c r="EM89" s="765"/>
      <c r="EN89" s="765"/>
      <c r="EO89" s="765"/>
      <c r="EP89" s="765"/>
      <c r="EQ89" s="765"/>
      <c r="ER89" s="765"/>
      <c r="ES89" s="765"/>
      <c r="ET89" s="765"/>
      <c r="EU89" s="765"/>
      <c r="EV89" s="765"/>
      <c r="EW89" s="765"/>
      <c r="EX89" s="765"/>
      <c r="EY89" s="765"/>
      <c r="EZ89" s="765"/>
      <c r="FA89" s="765"/>
      <c r="FB89" s="765"/>
      <c r="FC89" s="765"/>
      <c r="FD89" s="765"/>
      <c r="FE89" s="765"/>
      <c r="FF89" s="765"/>
      <c r="FG89" s="765"/>
      <c r="FH89" s="765"/>
      <c r="FI89" s="765"/>
      <c r="FJ89" s="765"/>
      <c r="FK89" s="765"/>
      <c r="FL89" s="765"/>
      <c r="FM89" s="765"/>
      <c r="FN89" s="765"/>
      <c r="FO89" s="765"/>
      <c r="FP89" s="765"/>
      <c r="FQ89" s="765"/>
      <c r="FR89" s="765"/>
      <c r="FS89" s="765"/>
      <c r="FT89" s="765"/>
      <c r="FU89" s="765"/>
      <c r="FV89" s="765"/>
      <c r="FW89" s="765"/>
      <c r="FX89" s="765"/>
      <c r="FY89" s="765"/>
      <c r="FZ89" s="765"/>
      <c r="GA89" s="765"/>
      <c r="GB89" s="765"/>
      <c r="GC89" s="765"/>
      <c r="GD89" s="765"/>
      <c r="GE89" s="765"/>
      <c r="GF89" s="765"/>
      <c r="GG89" s="765"/>
      <c r="GH89" s="765"/>
      <c r="GI89" s="765"/>
      <c r="GJ89" s="765"/>
      <c r="GK89" s="765"/>
      <c r="GL89" s="765"/>
      <c r="GM89" s="765"/>
      <c r="GN89" s="765"/>
      <c r="GO89" s="765"/>
      <c r="GP89" s="765"/>
      <c r="GQ89" s="765"/>
      <c r="GR89" s="765"/>
      <c r="GS89" s="765"/>
      <c r="GT89" s="765"/>
      <c r="GU89" s="765"/>
      <c r="GV89" s="765"/>
      <c r="GW89" s="765"/>
      <c r="GX89" s="765"/>
      <c r="GY89" s="765"/>
      <c r="GZ89" s="765"/>
      <c r="HA89" s="765"/>
      <c r="HB89" s="765"/>
      <c r="HC89" s="765"/>
      <c r="HD89" s="765"/>
      <c r="HE89" s="765"/>
      <c r="HF89" s="765"/>
      <c r="HG89" s="765"/>
      <c r="HH89" s="765"/>
      <c r="HI89" s="765"/>
      <c r="HJ89" s="765"/>
      <c r="HK89" s="765"/>
      <c r="HL89" s="765"/>
      <c r="HM89" s="765"/>
      <c r="HN89" s="765"/>
      <c r="HO89" s="765"/>
      <c r="HP89" s="765"/>
    </row>
    <row r="90" spans="1:224" s="745" customFormat="1">
      <c r="A90" s="504"/>
      <c r="B90" s="774"/>
      <c r="C90" s="773" t="s">
        <v>201</v>
      </c>
      <c r="D90" s="498" t="s">
        <v>46</v>
      </c>
      <c r="E90" s="722">
        <f>5.4/100</f>
        <v>5.4000000000000006E-2</v>
      </c>
      <c r="F90" s="722">
        <f>F84*E90</f>
        <v>9.3420000000000017E-2</v>
      </c>
      <c r="G90" s="722"/>
      <c r="H90" s="722"/>
      <c r="I90" s="722"/>
      <c r="J90" s="722"/>
      <c r="K90" s="719"/>
      <c r="L90" s="719"/>
      <c r="M90" s="722"/>
      <c r="N90" s="765"/>
      <c r="O90" s="765"/>
      <c r="P90" s="765"/>
      <c r="Q90" s="765"/>
      <c r="R90" s="765"/>
      <c r="S90" s="765"/>
      <c r="T90" s="765"/>
      <c r="U90" s="765"/>
      <c r="V90" s="765"/>
      <c r="W90" s="765"/>
      <c r="X90" s="765"/>
      <c r="Y90" s="765"/>
      <c r="Z90" s="765"/>
      <c r="AA90" s="765"/>
      <c r="AB90" s="765"/>
      <c r="AC90" s="765"/>
      <c r="AD90" s="765"/>
      <c r="AE90" s="765"/>
      <c r="AF90" s="765"/>
      <c r="AG90" s="765"/>
      <c r="AH90" s="765"/>
      <c r="AI90" s="765"/>
      <c r="AJ90" s="765"/>
      <c r="AK90" s="765"/>
      <c r="AL90" s="765"/>
      <c r="AM90" s="765"/>
      <c r="AN90" s="765"/>
      <c r="AO90" s="765"/>
      <c r="AP90" s="765"/>
      <c r="AQ90" s="765"/>
      <c r="AR90" s="765"/>
      <c r="AS90" s="765"/>
      <c r="AT90" s="765"/>
      <c r="AU90" s="765"/>
      <c r="AV90" s="765"/>
      <c r="AW90" s="765"/>
      <c r="AX90" s="765"/>
      <c r="AY90" s="765"/>
      <c r="AZ90" s="765"/>
      <c r="BA90" s="765"/>
      <c r="BB90" s="765"/>
      <c r="BC90" s="765"/>
      <c r="BD90" s="765"/>
      <c r="BE90" s="765"/>
      <c r="BF90" s="765"/>
      <c r="BG90" s="765"/>
      <c r="BH90" s="765"/>
      <c r="BI90" s="765"/>
      <c r="BJ90" s="765"/>
      <c r="BK90" s="765"/>
      <c r="BL90" s="765"/>
      <c r="BM90" s="765"/>
      <c r="BN90" s="765"/>
      <c r="BO90" s="765"/>
      <c r="BP90" s="765"/>
      <c r="BQ90" s="765"/>
      <c r="BR90" s="765"/>
      <c r="BS90" s="765"/>
      <c r="BT90" s="765"/>
      <c r="BU90" s="765"/>
      <c r="BV90" s="765"/>
      <c r="BW90" s="765"/>
      <c r="BX90" s="765"/>
      <c r="BY90" s="765"/>
      <c r="BZ90" s="765"/>
      <c r="CA90" s="765"/>
      <c r="CB90" s="765"/>
      <c r="CC90" s="765"/>
      <c r="CD90" s="765"/>
      <c r="CE90" s="765"/>
      <c r="CF90" s="765"/>
      <c r="CG90" s="765"/>
      <c r="CH90" s="765"/>
      <c r="CI90" s="765"/>
      <c r="CJ90" s="765"/>
      <c r="CK90" s="765"/>
      <c r="CL90" s="765"/>
      <c r="CM90" s="765"/>
      <c r="CN90" s="765"/>
      <c r="CO90" s="765"/>
      <c r="CP90" s="765"/>
      <c r="CQ90" s="765"/>
      <c r="CR90" s="765"/>
      <c r="CS90" s="765"/>
      <c r="CT90" s="765"/>
      <c r="CU90" s="765"/>
      <c r="CV90" s="765"/>
      <c r="CW90" s="765"/>
      <c r="CX90" s="765"/>
      <c r="CY90" s="765"/>
      <c r="CZ90" s="765"/>
      <c r="DA90" s="765"/>
      <c r="DB90" s="765"/>
      <c r="DC90" s="765"/>
      <c r="DD90" s="765"/>
      <c r="DE90" s="765"/>
      <c r="DF90" s="765"/>
      <c r="DG90" s="765"/>
      <c r="DH90" s="765"/>
      <c r="DI90" s="765"/>
      <c r="DJ90" s="765"/>
      <c r="DK90" s="765"/>
      <c r="DL90" s="765"/>
      <c r="DM90" s="765"/>
      <c r="DN90" s="765"/>
      <c r="DO90" s="765"/>
      <c r="DP90" s="765"/>
      <c r="DQ90" s="765"/>
      <c r="DR90" s="765"/>
      <c r="DS90" s="765"/>
      <c r="DT90" s="765"/>
      <c r="DU90" s="765"/>
      <c r="DV90" s="765"/>
      <c r="DW90" s="765"/>
      <c r="DX90" s="765"/>
      <c r="DY90" s="765"/>
      <c r="DZ90" s="765"/>
      <c r="EA90" s="765"/>
      <c r="EB90" s="765"/>
      <c r="EC90" s="765"/>
      <c r="ED90" s="765"/>
      <c r="EE90" s="765"/>
      <c r="EF90" s="765"/>
      <c r="EG90" s="765"/>
      <c r="EH90" s="765"/>
      <c r="EI90" s="765"/>
      <c r="EJ90" s="765"/>
      <c r="EK90" s="765"/>
      <c r="EL90" s="765"/>
      <c r="EM90" s="765"/>
      <c r="EN90" s="765"/>
      <c r="EO90" s="765"/>
      <c r="EP90" s="765"/>
      <c r="EQ90" s="765"/>
      <c r="ER90" s="765"/>
      <c r="ES90" s="765"/>
      <c r="ET90" s="765"/>
      <c r="EU90" s="765"/>
      <c r="EV90" s="765"/>
      <c r="EW90" s="765"/>
      <c r="EX90" s="765"/>
      <c r="EY90" s="765"/>
      <c r="EZ90" s="765"/>
      <c r="FA90" s="765"/>
      <c r="FB90" s="765"/>
      <c r="FC90" s="765"/>
      <c r="FD90" s="765"/>
      <c r="FE90" s="765"/>
      <c r="FF90" s="765"/>
      <c r="FG90" s="765"/>
      <c r="FH90" s="765"/>
      <c r="FI90" s="765"/>
      <c r="FJ90" s="765"/>
      <c r="FK90" s="765"/>
      <c r="FL90" s="765"/>
      <c r="FM90" s="765"/>
      <c r="FN90" s="765"/>
      <c r="FO90" s="765"/>
      <c r="FP90" s="765"/>
      <c r="FQ90" s="765"/>
      <c r="FR90" s="765"/>
      <c r="FS90" s="765"/>
      <c r="FT90" s="765"/>
      <c r="FU90" s="765"/>
      <c r="FV90" s="765"/>
      <c r="FW90" s="765"/>
      <c r="FX90" s="765"/>
      <c r="FY90" s="765"/>
      <c r="FZ90" s="765"/>
      <c r="GA90" s="765"/>
      <c r="GB90" s="765"/>
      <c r="GC90" s="765"/>
      <c r="GD90" s="765"/>
      <c r="GE90" s="765"/>
      <c r="GF90" s="765"/>
      <c r="GG90" s="765"/>
      <c r="GH90" s="765"/>
      <c r="GI90" s="765"/>
      <c r="GJ90" s="765"/>
      <c r="GK90" s="765"/>
      <c r="GL90" s="765"/>
      <c r="GM90" s="765"/>
      <c r="GN90" s="765"/>
      <c r="GO90" s="765"/>
      <c r="GP90" s="765"/>
      <c r="GQ90" s="765"/>
      <c r="GR90" s="765"/>
      <c r="GS90" s="765"/>
      <c r="GT90" s="765"/>
      <c r="GU90" s="765"/>
      <c r="GV90" s="765"/>
      <c r="GW90" s="765"/>
      <c r="GX90" s="765"/>
      <c r="GY90" s="765"/>
      <c r="GZ90" s="765"/>
      <c r="HA90" s="765"/>
      <c r="HB90" s="765"/>
      <c r="HC90" s="765"/>
      <c r="HD90" s="765"/>
      <c r="HE90" s="765"/>
      <c r="HF90" s="765"/>
      <c r="HG90" s="765"/>
      <c r="HH90" s="765"/>
      <c r="HI90" s="765"/>
      <c r="HJ90" s="765"/>
      <c r="HK90" s="765"/>
      <c r="HL90" s="765"/>
      <c r="HM90" s="765"/>
      <c r="HN90" s="765"/>
      <c r="HO90" s="765"/>
      <c r="HP90" s="765"/>
    </row>
    <row r="91" spans="1:224" s="745" customFormat="1">
      <c r="A91" s="492">
        <v>15</v>
      </c>
      <c r="B91" s="563" t="s">
        <v>580</v>
      </c>
      <c r="C91" s="787" t="s">
        <v>472</v>
      </c>
      <c r="D91" s="492" t="s">
        <v>304</v>
      </c>
      <c r="E91" s="776"/>
      <c r="F91" s="719">
        <f>2.4*0.9</f>
        <v>2.16</v>
      </c>
      <c r="G91" s="719"/>
      <c r="H91" s="721"/>
      <c r="I91" s="721"/>
      <c r="J91" s="721"/>
      <c r="K91" s="721"/>
      <c r="L91" s="721"/>
      <c r="M91" s="721"/>
      <c r="N91" s="741"/>
      <c r="O91" s="741"/>
      <c r="P91" s="741"/>
      <c r="Q91" s="741"/>
      <c r="R91" s="741"/>
      <c r="S91" s="741"/>
      <c r="T91" s="741"/>
      <c r="U91" s="741"/>
      <c r="V91" s="741"/>
      <c r="W91" s="741"/>
      <c r="X91" s="741"/>
      <c r="Y91" s="741"/>
      <c r="Z91" s="741"/>
      <c r="AA91" s="741"/>
      <c r="AB91" s="741"/>
      <c r="AC91" s="741"/>
      <c r="AD91" s="741"/>
      <c r="AE91" s="741"/>
      <c r="AF91" s="741"/>
      <c r="AG91" s="741"/>
      <c r="AH91" s="741"/>
      <c r="AI91" s="741"/>
      <c r="AJ91" s="741"/>
      <c r="AK91" s="741"/>
      <c r="AL91" s="741"/>
      <c r="AM91" s="741"/>
      <c r="AN91" s="741"/>
      <c r="AO91" s="741"/>
      <c r="AP91" s="741"/>
      <c r="AQ91" s="741"/>
      <c r="AR91" s="741"/>
      <c r="AS91" s="741"/>
      <c r="AT91" s="741"/>
      <c r="AU91" s="741"/>
      <c r="AV91" s="741"/>
      <c r="AW91" s="741"/>
      <c r="AX91" s="741"/>
      <c r="AY91" s="741"/>
      <c r="AZ91" s="741"/>
      <c r="BA91" s="741"/>
      <c r="BB91" s="741"/>
      <c r="BC91" s="741"/>
      <c r="BD91" s="741"/>
      <c r="BE91" s="741"/>
      <c r="BF91" s="741"/>
      <c r="BG91" s="741"/>
      <c r="BH91" s="741"/>
      <c r="BI91" s="741"/>
      <c r="BJ91" s="741"/>
      <c r="BK91" s="741"/>
      <c r="BL91" s="741"/>
      <c r="BM91" s="741"/>
      <c r="BN91" s="741"/>
      <c r="BO91" s="741"/>
      <c r="BP91" s="741"/>
      <c r="BQ91" s="741"/>
      <c r="BR91" s="741"/>
      <c r="BS91" s="741"/>
      <c r="BT91" s="741"/>
      <c r="BU91" s="741"/>
      <c r="BV91" s="741"/>
      <c r="BW91" s="741"/>
      <c r="BX91" s="741"/>
      <c r="BY91" s="741"/>
      <c r="BZ91" s="741"/>
      <c r="CA91" s="741"/>
      <c r="CB91" s="741"/>
      <c r="CC91" s="741"/>
      <c r="CD91" s="741"/>
      <c r="CE91" s="741"/>
      <c r="CF91" s="741"/>
      <c r="CG91" s="741"/>
      <c r="CH91" s="741"/>
      <c r="CI91" s="741"/>
      <c r="CJ91" s="741"/>
      <c r="CK91" s="741"/>
      <c r="CL91" s="741"/>
      <c r="CM91" s="741"/>
      <c r="CN91" s="741"/>
      <c r="CO91" s="741"/>
      <c r="CP91" s="741"/>
      <c r="CQ91" s="741"/>
      <c r="CR91" s="741"/>
      <c r="CS91" s="741"/>
      <c r="CT91" s="741"/>
      <c r="CU91" s="741"/>
      <c r="CV91" s="741"/>
      <c r="CW91" s="741"/>
      <c r="CX91" s="741"/>
      <c r="CY91" s="741"/>
      <c r="CZ91" s="741"/>
      <c r="DA91" s="741"/>
      <c r="DB91" s="741"/>
      <c r="DC91" s="741"/>
      <c r="DD91" s="741"/>
      <c r="DE91" s="741"/>
      <c r="DF91" s="741"/>
      <c r="DG91" s="741"/>
      <c r="DH91" s="741"/>
      <c r="DI91" s="741"/>
      <c r="DJ91" s="741"/>
      <c r="DK91" s="741"/>
      <c r="DL91" s="741"/>
      <c r="DM91" s="741"/>
      <c r="DN91" s="741"/>
      <c r="DO91" s="741"/>
      <c r="DP91" s="741"/>
      <c r="DQ91" s="741"/>
      <c r="DR91" s="741"/>
      <c r="DS91" s="741"/>
      <c r="DT91" s="741"/>
      <c r="DU91" s="741"/>
      <c r="DV91" s="741"/>
      <c r="DW91" s="741"/>
      <c r="DX91" s="741"/>
      <c r="DY91" s="741"/>
      <c r="DZ91" s="741"/>
      <c r="EA91" s="741"/>
      <c r="EB91" s="741"/>
      <c r="EC91" s="741"/>
      <c r="ED91" s="741"/>
      <c r="EE91" s="741"/>
      <c r="EF91" s="741"/>
      <c r="EG91" s="741"/>
      <c r="EH91" s="741"/>
      <c r="EI91" s="741"/>
      <c r="EJ91" s="741"/>
      <c r="EK91" s="741"/>
      <c r="EL91" s="741"/>
      <c r="EM91" s="741"/>
      <c r="EN91" s="741"/>
      <c r="EO91" s="741"/>
      <c r="EP91" s="741"/>
      <c r="EQ91" s="741"/>
      <c r="ER91" s="741"/>
      <c r="ES91" s="741"/>
      <c r="ET91" s="741"/>
      <c r="EU91" s="741"/>
      <c r="EV91" s="741"/>
      <c r="EW91" s="741"/>
      <c r="EX91" s="741"/>
      <c r="EY91" s="741"/>
      <c r="EZ91" s="741"/>
      <c r="FA91" s="741"/>
      <c r="FB91" s="741"/>
      <c r="FC91" s="741"/>
      <c r="FD91" s="741"/>
      <c r="FE91" s="741"/>
      <c r="FF91" s="741"/>
      <c r="FG91" s="741"/>
      <c r="FH91" s="741"/>
      <c r="FI91" s="741"/>
      <c r="FJ91" s="741"/>
      <c r="FK91" s="741"/>
      <c r="FL91" s="741"/>
      <c r="FM91" s="741"/>
      <c r="FN91" s="741"/>
      <c r="FO91" s="741"/>
      <c r="FP91" s="741"/>
      <c r="FQ91" s="741"/>
      <c r="FR91" s="741"/>
      <c r="FS91" s="741"/>
      <c r="FT91" s="741"/>
      <c r="FU91" s="741"/>
      <c r="FV91" s="741"/>
      <c r="FW91" s="741"/>
      <c r="FX91" s="741"/>
      <c r="FY91" s="741"/>
      <c r="FZ91" s="741"/>
      <c r="GA91" s="741"/>
      <c r="GB91" s="741"/>
      <c r="GC91" s="741"/>
      <c r="GD91" s="741"/>
      <c r="GE91" s="741"/>
      <c r="GF91" s="741"/>
      <c r="GG91" s="741"/>
      <c r="GH91" s="741"/>
      <c r="GI91" s="741"/>
      <c r="GJ91" s="741"/>
      <c r="GK91" s="741"/>
      <c r="GL91" s="741"/>
      <c r="GM91" s="741"/>
      <c r="GN91" s="741"/>
      <c r="GO91" s="741"/>
      <c r="GP91" s="741"/>
      <c r="GQ91" s="741"/>
      <c r="GR91" s="741"/>
      <c r="GS91" s="741"/>
      <c r="GT91" s="741"/>
      <c r="GU91" s="741"/>
      <c r="GV91" s="741"/>
      <c r="GW91" s="741"/>
      <c r="GX91" s="741"/>
      <c r="GY91" s="741"/>
      <c r="GZ91" s="741"/>
      <c r="HA91" s="741"/>
      <c r="HB91" s="741"/>
      <c r="HC91" s="741"/>
      <c r="HD91" s="741"/>
      <c r="HE91" s="741"/>
      <c r="HF91" s="741"/>
      <c r="HG91" s="741"/>
      <c r="HH91" s="741"/>
      <c r="HI91" s="741"/>
      <c r="HJ91" s="741"/>
      <c r="HK91" s="741"/>
      <c r="HL91" s="741"/>
      <c r="HM91" s="741"/>
      <c r="HN91" s="741"/>
      <c r="HO91" s="741"/>
      <c r="HP91" s="741"/>
    </row>
    <row r="92" spans="1:224" s="745" customFormat="1">
      <c r="A92" s="504"/>
      <c r="B92" s="772"/>
      <c r="C92" s="773" t="s">
        <v>280</v>
      </c>
      <c r="D92" s="498" t="s">
        <v>63</v>
      </c>
      <c r="E92" s="722">
        <v>1.1100000000000001</v>
      </c>
      <c r="F92" s="722">
        <f>F91*E92</f>
        <v>2.3976000000000002</v>
      </c>
      <c r="G92" s="722"/>
      <c r="H92" s="722"/>
      <c r="I92" s="722"/>
      <c r="J92" s="722"/>
      <c r="K92" s="722"/>
      <c r="L92" s="722"/>
      <c r="M92" s="722"/>
      <c r="N92" s="752"/>
      <c r="O92" s="752"/>
      <c r="P92" s="752"/>
      <c r="Q92" s="752"/>
      <c r="R92" s="752"/>
      <c r="S92" s="752"/>
      <c r="T92" s="752"/>
      <c r="U92" s="752"/>
      <c r="V92" s="752"/>
      <c r="W92" s="752"/>
      <c r="X92" s="752"/>
      <c r="Y92" s="752"/>
      <c r="Z92" s="752"/>
      <c r="AA92" s="752"/>
      <c r="AB92" s="752"/>
      <c r="AC92" s="752"/>
      <c r="AD92" s="752"/>
      <c r="AE92" s="752"/>
      <c r="AF92" s="752"/>
      <c r="AG92" s="752"/>
      <c r="AH92" s="752"/>
      <c r="AI92" s="752"/>
      <c r="AJ92" s="752"/>
      <c r="AK92" s="752"/>
      <c r="AL92" s="752"/>
      <c r="AM92" s="752"/>
      <c r="AN92" s="752"/>
      <c r="AO92" s="752"/>
      <c r="AP92" s="752"/>
      <c r="AQ92" s="752"/>
      <c r="AR92" s="752"/>
      <c r="AS92" s="752"/>
      <c r="AT92" s="752"/>
      <c r="AU92" s="752"/>
      <c r="AV92" s="752"/>
      <c r="AW92" s="752"/>
      <c r="AX92" s="752"/>
      <c r="AY92" s="752"/>
      <c r="AZ92" s="752"/>
      <c r="BA92" s="752"/>
      <c r="BB92" s="752"/>
      <c r="BC92" s="752"/>
      <c r="BD92" s="752"/>
      <c r="BE92" s="752"/>
      <c r="BF92" s="752"/>
      <c r="BG92" s="752"/>
      <c r="BH92" s="752"/>
      <c r="BI92" s="752"/>
      <c r="BJ92" s="752"/>
      <c r="BK92" s="752"/>
      <c r="BL92" s="752"/>
      <c r="BM92" s="752"/>
      <c r="BN92" s="752"/>
      <c r="BO92" s="752"/>
      <c r="BP92" s="752"/>
      <c r="BQ92" s="752"/>
      <c r="BR92" s="752"/>
      <c r="BS92" s="752"/>
      <c r="BT92" s="752"/>
      <c r="BU92" s="752"/>
      <c r="BV92" s="752"/>
      <c r="BW92" s="752"/>
      <c r="BX92" s="752"/>
      <c r="BY92" s="752"/>
      <c r="BZ92" s="752"/>
      <c r="CA92" s="752"/>
      <c r="CB92" s="752"/>
      <c r="CC92" s="752"/>
      <c r="CD92" s="752"/>
      <c r="CE92" s="752"/>
      <c r="CF92" s="752"/>
      <c r="CG92" s="752"/>
      <c r="CH92" s="752"/>
      <c r="CI92" s="752"/>
      <c r="CJ92" s="752"/>
      <c r="CK92" s="752"/>
      <c r="CL92" s="752"/>
      <c r="CM92" s="752"/>
      <c r="CN92" s="752"/>
      <c r="CO92" s="752"/>
      <c r="CP92" s="752"/>
      <c r="CQ92" s="752"/>
      <c r="CR92" s="752"/>
      <c r="CS92" s="752"/>
      <c r="CT92" s="752"/>
      <c r="CU92" s="752"/>
      <c r="CV92" s="752"/>
      <c r="CW92" s="752"/>
      <c r="CX92" s="752"/>
      <c r="CY92" s="752"/>
      <c r="CZ92" s="752"/>
      <c r="DA92" s="752"/>
      <c r="DB92" s="752"/>
      <c r="DC92" s="752"/>
      <c r="DD92" s="752"/>
      <c r="DE92" s="752"/>
      <c r="DF92" s="752"/>
      <c r="DG92" s="752"/>
      <c r="DH92" s="752"/>
      <c r="DI92" s="752"/>
      <c r="DJ92" s="752"/>
      <c r="DK92" s="752"/>
      <c r="DL92" s="752"/>
      <c r="DM92" s="752"/>
      <c r="DN92" s="752"/>
      <c r="DO92" s="752"/>
      <c r="DP92" s="752"/>
      <c r="DQ92" s="752"/>
      <c r="DR92" s="752"/>
      <c r="DS92" s="752"/>
      <c r="DT92" s="752"/>
      <c r="DU92" s="752"/>
      <c r="DV92" s="752"/>
      <c r="DW92" s="752"/>
      <c r="DX92" s="752"/>
      <c r="DY92" s="752"/>
      <c r="DZ92" s="752"/>
      <c r="EA92" s="752"/>
      <c r="EB92" s="752"/>
      <c r="EC92" s="752"/>
      <c r="ED92" s="752"/>
      <c r="EE92" s="752"/>
      <c r="EF92" s="752"/>
      <c r="EG92" s="752"/>
      <c r="EH92" s="752"/>
      <c r="EI92" s="752"/>
      <c r="EJ92" s="752"/>
      <c r="EK92" s="752"/>
      <c r="EL92" s="752"/>
      <c r="EM92" s="752"/>
      <c r="EN92" s="752"/>
      <c r="EO92" s="752"/>
      <c r="EP92" s="752"/>
      <c r="EQ92" s="752"/>
      <c r="ER92" s="752"/>
      <c r="ES92" s="752"/>
      <c r="ET92" s="752"/>
      <c r="EU92" s="752"/>
      <c r="EV92" s="752"/>
      <c r="EW92" s="752"/>
      <c r="EX92" s="752"/>
      <c r="EY92" s="752"/>
      <c r="EZ92" s="752"/>
      <c r="FA92" s="752"/>
      <c r="FB92" s="752"/>
      <c r="FC92" s="752"/>
      <c r="FD92" s="752"/>
      <c r="FE92" s="752"/>
      <c r="FF92" s="752"/>
      <c r="FG92" s="752"/>
      <c r="FH92" s="752"/>
      <c r="FI92" s="752"/>
      <c r="FJ92" s="752"/>
      <c r="FK92" s="752"/>
      <c r="FL92" s="752"/>
      <c r="FM92" s="752"/>
      <c r="FN92" s="752"/>
      <c r="FO92" s="752"/>
      <c r="FP92" s="752"/>
      <c r="FQ92" s="752"/>
      <c r="FR92" s="752"/>
      <c r="FS92" s="752"/>
      <c r="FT92" s="752"/>
      <c r="FU92" s="752"/>
      <c r="FV92" s="752"/>
      <c r="FW92" s="752"/>
      <c r="FX92" s="752"/>
      <c r="FY92" s="752"/>
      <c r="FZ92" s="752"/>
      <c r="GA92" s="752"/>
      <c r="GB92" s="752"/>
      <c r="GC92" s="752"/>
      <c r="GD92" s="752"/>
      <c r="GE92" s="752"/>
      <c r="GF92" s="752"/>
      <c r="GG92" s="752"/>
      <c r="GH92" s="752"/>
      <c r="GI92" s="752"/>
      <c r="GJ92" s="752"/>
      <c r="GK92" s="752"/>
      <c r="GL92" s="752"/>
      <c r="GM92" s="752"/>
      <c r="GN92" s="752"/>
      <c r="GO92" s="752"/>
      <c r="GP92" s="752"/>
      <c r="GQ92" s="752"/>
      <c r="GR92" s="752"/>
      <c r="GS92" s="752"/>
      <c r="GT92" s="752"/>
      <c r="GU92" s="752"/>
      <c r="GV92" s="752"/>
      <c r="GW92" s="752"/>
      <c r="GX92" s="752"/>
      <c r="GY92" s="752"/>
      <c r="GZ92" s="752"/>
      <c r="HA92" s="752"/>
      <c r="HB92" s="752"/>
      <c r="HC92" s="752"/>
      <c r="HD92" s="752"/>
      <c r="HE92" s="752"/>
      <c r="HF92" s="752"/>
      <c r="HG92" s="752"/>
      <c r="HH92" s="752"/>
      <c r="HI92" s="752"/>
      <c r="HJ92" s="752"/>
      <c r="HK92" s="752"/>
      <c r="HL92" s="752"/>
      <c r="HM92" s="752"/>
      <c r="HN92" s="752"/>
      <c r="HO92" s="752"/>
      <c r="HP92" s="752"/>
    </row>
    <row r="93" spans="1:224" s="745" customFormat="1">
      <c r="A93" s="492"/>
      <c r="B93" s="627"/>
      <c r="C93" s="773" t="s">
        <v>295</v>
      </c>
      <c r="D93" s="498" t="s">
        <v>46</v>
      </c>
      <c r="E93" s="753">
        <v>0.51600000000000001</v>
      </c>
      <c r="F93" s="722">
        <f>F91*E93</f>
        <v>1.11456</v>
      </c>
      <c r="G93" s="722"/>
      <c r="H93" s="722"/>
      <c r="I93" s="722"/>
      <c r="J93" s="722"/>
      <c r="K93" s="722"/>
      <c r="L93" s="722"/>
      <c r="M93" s="722"/>
      <c r="N93" s="752"/>
      <c r="O93" s="752"/>
      <c r="P93" s="752"/>
      <c r="Q93" s="752"/>
      <c r="R93" s="752"/>
      <c r="S93" s="752"/>
      <c r="T93" s="752"/>
      <c r="U93" s="752"/>
      <c r="V93" s="752"/>
      <c r="W93" s="752"/>
      <c r="X93" s="752"/>
      <c r="Y93" s="752"/>
      <c r="Z93" s="752"/>
      <c r="AA93" s="752"/>
      <c r="AB93" s="752"/>
      <c r="AC93" s="752"/>
      <c r="AD93" s="752"/>
      <c r="AE93" s="752"/>
      <c r="AF93" s="752"/>
      <c r="AG93" s="752"/>
      <c r="AH93" s="752"/>
      <c r="AI93" s="752"/>
      <c r="AJ93" s="752"/>
      <c r="AK93" s="752"/>
      <c r="AL93" s="752"/>
      <c r="AM93" s="752"/>
      <c r="AN93" s="752"/>
      <c r="AO93" s="752"/>
      <c r="AP93" s="752"/>
      <c r="AQ93" s="752"/>
      <c r="AR93" s="752"/>
      <c r="AS93" s="752"/>
      <c r="AT93" s="752"/>
      <c r="AU93" s="752"/>
      <c r="AV93" s="752"/>
      <c r="AW93" s="752"/>
      <c r="AX93" s="752"/>
      <c r="AY93" s="752"/>
      <c r="AZ93" s="752"/>
      <c r="BA93" s="752"/>
      <c r="BB93" s="752"/>
      <c r="BC93" s="752"/>
      <c r="BD93" s="752"/>
      <c r="BE93" s="752"/>
      <c r="BF93" s="752"/>
      <c r="BG93" s="752"/>
      <c r="BH93" s="752"/>
      <c r="BI93" s="752"/>
      <c r="BJ93" s="752"/>
      <c r="BK93" s="752"/>
      <c r="BL93" s="752"/>
      <c r="BM93" s="752"/>
      <c r="BN93" s="752"/>
      <c r="BO93" s="752"/>
      <c r="BP93" s="752"/>
      <c r="BQ93" s="752"/>
      <c r="BR93" s="752"/>
      <c r="BS93" s="752"/>
      <c r="BT93" s="752"/>
      <c r="BU93" s="752"/>
      <c r="BV93" s="752"/>
      <c r="BW93" s="752"/>
      <c r="BX93" s="752"/>
      <c r="BY93" s="752"/>
      <c r="BZ93" s="752"/>
      <c r="CA93" s="752"/>
      <c r="CB93" s="752"/>
      <c r="CC93" s="752"/>
      <c r="CD93" s="752"/>
      <c r="CE93" s="752"/>
      <c r="CF93" s="752"/>
      <c r="CG93" s="752"/>
      <c r="CH93" s="752"/>
      <c r="CI93" s="752"/>
      <c r="CJ93" s="752"/>
      <c r="CK93" s="752"/>
      <c r="CL93" s="752"/>
      <c r="CM93" s="752"/>
      <c r="CN93" s="752"/>
      <c r="CO93" s="752"/>
      <c r="CP93" s="752"/>
      <c r="CQ93" s="752"/>
      <c r="CR93" s="752"/>
      <c r="CS93" s="752"/>
      <c r="CT93" s="752"/>
      <c r="CU93" s="752"/>
      <c r="CV93" s="752"/>
      <c r="CW93" s="752"/>
      <c r="CX93" s="752"/>
      <c r="CY93" s="752"/>
      <c r="CZ93" s="752"/>
      <c r="DA93" s="752"/>
      <c r="DB93" s="752"/>
      <c r="DC93" s="752"/>
      <c r="DD93" s="752"/>
      <c r="DE93" s="752"/>
      <c r="DF93" s="752"/>
      <c r="DG93" s="752"/>
      <c r="DH93" s="752"/>
      <c r="DI93" s="752"/>
      <c r="DJ93" s="752"/>
      <c r="DK93" s="752"/>
      <c r="DL93" s="752"/>
      <c r="DM93" s="752"/>
      <c r="DN93" s="752"/>
      <c r="DO93" s="752"/>
      <c r="DP93" s="752"/>
      <c r="DQ93" s="752"/>
      <c r="DR93" s="752"/>
      <c r="DS93" s="752"/>
      <c r="DT93" s="752"/>
      <c r="DU93" s="752"/>
      <c r="DV93" s="752"/>
      <c r="DW93" s="752"/>
      <c r="DX93" s="752"/>
      <c r="DY93" s="752"/>
      <c r="DZ93" s="752"/>
      <c r="EA93" s="752"/>
      <c r="EB93" s="752"/>
      <c r="EC93" s="752"/>
      <c r="ED93" s="752"/>
      <c r="EE93" s="752"/>
      <c r="EF93" s="752"/>
      <c r="EG93" s="752"/>
      <c r="EH93" s="752"/>
      <c r="EI93" s="752"/>
      <c r="EJ93" s="752"/>
      <c r="EK93" s="752"/>
      <c r="EL93" s="752"/>
      <c r="EM93" s="752"/>
      <c r="EN93" s="752"/>
      <c r="EO93" s="752"/>
      <c r="EP93" s="752"/>
      <c r="EQ93" s="752"/>
      <c r="ER93" s="752"/>
      <c r="ES93" s="752"/>
      <c r="ET93" s="752"/>
      <c r="EU93" s="752"/>
      <c r="EV93" s="752"/>
      <c r="EW93" s="752"/>
      <c r="EX93" s="752"/>
      <c r="EY93" s="752"/>
      <c r="EZ93" s="752"/>
      <c r="FA93" s="752"/>
      <c r="FB93" s="752"/>
      <c r="FC93" s="752"/>
      <c r="FD93" s="752"/>
      <c r="FE93" s="752"/>
      <c r="FF93" s="752"/>
      <c r="FG93" s="752"/>
      <c r="FH93" s="752"/>
      <c r="FI93" s="752"/>
      <c r="FJ93" s="752"/>
      <c r="FK93" s="752"/>
      <c r="FL93" s="752"/>
      <c r="FM93" s="752"/>
      <c r="FN93" s="752"/>
      <c r="FO93" s="752"/>
      <c r="FP93" s="752"/>
      <c r="FQ93" s="752"/>
      <c r="FR93" s="752"/>
      <c r="FS93" s="752"/>
      <c r="FT93" s="752"/>
      <c r="FU93" s="752"/>
      <c r="FV93" s="752"/>
      <c r="FW93" s="752"/>
      <c r="FX93" s="752"/>
      <c r="FY93" s="752"/>
      <c r="FZ93" s="752"/>
      <c r="GA93" s="752"/>
      <c r="GB93" s="752"/>
      <c r="GC93" s="752"/>
      <c r="GD93" s="752"/>
      <c r="GE93" s="752"/>
      <c r="GF93" s="752"/>
      <c r="GG93" s="752"/>
      <c r="GH93" s="752"/>
      <c r="GI93" s="752"/>
      <c r="GJ93" s="752"/>
      <c r="GK93" s="752"/>
      <c r="GL93" s="752"/>
      <c r="GM93" s="752"/>
      <c r="GN93" s="752"/>
      <c r="GO93" s="752"/>
      <c r="GP93" s="752"/>
      <c r="GQ93" s="752"/>
      <c r="GR93" s="752"/>
      <c r="GS93" s="752"/>
      <c r="GT93" s="752"/>
      <c r="GU93" s="752"/>
      <c r="GV93" s="752"/>
      <c r="GW93" s="752"/>
      <c r="GX93" s="752"/>
      <c r="GY93" s="752"/>
      <c r="GZ93" s="752"/>
      <c r="HA93" s="752"/>
      <c r="HB93" s="752"/>
      <c r="HC93" s="752"/>
      <c r="HD93" s="752"/>
      <c r="HE93" s="752"/>
      <c r="HF93" s="752"/>
      <c r="HG93" s="752"/>
      <c r="HH93" s="752"/>
      <c r="HI93" s="752"/>
      <c r="HJ93" s="752"/>
      <c r="HK93" s="752"/>
      <c r="HL93" s="752"/>
      <c r="HM93" s="752"/>
      <c r="HN93" s="752"/>
      <c r="HO93" s="752"/>
      <c r="HP93" s="752"/>
    </row>
    <row r="94" spans="1:224" s="745" customFormat="1">
      <c r="A94" s="492"/>
      <c r="B94" s="635" t="s">
        <v>689</v>
      </c>
      <c r="C94" s="726" t="s">
        <v>307</v>
      </c>
      <c r="D94" s="494" t="s">
        <v>48</v>
      </c>
      <c r="E94" s="722">
        <f>100/100</f>
        <v>1</v>
      </c>
      <c r="F94" s="722">
        <f>F91*E94</f>
        <v>2.16</v>
      </c>
      <c r="G94" s="722"/>
      <c r="H94" s="722"/>
      <c r="I94" s="722"/>
      <c r="J94" s="722"/>
      <c r="K94" s="722"/>
      <c r="L94" s="722"/>
      <c r="M94" s="722"/>
      <c r="N94" s="752"/>
      <c r="O94" s="752"/>
      <c r="P94" s="752"/>
      <c r="Q94" s="752"/>
      <c r="R94" s="752"/>
      <c r="S94" s="752"/>
      <c r="T94" s="752"/>
      <c r="U94" s="752"/>
      <c r="V94" s="752"/>
      <c r="W94" s="752"/>
      <c r="X94" s="752"/>
      <c r="Y94" s="752"/>
      <c r="Z94" s="752"/>
      <c r="AA94" s="752"/>
      <c r="AB94" s="752"/>
      <c r="AC94" s="752"/>
      <c r="AD94" s="752"/>
      <c r="AE94" s="752"/>
      <c r="AF94" s="752"/>
      <c r="AG94" s="752"/>
      <c r="AH94" s="752"/>
      <c r="AI94" s="752"/>
      <c r="AJ94" s="752"/>
      <c r="AK94" s="752"/>
      <c r="AL94" s="752"/>
      <c r="AM94" s="752"/>
      <c r="AN94" s="752"/>
      <c r="AO94" s="752"/>
      <c r="AP94" s="752"/>
      <c r="AQ94" s="752"/>
      <c r="AR94" s="752"/>
      <c r="AS94" s="752"/>
      <c r="AT94" s="752"/>
      <c r="AU94" s="752"/>
      <c r="AV94" s="752"/>
      <c r="AW94" s="752"/>
      <c r="AX94" s="752"/>
      <c r="AY94" s="752"/>
      <c r="AZ94" s="752"/>
      <c r="BA94" s="752"/>
      <c r="BB94" s="752"/>
      <c r="BC94" s="752"/>
      <c r="BD94" s="752"/>
      <c r="BE94" s="752"/>
      <c r="BF94" s="752"/>
      <c r="BG94" s="752"/>
      <c r="BH94" s="752"/>
      <c r="BI94" s="752"/>
      <c r="BJ94" s="752"/>
      <c r="BK94" s="752"/>
      <c r="BL94" s="752"/>
      <c r="BM94" s="752"/>
      <c r="BN94" s="752"/>
      <c r="BO94" s="752"/>
      <c r="BP94" s="752"/>
      <c r="BQ94" s="752"/>
      <c r="BR94" s="752"/>
      <c r="BS94" s="752"/>
      <c r="BT94" s="752"/>
      <c r="BU94" s="752"/>
      <c r="BV94" s="752"/>
      <c r="BW94" s="752"/>
      <c r="BX94" s="752"/>
      <c r="BY94" s="752"/>
      <c r="BZ94" s="752"/>
      <c r="CA94" s="752"/>
      <c r="CB94" s="752"/>
      <c r="CC94" s="752"/>
      <c r="CD94" s="752"/>
      <c r="CE94" s="752"/>
      <c r="CF94" s="752"/>
      <c r="CG94" s="752"/>
      <c r="CH94" s="752"/>
      <c r="CI94" s="752"/>
      <c r="CJ94" s="752"/>
      <c r="CK94" s="752"/>
      <c r="CL94" s="752"/>
      <c r="CM94" s="752"/>
      <c r="CN94" s="752"/>
      <c r="CO94" s="752"/>
      <c r="CP94" s="752"/>
      <c r="CQ94" s="752"/>
      <c r="CR94" s="752"/>
      <c r="CS94" s="752"/>
      <c r="CT94" s="752"/>
      <c r="CU94" s="752"/>
      <c r="CV94" s="752"/>
      <c r="CW94" s="752"/>
      <c r="CX94" s="752"/>
      <c r="CY94" s="752"/>
      <c r="CZ94" s="752"/>
      <c r="DA94" s="752"/>
      <c r="DB94" s="752"/>
      <c r="DC94" s="752"/>
      <c r="DD94" s="752"/>
      <c r="DE94" s="752"/>
      <c r="DF94" s="752"/>
      <c r="DG94" s="752"/>
      <c r="DH94" s="752"/>
      <c r="DI94" s="752"/>
      <c r="DJ94" s="752"/>
      <c r="DK94" s="752"/>
      <c r="DL94" s="752"/>
      <c r="DM94" s="752"/>
      <c r="DN94" s="752"/>
      <c r="DO94" s="752"/>
      <c r="DP94" s="752"/>
      <c r="DQ94" s="752"/>
      <c r="DR94" s="752"/>
      <c r="DS94" s="752"/>
      <c r="DT94" s="752"/>
      <c r="DU94" s="752"/>
      <c r="DV94" s="752"/>
      <c r="DW94" s="752"/>
      <c r="DX94" s="752"/>
      <c r="DY94" s="752"/>
      <c r="DZ94" s="752"/>
      <c r="EA94" s="752"/>
      <c r="EB94" s="752"/>
      <c r="EC94" s="752"/>
      <c r="ED94" s="752"/>
      <c r="EE94" s="752"/>
      <c r="EF94" s="752"/>
      <c r="EG94" s="752"/>
      <c r="EH94" s="752"/>
      <c r="EI94" s="752"/>
      <c r="EJ94" s="752"/>
      <c r="EK94" s="752"/>
      <c r="EL94" s="752"/>
      <c r="EM94" s="752"/>
      <c r="EN94" s="752"/>
      <c r="EO94" s="752"/>
      <c r="EP94" s="752"/>
      <c r="EQ94" s="752"/>
      <c r="ER94" s="752"/>
      <c r="ES94" s="752"/>
      <c r="ET94" s="752"/>
      <c r="EU94" s="752"/>
      <c r="EV94" s="752"/>
      <c r="EW94" s="752"/>
      <c r="EX94" s="752"/>
      <c r="EY94" s="752"/>
      <c r="EZ94" s="752"/>
      <c r="FA94" s="752"/>
      <c r="FB94" s="752"/>
      <c r="FC94" s="752"/>
      <c r="FD94" s="752"/>
      <c r="FE94" s="752"/>
      <c r="FF94" s="752"/>
      <c r="FG94" s="752"/>
      <c r="FH94" s="752"/>
      <c r="FI94" s="752"/>
      <c r="FJ94" s="752"/>
      <c r="FK94" s="752"/>
      <c r="FL94" s="752"/>
      <c r="FM94" s="752"/>
      <c r="FN94" s="752"/>
      <c r="FO94" s="752"/>
      <c r="FP94" s="752"/>
      <c r="FQ94" s="752"/>
      <c r="FR94" s="752"/>
      <c r="FS94" s="752"/>
      <c r="FT94" s="752"/>
      <c r="FU94" s="752"/>
      <c r="FV94" s="752"/>
      <c r="FW94" s="752"/>
      <c r="FX94" s="752"/>
      <c r="FY94" s="752"/>
      <c r="FZ94" s="752"/>
      <c r="GA94" s="752"/>
      <c r="GB94" s="752"/>
      <c r="GC94" s="752"/>
      <c r="GD94" s="752"/>
      <c r="GE94" s="752"/>
      <c r="GF94" s="752"/>
      <c r="GG94" s="752"/>
      <c r="GH94" s="752"/>
      <c r="GI94" s="752"/>
      <c r="GJ94" s="752"/>
      <c r="GK94" s="752"/>
      <c r="GL94" s="752"/>
      <c r="GM94" s="752"/>
      <c r="GN94" s="752"/>
      <c r="GO94" s="752"/>
      <c r="GP94" s="752"/>
      <c r="GQ94" s="752"/>
      <c r="GR94" s="752"/>
      <c r="GS94" s="752"/>
      <c r="GT94" s="752"/>
      <c r="GU94" s="752"/>
      <c r="GV94" s="752"/>
      <c r="GW94" s="752"/>
      <c r="GX94" s="752"/>
      <c r="GY94" s="752"/>
      <c r="GZ94" s="752"/>
      <c r="HA94" s="752"/>
      <c r="HB94" s="752"/>
      <c r="HC94" s="752"/>
      <c r="HD94" s="752"/>
      <c r="HE94" s="752"/>
      <c r="HF94" s="752"/>
      <c r="HG94" s="752"/>
      <c r="HH94" s="752"/>
      <c r="HI94" s="752"/>
      <c r="HJ94" s="752"/>
      <c r="HK94" s="752"/>
      <c r="HL94" s="752"/>
      <c r="HM94" s="752"/>
      <c r="HN94" s="752"/>
      <c r="HO94" s="752"/>
      <c r="HP94" s="752"/>
    </row>
    <row r="95" spans="1:224" s="745" customFormat="1">
      <c r="A95" s="504"/>
      <c r="B95" s="785" t="s">
        <v>470</v>
      </c>
      <c r="C95" s="786" t="s">
        <v>471</v>
      </c>
      <c r="D95" s="498" t="s">
        <v>198</v>
      </c>
      <c r="E95" s="722">
        <f>6/100</f>
        <v>0.06</v>
      </c>
      <c r="F95" s="722">
        <f>F91*E95</f>
        <v>0.12959999999999999</v>
      </c>
      <c r="G95" s="784"/>
      <c r="H95" s="722"/>
      <c r="I95" s="722"/>
      <c r="J95" s="722"/>
      <c r="K95" s="722"/>
      <c r="L95" s="722"/>
      <c r="M95" s="722"/>
      <c r="N95" s="765"/>
      <c r="O95" s="765"/>
      <c r="P95" s="765"/>
      <c r="Q95" s="765"/>
      <c r="R95" s="765"/>
      <c r="S95" s="765"/>
      <c r="T95" s="765"/>
      <c r="U95" s="765"/>
      <c r="V95" s="765"/>
      <c r="W95" s="765"/>
      <c r="X95" s="765"/>
      <c r="Y95" s="765"/>
      <c r="Z95" s="765"/>
      <c r="AA95" s="765"/>
      <c r="AB95" s="765"/>
      <c r="AC95" s="765"/>
      <c r="AD95" s="765"/>
      <c r="AE95" s="765"/>
      <c r="AF95" s="765"/>
      <c r="AG95" s="765"/>
      <c r="AH95" s="765"/>
      <c r="AI95" s="765"/>
      <c r="AJ95" s="765"/>
      <c r="AK95" s="765"/>
      <c r="AL95" s="765"/>
      <c r="AM95" s="765"/>
      <c r="AN95" s="765"/>
      <c r="AO95" s="765"/>
      <c r="AP95" s="765"/>
      <c r="AQ95" s="765"/>
      <c r="AR95" s="765"/>
      <c r="AS95" s="765"/>
      <c r="AT95" s="765"/>
      <c r="AU95" s="765"/>
      <c r="AV95" s="765"/>
      <c r="AW95" s="765"/>
      <c r="AX95" s="765"/>
      <c r="AY95" s="765"/>
      <c r="AZ95" s="765"/>
      <c r="BA95" s="765"/>
      <c r="BB95" s="765"/>
      <c r="BC95" s="765"/>
      <c r="BD95" s="765"/>
      <c r="BE95" s="765"/>
      <c r="BF95" s="765"/>
      <c r="BG95" s="765"/>
      <c r="BH95" s="765"/>
      <c r="BI95" s="765"/>
      <c r="BJ95" s="765"/>
      <c r="BK95" s="765"/>
      <c r="BL95" s="765"/>
      <c r="BM95" s="765"/>
      <c r="BN95" s="765"/>
      <c r="BO95" s="765"/>
      <c r="BP95" s="765"/>
      <c r="BQ95" s="765"/>
      <c r="BR95" s="765"/>
      <c r="BS95" s="765"/>
      <c r="BT95" s="765"/>
      <c r="BU95" s="765"/>
      <c r="BV95" s="765"/>
      <c r="BW95" s="765"/>
      <c r="BX95" s="765"/>
      <c r="BY95" s="765"/>
      <c r="BZ95" s="765"/>
      <c r="CA95" s="765"/>
      <c r="CB95" s="765"/>
      <c r="CC95" s="765"/>
      <c r="CD95" s="765"/>
      <c r="CE95" s="765"/>
      <c r="CF95" s="765"/>
      <c r="CG95" s="765"/>
      <c r="CH95" s="765"/>
      <c r="CI95" s="765"/>
      <c r="CJ95" s="765"/>
      <c r="CK95" s="765"/>
      <c r="CL95" s="765"/>
      <c r="CM95" s="765"/>
      <c r="CN95" s="765"/>
      <c r="CO95" s="765"/>
      <c r="CP95" s="765"/>
      <c r="CQ95" s="765"/>
      <c r="CR95" s="765"/>
      <c r="CS95" s="765"/>
      <c r="CT95" s="765"/>
      <c r="CU95" s="765"/>
      <c r="CV95" s="765"/>
      <c r="CW95" s="765"/>
      <c r="CX95" s="765"/>
      <c r="CY95" s="765"/>
      <c r="CZ95" s="765"/>
      <c r="DA95" s="765"/>
      <c r="DB95" s="765"/>
      <c r="DC95" s="765"/>
      <c r="DD95" s="765"/>
      <c r="DE95" s="765"/>
      <c r="DF95" s="765"/>
      <c r="DG95" s="765"/>
      <c r="DH95" s="765"/>
      <c r="DI95" s="765"/>
      <c r="DJ95" s="765"/>
      <c r="DK95" s="765"/>
      <c r="DL95" s="765"/>
      <c r="DM95" s="765"/>
      <c r="DN95" s="765"/>
      <c r="DO95" s="765"/>
      <c r="DP95" s="765"/>
      <c r="DQ95" s="765"/>
      <c r="DR95" s="765"/>
      <c r="DS95" s="765"/>
      <c r="DT95" s="765"/>
      <c r="DU95" s="765"/>
      <c r="DV95" s="765"/>
      <c r="DW95" s="765"/>
      <c r="DX95" s="765"/>
      <c r="DY95" s="765"/>
      <c r="DZ95" s="765"/>
      <c r="EA95" s="765"/>
      <c r="EB95" s="765"/>
      <c r="EC95" s="765"/>
      <c r="ED95" s="765"/>
      <c r="EE95" s="765"/>
      <c r="EF95" s="765"/>
      <c r="EG95" s="765"/>
      <c r="EH95" s="765"/>
      <c r="EI95" s="765"/>
      <c r="EJ95" s="765"/>
      <c r="EK95" s="765"/>
      <c r="EL95" s="765"/>
      <c r="EM95" s="765"/>
      <c r="EN95" s="765"/>
      <c r="EO95" s="765"/>
      <c r="EP95" s="765"/>
      <c r="EQ95" s="765"/>
      <c r="ER95" s="765"/>
      <c r="ES95" s="765"/>
      <c r="ET95" s="765"/>
      <c r="EU95" s="765"/>
      <c r="EV95" s="765"/>
      <c r="EW95" s="765"/>
      <c r="EX95" s="765"/>
      <c r="EY95" s="765"/>
      <c r="EZ95" s="765"/>
      <c r="FA95" s="765"/>
      <c r="FB95" s="765"/>
      <c r="FC95" s="765"/>
      <c r="FD95" s="765"/>
      <c r="FE95" s="765"/>
      <c r="FF95" s="765"/>
      <c r="FG95" s="765"/>
      <c r="FH95" s="765"/>
      <c r="FI95" s="765"/>
      <c r="FJ95" s="765"/>
      <c r="FK95" s="765"/>
      <c r="FL95" s="765"/>
      <c r="FM95" s="765"/>
      <c r="FN95" s="765"/>
      <c r="FO95" s="765"/>
      <c r="FP95" s="765"/>
      <c r="FQ95" s="765"/>
      <c r="FR95" s="765"/>
      <c r="FS95" s="765"/>
      <c r="FT95" s="765"/>
      <c r="FU95" s="765"/>
      <c r="FV95" s="765"/>
      <c r="FW95" s="765"/>
      <c r="FX95" s="765"/>
      <c r="FY95" s="765"/>
      <c r="FZ95" s="765"/>
      <c r="GA95" s="765"/>
      <c r="GB95" s="765"/>
      <c r="GC95" s="765"/>
      <c r="GD95" s="765"/>
      <c r="GE95" s="765"/>
      <c r="GF95" s="765"/>
      <c r="GG95" s="765"/>
      <c r="GH95" s="765"/>
      <c r="GI95" s="765"/>
      <c r="GJ95" s="765"/>
      <c r="GK95" s="765"/>
      <c r="GL95" s="765"/>
      <c r="GM95" s="765"/>
      <c r="GN95" s="765"/>
      <c r="GO95" s="765"/>
      <c r="GP95" s="765"/>
      <c r="GQ95" s="765"/>
      <c r="GR95" s="765"/>
      <c r="GS95" s="765"/>
      <c r="GT95" s="765"/>
      <c r="GU95" s="765"/>
      <c r="GV95" s="765"/>
      <c r="GW95" s="765"/>
      <c r="GX95" s="765"/>
      <c r="GY95" s="765"/>
      <c r="GZ95" s="765"/>
      <c r="HA95" s="765"/>
      <c r="HB95" s="765"/>
      <c r="HC95" s="765"/>
      <c r="HD95" s="765"/>
      <c r="HE95" s="765"/>
      <c r="HF95" s="765"/>
      <c r="HG95" s="765"/>
      <c r="HH95" s="765"/>
      <c r="HI95" s="765"/>
      <c r="HJ95" s="765"/>
      <c r="HK95" s="765"/>
      <c r="HL95" s="765"/>
      <c r="HM95" s="765"/>
      <c r="HN95" s="765"/>
      <c r="HO95" s="765"/>
      <c r="HP95" s="765"/>
    </row>
    <row r="96" spans="1:224" s="745" customFormat="1">
      <c r="A96" s="494"/>
      <c r="B96" s="635"/>
      <c r="C96" s="773" t="s">
        <v>201</v>
      </c>
      <c r="D96" s="498" t="s">
        <v>46</v>
      </c>
      <c r="E96" s="722">
        <f>2.7/100</f>
        <v>2.7000000000000003E-2</v>
      </c>
      <c r="F96" s="722">
        <f>F93*E96</f>
        <v>3.0093120000000004E-2</v>
      </c>
      <c r="G96" s="722"/>
      <c r="H96" s="722"/>
      <c r="I96" s="722"/>
      <c r="J96" s="722"/>
      <c r="K96" s="719"/>
      <c r="L96" s="719"/>
      <c r="M96" s="722"/>
      <c r="N96" s="752"/>
      <c r="O96" s="752"/>
      <c r="P96" s="752"/>
      <c r="Q96" s="752"/>
      <c r="R96" s="752"/>
      <c r="S96" s="752"/>
      <c r="T96" s="752"/>
      <c r="U96" s="752"/>
      <c r="V96" s="752"/>
      <c r="W96" s="752"/>
      <c r="X96" s="752"/>
      <c r="Y96" s="752"/>
      <c r="Z96" s="752"/>
      <c r="AA96" s="752"/>
      <c r="AB96" s="752"/>
      <c r="AC96" s="752"/>
      <c r="AD96" s="752"/>
      <c r="AE96" s="752"/>
      <c r="AF96" s="752"/>
      <c r="AG96" s="752"/>
      <c r="AH96" s="752"/>
      <c r="AI96" s="752"/>
      <c r="AJ96" s="752"/>
      <c r="AK96" s="752"/>
      <c r="AL96" s="752"/>
      <c r="AM96" s="752"/>
      <c r="AN96" s="752"/>
      <c r="AO96" s="752"/>
      <c r="AP96" s="752"/>
      <c r="AQ96" s="752"/>
      <c r="AR96" s="752"/>
      <c r="AS96" s="752"/>
      <c r="AT96" s="752"/>
      <c r="AU96" s="752"/>
      <c r="AV96" s="752"/>
      <c r="AW96" s="752"/>
      <c r="AX96" s="752"/>
      <c r="AY96" s="752"/>
      <c r="AZ96" s="752"/>
      <c r="BA96" s="752"/>
      <c r="BB96" s="752"/>
      <c r="BC96" s="752"/>
      <c r="BD96" s="752"/>
      <c r="BE96" s="752"/>
      <c r="BF96" s="752"/>
      <c r="BG96" s="752"/>
      <c r="BH96" s="752"/>
      <c r="BI96" s="752"/>
      <c r="BJ96" s="752"/>
      <c r="BK96" s="752"/>
      <c r="BL96" s="752"/>
      <c r="BM96" s="752"/>
      <c r="BN96" s="752"/>
      <c r="BO96" s="752"/>
      <c r="BP96" s="752"/>
      <c r="BQ96" s="752"/>
      <c r="BR96" s="752"/>
      <c r="BS96" s="752"/>
      <c r="BT96" s="752"/>
      <c r="BU96" s="752"/>
      <c r="BV96" s="752"/>
      <c r="BW96" s="752"/>
      <c r="BX96" s="752"/>
      <c r="BY96" s="752"/>
      <c r="BZ96" s="752"/>
      <c r="CA96" s="752"/>
      <c r="CB96" s="752"/>
      <c r="CC96" s="752"/>
      <c r="CD96" s="752"/>
      <c r="CE96" s="752"/>
      <c r="CF96" s="752"/>
      <c r="CG96" s="752"/>
      <c r="CH96" s="752"/>
      <c r="CI96" s="752"/>
      <c r="CJ96" s="752"/>
      <c r="CK96" s="752"/>
      <c r="CL96" s="752"/>
      <c r="CM96" s="752"/>
      <c r="CN96" s="752"/>
      <c r="CO96" s="752"/>
      <c r="CP96" s="752"/>
      <c r="CQ96" s="752"/>
      <c r="CR96" s="752"/>
      <c r="CS96" s="752"/>
      <c r="CT96" s="752"/>
      <c r="CU96" s="752"/>
      <c r="CV96" s="752"/>
      <c r="CW96" s="752"/>
      <c r="CX96" s="752"/>
      <c r="CY96" s="752"/>
      <c r="CZ96" s="752"/>
      <c r="DA96" s="752"/>
      <c r="DB96" s="752"/>
      <c r="DC96" s="752"/>
      <c r="DD96" s="752"/>
      <c r="DE96" s="752"/>
      <c r="DF96" s="752"/>
      <c r="DG96" s="752"/>
      <c r="DH96" s="752"/>
      <c r="DI96" s="752"/>
      <c r="DJ96" s="752"/>
      <c r="DK96" s="752"/>
      <c r="DL96" s="752"/>
      <c r="DM96" s="752"/>
      <c r="DN96" s="752"/>
      <c r="DO96" s="752"/>
      <c r="DP96" s="752"/>
      <c r="DQ96" s="752"/>
      <c r="DR96" s="752"/>
      <c r="DS96" s="752"/>
      <c r="DT96" s="752"/>
      <c r="DU96" s="752"/>
      <c r="DV96" s="752"/>
      <c r="DW96" s="752"/>
      <c r="DX96" s="752"/>
      <c r="DY96" s="752"/>
      <c r="DZ96" s="752"/>
      <c r="EA96" s="752"/>
      <c r="EB96" s="752"/>
      <c r="EC96" s="752"/>
      <c r="ED96" s="752"/>
      <c r="EE96" s="752"/>
      <c r="EF96" s="752"/>
      <c r="EG96" s="752"/>
      <c r="EH96" s="752"/>
      <c r="EI96" s="752"/>
      <c r="EJ96" s="752"/>
      <c r="EK96" s="752"/>
      <c r="EL96" s="752"/>
      <c r="EM96" s="752"/>
      <c r="EN96" s="752"/>
      <c r="EO96" s="752"/>
      <c r="EP96" s="752"/>
      <c r="EQ96" s="752"/>
      <c r="ER96" s="752"/>
      <c r="ES96" s="752"/>
      <c r="ET96" s="752"/>
      <c r="EU96" s="752"/>
      <c r="EV96" s="752"/>
      <c r="EW96" s="752"/>
      <c r="EX96" s="752"/>
      <c r="EY96" s="752"/>
      <c r="EZ96" s="752"/>
      <c r="FA96" s="752"/>
      <c r="FB96" s="752"/>
      <c r="FC96" s="752"/>
      <c r="FD96" s="752"/>
      <c r="FE96" s="752"/>
      <c r="FF96" s="752"/>
      <c r="FG96" s="752"/>
      <c r="FH96" s="752"/>
      <c r="FI96" s="752"/>
      <c r="FJ96" s="752"/>
      <c r="FK96" s="752"/>
      <c r="FL96" s="752"/>
      <c r="FM96" s="752"/>
      <c r="FN96" s="752"/>
      <c r="FO96" s="752"/>
      <c r="FP96" s="752"/>
      <c r="FQ96" s="752"/>
      <c r="FR96" s="752"/>
      <c r="FS96" s="752"/>
      <c r="FT96" s="752"/>
      <c r="FU96" s="752"/>
      <c r="FV96" s="752"/>
      <c r="FW96" s="752"/>
      <c r="FX96" s="752"/>
      <c r="FY96" s="752"/>
      <c r="FZ96" s="752"/>
      <c r="GA96" s="752"/>
      <c r="GB96" s="752"/>
      <c r="GC96" s="752"/>
      <c r="GD96" s="752"/>
      <c r="GE96" s="752"/>
      <c r="GF96" s="752"/>
      <c r="GG96" s="752"/>
      <c r="GH96" s="752"/>
      <c r="GI96" s="752"/>
      <c r="GJ96" s="752"/>
      <c r="GK96" s="752"/>
      <c r="GL96" s="752"/>
      <c r="GM96" s="752"/>
      <c r="GN96" s="752"/>
      <c r="GO96" s="752"/>
      <c r="GP96" s="752"/>
      <c r="GQ96" s="752"/>
      <c r="GR96" s="752"/>
      <c r="GS96" s="752"/>
      <c r="GT96" s="752"/>
      <c r="GU96" s="752"/>
      <c r="GV96" s="752"/>
      <c r="GW96" s="752"/>
      <c r="GX96" s="752"/>
      <c r="GY96" s="752"/>
      <c r="GZ96" s="752"/>
      <c r="HA96" s="752"/>
      <c r="HB96" s="752"/>
      <c r="HC96" s="752"/>
      <c r="HD96" s="752"/>
      <c r="HE96" s="752"/>
      <c r="HF96" s="752"/>
      <c r="HG96" s="752"/>
      <c r="HH96" s="752"/>
      <c r="HI96" s="752"/>
      <c r="HJ96" s="752"/>
      <c r="HK96" s="752"/>
      <c r="HL96" s="752"/>
      <c r="HM96" s="752"/>
      <c r="HN96" s="752"/>
      <c r="HO96" s="752"/>
      <c r="HP96" s="752"/>
    </row>
    <row r="97" spans="1:224" s="745" customFormat="1">
      <c r="A97" s="504">
        <v>16</v>
      </c>
      <c r="B97" s="502" t="s">
        <v>204</v>
      </c>
      <c r="C97" s="720" t="s">
        <v>308</v>
      </c>
      <c r="D97" s="504" t="s">
        <v>48</v>
      </c>
      <c r="E97" s="775"/>
      <c r="F97" s="776">
        <v>37.200000000000003</v>
      </c>
      <c r="G97" s="776"/>
      <c r="H97" s="776"/>
      <c r="I97" s="721"/>
      <c r="J97" s="719"/>
      <c r="K97" s="776"/>
      <c r="L97" s="776"/>
      <c r="M97" s="721"/>
      <c r="N97" s="777"/>
      <c r="O97" s="777"/>
      <c r="P97" s="777"/>
      <c r="Q97" s="777"/>
      <c r="R97" s="777"/>
      <c r="S97" s="777"/>
      <c r="T97" s="777"/>
      <c r="U97" s="777"/>
      <c r="V97" s="777"/>
      <c r="W97" s="777"/>
      <c r="X97" s="777"/>
      <c r="Y97" s="777"/>
      <c r="Z97" s="777"/>
      <c r="AA97" s="777"/>
      <c r="AB97" s="777"/>
      <c r="AC97" s="777"/>
      <c r="AD97" s="777"/>
      <c r="AE97" s="777"/>
      <c r="AF97" s="777"/>
      <c r="AG97" s="777"/>
      <c r="AH97" s="777"/>
      <c r="AI97" s="777"/>
      <c r="AJ97" s="777"/>
      <c r="AK97" s="777"/>
      <c r="AL97" s="777"/>
      <c r="AM97" s="777"/>
      <c r="AN97" s="777"/>
      <c r="AO97" s="777"/>
      <c r="AP97" s="777"/>
      <c r="AQ97" s="777"/>
      <c r="AR97" s="777"/>
      <c r="AS97" s="777"/>
      <c r="AT97" s="777"/>
      <c r="AU97" s="777"/>
      <c r="AV97" s="777"/>
      <c r="AW97" s="777"/>
      <c r="AX97" s="777"/>
      <c r="AY97" s="777"/>
      <c r="AZ97" s="777"/>
      <c r="BA97" s="777"/>
      <c r="BB97" s="777"/>
      <c r="BC97" s="777"/>
      <c r="BD97" s="777"/>
      <c r="BE97" s="777"/>
      <c r="BF97" s="777"/>
      <c r="BG97" s="777"/>
      <c r="BH97" s="777"/>
      <c r="BI97" s="777"/>
      <c r="BJ97" s="777"/>
      <c r="BK97" s="777"/>
      <c r="BL97" s="777"/>
      <c r="BM97" s="777"/>
      <c r="BN97" s="777"/>
      <c r="BO97" s="777"/>
      <c r="BP97" s="777"/>
      <c r="BQ97" s="777"/>
      <c r="BR97" s="777"/>
      <c r="BS97" s="777"/>
      <c r="BT97" s="777"/>
      <c r="BU97" s="777"/>
      <c r="BV97" s="777"/>
      <c r="BW97" s="777"/>
      <c r="BX97" s="777"/>
      <c r="BY97" s="777"/>
      <c r="BZ97" s="777"/>
      <c r="CA97" s="777"/>
      <c r="CB97" s="777"/>
      <c r="CC97" s="777"/>
      <c r="CD97" s="777"/>
      <c r="CE97" s="777"/>
      <c r="CF97" s="777"/>
      <c r="CG97" s="777"/>
      <c r="CH97" s="777"/>
      <c r="CI97" s="777"/>
      <c r="CJ97" s="777"/>
      <c r="CK97" s="777"/>
      <c r="CL97" s="777"/>
      <c r="CM97" s="777"/>
      <c r="CN97" s="777"/>
      <c r="CO97" s="777"/>
      <c r="CP97" s="777"/>
      <c r="CQ97" s="777"/>
      <c r="CR97" s="777"/>
      <c r="CS97" s="777"/>
      <c r="CT97" s="777"/>
      <c r="CU97" s="777"/>
      <c r="CV97" s="777"/>
      <c r="CW97" s="777"/>
      <c r="CX97" s="777"/>
      <c r="CY97" s="777"/>
      <c r="CZ97" s="777"/>
      <c r="DA97" s="777"/>
      <c r="DB97" s="777"/>
      <c r="DC97" s="777"/>
      <c r="DD97" s="777"/>
      <c r="DE97" s="777"/>
      <c r="DF97" s="777"/>
      <c r="DG97" s="777"/>
      <c r="DH97" s="777"/>
      <c r="DI97" s="777"/>
      <c r="DJ97" s="777"/>
      <c r="DK97" s="777"/>
      <c r="DL97" s="777"/>
      <c r="DM97" s="777"/>
      <c r="DN97" s="777"/>
      <c r="DO97" s="777"/>
      <c r="DP97" s="777"/>
      <c r="DQ97" s="777"/>
      <c r="DR97" s="777"/>
      <c r="DS97" s="777"/>
      <c r="DT97" s="777"/>
      <c r="DU97" s="777"/>
      <c r="DV97" s="777"/>
      <c r="DW97" s="777"/>
      <c r="DX97" s="777"/>
      <c r="DY97" s="777"/>
      <c r="DZ97" s="777"/>
      <c r="EA97" s="777"/>
      <c r="EB97" s="777"/>
      <c r="EC97" s="777"/>
      <c r="ED97" s="777"/>
      <c r="EE97" s="777"/>
      <c r="EF97" s="777"/>
      <c r="EG97" s="777"/>
      <c r="EH97" s="777"/>
      <c r="EI97" s="777"/>
      <c r="EJ97" s="777"/>
      <c r="EK97" s="777"/>
      <c r="EL97" s="777"/>
      <c r="EM97" s="777"/>
      <c r="EN97" s="777"/>
      <c r="EO97" s="777"/>
      <c r="EP97" s="777"/>
      <c r="EQ97" s="777"/>
      <c r="ER97" s="777"/>
      <c r="ES97" s="777"/>
      <c r="ET97" s="777"/>
      <c r="EU97" s="777"/>
      <c r="EV97" s="777"/>
      <c r="EW97" s="777"/>
      <c r="EX97" s="777"/>
      <c r="EY97" s="777"/>
      <c r="EZ97" s="777"/>
      <c r="FA97" s="777"/>
      <c r="FB97" s="777"/>
      <c r="FC97" s="777"/>
      <c r="FD97" s="777"/>
      <c r="FE97" s="777"/>
      <c r="FF97" s="777"/>
      <c r="FG97" s="777"/>
      <c r="FH97" s="777"/>
      <c r="FI97" s="777"/>
      <c r="FJ97" s="777"/>
      <c r="FK97" s="777"/>
      <c r="FL97" s="777"/>
      <c r="FM97" s="777"/>
      <c r="FN97" s="777"/>
      <c r="FO97" s="777"/>
      <c r="FP97" s="777"/>
      <c r="FQ97" s="777"/>
      <c r="FR97" s="777"/>
      <c r="FS97" s="777"/>
      <c r="FT97" s="777"/>
      <c r="FU97" s="777"/>
      <c r="FV97" s="777"/>
      <c r="FW97" s="777"/>
      <c r="FX97" s="777"/>
      <c r="FY97" s="777"/>
      <c r="FZ97" s="777"/>
      <c r="GA97" s="777"/>
      <c r="GB97" s="777"/>
      <c r="GC97" s="777"/>
      <c r="GD97" s="777"/>
      <c r="GE97" s="777"/>
      <c r="GF97" s="777"/>
      <c r="GG97" s="777"/>
      <c r="GH97" s="777"/>
      <c r="GI97" s="777"/>
      <c r="GJ97" s="777"/>
      <c r="GK97" s="777"/>
      <c r="GL97" s="777"/>
      <c r="GM97" s="777"/>
      <c r="GN97" s="777"/>
      <c r="GO97" s="777"/>
      <c r="GP97" s="777"/>
      <c r="GQ97" s="777"/>
      <c r="GR97" s="777"/>
      <c r="GS97" s="777"/>
      <c r="GT97" s="777"/>
      <c r="GU97" s="777"/>
      <c r="GV97" s="777"/>
      <c r="GW97" s="777"/>
      <c r="GX97" s="777"/>
      <c r="GY97" s="777"/>
      <c r="GZ97" s="777"/>
      <c r="HA97" s="763"/>
      <c r="HB97" s="763"/>
      <c r="HC97" s="763"/>
      <c r="HD97" s="763"/>
      <c r="HE97" s="763"/>
      <c r="HF97" s="763"/>
      <c r="HG97" s="763"/>
      <c r="HH97" s="763"/>
      <c r="HI97" s="763"/>
      <c r="HJ97" s="763"/>
      <c r="HK97" s="763"/>
      <c r="HL97" s="763"/>
      <c r="HM97" s="763"/>
      <c r="HN97" s="763"/>
      <c r="HO97" s="763"/>
      <c r="HP97" s="763"/>
    </row>
    <row r="98" spans="1:224" s="745" customFormat="1">
      <c r="A98" s="504"/>
      <c r="B98" s="772"/>
      <c r="C98" s="773" t="s">
        <v>280</v>
      </c>
      <c r="D98" s="498" t="s">
        <v>63</v>
      </c>
      <c r="E98" s="748">
        <f>101/100</f>
        <v>1.01</v>
      </c>
      <c r="F98" s="722">
        <f>F97*E98</f>
        <v>37.572000000000003</v>
      </c>
      <c r="G98" s="749"/>
      <c r="H98" s="749"/>
      <c r="I98" s="748"/>
      <c r="J98" s="722"/>
      <c r="K98" s="739"/>
      <c r="L98" s="739"/>
      <c r="M98" s="722"/>
      <c r="N98" s="771"/>
      <c r="O98" s="771"/>
      <c r="P98" s="771"/>
      <c r="Q98" s="771"/>
      <c r="R98" s="771"/>
      <c r="S98" s="771"/>
      <c r="T98" s="771"/>
      <c r="U98" s="771"/>
      <c r="V98" s="771"/>
      <c r="W98" s="771"/>
      <c r="X98" s="771"/>
      <c r="Y98" s="771"/>
      <c r="Z98" s="771"/>
      <c r="AA98" s="771"/>
      <c r="AB98" s="771"/>
      <c r="AC98" s="771"/>
      <c r="AD98" s="771"/>
      <c r="AE98" s="771"/>
      <c r="AF98" s="771"/>
      <c r="AG98" s="771"/>
      <c r="AH98" s="771"/>
      <c r="AI98" s="771"/>
      <c r="AJ98" s="771"/>
      <c r="AK98" s="771"/>
      <c r="AL98" s="771"/>
      <c r="AM98" s="771"/>
      <c r="AN98" s="771"/>
      <c r="AO98" s="771"/>
      <c r="AP98" s="771"/>
      <c r="AQ98" s="771"/>
      <c r="AR98" s="771"/>
      <c r="AS98" s="771"/>
      <c r="AT98" s="771"/>
      <c r="AU98" s="771"/>
      <c r="AV98" s="771"/>
      <c r="AW98" s="771"/>
      <c r="AX98" s="771"/>
      <c r="AY98" s="771"/>
      <c r="AZ98" s="771"/>
      <c r="BA98" s="771"/>
      <c r="BB98" s="771"/>
      <c r="BC98" s="771"/>
      <c r="BD98" s="771"/>
      <c r="BE98" s="771"/>
      <c r="BF98" s="771"/>
      <c r="BG98" s="771"/>
      <c r="BH98" s="771"/>
      <c r="BI98" s="771"/>
      <c r="BJ98" s="771"/>
      <c r="BK98" s="771"/>
      <c r="BL98" s="771"/>
      <c r="BM98" s="771"/>
      <c r="BN98" s="771"/>
      <c r="BO98" s="771"/>
      <c r="BP98" s="771"/>
      <c r="BQ98" s="771"/>
      <c r="BR98" s="771"/>
      <c r="BS98" s="771"/>
      <c r="BT98" s="771"/>
      <c r="BU98" s="771"/>
      <c r="BV98" s="771"/>
      <c r="BW98" s="771"/>
      <c r="BX98" s="771"/>
      <c r="BY98" s="771"/>
      <c r="BZ98" s="771"/>
      <c r="CA98" s="771"/>
      <c r="CB98" s="771"/>
      <c r="CC98" s="771"/>
      <c r="CD98" s="771"/>
      <c r="CE98" s="771"/>
      <c r="CF98" s="771"/>
      <c r="CG98" s="771"/>
      <c r="CH98" s="771"/>
      <c r="CI98" s="771"/>
      <c r="CJ98" s="771"/>
      <c r="CK98" s="771"/>
      <c r="CL98" s="771"/>
      <c r="CM98" s="771"/>
      <c r="CN98" s="771"/>
      <c r="CO98" s="771"/>
      <c r="CP98" s="771"/>
      <c r="CQ98" s="771"/>
      <c r="CR98" s="771"/>
      <c r="CS98" s="771"/>
      <c r="CT98" s="771"/>
      <c r="CU98" s="771"/>
      <c r="CV98" s="771"/>
      <c r="CW98" s="771"/>
      <c r="CX98" s="771"/>
      <c r="CY98" s="771"/>
      <c r="CZ98" s="771"/>
      <c r="DA98" s="771"/>
      <c r="DB98" s="771"/>
      <c r="DC98" s="771"/>
      <c r="DD98" s="771"/>
      <c r="DE98" s="771"/>
      <c r="DF98" s="771"/>
      <c r="DG98" s="771"/>
      <c r="DH98" s="771"/>
      <c r="DI98" s="771"/>
      <c r="DJ98" s="771"/>
      <c r="DK98" s="771"/>
      <c r="DL98" s="771"/>
      <c r="DM98" s="771"/>
      <c r="DN98" s="771"/>
      <c r="DO98" s="771"/>
      <c r="DP98" s="771"/>
      <c r="DQ98" s="771"/>
      <c r="DR98" s="771"/>
      <c r="DS98" s="771"/>
      <c r="DT98" s="771"/>
      <c r="DU98" s="771"/>
      <c r="DV98" s="771"/>
      <c r="DW98" s="771"/>
      <c r="DX98" s="771"/>
      <c r="DY98" s="771"/>
      <c r="DZ98" s="771"/>
      <c r="EA98" s="771"/>
      <c r="EB98" s="771"/>
      <c r="EC98" s="771"/>
      <c r="ED98" s="771"/>
      <c r="EE98" s="771"/>
      <c r="EF98" s="771"/>
      <c r="EG98" s="771"/>
      <c r="EH98" s="771"/>
      <c r="EI98" s="771"/>
      <c r="EJ98" s="771"/>
      <c r="EK98" s="771"/>
      <c r="EL98" s="771"/>
      <c r="EM98" s="771"/>
      <c r="EN98" s="771"/>
      <c r="EO98" s="771"/>
      <c r="EP98" s="771"/>
      <c r="EQ98" s="771"/>
      <c r="ER98" s="771"/>
      <c r="ES98" s="771"/>
      <c r="ET98" s="771"/>
      <c r="EU98" s="771"/>
      <c r="EV98" s="771"/>
      <c r="EW98" s="771"/>
      <c r="EX98" s="771"/>
      <c r="EY98" s="771"/>
      <c r="EZ98" s="771"/>
      <c r="FA98" s="771"/>
      <c r="FB98" s="771"/>
      <c r="FC98" s="771"/>
      <c r="FD98" s="771"/>
      <c r="FE98" s="771"/>
      <c r="FF98" s="771"/>
      <c r="FG98" s="771"/>
      <c r="FH98" s="771"/>
      <c r="FI98" s="771"/>
      <c r="FJ98" s="771"/>
      <c r="FK98" s="771"/>
      <c r="FL98" s="771"/>
      <c r="FM98" s="771"/>
      <c r="FN98" s="771"/>
      <c r="FO98" s="771"/>
      <c r="FP98" s="771"/>
      <c r="FQ98" s="771"/>
      <c r="FR98" s="771"/>
      <c r="FS98" s="771"/>
      <c r="FT98" s="771"/>
      <c r="FU98" s="771"/>
      <c r="FV98" s="771"/>
      <c r="FW98" s="771"/>
      <c r="FX98" s="771"/>
      <c r="FY98" s="771"/>
      <c r="FZ98" s="771"/>
      <c r="GA98" s="771"/>
      <c r="GB98" s="771"/>
      <c r="GC98" s="771"/>
      <c r="GD98" s="771"/>
      <c r="GE98" s="771"/>
      <c r="GF98" s="771"/>
      <c r="GG98" s="771"/>
      <c r="GH98" s="771"/>
      <c r="GI98" s="771"/>
      <c r="GJ98" s="771"/>
      <c r="GK98" s="771"/>
      <c r="GL98" s="771"/>
      <c r="GM98" s="771"/>
      <c r="GN98" s="771"/>
      <c r="GO98" s="771"/>
      <c r="GP98" s="771"/>
      <c r="GQ98" s="771"/>
      <c r="GR98" s="771"/>
      <c r="GS98" s="771"/>
      <c r="GT98" s="771"/>
      <c r="GU98" s="771"/>
      <c r="GV98" s="771"/>
      <c r="GW98" s="771"/>
      <c r="GX98" s="771"/>
      <c r="GY98" s="771"/>
      <c r="GZ98" s="771"/>
      <c r="HA98" s="765"/>
      <c r="HB98" s="765"/>
      <c r="HC98" s="765"/>
      <c r="HD98" s="765"/>
      <c r="HE98" s="765"/>
      <c r="HF98" s="765"/>
      <c r="HG98" s="765"/>
      <c r="HH98" s="765"/>
      <c r="HI98" s="765"/>
      <c r="HJ98" s="765"/>
      <c r="HK98" s="765"/>
      <c r="HL98" s="765"/>
      <c r="HM98" s="765"/>
      <c r="HN98" s="765"/>
      <c r="HO98" s="765"/>
      <c r="HP98" s="765"/>
    </row>
    <row r="99" spans="1:224" s="745" customFormat="1">
      <c r="A99" s="504"/>
      <c r="B99" s="774" t="s">
        <v>686</v>
      </c>
      <c r="C99" s="773" t="s">
        <v>299</v>
      </c>
      <c r="D99" s="498" t="s">
        <v>66</v>
      </c>
      <c r="E99" s="778">
        <f>4.1/100</f>
        <v>4.0999999999999995E-2</v>
      </c>
      <c r="F99" s="722">
        <f>F97*E99</f>
        <v>1.5251999999999999</v>
      </c>
      <c r="G99" s="749"/>
      <c r="H99" s="749"/>
      <c r="I99" s="722"/>
      <c r="J99" s="749"/>
      <c r="K99" s="748"/>
      <c r="L99" s="739"/>
      <c r="M99" s="722"/>
      <c r="N99" s="771"/>
      <c r="O99" s="771"/>
      <c r="P99" s="771"/>
      <c r="Q99" s="771"/>
      <c r="R99" s="771"/>
      <c r="S99" s="771"/>
      <c r="T99" s="771"/>
      <c r="U99" s="771"/>
      <c r="V99" s="771"/>
      <c r="W99" s="771"/>
      <c r="X99" s="771"/>
      <c r="Y99" s="771"/>
      <c r="Z99" s="771"/>
      <c r="AA99" s="771"/>
      <c r="AB99" s="771"/>
      <c r="AC99" s="771"/>
      <c r="AD99" s="771"/>
      <c r="AE99" s="771"/>
      <c r="AF99" s="771"/>
      <c r="AG99" s="771"/>
      <c r="AH99" s="771"/>
      <c r="AI99" s="771"/>
      <c r="AJ99" s="771"/>
      <c r="AK99" s="771"/>
      <c r="AL99" s="771"/>
      <c r="AM99" s="771"/>
      <c r="AN99" s="771"/>
      <c r="AO99" s="771"/>
      <c r="AP99" s="771"/>
      <c r="AQ99" s="771"/>
      <c r="AR99" s="771"/>
      <c r="AS99" s="771"/>
      <c r="AT99" s="771"/>
      <c r="AU99" s="771"/>
      <c r="AV99" s="771"/>
      <c r="AW99" s="771"/>
      <c r="AX99" s="771"/>
      <c r="AY99" s="771"/>
      <c r="AZ99" s="771"/>
      <c r="BA99" s="771"/>
      <c r="BB99" s="771"/>
      <c r="BC99" s="771"/>
      <c r="BD99" s="771"/>
      <c r="BE99" s="771"/>
      <c r="BF99" s="771"/>
      <c r="BG99" s="771"/>
      <c r="BH99" s="771"/>
      <c r="BI99" s="771"/>
      <c r="BJ99" s="771"/>
      <c r="BK99" s="771"/>
      <c r="BL99" s="771"/>
      <c r="BM99" s="771"/>
      <c r="BN99" s="771"/>
      <c r="BO99" s="771"/>
      <c r="BP99" s="771"/>
      <c r="BQ99" s="771"/>
      <c r="BR99" s="771"/>
      <c r="BS99" s="771"/>
      <c r="BT99" s="771"/>
      <c r="BU99" s="771"/>
      <c r="BV99" s="771"/>
      <c r="BW99" s="771"/>
      <c r="BX99" s="771"/>
      <c r="BY99" s="771"/>
      <c r="BZ99" s="771"/>
      <c r="CA99" s="771"/>
      <c r="CB99" s="771"/>
      <c r="CC99" s="771"/>
      <c r="CD99" s="771"/>
      <c r="CE99" s="771"/>
      <c r="CF99" s="771"/>
      <c r="CG99" s="771"/>
      <c r="CH99" s="771"/>
      <c r="CI99" s="771"/>
      <c r="CJ99" s="771"/>
      <c r="CK99" s="771"/>
      <c r="CL99" s="771"/>
      <c r="CM99" s="771"/>
      <c r="CN99" s="771"/>
      <c r="CO99" s="771"/>
      <c r="CP99" s="771"/>
      <c r="CQ99" s="771"/>
      <c r="CR99" s="771"/>
      <c r="CS99" s="771"/>
      <c r="CT99" s="771"/>
      <c r="CU99" s="771"/>
      <c r="CV99" s="771"/>
      <c r="CW99" s="771"/>
      <c r="CX99" s="771"/>
      <c r="CY99" s="771"/>
      <c r="CZ99" s="771"/>
      <c r="DA99" s="771"/>
      <c r="DB99" s="771"/>
      <c r="DC99" s="771"/>
      <c r="DD99" s="771"/>
      <c r="DE99" s="771"/>
      <c r="DF99" s="771"/>
      <c r="DG99" s="771"/>
      <c r="DH99" s="771"/>
      <c r="DI99" s="771"/>
      <c r="DJ99" s="771"/>
      <c r="DK99" s="771"/>
      <c r="DL99" s="771"/>
      <c r="DM99" s="771"/>
      <c r="DN99" s="771"/>
      <c r="DO99" s="771"/>
      <c r="DP99" s="771"/>
      <c r="DQ99" s="771"/>
      <c r="DR99" s="771"/>
      <c r="DS99" s="771"/>
      <c r="DT99" s="771"/>
      <c r="DU99" s="771"/>
      <c r="DV99" s="771"/>
      <c r="DW99" s="771"/>
      <c r="DX99" s="771"/>
      <c r="DY99" s="771"/>
      <c r="DZ99" s="771"/>
      <c r="EA99" s="771"/>
      <c r="EB99" s="771"/>
      <c r="EC99" s="771"/>
      <c r="ED99" s="771"/>
      <c r="EE99" s="771"/>
      <c r="EF99" s="771"/>
      <c r="EG99" s="771"/>
      <c r="EH99" s="771"/>
      <c r="EI99" s="771"/>
      <c r="EJ99" s="771"/>
      <c r="EK99" s="771"/>
      <c r="EL99" s="771"/>
      <c r="EM99" s="771"/>
      <c r="EN99" s="771"/>
      <c r="EO99" s="771"/>
      <c r="EP99" s="771"/>
      <c r="EQ99" s="771"/>
      <c r="ER99" s="771"/>
      <c r="ES99" s="771"/>
      <c r="ET99" s="771"/>
      <c r="EU99" s="771"/>
      <c r="EV99" s="771"/>
      <c r="EW99" s="771"/>
      <c r="EX99" s="771"/>
      <c r="EY99" s="771"/>
      <c r="EZ99" s="771"/>
      <c r="FA99" s="771"/>
      <c r="FB99" s="771"/>
      <c r="FC99" s="771"/>
      <c r="FD99" s="771"/>
      <c r="FE99" s="771"/>
      <c r="FF99" s="771"/>
      <c r="FG99" s="771"/>
      <c r="FH99" s="771"/>
      <c r="FI99" s="771"/>
      <c r="FJ99" s="771"/>
      <c r="FK99" s="771"/>
      <c r="FL99" s="771"/>
      <c r="FM99" s="771"/>
      <c r="FN99" s="771"/>
      <c r="FO99" s="771"/>
      <c r="FP99" s="771"/>
      <c r="FQ99" s="771"/>
      <c r="FR99" s="771"/>
      <c r="FS99" s="771"/>
      <c r="FT99" s="771"/>
      <c r="FU99" s="771"/>
      <c r="FV99" s="771"/>
      <c r="FW99" s="771"/>
      <c r="FX99" s="771"/>
      <c r="FY99" s="771"/>
      <c r="FZ99" s="771"/>
      <c r="GA99" s="771"/>
      <c r="GB99" s="771"/>
      <c r="GC99" s="771"/>
      <c r="GD99" s="771"/>
      <c r="GE99" s="771"/>
      <c r="GF99" s="771"/>
      <c r="GG99" s="771"/>
      <c r="GH99" s="771"/>
      <c r="GI99" s="771"/>
      <c r="GJ99" s="771"/>
      <c r="GK99" s="771"/>
      <c r="GL99" s="771"/>
      <c r="GM99" s="771"/>
      <c r="GN99" s="771"/>
      <c r="GO99" s="771"/>
      <c r="GP99" s="771"/>
      <c r="GQ99" s="771"/>
      <c r="GR99" s="771"/>
      <c r="GS99" s="771"/>
      <c r="GT99" s="771"/>
      <c r="GU99" s="771"/>
      <c r="GV99" s="771"/>
      <c r="GW99" s="771"/>
      <c r="GX99" s="771"/>
      <c r="GY99" s="771"/>
      <c r="GZ99" s="771"/>
      <c r="HA99" s="765"/>
      <c r="HB99" s="765"/>
      <c r="HC99" s="765"/>
      <c r="HD99" s="765"/>
      <c r="HE99" s="765"/>
      <c r="HF99" s="765"/>
      <c r="HG99" s="765"/>
      <c r="HH99" s="765"/>
      <c r="HI99" s="765"/>
      <c r="HJ99" s="765"/>
      <c r="HK99" s="765"/>
      <c r="HL99" s="765"/>
      <c r="HM99" s="765"/>
      <c r="HN99" s="765"/>
      <c r="HO99" s="765"/>
      <c r="HP99" s="765"/>
    </row>
    <row r="100" spans="1:224" s="745" customFormat="1">
      <c r="A100" s="504"/>
      <c r="B100" s="774" t="s">
        <v>682</v>
      </c>
      <c r="C100" s="773" t="s">
        <v>300</v>
      </c>
      <c r="D100" s="498" t="s">
        <v>44</v>
      </c>
      <c r="E100" s="778">
        <f>(2.12+0.26)/100</f>
        <v>2.3799999999999998E-2</v>
      </c>
      <c r="F100" s="722">
        <f>F97*E100</f>
        <v>0.88536000000000004</v>
      </c>
      <c r="G100" s="748"/>
      <c r="H100" s="722"/>
      <c r="I100" s="722"/>
      <c r="J100" s="722"/>
      <c r="K100" s="739"/>
      <c r="L100" s="739"/>
      <c r="M100" s="722"/>
      <c r="N100" s="771"/>
      <c r="O100" s="771"/>
      <c r="P100" s="771"/>
      <c r="Q100" s="771"/>
      <c r="R100" s="771"/>
      <c r="S100" s="771"/>
      <c r="T100" s="771"/>
      <c r="U100" s="771"/>
      <c r="V100" s="771"/>
      <c r="W100" s="771"/>
      <c r="X100" s="771"/>
      <c r="Y100" s="771"/>
      <c r="Z100" s="771"/>
      <c r="AA100" s="771"/>
      <c r="AB100" s="771"/>
      <c r="AC100" s="771"/>
      <c r="AD100" s="771"/>
      <c r="AE100" s="771"/>
      <c r="AF100" s="771"/>
      <c r="AG100" s="771"/>
      <c r="AH100" s="771"/>
      <c r="AI100" s="771"/>
      <c r="AJ100" s="771"/>
      <c r="AK100" s="771"/>
      <c r="AL100" s="771"/>
      <c r="AM100" s="771"/>
      <c r="AN100" s="771"/>
      <c r="AO100" s="771"/>
      <c r="AP100" s="771"/>
      <c r="AQ100" s="771"/>
      <c r="AR100" s="771"/>
      <c r="AS100" s="771"/>
      <c r="AT100" s="771"/>
      <c r="AU100" s="771"/>
      <c r="AV100" s="771"/>
      <c r="AW100" s="771"/>
      <c r="AX100" s="771"/>
      <c r="AY100" s="771"/>
      <c r="AZ100" s="771"/>
      <c r="BA100" s="771"/>
      <c r="BB100" s="771"/>
      <c r="BC100" s="771"/>
      <c r="BD100" s="771"/>
      <c r="BE100" s="771"/>
      <c r="BF100" s="771"/>
      <c r="BG100" s="771"/>
      <c r="BH100" s="771"/>
      <c r="BI100" s="771"/>
      <c r="BJ100" s="771"/>
      <c r="BK100" s="771"/>
      <c r="BL100" s="771"/>
      <c r="BM100" s="771"/>
      <c r="BN100" s="771"/>
      <c r="BO100" s="771"/>
      <c r="BP100" s="771"/>
      <c r="BQ100" s="771"/>
      <c r="BR100" s="771"/>
      <c r="BS100" s="771"/>
      <c r="BT100" s="771"/>
      <c r="BU100" s="771"/>
      <c r="BV100" s="771"/>
      <c r="BW100" s="771"/>
      <c r="BX100" s="771"/>
      <c r="BY100" s="771"/>
      <c r="BZ100" s="771"/>
      <c r="CA100" s="771"/>
      <c r="CB100" s="771"/>
      <c r="CC100" s="771"/>
      <c r="CD100" s="771"/>
      <c r="CE100" s="771"/>
      <c r="CF100" s="771"/>
      <c r="CG100" s="771"/>
      <c r="CH100" s="771"/>
      <c r="CI100" s="771"/>
      <c r="CJ100" s="771"/>
      <c r="CK100" s="771"/>
      <c r="CL100" s="771"/>
      <c r="CM100" s="771"/>
      <c r="CN100" s="771"/>
      <c r="CO100" s="771"/>
      <c r="CP100" s="771"/>
      <c r="CQ100" s="771"/>
      <c r="CR100" s="771"/>
      <c r="CS100" s="771"/>
      <c r="CT100" s="771"/>
      <c r="CU100" s="771"/>
      <c r="CV100" s="771"/>
      <c r="CW100" s="771"/>
      <c r="CX100" s="771"/>
      <c r="CY100" s="771"/>
      <c r="CZ100" s="771"/>
      <c r="DA100" s="771"/>
      <c r="DB100" s="771"/>
      <c r="DC100" s="771"/>
      <c r="DD100" s="771"/>
      <c r="DE100" s="771"/>
      <c r="DF100" s="771"/>
      <c r="DG100" s="771"/>
      <c r="DH100" s="771"/>
      <c r="DI100" s="771"/>
      <c r="DJ100" s="771"/>
      <c r="DK100" s="771"/>
      <c r="DL100" s="771"/>
      <c r="DM100" s="771"/>
      <c r="DN100" s="771"/>
      <c r="DO100" s="771"/>
      <c r="DP100" s="771"/>
      <c r="DQ100" s="771"/>
      <c r="DR100" s="771"/>
      <c r="DS100" s="771"/>
      <c r="DT100" s="771"/>
      <c r="DU100" s="771"/>
      <c r="DV100" s="771"/>
      <c r="DW100" s="771"/>
      <c r="DX100" s="771"/>
      <c r="DY100" s="771"/>
      <c r="DZ100" s="771"/>
      <c r="EA100" s="771"/>
      <c r="EB100" s="771"/>
      <c r="EC100" s="771"/>
      <c r="ED100" s="771"/>
      <c r="EE100" s="771"/>
      <c r="EF100" s="771"/>
      <c r="EG100" s="771"/>
      <c r="EH100" s="771"/>
      <c r="EI100" s="771"/>
      <c r="EJ100" s="771"/>
      <c r="EK100" s="771"/>
      <c r="EL100" s="771"/>
      <c r="EM100" s="771"/>
      <c r="EN100" s="771"/>
      <c r="EO100" s="771"/>
      <c r="EP100" s="771"/>
      <c r="EQ100" s="771"/>
      <c r="ER100" s="771"/>
      <c r="ES100" s="771"/>
      <c r="ET100" s="771"/>
      <c r="EU100" s="771"/>
      <c r="EV100" s="771"/>
      <c r="EW100" s="771"/>
      <c r="EX100" s="771"/>
      <c r="EY100" s="771"/>
      <c r="EZ100" s="771"/>
      <c r="FA100" s="771"/>
      <c r="FB100" s="771"/>
      <c r="FC100" s="771"/>
      <c r="FD100" s="771"/>
      <c r="FE100" s="771"/>
      <c r="FF100" s="771"/>
      <c r="FG100" s="771"/>
      <c r="FH100" s="771"/>
      <c r="FI100" s="771"/>
      <c r="FJ100" s="771"/>
      <c r="FK100" s="771"/>
      <c r="FL100" s="771"/>
      <c r="FM100" s="771"/>
      <c r="FN100" s="771"/>
      <c r="FO100" s="771"/>
      <c r="FP100" s="771"/>
      <c r="FQ100" s="771"/>
      <c r="FR100" s="771"/>
      <c r="FS100" s="771"/>
      <c r="FT100" s="771"/>
      <c r="FU100" s="771"/>
      <c r="FV100" s="771"/>
      <c r="FW100" s="771"/>
      <c r="FX100" s="771"/>
      <c r="FY100" s="771"/>
      <c r="FZ100" s="771"/>
      <c r="GA100" s="771"/>
      <c r="GB100" s="771"/>
      <c r="GC100" s="771"/>
      <c r="GD100" s="771"/>
      <c r="GE100" s="771"/>
      <c r="GF100" s="771"/>
      <c r="GG100" s="771"/>
      <c r="GH100" s="771"/>
      <c r="GI100" s="771"/>
      <c r="GJ100" s="771"/>
      <c r="GK100" s="771"/>
      <c r="GL100" s="771"/>
      <c r="GM100" s="771"/>
      <c r="GN100" s="771"/>
      <c r="GO100" s="771"/>
      <c r="GP100" s="771"/>
      <c r="GQ100" s="771"/>
      <c r="GR100" s="771"/>
      <c r="GS100" s="771"/>
      <c r="GT100" s="771"/>
      <c r="GU100" s="771"/>
      <c r="GV100" s="771"/>
      <c r="GW100" s="771"/>
      <c r="GX100" s="771"/>
      <c r="GY100" s="771"/>
      <c r="GZ100" s="771"/>
      <c r="HA100" s="765"/>
      <c r="HB100" s="765"/>
      <c r="HC100" s="765"/>
      <c r="HD100" s="765"/>
      <c r="HE100" s="765"/>
      <c r="HF100" s="765"/>
      <c r="HG100" s="765"/>
      <c r="HH100" s="765"/>
      <c r="HI100" s="765"/>
      <c r="HJ100" s="765"/>
      <c r="HK100" s="765"/>
      <c r="HL100" s="765"/>
      <c r="HM100" s="765"/>
      <c r="HN100" s="765"/>
      <c r="HO100" s="765"/>
      <c r="HP100" s="765"/>
    </row>
    <row r="101" spans="1:224" s="745" customFormat="1">
      <c r="A101" s="504"/>
      <c r="B101" s="772"/>
      <c r="C101" s="773" t="s">
        <v>295</v>
      </c>
      <c r="D101" s="498" t="s">
        <v>46</v>
      </c>
      <c r="E101" s="778">
        <f>2.7/100</f>
        <v>2.7000000000000003E-2</v>
      </c>
      <c r="F101" s="722">
        <f>F97*E101</f>
        <v>1.0044000000000002</v>
      </c>
      <c r="G101" s="749"/>
      <c r="H101" s="749"/>
      <c r="I101" s="722"/>
      <c r="J101" s="749"/>
      <c r="K101" s="748"/>
      <c r="L101" s="739"/>
      <c r="M101" s="722"/>
      <c r="N101" s="771"/>
      <c r="O101" s="771"/>
      <c r="P101" s="771"/>
      <c r="Q101" s="771"/>
      <c r="R101" s="771"/>
      <c r="S101" s="771"/>
      <c r="T101" s="771"/>
      <c r="U101" s="771"/>
      <c r="V101" s="771"/>
      <c r="W101" s="771"/>
      <c r="X101" s="771"/>
      <c r="Y101" s="771"/>
      <c r="Z101" s="771"/>
      <c r="AA101" s="771"/>
      <c r="AB101" s="771"/>
      <c r="AC101" s="771"/>
      <c r="AD101" s="771"/>
      <c r="AE101" s="771"/>
      <c r="AF101" s="771"/>
      <c r="AG101" s="771"/>
      <c r="AH101" s="771"/>
      <c r="AI101" s="771"/>
      <c r="AJ101" s="771"/>
      <c r="AK101" s="771"/>
      <c r="AL101" s="771"/>
      <c r="AM101" s="771"/>
      <c r="AN101" s="771"/>
      <c r="AO101" s="771"/>
      <c r="AP101" s="771"/>
      <c r="AQ101" s="771"/>
      <c r="AR101" s="771"/>
      <c r="AS101" s="771"/>
      <c r="AT101" s="771"/>
      <c r="AU101" s="771"/>
      <c r="AV101" s="771"/>
      <c r="AW101" s="771"/>
      <c r="AX101" s="771"/>
      <c r="AY101" s="771"/>
      <c r="AZ101" s="771"/>
      <c r="BA101" s="771"/>
      <c r="BB101" s="771"/>
      <c r="BC101" s="771"/>
      <c r="BD101" s="771"/>
      <c r="BE101" s="771"/>
      <c r="BF101" s="771"/>
      <c r="BG101" s="771"/>
      <c r="BH101" s="771"/>
      <c r="BI101" s="771"/>
      <c r="BJ101" s="771"/>
      <c r="BK101" s="771"/>
      <c r="BL101" s="771"/>
      <c r="BM101" s="771"/>
      <c r="BN101" s="771"/>
      <c r="BO101" s="771"/>
      <c r="BP101" s="771"/>
      <c r="BQ101" s="771"/>
      <c r="BR101" s="771"/>
      <c r="BS101" s="771"/>
      <c r="BT101" s="771"/>
      <c r="BU101" s="771"/>
      <c r="BV101" s="771"/>
      <c r="BW101" s="771"/>
      <c r="BX101" s="771"/>
      <c r="BY101" s="771"/>
      <c r="BZ101" s="771"/>
      <c r="CA101" s="771"/>
      <c r="CB101" s="771"/>
      <c r="CC101" s="771"/>
      <c r="CD101" s="771"/>
      <c r="CE101" s="771"/>
      <c r="CF101" s="771"/>
      <c r="CG101" s="771"/>
      <c r="CH101" s="771"/>
      <c r="CI101" s="771"/>
      <c r="CJ101" s="771"/>
      <c r="CK101" s="771"/>
      <c r="CL101" s="771"/>
      <c r="CM101" s="771"/>
      <c r="CN101" s="771"/>
      <c r="CO101" s="771"/>
      <c r="CP101" s="771"/>
      <c r="CQ101" s="771"/>
      <c r="CR101" s="771"/>
      <c r="CS101" s="771"/>
      <c r="CT101" s="771"/>
      <c r="CU101" s="771"/>
      <c r="CV101" s="771"/>
      <c r="CW101" s="771"/>
      <c r="CX101" s="771"/>
      <c r="CY101" s="771"/>
      <c r="CZ101" s="771"/>
      <c r="DA101" s="771"/>
      <c r="DB101" s="771"/>
      <c r="DC101" s="771"/>
      <c r="DD101" s="771"/>
      <c r="DE101" s="771"/>
      <c r="DF101" s="771"/>
      <c r="DG101" s="771"/>
      <c r="DH101" s="771"/>
      <c r="DI101" s="771"/>
      <c r="DJ101" s="771"/>
      <c r="DK101" s="771"/>
      <c r="DL101" s="771"/>
      <c r="DM101" s="771"/>
      <c r="DN101" s="771"/>
      <c r="DO101" s="771"/>
      <c r="DP101" s="771"/>
      <c r="DQ101" s="771"/>
      <c r="DR101" s="771"/>
      <c r="DS101" s="771"/>
      <c r="DT101" s="771"/>
      <c r="DU101" s="771"/>
      <c r="DV101" s="771"/>
      <c r="DW101" s="771"/>
      <c r="DX101" s="771"/>
      <c r="DY101" s="771"/>
      <c r="DZ101" s="771"/>
      <c r="EA101" s="771"/>
      <c r="EB101" s="771"/>
      <c r="EC101" s="771"/>
      <c r="ED101" s="771"/>
      <c r="EE101" s="771"/>
      <c r="EF101" s="771"/>
      <c r="EG101" s="771"/>
      <c r="EH101" s="771"/>
      <c r="EI101" s="771"/>
      <c r="EJ101" s="771"/>
      <c r="EK101" s="771"/>
      <c r="EL101" s="771"/>
      <c r="EM101" s="771"/>
      <c r="EN101" s="771"/>
      <c r="EO101" s="771"/>
      <c r="EP101" s="771"/>
      <c r="EQ101" s="771"/>
      <c r="ER101" s="771"/>
      <c r="ES101" s="771"/>
      <c r="ET101" s="771"/>
      <c r="EU101" s="771"/>
      <c r="EV101" s="771"/>
      <c r="EW101" s="771"/>
      <c r="EX101" s="771"/>
      <c r="EY101" s="771"/>
      <c r="EZ101" s="771"/>
      <c r="FA101" s="771"/>
      <c r="FB101" s="771"/>
      <c r="FC101" s="771"/>
      <c r="FD101" s="771"/>
      <c r="FE101" s="771"/>
      <c r="FF101" s="771"/>
      <c r="FG101" s="771"/>
      <c r="FH101" s="771"/>
      <c r="FI101" s="771"/>
      <c r="FJ101" s="771"/>
      <c r="FK101" s="771"/>
      <c r="FL101" s="771"/>
      <c r="FM101" s="771"/>
      <c r="FN101" s="771"/>
      <c r="FO101" s="771"/>
      <c r="FP101" s="771"/>
      <c r="FQ101" s="771"/>
      <c r="FR101" s="771"/>
      <c r="FS101" s="771"/>
      <c r="FT101" s="771"/>
      <c r="FU101" s="771"/>
      <c r="FV101" s="771"/>
      <c r="FW101" s="771"/>
      <c r="FX101" s="771"/>
      <c r="FY101" s="771"/>
      <c r="FZ101" s="771"/>
      <c r="GA101" s="771"/>
      <c r="GB101" s="771"/>
      <c r="GC101" s="771"/>
      <c r="GD101" s="771"/>
      <c r="GE101" s="771"/>
      <c r="GF101" s="771"/>
      <c r="GG101" s="771"/>
      <c r="GH101" s="771"/>
      <c r="GI101" s="771"/>
      <c r="GJ101" s="771"/>
      <c r="GK101" s="771"/>
      <c r="GL101" s="771"/>
      <c r="GM101" s="771"/>
      <c r="GN101" s="771"/>
      <c r="GO101" s="771"/>
      <c r="GP101" s="771"/>
      <c r="GQ101" s="771"/>
      <c r="GR101" s="771"/>
      <c r="GS101" s="771"/>
      <c r="GT101" s="771"/>
      <c r="GU101" s="771"/>
      <c r="GV101" s="771"/>
      <c r="GW101" s="771"/>
      <c r="GX101" s="771"/>
      <c r="GY101" s="771"/>
      <c r="GZ101" s="771"/>
      <c r="HA101" s="765"/>
      <c r="HB101" s="765"/>
      <c r="HC101" s="765"/>
      <c r="HD101" s="765"/>
      <c r="HE101" s="765"/>
      <c r="HF101" s="765"/>
      <c r="HG101" s="765"/>
      <c r="HH101" s="765"/>
      <c r="HI101" s="765"/>
      <c r="HJ101" s="765"/>
      <c r="HK101" s="765"/>
      <c r="HL101" s="765"/>
      <c r="HM101" s="765"/>
      <c r="HN101" s="765"/>
      <c r="HO101" s="765"/>
      <c r="HP101" s="765"/>
    </row>
    <row r="102" spans="1:224" s="745" customFormat="1">
      <c r="A102" s="498"/>
      <c r="B102" s="774"/>
      <c r="C102" s="773" t="s">
        <v>201</v>
      </c>
      <c r="D102" s="498" t="s">
        <v>46</v>
      </c>
      <c r="E102" s="778">
        <f>0.3/100</f>
        <v>3.0000000000000001E-3</v>
      </c>
      <c r="F102" s="749">
        <f>F97*E102</f>
        <v>0.1116</v>
      </c>
      <c r="G102" s="748"/>
      <c r="H102" s="722"/>
      <c r="I102" s="722"/>
      <c r="J102" s="722"/>
      <c r="K102" s="739"/>
      <c r="L102" s="739"/>
      <c r="M102" s="722"/>
      <c r="N102" s="771"/>
      <c r="O102" s="771"/>
      <c r="P102" s="771"/>
      <c r="Q102" s="771"/>
      <c r="R102" s="771"/>
      <c r="S102" s="771"/>
      <c r="T102" s="771"/>
      <c r="U102" s="771"/>
      <c r="V102" s="771"/>
      <c r="W102" s="771"/>
      <c r="X102" s="771"/>
      <c r="Y102" s="771"/>
      <c r="Z102" s="771"/>
      <c r="AA102" s="771"/>
      <c r="AB102" s="771"/>
      <c r="AC102" s="771"/>
      <c r="AD102" s="771"/>
      <c r="AE102" s="771"/>
      <c r="AF102" s="771"/>
      <c r="AG102" s="771"/>
      <c r="AH102" s="771"/>
      <c r="AI102" s="771"/>
      <c r="AJ102" s="771"/>
      <c r="AK102" s="771"/>
      <c r="AL102" s="771"/>
      <c r="AM102" s="771"/>
      <c r="AN102" s="771"/>
      <c r="AO102" s="771"/>
      <c r="AP102" s="771"/>
      <c r="AQ102" s="771"/>
      <c r="AR102" s="771"/>
      <c r="AS102" s="771"/>
      <c r="AT102" s="771"/>
      <c r="AU102" s="771"/>
      <c r="AV102" s="771"/>
      <c r="AW102" s="771"/>
      <c r="AX102" s="771"/>
      <c r="AY102" s="771"/>
      <c r="AZ102" s="771"/>
      <c r="BA102" s="771"/>
      <c r="BB102" s="771"/>
      <c r="BC102" s="771"/>
      <c r="BD102" s="771"/>
      <c r="BE102" s="771"/>
      <c r="BF102" s="771"/>
      <c r="BG102" s="771"/>
      <c r="BH102" s="771"/>
      <c r="BI102" s="771"/>
      <c r="BJ102" s="771"/>
      <c r="BK102" s="771"/>
      <c r="BL102" s="771"/>
      <c r="BM102" s="771"/>
      <c r="BN102" s="771"/>
      <c r="BO102" s="771"/>
      <c r="BP102" s="771"/>
      <c r="BQ102" s="771"/>
      <c r="BR102" s="771"/>
      <c r="BS102" s="771"/>
      <c r="BT102" s="771"/>
      <c r="BU102" s="771"/>
      <c r="BV102" s="771"/>
      <c r="BW102" s="771"/>
      <c r="BX102" s="771"/>
      <c r="BY102" s="771"/>
      <c r="BZ102" s="771"/>
      <c r="CA102" s="771"/>
      <c r="CB102" s="771"/>
      <c r="CC102" s="771"/>
      <c r="CD102" s="771"/>
      <c r="CE102" s="771"/>
      <c r="CF102" s="771"/>
      <c r="CG102" s="771"/>
      <c r="CH102" s="771"/>
      <c r="CI102" s="771"/>
      <c r="CJ102" s="771"/>
      <c r="CK102" s="771"/>
      <c r="CL102" s="771"/>
      <c r="CM102" s="771"/>
      <c r="CN102" s="771"/>
      <c r="CO102" s="771"/>
      <c r="CP102" s="771"/>
      <c r="CQ102" s="771"/>
      <c r="CR102" s="771"/>
      <c r="CS102" s="771"/>
      <c r="CT102" s="771"/>
      <c r="CU102" s="771"/>
      <c r="CV102" s="771"/>
      <c r="CW102" s="771"/>
      <c r="CX102" s="771"/>
      <c r="CY102" s="771"/>
      <c r="CZ102" s="771"/>
      <c r="DA102" s="771"/>
      <c r="DB102" s="771"/>
      <c r="DC102" s="771"/>
      <c r="DD102" s="771"/>
      <c r="DE102" s="771"/>
      <c r="DF102" s="771"/>
      <c r="DG102" s="771"/>
      <c r="DH102" s="771"/>
      <c r="DI102" s="771"/>
      <c r="DJ102" s="771"/>
      <c r="DK102" s="771"/>
      <c r="DL102" s="771"/>
      <c r="DM102" s="771"/>
      <c r="DN102" s="771"/>
      <c r="DO102" s="771"/>
      <c r="DP102" s="771"/>
      <c r="DQ102" s="771"/>
      <c r="DR102" s="771"/>
      <c r="DS102" s="771"/>
      <c r="DT102" s="771"/>
      <c r="DU102" s="771"/>
      <c r="DV102" s="771"/>
      <c r="DW102" s="771"/>
      <c r="DX102" s="771"/>
      <c r="DY102" s="771"/>
      <c r="DZ102" s="771"/>
      <c r="EA102" s="771"/>
      <c r="EB102" s="771"/>
      <c r="EC102" s="771"/>
      <c r="ED102" s="771"/>
      <c r="EE102" s="771"/>
      <c r="EF102" s="771"/>
      <c r="EG102" s="771"/>
      <c r="EH102" s="771"/>
      <c r="EI102" s="771"/>
      <c r="EJ102" s="771"/>
      <c r="EK102" s="771"/>
      <c r="EL102" s="771"/>
      <c r="EM102" s="771"/>
      <c r="EN102" s="771"/>
      <c r="EO102" s="771"/>
      <c r="EP102" s="771"/>
      <c r="EQ102" s="771"/>
      <c r="ER102" s="771"/>
      <c r="ES102" s="771"/>
      <c r="ET102" s="771"/>
      <c r="EU102" s="771"/>
      <c r="EV102" s="771"/>
      <c r="EW102" s="771"/>
      <c r="EX102" s="771"/>
      <c r="EY102" s="771"/>
      <c r="EZ102" s="771"/>
      <c r="FA102" s="771"/>
      <c r="FB102" s="771"/>
      <c r="FC102" s="771"/>
      <c r="FD102" s="771"/>
      <c r="FE102" s="771"/>
      <c r="FF102" s="771"/>
      <c r="FG102" s="771"/>
      <c r="FH102" s="771"/>
      <c r="FI102" s="771"/>
      <c r="FJ102" s="771"/>
      <c r="FK102" s="771"/>
      <c r="FL102" s="771"/>
      <c r="FM102" s="771"/>
      <c r="FN102" s="771"/>
      <c r="FO102" s="771"/>
      <c r="FP102" s="771"/>
      <c r="FQ102" s="771"/>
      <c r="FR102" s="771"/>
      <c r="FS102" s="771"/>
      <c r="FT102" s="771"/>
      <c r="FU102" s="771"/>
      <c r="FV102" s="771"/>
      <c r="FW102" s="771"/>
      <c r="FX102" s="771"/>
      <c r="FY102" s="771"/>
      <c r="FZ102" s="771"/>
      <c r="GA102" s="771"/>
      <c r="GB102" s="771"/>
      <c r="GC102" s="771"/>
      <c r="GD102" s="771"/>
      <c r="GE102" s="771"/>
      <c r="GF102" s="771"/>
      <c r="GG102" s="771"/>
      <c r="GH102" s="771"/>
      <c r="GI102" s="771"/>
      <c r="GJ102" s="771"/>
      <c r="GK102" s="771"/>
      <c r="GL102" s="771"/>
      <c r="GM102" s="771"/>
      <c r="GN102" s="771"/>
      <c r="GO102" s="771"/>
      <c r="GP102" s="771"/>
      <c r="GQ102" s="771"/>
      <c r="GR102" s="771"/>
      <c r="GS102" s="771"/>
      <c r="GT102" s="771"/>
      <c r="GU102" s="771"/>
      <c r="GV102" s="771"/>
      <c r="GW102" s="771"/>
      <c r="GX102" s="771"/>
      <c r="GY102" s="771"/>
      <c r="GZ102" s="771"/>
      <c r="HA102" s="765"/>
      <c r="HB102" s="765"/>
      <c r="HC102" s="765"/>
      <c r="HD102" s="765"/>
      <c r="HE102" s="765"/>
      <c r="HF102" s="765"/>
      <c r="HG102" s="765"/>
      <c r="HH102" s="765"/>
      <c r="HI102" s="765"/>
      <c r="HJ102" s="765"/>
      <c r="HK102" s="765"/>
      <c r="HL102" s="765"/>
      <c r="HM102" s="765"/>
      <c r="HN102" s="765"/>
      <c r="HO102" s="765"/>
      <c r="HP102" s="765"/>
    </row>
    <row r="103" spans="1:224" s="745" customFormat="1">
      <c r="A103" s="718">
        <v>17</v>
      </c>
      <c r="B103" s="772" t="s">
        <v>309</v>
      </c>
      <c r="C103" s="720" t="s">
        <v>310</v>
      </c>
      <c r="D103" s="492" t="s">
        <v>48</v>
      </c>
      <c r="E103" s="719"/>
      <c r="F103" s="776">
        <f>F97</f>
        <v>37.200000000000003</v>
      </c>
      <c r="G103" s="721"/>
      <c r="H103" s="721"/>
      <c r="I103" s="721"/>
      <c r="J103" s="721"/>
      <c r="K103" s="721"/>
      <c r="L103" s="721"/>
      <c r="M103" s="721"/>
    </row>
    <row r="104" spans="1:224" s="745" customFormat="1">
      <c r="A104" s="504"/>
      <c r="B104" s="772"/>
      <c r="C104" s="773" t="s">
        <v>280</v>
      </c>
      <c r="D104" s="498" t="s">
        <v>63</v>
      </c>
      <c r="E104" s="753">
        <f>65.8/100</f>
        <v>0.65799999999999992</v>
      </c>
      <c r="F104" s="722">
        <f>F103*E104</f>
        <v>24.477599999999999</v>
      </c>
      <c r="G104" s="722"/>
      <c r="H104" s="722"/>
      <c r="I104" s="722"/>
      <c r="J104" s="722"/>
      <c r="K104" s="722"/>
      <c r="L104" s="722"/>
      <c r="M104" s="722"/>
    </row>
    <row r="105" spans="1:224" s="745" customFormat="1">
      <c r="A105" s="718"/>
      <c r="B105" s="635" t="s">
        <v>683</v>
      </c>
      <c r="C105" s="780" t="s">
        <v>302</v>
      </c>
      <c r="D105" s="498" t="s">
        <v>198</v>
      </c>
      <c r="E105" s="722">
        <f>63/100</f>
        <v>0.63</v>
      </c>
      <c r="F105" s="722">
        <f>F103*E105</f>
        <v>23.436000000000003</v>
      </c>
      <c r="G105" s="748"/>
      <c r="H105" s="722"/>
      <c r="I105" s="722"/>
      <c r="J105" s="722"/>
      <c r="K105" s="722"/>
      <c r="L105" s="722"/>
      <c r="M105" s="722"/>
    </row>
    <row r="106" spans="1:224" s="745" customFormat="1">
      <c r="A106" s="718"/>
      <c r="B106" s="635" t="s">
        <v>684</v>
      </c>
      <c r="C106" s="773" t="s">
        <v>303</v>
      </c>
      <c r="D106" s="498" t="s">
        <v>198</v>
      </c>
      <c r="E106" s="722">
        <f>79/100</f>
        <v>0.79</v>
      </c>
      <c r="F106" s="722">
        <f>F103*E106</f>
        <v>29.388000000000005</v>
      </c>
      <c r="G106" s="748"/>
      <c r="H106" s="722"/>
      <c r="I106" s="722"/>
      <c r="J106" s="722"/>
      <c r="K106" s="722"/>
      <c r="L106" s="722"/>
      <c r="M106" s="722"/>
    </row>
    <row r="107" spans="1:224" s="745" customFormat="1">
      <c r="A107" s="718"/>
      <c r="B107" s="635"/>
      <c r="C107" s="773" t="s">
        <v>295</v>
      </c>
      <c r="D107" s="498" t="s">
        <v>46</v>
      </c>
      <c r="E107" s="722">
        <f>1/100</f>
        <v>0.01</v>
      </c>
      <c r="F107" s="722">
        <f>F103*E107</f>
        <v>0.37200000000000005</v>
      </c>
      <c r="G107" s="722"/>
      <c r="H107" s="722"/>
      <c r="I107" s="722"/>
      <c r="J107" s="722"/>
      <c r="K107" s="722"/>
      <c r="L107" s="722"/>
      <c r="M107" s="722"/>
    </row>
    <row r="108" spans="1:224" s="745" customFormat="1">
      <c r="A108" s="781"/>
      <c r="B108" s="774"/>
      <c r="C108" s="773" t="s">
        <v>201</v>
      </c>
      <c r="D108" s="498" t="s">
        <v>46</v>
      </c>
      <c r="E108" s="753">
        <f>1.6/100</f>
        <v>1.6E-2</v>
      </c>
      <c r="F108" s="722">
        <f>F103*E108</f>
        <v>0.59520000000000006</v>
      </c>
      <c r="G108" s="722"/>
      <c r="H108" s="722"/>
      <c r="I108" s="722"/>
      <c r="J108" s="722"/>
      <c r="K108" s="722"/>
      <c r="L108" s="722"/>
      <c r="M108" s="722"/>
    </row>
    <row r="109" spans="1:224" s="745" customFormat="1">
      <c r="A109" s="504">
        <v>18</v>
      </c>
      <c r="B109" s="772" t="s">
        <v>204</v>
      </c>
      <c r="C109" s="528" t="s">
        <v>311</v>
      </c>
      <c r="D109" s="504" t="s">
        <v>48</v>
      </c>
      <c r="E109" s="775"/>
      <c r="F109" s="776">
        <v>42</v>
      </c>
      <c r="G109" s="776"/>
      <c r="H109" s="776"/>
      <c r="I109" s="721"/>
      <c r="J109" s="719"/>
      <c r="K109" s="776"/>
      <c r="L109" s="776"/>
      <c r="M109" s="721"/>
      <c r="N109" s="777"/>
      <c r="O109" s="777"/>
      <c r="P109" s="777"/>
      <c r="Q109" s="777"/>
      <c r="R109" s="777"/>
      <c r="S109" s="777"/>
      <c r="T109" s="777"/>
      <c r="U109" s="777"/>
      <c r="V109" s="777"/>
      <c r="W109" s="777"/>
      <c r="X109" s="777"/>
      <c r="Y109" s="777"/>
      <c r="Z109" s="777"/>
      <c r="AA109" s="777"/>
      <c r="AB109" s="777"/>
      <c r="AC109" s="777"/>
      <c r="AD109" s="777"/>
      <c r="AE109" s="777"/>
      <c r="AF109" s="777"/>
      <c r="AG109" s="777"/>
      <c r="AH109" s="777"/>
      <c r="AI109" s="777"/>
      <c r="AJ109" s="777"/>
      <c r="AK109" s="777"/>
      <c r="AL109" s="777"/>
      <c r="AM109" s="777"/>
      <c r="AN109" s="777"/>
      <c r="AO109" s="777"/>
      <c r="AP109" s="777"/>
      <c r="AQ109" s="777"/>
      <c r="AR109" s="777"/>
      <c r="AS109" s="777"/>
      <c r="AT109" s="777"/>
      <c r="AU109" s="777"/>
      <c r="AV109" s="777"/>
      <c r="AW109" s="777"/>
      <c r="AX109" s="777"/>
      <c r="AY109" s="777"/>
      <c r="AZ109" s="777"/>
      <c r="BA109" s="777"/>
      <c r="BB109" s="777"/>
      <c r="BC109" s="777"/>
      <c r="BD109" s="777"/>
      <c r="BE109" s="777"/>
      <c r="BF109" s="777"/>
      <c r="BG109" s="777"/>
      <c r="BH109" s="777"/>
      <c r="BI109" s="777"/>
      <c r="BJ109" s="777"/>
      <c r="BK109" s="777"/>
      <c r="BL109" s="777"/>
      <c r="BM109" s="777"/>
      <c r="BN109" s="777"/>
      <c r="BO109" s="777"/>
      <c r="BP109" s="777"/>
      <c r="BQ109" s="777"/>
      <c r="BR109" s="777"/>
      <c r="BS109" s="777"/>
      <c r="BT109" s="777"/>
      <c r="BU109" s="777"/>
      <c r="BV109" s="777"/>
      <c r="BW109" s="777"/>
      <c r="BX109" s="777"/>
      <c r="BY109" s="777"/>
      <c r="BZ109" s="777"/>
      <c r="CA109" s="777"/>
      <c r="CB109" s="777"/>
      <c r="CC109" s="777"/>
      <c r="CD109" s="777"/>
      <c r="CE109" s="777"/>
      <c r="CF109" s="777"/>
      <c r="CG109" s="777"/>
      <c r="CH109" s="777"/>
      <c r="CI109" s="777"/>
      <c r="CJ109" s="777"/>
      <c r="CK109" s="777"/>
      <c r="CL109" s="777"/>
      <c r="CM109" s="777"/>
      <c r="CN109" s="777"/>
      <c r="CO109" s="777"/>
      <c r="CP109" s="777"/>
      <c r="CQ109" s="777"/>
      <c r="CR109" s="777"/>
      <c r="CS109" s="777"/>
      <c r="CT109" s="777"/>
      <c r="CU109" s="777"/>
      <c r="CV109" s="777"/>
      <c r="CW109" s="777"/>
      <c r="CX109" s="777"/>
      <c r="CY109" s="777"/>
      <c r="CZ109" s="777"/>
      <c r="DA109" s="777"/>
      <c r="DB109" s="777"/>
      <c r="DC109" s="777"/>
      <c r="DD109" s="777"/>
      <c r="DE109" s="777"/>
      <c r="DF109" s="777"/>
      <c r="DG109" s="777"/>
      <c r="DH109" s="777"/>
      <c r="DI109" s="777"/>
      <c r="DJ109" s="777"/>
      <c r="DK109" s="777"/>
      <c r="DL109" s="777"/>
      <c r="DM109" s="777"/>
      <c r="DN109" s="777"/>
      <c r="DO109" s="777"/>
      <c r="DP109" s="777"/>
      <c r="DQ109" s="777"/>
      <c r="DR109" s="777"/>
      <c r="DS109" s="777"/>
      <c r="DT109" s="777"/>
      <c r="DU109" s="777"/>
      <c r="DV109" s="777"/>
      <c r="DW109" s="777"/>
      <c r="DX109" s="777"/>
      <c r="DY109" s="777"/>
      <c r="DZ109" s="777"/>
      <c r="EA109" s="777"/>
      <c r="EB109" s="777"/>
      <c r="EC109" s="777"/>
      <c r="ED109" s="777"/>
      <c r="EE109" s="777"/>
      <c r="EF109" s="777"/>
      <c r="EG109" s="777"/>
      <c r="EH109" s="777"/>
      <c r="EI109" s="777"/>
      <c r="EJ109" s="777"/>
      <c r="EK109" s="777"/>
      <c r="EL109" s="777"/>
      <c r="EM109" s="777"/>
      <c r="EN109" s="777"/>
      <c r="EO109" s="777"/>
      <c r="EP109" s="777"/>
      <c r="EQ109" s="777"/>
      <c r="ER109" s="777"/>
      <c r="ES109" s="777"/>
      <c r="ET109" s="777"/>
      <c r="EU109" s="777"/>
      <c r="EV109" s="777"/>
      <c r="EW109" s="777"/>
      <c r="EX109" s="777"/>
      <c r="EY109" s="777"/>
      <c r="EZ109" s="777"/>
      <c r="FA109" s="777"/>
      <c r="FB109" s="777"/>
      <c r="FC109" s="777"/>
      <c r="FD109" s="777"/>
      <c r="FE109" s="777"/>
      <c r="FF109" s="777"/>
      <c r="FG109" s="777"/>
      <c r="FH109" s="777"/>
      <c r="FI109" s="777"/>
      <c r="FJ109" s="777"/>
      <c r="FK109" s="777"/>
      <c r="FL109" s="777"/>
      <c r="FM109" s="777"/>
      <c r="FN109" s="777"/>
      <c r="FO109" s="777"/>
      <c r="FP109" s="777"/>
      <c r="FQ109" s="777"/>
      <c r="FR109" s="777"/>
      <c r="FS109" s="777"/>
      <c r="FT109" s="777"/>
      <c r="FU109" s="777"/>
      <c r="FV109" s="777"/>
      <c r="FW109" s="777"/>
      <c r="FX109" s="777"/>
      <c r="FY109" s="777"/>
      <c r="FZ109" s="777"/>
      <c r="GA109" s="777"/>
      <c r="GB109" s="777"/>
      <c r="GC109" s="777"/>
      <c r="GD109" s="777"/>
      <c r="GE109" s="777"/>
      <c r="GF109" s="777"/>
      <c r="GG109" s="777"/>
      <c r="GH109" s="777"/>
      <c r="GI109" s="777"/>
      <c r="GJ109" s="777"/>
      <c r="GK109" s="777"/>
      <c r="GL109" s="777"/>
      <c r="GM109" s="777"/>
      <c r="GN109" s="777"/>
      <c r="GO109" s="777"/>
      <c r="GP109" s="777"/>
      <c r="GQ109" s="777"/>
      <c r="GR109" s="777"/>
      <c r="GS109" s="777"/>
      <c r="GT109" s="777"/>
      <c r="GU109" s="777"/>
      <c r="GV109" s="777"/>
      <c r="GW109" s="777"/>
      <c r="GX109" s="777"/>
      <c r="GY109" s="777"/>
      <c r="GZ109" s="777"/>
      <c r="HA109" s="763"/>
      <c r="HB109" s="763"/>
      <c r="HC109" s="763"/>
      <c r="HD109" s="763"/>
      <c r="HE109" s="763"/>
      <c r="HF109" s="763"/>
      <c r="HG109" s="763"/>
      <c r="HH109" s="763"/>
      <c r="HI109" s="763"/>
      <c r="HJ109" s="763"/>
      <c r="HK109" s="763"/>
      <c r="HL109" s="763"/>
      <c r="HM109" s="763"/>
      <c r="HN109" s="763"/>
      <c r="HO109" s="763"/>
      <c r="HP109" s="763"/>
    </row>
    <row r="110" spans="1:224" s="745" customFormat="1">
      <c r="A110" s="504"/>
      <c r="B110" s="772"/>
      <c r="C110" s="773" t="s">
        <v>280</v>
      </c>
      <c r="D110" s="498" t="s">
        <v>63</v>
      </c>
      <c r="E110" s="748">
        <f>101/100</f>
        <v>1.01</v>
      </c>
      <c r="F110" s="722">
        <f>E110*F109</f>
        <v>42.42</v>
      </c>
      <c r="G110" s="749"/>
      <c r="H110" s="749"/>
      <c r="I110" s="748"/>
      <c r="J110" s="722"/>
      <c r="K110" s="739"/>
      <c r="L110" s="739"/>
      <c r="M110" s="722"/>
      <c r="N110" s="771"/>
      <c r="O110" s="771"/>
      <c r="P110" s="771"/>
      <c r="Q110" s="771"/>
      <c r="R110" s="771"/>
      <c r="S110" s="771"/>
      <c r="T110" s="771"/>
      <c r="U110" s="771"/>
      <c r="V110" s="771"/>
      <c r="W110" s="771"/>
      <c r="X110" s="771"/>
      <c r="Y110" s="771"/>
      <c r="Z110" s="771"/>
      <c r="AA110" s="771"/>
      <c r="AB110" s="771"/>
      <c r="AC110" s="771"/>
      <c r="AD110" s="771"/>
      <c r="AE110" s="771"/>
      <c r="AF110" s="771"/>
      <c r="AG110" s="771"/>
      <c r="AH110" s="771"/>
      <c r="AI110" s="771"/>
      <c r="AJ110" s="771"/>
      <c r="AK110" s="771"/>
      <c r="AL110" s="771"/>
      <c r="AM110" s="771"/>
      <c r="AN110" s="771"/>
      <c r="AO110" s="771"/>
      <c r="AP110" s="771"/>
      <c r="AQ110" s="771"/>
      <c r="AR110" s="771"/>
      <c r="AS110" s="771"/>
      <c r="AT110" s="771"/>
      <c r="AU110" s="771"/>
      <c r="AV110" s="771"/>
      <c r="AW110" s="771"/>
      <c r="AX110" s="771"/>
      <c r="AY110" s="771"/>
      <c r="AZ110" s="771"/>
      <c r="BA110" s="771"/>
      <c r="BB110" s="771"/>
      <c r="BC110" s="771"/>
      <c r="BD110" s="771"/>
      <c r="BE110" s="771"/>
      <c r="BF110" s="771"/>
      <c r="BG110" s="771"/>
      <c r="BH110" s="771"/>
      <c r="BI110" s="771"/>
      <c r="BJ110" s="771"/>
      <c r="BK110" s="771"/>
      <c r="BL110" s="771"/>
      <c r="BM110" s="771"/>
      <c r="BN110" s="771"/>
      <c r="BO110" s="771"/>
      <c r="BP110" s="771"/>
      <c r="BQ110" s="771"/>
      <c r="BR110" s="771"/>
      <c r="BS110" s="771"/>
      <c r="BT110" s="771"/>
      <c r="BU110" s="771"/>
      <c r="BV110" s="771"/>
      <c r="BW110" s="771"/>
      <c r="BX110" s="771"/>
      <c r="BY110" s="771"/>
      <c r="BZ110" s="771"/>
      <c r="CA110" s="771"/>
      <c r="CB110" s="771"/>
      <c r="CC110" s="771"/>
      <c r="CD110" s="771"/>
      <c r="CE110" s="771"/>
      <c r="CF110" s="771"/>
      <c r="CG110" s="771"/>
      <c r="CH110" s="771"/>
      <c r="CI110" s="771"/>
      <c r="CJ110" s="771"/>
      <c r="CK110" s="771"/>
      <c r="CL110" s="771"/>
      <c r="CM110" s="771"/>
      <c r="CN110" s="771"/>
      <c r="CO110" s="771"/>
      <c r="CP110" s="771"/>
      <c r="CQ110" s="771"/>
      <c r="CR110" s="771"/>
      <c r="CS110" s="771"/>
      <c r="CT110" s="771"/>
      <c r="CU110" s="771"/>
      <c r="CV110" s="771"/>
      <c r="CW110" s="771"/>
      <c r="CX110" s="771"/>
      <c r="CY110" s="771"/>
      <c r="CZ110" s="771"/>
      <c r="DA110" s="771"/>
      <c r="DB110" s="771"/>
      <c r="DC110" s="771"/>
      <c r="DD110" s="771"/>
      <c r="DE110" s="771"/>
      <c r="DF110" s="771"/>
      <c r="DG110" s="771"/>
      <c r="DH110" s="771"/>
      <c r="DI110" s="771"/>
      <c r="DJ110" s="771"/>
      <c r="DK110" s="771"/>
      <c r="DL110" s="771"/>
      <c r="DM110" s="771"/>
      <c r="DN110" s="771"/>
      <c r="DO110" s="771"/>
      <c r="DP110" s="771"/>
      <c r="DQ110" s="771"/>
      <c r="DR110" s="771"/>
      <c r="DS110" s="771"/>
      <c r="DT110" s="771"/>
      <c r="DU110" s="771"/>
      <c r="DV110" s="771"/>
      <c r="DW110" s="771"/>
      <c r="DX110" s="771"/>
      <c r="DY110" s="771"/>
      <c r="DZ110" s="771"/>
      <c r="EA110" s="771"/>
      <c r="EB110" s="771"/>
      <c r="EC110" s="771"/>
      <c r="ED110" s="771"/>
      <c r="EE110" s="771"/>
      <c r="EF110" s="771"/>
      <c r="EG110" s="771"/>
      <c r="EH110" s="771"/>
      <c r="EI110" s="771"/>
      <c r="EJ110" s="771"/>
      <c r="EK110" s="771"/>
      <c r="EL110" s="771"/>
      <c r="EM110" s="771"/>
      <c r="EN110" s="771"/>
      <c r="EO110" s="771"/>
      <c r="EP110" s="771"/>
      <c r="EQ110" s="771"/>
      <c r="ER110" s="771"/>
      <c r="ES110" s="771"/>
      <c r="ET110" s="771"/>
      <c r="EU110" s="771"/>
      <c r="EV110" s="771"/>
      <c r="EW110" s="771"/>
      <c r="EX110" s="771"/>
      <c r="EY110" s="771"/>
      <c r="EZ110" s="771"/>
      <c r="FA110" s="771"/>
      <c r="FB110" s="771"/>
      <c r="FC110" s="771"/>
      <c r="FD110" s="771"/>
      <c r="FE110" s="771"/>
      <c r="FF110" s="771"/>
      <c r="FG110" s="771"/>
      <c r="FH110" s="771"/>
      <c r="FI110" s="771"/>
      <c r="FJ110" s="771"/>
      <c r="FK110" s="771"/>
      <c r="FL110" s="771"/>
      <c r="FM110" s="771"/>
      <c r="FN110" s="771"/>
      <c r="FO110" s="771"/>
      <c r="FP110" s="771"/>
      <c r="FQ110" s="771"/>
      <c r="FR110" s="771"/>
      <c r="FS110" s="771"/>
      <c r="FT110" s="771"/>
      <c r="FU110" s="771"/>
      <c r="FV110" s="771"/>
      <c r="FW110" s="771"/>
      <c r="FX110" s="771"/>
      <c r="FY110" s="771"/>
      <c r="FZ110" s="771"/>
      <c r="GA110" s="771"/>
      <c r="GB110" s="771"/>
      <c r="GC110" s="771"/>
      <c r="GD110" s="771"/>
      <c r="GE110" s="771"/>
      <c r="GF110" s="771"/>
      <c r="GG110" s="771"/>
      <c r="GH110" s="771"/>
      <c r="GI110" s="771"/>
      <c r="GJ110" s="771"/>
      <c r="GK110" s="771"/>
      <c r="GL110" s="771"/>
      <c r="GM110" s="771"/>
      <c r="GN110" s="771"/>
      <c r="GO110" s="771"/>
      <c r="GP110" s="771"/>
      <c r="GQ110" s="771"/>
      <c r="GR110" s="771"/>
      <c r="GS110" s="771"/>
      <c r="GT110" s="771"/>
      <c r="GU110" s="771"/>
      <c r="GV110" s="771"/>
      <c r="GW110" s="771"/>
      <c r="GX110" s="771"/>
      <c r="GY110" s="771"/>
      <c r="GZ110" s="771"/>
      <c r="HA110" s="765"/>
      <c r="HB110" s="765"/>
      <c r="HC110" s="765"/>
      <c r="HD110" s="765"/>
      <c r="HE110" s="765"/>
      <c r="HF110" s="765"/>
      <c r="HG110" s="765"/>
      <c r="HH110" s="765"/>
      <c r="HI110" s="765"/>
      <c r="HJ110" s="765"/>
      <c r="HK110" s="765"/>
      <c r="HL110" s="765"/>
      <c r="HM110" s="765"/>
      <c r="HN110" s="765"/>
      <c r="HO110" s="765"/>
      <c r="HP110" s="765"/>
    </row>
    <row r="111" spans="1:224" s="745" customFormat="1">
      <c r="A111" s="504"/>
      <c r="B111" s="774" t="s">
        <v>686</v>
      </c>
      <c r="C111" s="773" t="s">
        <v>299</v>
      </c>
      <c r="D111" s="498" t="s">
        <v>66</v>
      </c>
      <c r="E111" s="748">
        <f>4.1/100</f>
        <v>4.0999999999999995E-2</v>
      </c>
      <c r="F111" s="722">
        <f>E111*F109</f>
        <v>1.7219999999999998</v>
      </c>
      <c r="G111" s="749"/>
      <c r="H111" s="749"/>
      <c r="I111" s="722"/>
      <c r="J111" s="749"/>
      <c r="K111" s="748"/>
      <c r="L111" s="739"/>
      <c r="M111" s="722"/>
      <c r="N111" s="771"/>
      <c r="O111" s="771"/>
      <c r="P111" s="771"/>
      <c r="Q111" s="771"/>
      <c r="R111" s="771"/>
      <c r="S111" s="771"/>
      <c r="T111" s="771"/>
      <c r="U111" s="771"/>
      <c r="V111" s="771"/>
      <c r="W111" s="771"/>
      <c r="X111" s="771"/>
      <c r="Y111" s="771"/>
      <c r="Z111" s="771"/>
      <c r="AA111" s="771"/>
      <c r="AB111" s="771"/>
      <c r="AC111" s="771"/>
      <c r="AD111" s="771"/>
      <c r="AE111" s="771"/>
      <c r="AF111" s="771"/>
      <c r="AG111" s="771"/>
      <c r="AH111" s="771"/>
      <c r="AI111" s="771"/>
      <c r="AJ111" s="771"/>
      <c r="AK111" s="771"/>
      <c r="AL111" s="771"/>
      <c r="AM111" s="771"/>
      <c r="AN111" s="771"/>
      <c r="AO111" s="771"/>
      <c r="AP111" s="771"/>
      <c r="AQ111" s="771"/>
      <c r="AR111" s="771"/>
      <c r="AS111" s="771"/>
      <c r="AT111" s="771"/>
      <c r="AU111" s="771"/>
      <c r="AV111" s="771"/>
      <c r="AW111" s="771"/>
      <c r="AX111" s="771"/>
      <c r="AY111" s="771"/>
      <c r="AZ111" s="771"/>
      <c r="BA111" s="771"/>
      <c r="BB111" s="771"/>
      <c r="BC111" s="771"/>
      <c r="BD111" s="771"/>
      <c r="BE111" s="771"/>
      <c r="BF111" s="771"/>
      <c r="BG111" s="771"/>
      <c r="BH111" s="771"/>
      <c r="BI111" s="771"/>
      <c r="BJ111" s="771"/>
      <c r="BK111" s="771"/>
      <c r="BL111" s="771"/>
      <c r="BM111" s="771"/>
      <c r="BN111" s="771"/>
      <c r="BO111" s="771"/>
      <c r="BP111" s="771"/>
      <c r="BQ111" s="771"/>
      <c r="BR111" s="771"/>
      <c r="BS111" s="771"/>
      <c r="BT111" s="771"/>
      <c r="BU111" s="771"/>
      <c r="BV111" s="771"/>
      <c r="BW111" s="771"/>
      <c r="BX111" s="771"/>
      <c r="BY111" s="771"/>
      <c r="BZ111" s="771"/>
      <c r="CA111" s="771"/>
      <c r="CB111" s="771"/>
      <c r="CC111" s="771"/>
      <c r="CD111" s="771"/>
      <c r="CE111" s="771"/>
      <c r="CF111" s="771"/>
      <c r="CG111" s="771"/>
      <c r="CH111" s="771"/>
      <c r="CI111" s="771"/>
      <c r="CJ111" s="771"/>
      <c r="CK111" s="771"/>
      <c r="CL111" s="771"/>
      <c r="CM111" s="771"/>
      <c r="CN111" s="771"/>
      <c r="CO111" s="771"/>
      <c r="CP111" s="771"/>
      <c r="CQ111" s="771"/>
      <c r="CR111" s="771"/>
      <c r="CS111" s="771"/>
      <c r="CT111" s="771"/>
      <c r="CU111" s="771"/>
      <c r="CV111" s="771"/>
      <c r="CW111" s="771"/>
      <c r="CX111" s="771"/>
      <c r="CY111" s="771"/>
      <c r="CZ111" s="771"/>
      <c r="DA111" s="771"/>
      <c r="DB111" s="771"/>
      <c r="DC111" s="771"/>
      <c r="DD111" s="771"/>
      <c r="DE111" s="771"/>
      <c r="DF111" s="771"/>
      <c r="DG111" s="771"/>
      <c r="DH111" s="771"/>
      <c r="DI111" s="771"/>
      <c r="DJ111" s="771"/>
      <c r="DK111" s="771"/>
      <c r="DL111" s="771"/>
      <c r="DM111" s="771"/>
      <c r="DN111" s="771"/>
      <c r="DO111" s="771"/>
      <c r="DP111" s="771"/>
      <c r="DQ111" s="771"/>
      <c r="DR111" s="771"/>
      <c r="DS111" s="771"/>
      <c r="DT111" s="771"/>
      <c r="DU111" s="771"/>
      <c r="DV111" s="771"/>
      <c r="DW111" s="771"/>
      <c r="DX111" s="771"/>
      <c r="DY111" s="771"/>
      <c r="DZ111" s="771"/>
      <c r="EA111" s="771"/>
      <c r="EB111" s="771"/>
      <c r="EC111" s="771"/>
      <c r="ED111" s="771"/>
      <c r="EE111" s="771"/>
      <c r="EF111" s="771"/>
      <c r="EG111" s="771"/>
      <c r="EH111" s="771"/>
      <c r="EI111" s="771"/>
      <c r="EJ111" s="771"/>
      <c r="EK111" s="771"/>
      <c r="EL111" s="771"/>
      <c r="EM111" s="771"/>
      <c r="EN111" s="771"/>
      <c r="EO111" s="771"/>
      <c r="EP111" s="771"/>
      <c r="EQ111" s="771"/>
      <c r="ER111" s="771"/>
      <c r="ES111" s="771"/>
      <c r="ET111" s="771"/>
      <c r="EU111" s="771"/>
      <c r="EV111" s="771"/>
      <c r="EW111" s="771"/>
      <c r="EX111" s="771"/>
      <c r="EY111" s="771"/>
      <c r="EZ111" s="771"/>
      <c r="FA111" s="771"/>
      <c r="FB111" s="771"/>
      <c r="FC111" s="771"/>
      <c r="FD111" s="771"/>
      <c r="FE111" s="771"/>
      <c r="FF111" s="771"/>
      <c r="FG111" s="771"/>
      <c r="FH111" s="771"/>
      <c r="FI111" s="771"/>
      <c r="FJ111" s="771"/>
      <c r="FK111" s="771"/>
      <c r="FL111" s="771"/>
      <c r="FM111" s="771"/>
      <c r="FN111" s="771"/>
      <c r="FO111" s="771"/>
      <c r="FP111" s="771"/>
      <c r="FQ111" s="771"/>
      <c r="FR111" s="771"/>
      <c r="FS111" s="771"/>
      <c r="FT111" s="771"/>
      <c r="FU111" s="771"/>
      <c r="FV111" s="771"/>
      <c r="FW111" s="771"/>
      <c r="FX111" s="771"/>
      <c r="FY111" s="771"/>
      <c r="FZ111" s="771"/>
      <c r="GA111" s="771"/>
      <c r="GB111" s="771"/>
      <c r="GC111" s="771"/>
      <c r="GD111" s="771"/>
      <c r="GE111" s="771"/>
      <c r="GF111" s="771"/>
      <c r="GG111" s="771"/>
      <c r="GH111" s="771"/>
      <c r="GI111" s="771"/>
      <c r="GJ111" s="771"/>
      <c r="GK111" s="771"/>
      <c r="GL111" s="771"/>
      <c r="GM111" s="771"/>
      <c r="GN111" s="771"/>
      <c r="GO111" s="771"/>
      <c r="GP111" s="771"/>
      <c r="GQ111" s="771"/>
      <c r="GR111" s="771"/>
      <c r="GS111" s="771"/>
      <c r="GT111" s="771"/>
      <c r="GU111" s="771"/>
      <c r="GV111" s="771"/>
      <c r="GW111" s="771"/>
      <c r="GX111" s="771"/>
      <c r="GY111" s="771"/>
      <c r="GZ111" s="771"/>
      <c r="HA111" s="765"/>
      <c r="HB111" s="765"/>
      <c r="HC111" s="765"/>
      <c r="HD111" s="765"/>
      <c r="HE111" s="765"/>
      <c r="HF111" s="765"/>
      <c r="HG111" s="765"/>
      <c r="HH111" s="765"/>
      <c r="HI111" s="765"/>
      <c r="HJ111" s="765"/>
      <c r="HK111" s="765"/>
      <c r="HL111" s="765"/>
      <c r="HM111" s="765"/>
      <c r="HN111" s="765"/>
      <c r="HO111" s="765"/>
      <c r="HP111" s="765"/>
    </row>
    <row r="112" spans="1:224" s="745" customFormat="1">
      <c r="A112" s="504"/>
      <c r="B112" s="774" t="s">
        <v>682</v>
      </c>
      <c r="C112" s="773" t="s">
        <v>300</v>
      </c>
      <c r="D112" s="498" t="s">
        <v>44</v>
      </c>
      <c r="E112" s="748">
        <f>(2.12+0.26)/100</f>
        <v>2.3799999999999998E-2</v>
      </c>
      <c r="F112" s="722">
        <f>E112*F109</f>
        <v>0.99959999999999993</v>
      </c>
      <c r="G112" s="748"/>
      <c r="H112" s="722"/>
      <c r="I112" s="722"/>
      <c r="J112" s="722"/>
      <c r="K112" s="739"/>
      <c r="L112" s="739"/>
      <c r="M112" s="722"/>
      <c r="N112" s="771"/>
      <c r="O112" s="771"/>
      <c r="P112" s="771"/>
      <c r="Q112" s="771"/>
      <c r="R112" s="771"/>
      <c r="S112" s="771"/>
      <c r="T112" s="771"/>
      <c r="U112" s="771"/>
      <c r="V112" s="771"/>
      <c r="W112" s="771"/>
      <c r="X112" s="771"/>
      <c r="Y112" s="771"/>
      <c r="Z112" s="771"/>
      <c r="AA112" s="771"/>
      <c r="AB112" s="771"/>
      <c r="AC112" s="771"/>
      <c r="AD112" s="771"/>
      <c r="AE112" s="771"/>
      <c r="AF112" s="771"/>
      <c r="AG112" s="771"/>
      <c r="AH112" s="771"/>
      <c r="AI112" s="771"/>
      <c r="AJ112" s="771"/>
      <c r="AK112" s="771"/>
      <c r="AL112" s="771"/>
      <c r="AM112" s="771"/>
      <c r="AN112" s="771"/>
      <c r="AO112" s="771"/>
      <c r="AP112" s="771"/>
      <c r="AQ112" s="771"/>
      <c r="AR112" s="771"/>
      <c r="AS112" s="771"/>
      <c r="AT112" s="771"/>
      <c r="AU112" s="771"/>
      <c r="AV112" s="771"/>
      <c r="AW112" s="771"/>
      <c r="AX112" s="771"/>
      <c r="AY112" s="771"/>
      <c r="AZ112" s="771"/>
      <c r="BA112" s="771"/>
      <c r="BB112" s="771"/>
      <c r="BC112" s="771"/>
      <c r="BD112" s="771"/>
      <c r="BE112" s="771"/>
      <c r="BF112" s="771"/>
      <c r="BG112" s="771"/>
      <c r="BH112" s="771"/>
      <c r="BI112" s="771"/>
      <c r="BJ112" s="771"/>
      <c r="BK112" s="771"/>
      <c r="BL112" s="771"/>
      <c r="BM112" s="771"/>
      <c r="BN112" s="771"/>
      <c r="BO112" s="771"/>
      <c r="BP112" s="771"/>
      <c r="BQ112" s="771"/>
      <c r="BR112" s="771"/>
      <c r="BS112" s="771"/>
      <c r="BT112" s="771"/>
      <c r="BU112" s="771"/>
      <c r="BV112" s="771"/>
      <c r="BW112" s="771"/>
      <c r="BX112" s="771"/>
      <c r="BY112" s="771"/>
      <c r="BZ112" s="771"/>
      <c r="CA112" s="771"/>
      <c r="CB112" s="771"/>
      <c r="CC112" s="771"/>
      <c r="CD112" s="771"/>
      <c r="CE112" s="771"/>
      <c r="CF112" s="771"/>
      <c r="CG112" s="771"/>
      <c r="CH112" s="771"/>
      <c r="CI112" s="771"/>
      <c r="CJ112" s="771"/>
      <c r="CK112" s="771"/>
      <c r="CL112" s="771"/>
      <c r="CM112" s="771"/>
      <c r="CN112" s="771"/>
      <c r="CO112" s="771"/>
      <c r="CP112" s="771"/>
      <c r="CQ112" s="771"/>
      <c r="CR112" s="771"/>
      <c r="CS112" s="771"/>
      <c r="CT112" s="771"/>
      <c r="CU112" s="771"/>
      <c r="CV112" s="771"/>
      <c r="CW112" s="771"/>
      <c r="CX112" s="771"/>
      <c r="CY112" s="771"/>
      <c r="CZ112" s="771"/>
      <c r="DA112" s="771"/>
      <c r="DB112" s="771"/>
      <c r="DC112" s="771"/>
      <c r="DD112" s="771"/>
      <c r="DE112" s="771"/>
      <c r="DF112" s="771"/>
      <c r="DG112" s="771"/>
      <c r="DH112" s="771"/>
      <c r="DI112" s="771"/>
      <c r="DJ112" s="771"/>
      <c r="DK112" s="771"/>
      <c r="DL112" s="771"/>
      <c r="DM112" s="771"/>
      <c r="DN112" s="771"/>
      <c r="DO112" s="771"/>
      <c r="DP112" s="771"/>
      <c r="DQ112" s="771"/>
      <c r="DR112" s="771"/>
      <c r="DS112" s="771"/>
      <c r="DT112" s="771"/>
      <c r="DU112" s="771"/>
      <c r="DV112" s="771"/>
      <c r="DW112" s="771"/>
      <c r="DX112" s="771"/>
      <c r="DY112" s="771"/>
      <c r="DZ112" s="771"/>
      <c r="EA112" s="771"/>
      <c r="EB112" s="771"/>
      <c r="EC112" s="771"/>
      <c r="ED112" s="771"/>
      <c r="EE112" s="771"/>
      <c r="EF112" s="771"/>
      <c r="EG112" s="771"/>
      <c r="EH112" s="771"/>
      <c r="EI112" s="771"/>
      <c r="EJ112" s="771"/>
      <c r="EK112" s="771"/>
      <c r="EL112" s="771"/>
      <c r="EM112" s="771"/>
      <c r="EN112" s="771"/>
      <c r="EO112" s="771"/>
      <c r="EP112" s="771"/>
      <c r="EQ112" s="771"/>
      <c r="ER112" s="771"/>
      <c r="ES112" s="771"/>
      <c r="ET112" s="771"/>
      <c r="EU112" s="771"/>
      <c r="EV112" s="771"/>
      <c r="EW112" s="771"/>
      <c r="EX112" s="771"/>
      <c r="EY112" s="771"/>
      <c r="EZ112" s="771"/>
      <c r="FA112" s="771"/>
      <c r="FB112" s="771"/>
      <c r="FC112" s="771"/>
      <c r="FD112" s="771"/>
      <c r="FE112" s="771"/>
      <c r="FF112" s="771"/>
      <c r="FG112" s="771"/>
      <c r="FH112" s="771"/>
      <c r="FI112" s="771"/>
      <c r="FJ112" s="771"/>
      <c r="FK112" s="771"/>
      <c r="FL112" s="771"/>
      <c r="FM112" s="771"/>
      <c r="FN112" s="771"/>
      <c r="FO112" s="771"/>
      <c r="FP112" s="771"/>
      <c r="FQ112" s="771"/>
      <c r="FR112" s="771"/>
      <c r="FS112" s="771"/>
      <c r="FT112" s="771"/>
      <c r="FU112" s="771"/>
      <c r="FV112" s="771"/>
      <c r="FW112" s="771"/>
      <c r="FX112" s="771"/>
      <c r="FY112" s="771"/>
      <c r="FZ112" s="771"/>
      <c r="GA112" s="771"/>
      <c r="GB112" s="771"/>
      <c r="GC112" s="771"/>
      <c r="GD112" s="771"/>
      <c r="GE112" s="771"/>
      <c r="GF112" s="771"/>
      <c r="GG112" s="771"/>
      <c r="GH112" s="771"/>
      <c r="GI112" s="771"/>
      <c r="GJ112" s="771"/>
      <c r="GK112" s="771"/>
      <c r="GL112" s="771"/>
      <c r="GM112" s="771"/>
      <c r="GN112" s="771"/>
      <c r="GO112" s="771"/>
      <c r="GP112" s="771"/>
      <c r="GQ112" s="771"/>
      <c r="GR112" s="771"/>
      <c r="GS112" s="771"/>
      <c r="GT112" s="771"/>
      <c r="GU112" s="771"/>
      <c r="GV112" s="771"/>
      <c r="GW112" s="771"/>
      <c r="GX112" s="771"/>
      <c r="GY112" s="771"/>
      <c r="GZ112" s="771"/>
      <c r="HA112" s="765"/>
      <c r="HB112" s="765"/>
      <c r="HC112" s="765"/>
      <c r="HD112" s="765"/>
      <c r="HE112" s="765"/>
      <c r="HF112" s="765"/>
      <c r="HG112" s="765"/>
      <c r="HH112" s="765"/>
      <c r="HI112" s="765"/>
      <c r="HJ112" s="765"/>
      <c r="HK112" s="765"/>
      <c r="HL112" s="765"/>
      <c r="HM112" s="765"/>
      <c r="HN112" s="765"/>
      <c r="HO112" s="765"/>
      <c r="HP112" s="765"/>
    </row>
    <row r="113" spans="1:224" s="745" customFormat="1">
      <c r="A113" s="504"/>
      <c r="B113" s="772"/>
      <c r="C113" s="773" t="s">
        <v>295</v>
      </c>
      <c r="D113" s="498" t="s">
        <v>46</v>
      </c>
      <c r="E113" s="748">
        <v>0.03</v>
      </c>
      <c r="F113" s="722">
        <f>E113*F109</f>
        <v>1.26</v>
      </c>
      <c r="G113" s="749"/>
      <c r="H113" s="749"/>
      <c r="I113" s="722"/>
      <c r="J113" s="749"/>
      <c r="K113" s="748"/>
      <c r="L113" s="739"/>
      <c r="M113" s="722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C113" s="771"/>
      <c r="AD113" s="771"/>
      <c r="AE113" s="771"/>
      <c r="AF113" s="771"/>
      <c r="AG113" s="771"/>
      <c r="AH113" s="771"/>
      <c r="AI113" s="771"/>
      <c r="AJ113" s="771"/>
      <c r="AK113" s="771"/>
      <c r="AL113" s="771"/>
      <c r="AM113" s="771"/>
      <c r="AN113" s="771"/>
      <c r="AO113" s="771"/>
      <c r="AP113" s="771"/>
      <c r="AQ113" s="771"/>
      <c r="AR113" s="771"/>
      <c r="AS113" s="771"/>
      <c r="AT113" s="771"/>
      <c r="AU113" s="771"/>
      <c r="AV113" s="771"/>
      <c r="AW113" s="771"/>
      <c r="AX113" s="771"/>
      <c r="AY113" s="771"/>
      <c r="AZ113" s="771"/>
      <c r="BA113" s="771"/>
      <c r="BB113" s="771"/>
      <c r="BC113" s="771"/>
      <c r="BD113" s="771"/>
      <c r="BE113" s="771"/>
      <c r="BF113" s="771"/>
      <c r="BG113" s="771"/>
      <c r="BH113" s="771"/>
      <c r="BI113" s="771"/>
      <c r="BJ113" s="771"/>
      <c r="BK113" s="771"/>
      <c r="BL113" s="771"/>
      <c r="BM113" s="771"/>
      <c r="BN113" s="771"/>
      <c r="BO113" s="771"/>
      <c r="BP113" s="771"/>
      <c r="BQ113" s="771"/>
      <c r="BR113" s="771"/>
      <c r="BS113" s="771"/>
      <c r="BT113" s="771"/>
      <c r="BU113" s="771"/>
      <c r="BV113" s="771"/>
      <c r="BW113" s="771"/>
      <c r="BX113" s="771"/>
      <c r="BY113" s="771"/>
      <c r="BZ113" s="771"/>
      <c r="CA113" s="771"/>
      <c r="CB113" s="771"/>
      <c r="CC113" s="771"/>
      <c r="CD113" s="771"/>
      <c r="CE113" s="771"/>
      <c r="CF113" s="771"/>
      <c r="CG113" s="771"/>
      <c r="CH113" s="771"/>
      <c r="CI113" s="771"/>
      <c r="CJ113" s="771"/>
      <c r="CK113" s="771"/>
      <c r="CL113" s="771"/>
      <c r="CM113" s="771"/>
      <c r="CN113" s="771"/>
      <c r="CO113" s="771"/>
      <c r="CP113" s="771"/>
      <c r="CQ113" s="771"/>
      <c r="CR113" s="771"/>
      <c r="CS113" s="771"/>
      <c r="CT113" s="771"/>
      <c r="CU113" s="771"/>
      <c r="CV113" s="771"/>
      <c r="CW113" s="771"/>
      <c r="CX113" s="771"/>
      <c r="CY113" s="771"/>
      <c r="CZ113" s="771"/>
      <c r="DA113" s="771"/>
      <c r="DB113" s="771"/>
      <c r="DC113" s="771"/>
      <c r="DD113" s="771"/>
      <c r="DE113" s="771"/>
      <c r="DF113" s="771"/>
      <c r="DG113" s="771"/>
      <c r="DH113" s="771"/>
      <c r="DI113" s="771"/>
      <c r="DJ113" s="771"/>
      <c r="DK113" s="771"/>
      <c r="DL113" s="771"/>
      <c r="DM113" s="771"/>
      <c r="DN113" s="771"/>
      <c r="DO113" s="771"/>
      <c r="DP113" s="771"/>
      <c r="DQ113" s="771"/>
      <c r="DR113" s="771"/>
      <c r="DS113" s="771"/>
      <c r="DT113" s="771"/>
      <c r="DU113" s="771"/>
      <c r="DV113" s="771"/>
      <c r="DW113" s="771"/>
      <c r="DX113" s="771"/>
      <c r="DY113" s="771"/>
      <c r="DZ113" s="771"/>
      <c r="EA113" s="771"/>
      <c r="EB113" s="771"/>
      <c r="EC113" s="771"/>
      <c r="ED113" s="771"/>
      <c r="EE113" s="771"/>
      <c r="EF113" s="771"/>
      <c r="EG113" s="771"/>
      <c r="EH113" s="771"/>
      <c r="EI113" s="771"/>
      <c r="EJ113" s="771"/>
      <c r="EK113" s="771"/>
      <c r="EL113" s="771"/>
      <c r="EM113" s="771"/>
      <c r="EN113" s="771"/>
      <c r="EO113" s="771"/>
      <c r="EP113" s="771"/>
      <c r="EQ113" s="771"/>
      <c r="ER113" s="771"/>
      <c r="ES113" s="771"/>
      <c r="ET113" s="771"/>
      <c r="EU113" s="771"/>
      <c r="EV113" s="771"/>
      <c r="EW113" s="771"/>
      <c r="EX113" s="771"/>
      <c r="EY113" s="771"/>
      <c r="EZ113" s="771"/>
      <c r="FA113" s="771"/>
      <c r="FB113" s="771"/>
      <c r="FC113" s="771"/>
      <c r="FD113" s="771"/>
      <c r="FE113" s="771"/>
      <c r="FF113" s="771"/>
      <c r="FG113" s="771"/>
      <c r="FH113" s="771"/>
      <c r="FI113" s="771"/>
      <c r="FJ113" s="771"/>
      <c r="FK113" s="771"/>
      <c r="FL113" s="771"/>
      <c r="FM113" s="771"/>
      <c r="FN113" s="771"/>
      <c r="FO113" s="771"/>
      <c r="FP113" s="771"/>
      <c r="FQ113" s="771"/>
      <c r="FR113" s="771"/>
      <c r="FS113" s="771"/>
      <c r="FT113" s="771"/>
      <c r="FU113" s="771"/>
      <c r="FV113" s="771"/>
      <c r="FW113" s="771"/>
      <c r="FX113" s="771"/>
      <c r="FY113" s="771"/>
      <c r="FZ113" s="771"/>
      <c r="GA113" s="771"/>
      <c r="GB113" s="771"/>
      <c r="GC113" s="771"/>
      <c r="GD113" s="771"/>
      <c r="GE113" s="771"/>
      <c r="GF113" s="771"/>
      <c r="GG113" s="771"/>
      <c r="GH113" s="771"/>
      <c r="GI113" s="771"/>
      <c r="GJ113" s="771"/>
      <c r="GK113" s="771"/>
      <c r="GL113" s="771"/>
      <c r="GM113" s="771"/>
      <c r="GN113" s="771"/>
      <c r="GO113" s="771"/>
      <c r="GP113" s="771"/>
      <c r="GQ113" s="771"/>
      <c r="GR113" s="771"/>
      <c r="GS113" s="771"/>
      <c r="GT113" s="771"/>
      <c r="GU113" s="771"/>
      <c r="GV113" s="771"/>
      <c r="GW113" s="771"/>
      <c r="GX113" s="771"/>
      <c r="GY113" s="771"/>
      <c r="GZ113" s="771"/>
      <c r="HA113" s="765"/>
      <c r="HB113" s="765"/>
      <c r="HC113" s="765"/>
      <c r="HD113" s="765"/>
      <c r="HE113" s="765"/>
      <c r="HF113" s="765"/>
      <c r="HG113" s="765"/>
      <c r="HH113" s="765"/>
      <c r="HI113" s="765"/>
      <c r="HJ113" s="765"/>
      <c r="HK113" s="765"/>
      <c r="HL113" s="765"/>
      <c r="HM113" s="765"/>
      <c r="HN113" s="765"/>
      <c r="HO113" s="765"/>
      <c r="HP113" s="765"/>
    </row>
    <row r="114" spans="1:224" s="745" customFormat="1">
      <c r="A114" s="498"/>
      <c r="B114" s="774"/>
      <c r="C114" s="773" t="s">
        <v>201</v>
      </c>
      <c r="D114" s="498" t="s">
        <v>46</v>
      </c>
      <c r="E114" s="748">
        <v>0.3</v>
      </c>
      <c r="F114" s="749">
        <f>E114*F109</f>
        <v>12.6</v>
      </c>
      <c r="G114" s="748"/>
      <c r="H114" s="722"/>
      <c r="I114" s="722"/>
      <c r="J114" s="722"/>
      <c r="K114" s="739"/>
      <c r="L114" s="739"/>
      <c r="M114" s="722"/>
      <c r="N114" s="771"/>
      <c r="O114" s="771"/>
      <c r="P114" s="771"/>
      <c r="Q114" s="771"/>
      <c r="R114" s="771"/>
      <c r="S114" s="771"/>
      <c r="T114" s="771"/>
      <c r="U114" s="771"/>
      <c r="V114" s="771"/>
      <c r="W114" s="771"/>
      <c r="X114" s="771"/>
      <c r="Y114" s="771"/>
      <c r="Z114" s="771"/>
      <c r="AA114" s="771"/>
      <c r="AB114" s="771"/>
      <c r="AC114" s="771"/>
      <c r="AD114" s="771"/>
      <c r="AE114" s="771"/>
      <c r="AF114" s="771"/>
      <c r="AG114" s="771"/>
      <c r="AH114" s="771"/>
      <c r="AI114" s="771"/>
      <c r="AJ114" s="771"/>
      <c r="AK114" s="771"/>
      <c r="AL114" s="771"/>
      <c r="AM114" s="771"/>
      <c r="AN114" s="771"/>
      <c r="AO114" s="771"/>
      <c r="AP114" s="771"/>
      <c r="AQ114" s="771"/>
      <c r="AR114" s="771"/>
      <c r="AS114" s="771"/>
      <c r="AT114" s="771"/>
      <c r="AU114" s="771"/>
      <c r="AV114" s="771"/>
      <c r="AW114" s="771"/>
      <c r="AX114" s="771"/>
      <c r="AY114" s="771"/>
      <c r="AZ114" s="771"/>
      <c r="BA114" s="771"/>
      <c r="BB114" s="771"/>
      <c r="BC114" s="771"/>
      <c r="BD114" s="771"/>
      <c r="BE114" s="771"/>
      <c r="BF114" s="771"/>
      <c r="BG114" s="771"/>
      <c r="BH114" s="771"/>
      <c r="BI114" s="771"/>
      <c r="BJ114" s="771"/>
      <c r="BK114" s="771"/>
      <c r="BL114" s="771"/>
      <c r="BM114" s="771"/>
      <c r="BN114" s="771"/>
      <c r="BO114" s="771"/>
      <c r="BP114" s="771"/>
      <c r="BQ114" s="771"/>
      <c r="BR114" s="771"/>
      <c r="BS114" s="771"/>
      <c r="BT114" s="771"/>
      <c r="BU114" s="771"/>
      <c r="BV114" s="771"/>
      <c r="BW114" s="771"/>
      <c r="BX114" s="771"/>
      <c r="BY114" s="771"/>
      <c r="BZ114" s="771"/>
      <c r="CA114" s="771"/>
      <c r="CB114" s="771"/>
      <c r="CC114" s="771"/>
      <c r="CD114" s="771"/>
      <c r="CE114" s="771"/>
      <c r="CF114" s="771"/>
      <c r="CG114" s="771"/>
      <c r="CH114" s="771"/>
      <c r="CI114" s="771"/>
      <c r="CJ114" s="771"/>
      <c r="CK114" s="771"/>
      <c r="CL114" s="771"/>
      <c r="CM114" s="771"/>
      <c r="CN114" s="771"/>
      <c r="CO114" s="771"/>
      <c r="CP114" s="771"/>
      <c r="CQ114" s="771"/>
      <c r="CR114" s="771"/>
      <c r="CS114" s="771"/>
      <c r="CT114" s="771"/>
      <c r="CU114" s="771"/>
      <c r="CV114" s="771"/>
      <c r="CW114" s="771"/>
      <c r="CX114" s="771"/>
      <c r="CY114" s="771"/>
      <c r="CZ114" s="771"/>
      <c r="DA114" s="771"/>
      <c r="DB114" s="771"/>
      <c r="DC114" s="771"/>
      <c r="DD114" s="771"/>
      <c r="DE114" s="771"/>
      <c r="DF114" s="771"/>
      <c r="DG114" s="771"/>
      <c r="DH114" s="771"/>
      <c r="DI114" s="771"/>
      <c r="DJ114" s="771"/>
      <c r="DK114" s="771"/>
      <c r="DL114" s="771"/>
      <c r="DM114" s="771"/>
      <c r="DN114" s="771"/>
      <c r="DO114" s="771"/>
      <c r="DP114" s="771"/>
      <c r="DQ114" s="771"/>
      <c r="DR114" s="771"/>
      <c r="DS114" s="771"/>
      <c r="DT114" s="771"/>
      <c r="DU114" s="771"/>
      <c r="DV114" s="771"/>
      <c r="DW114" s="771"/>
      <c r="DX114" s="771"/>
      <c r="DY114" s="771"/>
      <c r="DZ114" s="771"/>
      <c r="EA114" s="771"/>
      <c r="EB114" s="771"/>
      <c r="EC114" s="771"/>
      <c r="ED114" s="771"/>
      <c r="EE114" s="771"/>
      <c r="EF114" s="771"/>
      <c r="EG114" s="771"/>
      <c r="EH114" s="771"/>
      <c r="EI114" s="771"/>
      <c r="EJ114" s="771"/>
      <c r="EK114" s="771"/>
      <c r="EL114" s="771"/>
      <c r="EM114" s="771"/>
      <c r="EN114" s="771"/>
      <c r="EO114" s="771"/>
      <c r="EP114" s="771"/>
      <c r="EQ114" s="771"/>
      <c r="ER114" s="771"/>
      <c r="ES114" s="771"/>
      <c r="ET114" s="771"/>
      <c r="EU114" s="771"/>
      <c r="EV114" s="771"/>
      <c r="EW114" s="771"/>
      <c r="EX114" s="771"/>
      <c r="EY114" s="771"/>
      <c r="EZ114" s="771"/>
      <c r="FA114" s="771"/>
      <c r="FB114" s="771"/>
      <c r="FC114" s="771"/>
      <c r="FD114" s="771"/>
      <c r="FE114" s="771"/>
      <c r="FF114" s="771"/>
      <c r="FG114" s="771"/>
      <c r="FH114" s="771"/>
      <c r="FI114" s="771"/>
      <c r="FJ114" s="771"/>
      <c r="FK114" s="771"/>
      <c r="FL114" s="771"/>
      <c r="FM114" s="771"/>
      <c r="FN114" s="771"/>
      <c r="FO114" s="771"/>
      <c r="FP114" s="771"/>
      <c r="FQ114" s="771"/>
      <c r="FR114" s="771"/>
      <c r="FS114" s="771"/>
      <c r="FT114" s="771"/>
      <c r="FU114" s="771"/>
      <c r="FV114" s="771"/>
      <c r="FW114" s="771"/>
      <c r="FX114" s="771"/>
      <c r="FY114" s="771"/>
      <c r="FZ114" s="771"/>
      <c r="GA114" s="771"/>
      <c r="GB114" s="771"/>
      <c r="GC114" s="771"/>
      <c r="GD114" s="771"/>
      <c r="GE114" s="771"/>
      <c r="GF114" s="771"/>
      <c r="GG114" s="771"/>
      <c r="GH114" s="771"/>
      <c r="GI114" s="771"/>
      <c r="GJ114" s="771"/>
      <c r="GK114" s="771"/>
      <c r="GL114" s="771"/>
      <c r="GM114" s="771"/>
      <c r="GN114" s="771"/>
      <c r="GO114" s="771"/>
      <c r="GP114" s="771"/>
      <c r="GQ114" s="771"/>
      <c r="GR114" s="771"/>
      <c r="GS114" s="771"/>
      <c r="GT114" s="771"/>
      <c r="GU114" s="771"/>
      <c r="GV114" s="771"/>
      <c r="GW114" s="771"/>
      <c r="GX114" s="771"/>
      <c r="GY114" s="771"/>
      <c r="GZ114" s="771"/>
      <c r="HA114" s="765"/>
      <c r="HB114" s="765"/>
      <c r="HC114" s="765"/>
      <c r="HD114" s="765"/>
      <c r="HE114" s="765"/>
      <c r="HF114" s="765"/>
      <c r="HG114" s="765"/>
      <c r="HH114" s="765"/>
      <c r="HI114" s="765"/>
      <c r="HJ114" s="765"/>
      <c r="HK114" s="765"/>
      <c r="HL114" s="765"/>
      <c r="HM114" s="765"/>
      <c r="HN114" s="765"/>
      <c r="HO114" s="765"/>
      <c r="HP114" s="765"/>
    </row>
    <row r="115" spans="1:224" s="745" customFormat="1">
      <c r="A115" s="718">
        <v>19</v>
      </c>
      <c r="B115" s="772" t="s">
        <v>309</v>
      </c>
      <c r="C115" s="720" t="s">
        <v>312</v>
      </c>
      <c r="D115" s="492" t="s">
        <v>48</v>
      </c>
      <c r="E115" s="719"/>
      <c r="F115" s="776">
        <f>F109</f>
        <v>42</v>
      </c>
      <c r="G115" s="721"/>
      <c r="H115" s="721"/>
      <c r="I115" s="721"/>
      <c r="J115" s="721"/>
      <c r="K115" s="721"/>
      <c r="L115" s="721"/>
      <c r="M115" s="721"/>
    </row>
    <row r="116" spans="1:224" s="745" customFormat="1">
      <c r="A116" s="504"/>
      <c r="B116" s="772"/>
      <c r="C116" s="773" t="s">
        <v>280</v>
      </c>
      <c r="D116" s="498" t="s">
        <v>63</v>
      </c>
      <c r="E116" s="722">
        <f>65.8/100</f>
        <v>0.65799999999999992</v>
      </c>
      <c r="F116" s="722">
        <f>F115*E116</f>
        <v>27.635999999999996</v>
      </c>
      <c r="G116" s="722"/>
      <c r="H116" s="722"/>
      <c r="I116" s="722"/>
      <c r="J116" s="722"/>
      <c r="K116" s="722"/>
      <c r="L116" s="722"/>
      <c r="M116" s="722"/>
    </row>
    <row r="117" spans="1:224" s="745" customFormat="1">
      <c r="A117" s="718"/>
      <c r="B117" s="635" t="s">
        <v>683</v>
      </c>
      <c r="C117" s="780" t="s">
        <v>302</v>
      </c>
      <c r="D117" s="498" t="s">
        <v>198</v>
      </c>
      <c r="E117" s="722">
        <f>63/100</f>
        <v>0.63</v>
      </c>
      <c r="F117" s="722">
        <f>F115*E117</f>
        <v>26.46</v>
      </c>
      <c r="G117" s="748"/>
      <c r="H117" s="722"/>
      <c r="I117" s="722"/>
      <c r="J117" s="722"/>
      <c r="K117" s="722"/>
      <c r="L117" s="722"/>
      <c r="M117" s="722"/>
    </row>
    <row r="118" spans="1:224" s="745" customFormat="1">
      <c r="A118" s="718"/>
      <c r="B118" s="635" t="s">
        <v>684</v>
      </c>
      <c r="C118" s="773" t="s">
        <v>303</v>
      </c>
      <c r="D118" s="498" t="s">
        <v>198</v>
      </c>
      <c r="E118" s="722">
        <f>79/100</f>
        <v>0.79</v>
      </c>
      <c r="F118" s="722">
        <f>F115*E118</f>
        <v>33.18</v>
      </c>
      <c r="G118" s="748"/>
      <c r="H118" s="722"/>
      <c r="I118" s="722"/>
      <c r="J118" s="722"/>
      <c r="K118" s="722"/>
      <c r="L118" s="722"/>
      <c r="M118" s="722"/>
    </row>
    <row r="119" spans="1:224" s="745" customFormat="1">
      <c r="A119" s="718"/>
      <c r="B119" s="772"/>
      <c r="C119" s="773" t="s">
        <v>295</v>
      </c>
      <c r="D119" s="498" t="s">
        <v>46</v>
      </c>
      <c r="E119" s="722">
        <f>1/100</f>
        <v>0.01</v>
      </c>
      <c r="F119" s="722">
        <f>F115*E119</f>
        <v>0.42</v>
      </c>
      <c r="G119" s="722"/>
      <c r="H119" s="722"/>
      <c r="I119" s="722"/>
      <c r="J119" s="722"/>
      <c r="K119" s="722"/>
      <c r="L119" s="722"/>
      <c r="M119" s="722"/>
    </row>
    <row r="120" spans="1:224" s="745" customFormat="1">
      <c r="A120" s="781"/>
      <c r="B120" s="774"/>
      <c r="C120" s="773" t="s">
        <v>201</v>
      </c>
      <c r="D120" s="498" t="s">
        <v>46</v>
      </c>
      <c r="E120" s="722">
        <f>1.6/100</f>
        <v>1.6E-2</v>
      </c>
      <c r="F120" s="722">
        <f>F115*E120</f>
        <v>0.67200000000000004</v>
      </c>
      <c r="G120" s="722"/>
      <c r="H120" s="722"/>
      <c r="I120" s="722"/>
      <c r="J120" s="722"/>
      <c r="K120" s="722"/>
      <c r="L120" s="722"/>
      <c r="M120" s="722"/>
    </row>
    <row r="121" spans="1:224" s="745" customFormat="1">
      <c r="A121" s="492">
        <v>20</v>
      </c>
      <c r="B121" s="627" t="s">
        <v>403</v>
      </c>
      <c r="C121" s="720" t="s">
        <v>313</v>
      </c>
      <c r="D121" s="492" t="s">
        <v>48</v>
      </c>
      <c r="E121" s="788"/>
      <c r="F121" s="721">
        <v>4.2</v>
      </c>
      <c r="G121" s="721"/>
      <c r="H121" s="721"/>
      <c r="I121" s="721"/>
      <c r="J121" s="721"/>
      <c r="K121" s="731"/>
      <c r="L121" s="731"/>
      <c r="M121" s="721"/>
      <c r="N121" s="741"/>
      <c r="O121" s="741"/>
      <c r="P121" s="741"/>
      <c r="Q121" s="741"/>
      <c r="R121" s="741"/>
      <c r="S121" s="741"/>
      <c r="T121" s="741"/>
      <c r="U121" s="741"/>
      <c r="V121" s="741"/>
      <c r="W121" s="741"/>
      <c r="X121" s="741"/>
      <c r="Y121" s="741"/>
      <c r="Z121" s="741"/>
      <c r="AA121" s="741"/>
      <c r="AB121" s="741"/>
      <c r="AC121" s="741"/>
      <c r="AD121" s="741"/>
      <c r="AE121" s="741"/>
      <c r="AF121" s="741"/>
      <c r="AG121" s="741"/>
      <c r="AH121" s="741"/>
      <c r="AI121" s="741"/>
      <c r="AJ121" s="741"/>
      <c r="AK121" s="741"/>
      <c r="AL121" s="741"/>
      <c r="AM121" s="741"/>
      <c r="AN121" s="741"/>
      <c r="AO121" s="741"/>
      <c r="AP121" s="741"/>
      <c r="AQ121" s="741"/>
      <c r="AR121" s="741"/>
      <c r="AS121" s="741"/>
      <c r="AT121" s="741"/>
      <c r="AU121" s="741"/>
      <c r="AV121" s="741"/>
      <c r="AW121" s="741"/>
      <c r="AX121" s="741"/>
      <c r="AY121" s="741"/>
      <c r="AZ121" s="741"/>
      <c r="BA121" s="741"/>
      <c r="BB121" s="741"/>
      <c r="BC121" s="741"/>
      <c r="BD121" s="741"/>
      <c r="BE121" s="741"/>
      <c r="BF121" s="741"/>
      <c r="BG121" s="741"/>
      <c r="BH121" s="741"/>
      <c r="BI121" s="741"/>
      <c r="BJ121" s="741"/>
      <c r="BK121" s="741"/>
      <c r="BL121" s="741"/>
      <c r="BM121" s="741"/>
      <c r="BN121" s="741"/>
      <c r="BO121" s="741"/>
      <c r="BP121" s="741"/>
      <c r="BQ121" s="741"/>
      <c r="BR121" s="741"/>
      <c r="BS121" s="741"/>
      <c r="BT121" s="741"/>
      <c r="BU121" s="741"/>
      <c r="BV121" s="741"/>
      <c r="BW121" s="741"/>
      <c r="BX121" s="741"/>
      <c r="BY121" s="741"/>
      <c r="BZ121" s="741"/>
      <c r="CA121" s="741"/>
      <c r="CB121" s="741"/>
      <c r="CC121" s="741"/>
      <c r="CD121" s="741"/>
      <c r="CE121" s="741"/>
      <c r="CF121" s="741"/>
      <c r="CG121" s="741"/>
      <c r="CH121" s="741"/>
      <c r="CI121" s="741"/>
      <c r="CJ121" s="741"/>
      <c r="CK121" s="741"/>
      <c r="CL121" s="741"/>
      <c r="CM121" s="741"/>
      <c r="CN121" s="741"/>
      <c r="CO121" s="741"/>
      <c r="CP121" s="741"/>
      <c r="CQ121" s="741"/>
      <c r="CR121" s="741"/>
      <c r="CS121" s="741"/>
      <c r="CT121" s="741"/>
      <c r="CU121" s="741"/>
      <c r="CV121" s="741"/>
      <c r="CW121" s="741"/>
      <c r="CX121" s="741"/>
      <c r="CY121" s="741"/>
      <c r="CZ121" s="741"/>
      <c r="DA121" s="741"/>
      <c r="DB121" s="741"/>
      <c r="DC121" s="741"/>
      <c r="DD121" s="741"/>
      <c r="DE121" s="741"/>
      <c r="DF121" s="741"/>
      <c r="DG121" s="741"/>
      <c r="DH121" s="741"/>
      <c r="DI121" s="741"/>
      <c r="DJ121" s="741"/>
      <c r="DK121" s="741"/>
      <c r="DL121" s="741"/>
      <c r="DM121" s="741"/>
      <c r="DN121" s="741"/>
      <c r="DO121" s="741"/>
      <c r="DP121" s="741"/>
      <c r="DQ121" s="741"/>
      <c r="DR121" s="741"/>
      <c r="DS121" s="741"/>
      <c r="DT121" s="741"/>
      <c r="DU121" s="741"/>
      <c r="DV121" s="741"/>
      <c r="DW121" s="741"/>
      <c r="DX121" s="741"/>
      <c r="DY121" s="741"/>
      <c r="DZ121" s="741"/>
      <c r="EA121" s="741"/>
      <c r="EB121" s="741"/>
      <c r="EC121" s="741"/>
      <c r="ED121" s="741"/>
      <c r="EE121" s="741"/>
      <c r="EF121" s="741"/>
      <c r="EG121" s="741"/>
      <c r="EH121" s="741"/>
      <c r="EI121" s="741"/>
      <c r="EJ121" s="741"/>
      <c r="EK121" s="741"/>
      <c r="EL121" s="741"/>
      <c r="EM121" s="741"/>
      <c r="EN121" s="741"/>
      <c r="EO121" s="741"/>
      <c r="EP121" s="741"/>
      <c r="EQ121" s="741"/>
      <c r="ER121" s="741"/>
      <c r="ES121" s="741"/>
      <c r="ET121" s="741"/>
      <c r="EU121" s="741"/>
      <c r="EV121" s="741"/>
      <c r="EW121" s="741"/>
      <c r="EX121" s="741"/>
      <c r="EY121" s="741"/>
      <c r="EZ121" s="741"/>
      <c r="FA121" s="741"/>
      <c r="FB121" s="741"/>
      <c r="FC121" s="741"/>
      <c r="FD121" s="741"/>
      <c r="FE121" s="741"/>
      <c r="FF121" s="741"/>
      <c r="FG121" s="741"/>
      <c r="FH121" s="741"/>
      <c r="FI121" s="741"/>
      <c r="FJ121" s="741"/>
      <c r="FK121" s="741"/>
      <c r="FL121" s="741"/>
      <c r="FM121" s="741"/>
      <c r="FN121" s="741"/>
      <c r="FO121" s="741"/>
      <c r="FP121" s="741"/>
      <c r="FQ121" s="741"/>
      <c r="FR121" s="741"/>
      <c r="FS121" s="741"/>
      <c r="FT121" s="741"/>
      <c r="FU121" s="741"/>
      <c r="FV121" s="741"/>
      <c r="FW121" s="741"/>
      <c r="FX121" s="741"/>
      <c r="FY121" s="741"/>
      <c r="FZ121" s="741"/>
      <c r="GA121" s="741"/>
      <c r="GB121" s="741"/>
      <c r="GC121" s="741"/>
      <c r="GD121" s="741"/>
      <c r="GE121" s="741"/>
      <c r="GF121" s="741"/>
      <c r="GG121" s="741"/>
      <c r="GH121" s="741"/>
      <c r="GI121" s="741"/>
      <c r="GJ121" s="741"/>
      <c r="GK121" s="741"/>
      <c r="GL121" s="741"/>
      <c r="GM121" s="741"/>
      <c r="GN121" s="741"/>
      <c r="GO121" s="741"/>
      <c r="GP121" s="741"/>
      <c r="GQ121" s="741"/>
      <c r="GR121" s="741"/>
      <c r="GS121" s="741"/>
      <c r="GT121" s="741"/>
      <c r="GU121" s="741"/>
      <c r="GV121" s="741"/>
      <c r="GW121" s="741"/>
      <c r="GX121" s="741"/>
      <c r="GY121" s="741"/>
      <c r="GZ121" s="741"/>
      <c r="HA121" s="741"/>
      <c r="HB121" s="741"/>
      <c r="HC121" s="741"/>
      <c r="HD121" s="741"/>
      <c r="HE121" s="741"/>
      <c r="HF121" s="741"/>
      <c r="HG121" s="741"/>
      <c r="HH121" s="741"/>
      <c r="HI121" s="741"/>
      <c r="HJ121" s="741"/>
      <c r="HK121" s="741"/>
      <c r="HL121" s="741"/>
      <c r="HM121" s="741"/>
      <c r="HN121" s="741"/>
      <c r="HO121" s="741"/>
      <c r="HP121" s="741"/>
    </row>
    <row r="122" spans="1:224" s="745" customFormat="1">
      <c r="A122" s="504"/>
      <c r="B122" s="772"/>
      <c r="C122" s="773" t="s">
        <v>280</v>
      </c>
      <c r="D122" s="498" t="s">
        <v>63</v>
      </c>
      <c r="E122" s="722">
        <v>0.83</v>
      </c>
      <c r="F122" s="722">
        <f>F121*E122</f>
        <v>3.4859999999999998</v>
      </c>
      <c r="G122" s="722"/>
      <c r="H122" s="722"/>
      <c r="I122" s="722"/>
      <c r="J122" s="722"/>
      <c r="K122" s="722"/>
      <c r="L122" s="722"/>
      <c r="M122" s="722"/>
    </row>
    <row r="123" spans="1:224" s="745" customFormat="1">
      <c r="A123" s="718"/>
      <c r="B123" s="635" t="s">
        <v>473</v>
      </c>
      <c r="C123" s="780" t="s">
        <v>314</v>
      </c>
      <c r="D123" s="498" t="s">
        <v>169</v>
      </c>
      <c r="E123" s="722">
        <v>1.17</v>
      </c>
      <c r="F123" s="722">
        <f>F121*E123</f>
        <v>4.9139999999999997</v>
      </c>
      <c r="G123" s="748"/>
      <c r="H123" s="722"/>
      <c r="I123" s="722"/>
      <c r="J123" s="722"/>
      <c r="K123" s="722"/>
      <c r="L123" s="722"/>
      <c r="M123" s="722"/>
    </row>
    <row r="124" spans="1:224" s="745" customFormat="1">
      <c r="A124" s="718"/>
      <c r="B124" s="772"/>
      <c r="C124" s="773" t="s">
        <v>295</v>
      </c>
      <c r="D124" s="498" t="s">
        <v>46</v>
      </c>
      <c r="E124" s="727">
        <v>4.1000000000000003E-3</v>
      </c>
      <c r="F124" s="722">
        <f>F121*E124</f>
        <v>1.7220000000000003E-2</v>
      </c>
      <c r="G124" s="722"/>
      <c r="H124" s="722"/>
      <c r="I124" s="722"/>
      <c r="J124" s="722"/>
      <c r="K124" s="722"/>
      <c r="L124" s="722"/>
      <c r="M124" s="722"/>
    </row>
    <row r="125" spans="1:224" s="745" customFormat="1">
      <c r="A125" s="781"/>
      <c r="B125" s="774"/>
      <c r="C125" s="773" t="s">
        <v>201</v>
      </c>
      <c r="D125" s="498" t="s">
        <v>46</v>
      </c>
      <c r="E125" s="753">
        <v>7.8E-2</v>
      </c>
      <c r="F125" s="722">
        <f>F121*E125</f>
        <v>0.3276</v>
      </c>
      <c r="G125" s="722"/>
      <c r="H125" s="722"/>
      <c r="I125" s="722"/>
      <c r="J125" s="722"/>
      <c r="K125" s="722"/>
      <c r="L125" s="722"/>
      <c r="M125" s="722"/>
    </row>
    <row r="126" spans="1:224" s="745" customFormat="1" ht="27">
      <c r="A126" s="718">
        <v>21</v>
      </c>
      <c r="B126" s="772" t="s">
        <v>315</v>
      </c>
      <c r="C126" s="528" t="s">
        <v>316</v>
      </c>
      <c r="D126" s="492" t="s">
        <v>199</v>
      </c>
      <c r="E126" s="719"/>
      <c r="F126" s="776">
        <v>5.4</v>
      </c>
      <c r="G126" s="721"/>
      <c r="H126" s="721"/>
      <c r="I126" s="721"/>
      <c r="J126" s="721"/>
      <c r="K126" s="721"/>
      <c r="L126" s="721"/>
      <c r="M126" s="721"/>
    </row>
    <row r="127" spans="1:224" s="745" customFormat="1">
      <c r="A127" s="504"/>
      <c r="B127" s="772"/>
      <c r="C127" s="773" t="s">
        <v>280</v>
      </c>
      <c r="D127" s="498" t="s">
        <v>63</v>
      </c>
      <c r="E127" s="722">
        <f>74/100</f>
        <v>0.74</v>
      </c>
      <c r="F127" s="722">
        <f>F126*E127</f>
        <v>3.996</v>
      </c>
      <c r="G127" s="722"/>
      <c r="H127" s="722"/>
      <c r="I127" s="722"/>
      <c r="J127" s="722"/>
      <c r="K127" s="722"/>
      <c r="L127" s="722"/>
      <c r="M127" s="722"/>
    </row>
    <row r="128" spans="1:224" s="745" customFormat="1">
      <c r="A128" s="718"/>
      <c r="B128" s="635" t="s">
        <v>690</v>
      </c>
      <c r="C128" s="780" t="s">
        <v>317</v>
      </c>
      <c r="D128" s="498" t="s">
        <v>131</v>
      </c>
      <c r="E128" s="722" t="s">
        <v>205</v>
      </c>
      <c r="F128" s="722">
        <v>2</v>
      </c>
      <c r="G128" s="748"/>
      <c r="H128" s="722"/>
      <c r="I128" s="722"/>
      <c r="J128" s="722"/>
      <c r="K128" s="722"/>
      <c r="L128" s="722"/>
      <c r="M128" s="722"/>
    </row>
    <row r="129" spans="1:224" s="745" customFormat="1">
      <c r="A129" s="718"/>
      <c r="B129" s="635" t="s">
        <v>691</v>
      </c>
      <c r="C129" s="773" t="s">
        <v>318</v>
      </c>
      <c r="D129" s="498" t="s">
        <v>199</v>
      </c>
      <c r="E129" s="722" t="s">
        <v>205</v>
      </c>
      <c r="F129" s="722">
        <v>5.4</v>
      </c>
      <c r="G129" s="748"/>
      <c r="H129" s="722"/>
      <c r="I129" s="722"/>
      <c r="J129" s="722"/>
      <c r="K129" s="722"/>
      <c r="L129" s="722"/>
      <c r="M129" s="722"/>
    </row>
    <row r="130" spans="1:224" s="745" customFormat="1" ht="15.75">
      <c r="A130" s="718"/>
      <c r="B130" s="635" t="s">
        <v>692</v>
      </c>
      <c r="C130" s="773" t="s">
        <v>474</v>
      </c>
      <c r="D130" s="498" t="s">
        <v>131</v>
      </c>
      <c r="E130" s="722" t="s">
        <v>205</v>
      </c>
      <c r="F130" s="722">
        <v>2</v>
      </c>
      <c r="G130" s="748"/>
      <c r="H130" s="722"/>
      <c r="I130" s="722"/>
      <c r="J130" s="722"/>
      <c r="K130" s="722"/>
      <c r="L130" s="722"/>
      <c r="M130" s="722"/>
    </row>
    <row r="131" spans="1:224" s="745" customFormat="1">
      <c r="A131" s="718"/>
      <c r="B131" s="635" t="s">
        <v>475</v>
      </c>
      <c r="C131" s="773" t="s">
        <v>404</v>
      </c>
      <c r="D131" s="498" t="s">
        <v>198</v>
      </c>
      <c r="E131" s="722">
        <v>4.0599999999999996</v>
      </c>
      <c r="F131" s="722">
        <f>F126*E131</f>
        <v>21.923999999999999</v>
      </c>
      <c r="G131" s="748"/>
      <c r="H131" s="722"/>
      <c r="I131" s="722"/>
      <c r="J131" s="722"/>
      <c r="K131" s="722"/>
      <c r="L131" s="722"/>
      <c r="M131" s="722"/>
    </row>
    <row r="132" spans="1:224" s="745" customFormat="1">
      <c r="A132" s="718"/>
      <c r="B132" s="635" t="s">
        <v>476</v>
      </c>
      <c r="C132" s="773" t="s">
        <v>405</v>
      </c>
      <c r="D132" s="498" t="s">
        <v>198</v>
      </c>
      <c r="E132" s="722">
        <v>0.128</v>
      </c>
      <c r="F132" s="722">
        <f>F126*E132</f>
        <v>0.69120000000000004</v>
      </c>
      <c r="G132" s="748"/>
      <c r="H132" s="722"/>
      <c r="I132" s="722"/>
      <c r="J132" s="722"/>
      <c r="K132" s="722"/>
      <c r="L132" s="722"/>
      <c r="M132" s="722"/>
    </row>
    <row r="133" spans="1:224" s="745" customFormat="1">
      <c r="A133" s="718"/>
      <c r="B133" s="635" t="s">
        <v>693</v>
      </c>
      <c r="C133" s="773" t="s">
        <v>406</v>
      </c>
      <c r="D133" s="498" t="s">
        <v>198</v>
      </c>
      <c r="E133" s="722">
        <v>0.128</v>
      </c>
      <c r="F133" s="722">
        <f>F126*E133</f>
        <v>0.69120000000000004</v>
      </c>
      <c r="G133" s="748"/>
      <c r="H133" s="722"/>
      <c r="I133" s="722"/>
      <c r="J133" s="722"/>
      <c r="K133" s="722"/>
      <c r="L133" s="722"/>
      <c r="M133" s="722"/>
    </row>
    <row r="134" spans="1:224" s="745" customFormat="1">
      <c r="A134" s="718"/>
      <c r="B134" s="772"/>
      <c r="C134" s="773" t="s">
        <v>295</v>
      </c>
      <c r="D134" s="498" t="s">
        <v>46</v>
      </c>
      <c r="E134" s="727">
        <f>6.62/100</f>
        <v>6.6199999999999995E-2</v>
      </c>
      <c r="F134" s="722">
        <f>F126*E134</f>
        <v>0.35748000000000002</v>
      </c>
      <c r="G134" s="722"/>
      <c r="H134" s="722"/>
      <c r="I134" s="722"/>
      <c r="J134" s="722"/>
      <c r="K134" s="722"/>
      <c r="L134" s="722"/>
      <c r="M134" s="722"/>
    </row>
    <row r="135" spans="1:224" s="745" customFormat="1">
      <c r="A135" s="781"/>
      <c r="B135" s="774"/>
      <c r="C135" s="773" t="s">
        <v>201</v>
      </c>
      <c r="D135" s="498" t="s">
        <v>46</v>
      </c>
      <c r="E135" s="753">
        <f>13.3/100</f>
        <v>0.13300000000000001</v>
      </c>
      <c r="F135" s="722">
        <f>F126*E135</f>
        <v>0.71820000000000006</v>
      </c>
      <c r="G135" s="722"/>
      <c r="H135" s="722"/>
      <c r="I135" s="722"/>
      <c r="J135" s="722"/>
      <c r="K135" s="722"/>
      <c r="L135" s="722"/>
      <c r="M135" s="722"/>
    </row>
    <row r="136" spans="1:224" s="745" customFormat="1" ht="27">
      <c r="A136" s="492">
        <v>22</v>
      </c>
      <c r="B136" s="627" t="s">
        <v>477</v>
      </c>
      <c r="C136" s="789" t="s">
        <v>319</v>
      </c>
      <c r="D136" s="492" t="s">
        <v>44</v>
      </c>
      <c r="E136" s="721"/>
      <c r="F136" s="721">
        <v>9.52</v>
      </c>
      <c r="G136" s="721"/>
      <c r="H136" s="721"/>
      <c r="I136" s="721"/>
      <c r="J136" s="721"/>
      <c r="K136" s="721"/>
      <c r="L136" s="721"/>
      <c r="M136" s="721"/>
      <c r="N136" s="741"/>
      <c r="O136" s="741"/>
      <c r="P136" s="741"/>
      <c r="Q136" s="741"/>
      <c r="R136" s="741"/>
      <c r="S136" s="741"/>
      <c r="T136" s="741"/>
      <c r="U136" s="741"/>
      <c r="V136" s="741"/>
      <c r="W136" s="741"/>
      <c r="X136" s="741"/>
      <c r="Y136" s="741"/>
      <c r="Z136" s="741"/>
      <c r="AA136" s="741"/>
      <c r="AB136" s="741"/>
      <c r="AC136" s="741"/>
      <c r="AD136" s="741"/>
      <c r="AE136" s="741"/>
      <c r="AF136" s="741"/>
      <c r="AG136" s="741"/>
      <c r="AH136" s="741"/>
      <c r="AI136" s="741"/>
      <c r="AJ136" s="741"/>
      <c r="AK136" s="741"/>
      <c r="AL136" s="741"/>
      <c r="AM136" s="741"/>
      <c r="AN136" s="741"/>
      <c r="AO136" s="741"/>
      <c r="AP136" s="741"/>
      <c r="AQ136" s="741"/>
      <c r="AR136" s="741"/>
      <c r="AS136" s="741"/>
      <c r="AT136" s="741"/>
      <c r="AU136" s="741"/>
      <c r="AV136" s="741"/>
      <c r="AW136" s="741"/>
      <c r="AX136" s="741"/>
      <c r="AY136" s="741"/>
      <c r="AZ136" s="741"/>
      <c r="BA136" s="741"/>
      <c r="BB136" s="741"/>
      <c r="BC136" s="741"/>
      <c r="BD136" s="741"/>
      <c r="BE136" s="741"/>
      <c r="BF136" s="741"/>
      <c r="BG136" s="741"/>
      <c r="BH136" s="741"/>
      <c r="BI136" s="741"/>
      <c r="BJ136" s="741"/>
      <c r="BK136" s="741"/>
      <c r="BL136" s="741"/>
      <c r="BM136" s="741"/>
      <c r="BN136" s="741"/>
      <c r="BO136" s="741"/>
      <c r="BP136" s="741"/>
      <c r="BQ136" s="741"/>
      <c r="BR136" s="741"/>
      <c r="BS136" s="741"/>
      <c r="BT136" s="741"/>
      <c r="BU136" s="741"/>
      <c r="BV136" s="741"/>
      <c r="BW136" s="741"/>
      <c r="BX136" s="741"/>
      <c r="BY136" s="741"/>
      <c r="BZ136" s="741"/>
      <c r="CA136" s="741"/>
      <c r="CB136" s="741"/>
      <c r="CC136" s="741"/>
      <c r="CD136" s="741"/>
      <c r="CE136" s="741"/>
      <c r="CF136" s="741"/>
      <c r="CG136" s="741"/>
      <c r="CH136" s="741"/>
      <c r="CI136" s="741"/>
      <c r="CJ136" s="741"/>
      <c r="CK136" s="741"/>
      <c r="CL136" s="741"/>
      <c r="CM136" s="741"/>
      <c r="CN136" s="741"/>
      <c r="CO136" s="741"/>
      <c r="CP136" s="741"/>
      <c r="CQ136" s="741"/>
      <c r="CR136" s="741"/>
      <c r="CS136" s="741"/>
      <c r="CT136" s="741"/>
      <c r="CU136" s="741"/>
      <c r="CV136" s="741"/>
      <c r="CW136" s="741"/>
      <c r="CX136" s="741"/>
      <c r="CY136" s="741"/>
      <c r="CZ136" s="741"/>
      <c r="DA136" s="741"/>
      <c r="DB136" s="741"/>
      <c r="DC136" s="741"/>
      <c r="DD136" s="741"/>
      <c r="DE136" s="741"/>
      <c r="DF136" s="741"/>
      <c r="DG136" s="741"/>
      <c r="DH136" s="741"/>
      <c r="DI136" s="741"/>
      <c r="DJ136" s="741"/>
      <c r="DK136" s="741"/>
      <c r="DL136" s="741"/>
      <c r="DM136" s="741"/>
      <c r="DN136" s="741"/>
      <c r="DO136" s="741"/>
      <c r="DP136" s="741"/>
      <c r="DQ136" s="741"/>
      <c r="DR136" s="741"/>
      <c r="DS136" s="741"/>
      <c r="DT136" s="741"/>
      <c r="DU136" s="741"/>
      <c r="DV136" s="741"/>
      <c r="DW136" s="741"/>
      <c r="DX136" s="741"/>
      <c r="DY136" s="741"/>
      <c r="DZ136" s="741"/>
      <c r="EA136" s="741"/>
      <c r="EB136" s="741"/>
      <c r="EC136" s="741"/>
      <c r="ED136" s="741"/>
      <c r="EE136" s="741"/>
      <c r="EF136" s="741"/>
      <c r="EG136" s="741"/>
      <c r="EH136" s="741"/>
      <c r="EI136" s="741"/>
      <c r="EJ136" s="741"/>
      <c r="EK136" s="741"/>
      <c r="EL136" s="741"/>
      <c r="EM136" s="741"/>
      <c r="EN136" s="741"/>
      <c r="EO136" s="741"/>
      <c r="EP136" s="741"/>
      <c r="EQ136" s="741"/>
      <c r="ER136" s="741"/>
      <c r="ES136" s="741"/>
      <c r="ET136" s="741"/>
      <c r="EU136" s="741"/>
      <c r="EV136" s="741"/>
      <c r="EW136" s="741"/>
      <c r="EX136" s="741"/>
      <c r="EY136" s="741"/>
      <c r="EZ136" s="741"/>
      <c r="FA136" s="741"/>
      <c r="FB136" s="741"/>
      <c r="FC136" s="741"/>
      <c r="FD136" s="741"/>
      <c r="FE136" s="741"/>
      <c r="FF136" s="741"/>
      <c r="FG136" s="741"/>
      <c r="FH136" s="741"/>
      <c r="FI136" s="741"/>
      <c r="FJ136" s="741"/>
      <c r="FK136" s="741"/>
      <c r="FL136" s="741"/>
      <c r="FM136" s="741"/>
      <c r="FN136" s="741"/>
      <c r="FO136" s="741"/>
      <c r="FP136" s="741"/>
      <c r="FQ136" s="741"/>
      <c r="FR136" s="741"/>
      <c r="FS136" s="741"/>
      <c r="FT136" s="741"/>
      <c r="FU136" s="741"/>
      <c r="FV136" s="741"/>
      <c r="FW136" s="741"/>
      <c r="FX136" s="741"/>
      <c r="FY136" s="741"/>
      <c r="FZ136" s="741"/>
      <c r="GA136" s="741"/>
      <c r="GB136" s="741"/>
      <c r="GC136" s="741"/>
      <c r="GD136" s="741"/>
      <c r="GE136" s="741"/>
      <c r="GF136" s="741"/>
      <c r="GG136" s="741"/>
      <c r="GH136" s="741"/>
      <c r="GI136" s="741"/>
      <c r="GJ136" s="741"/>
      <c r="GK136" s="741"/>
      <c r="GL136" s="741"/>
      <c r="GM136" s="741"/>
      <c r="GN136" s="741"/>
      <c r="GO136" s="741"/>
      <c r="GP136" s="741"/>
      <c r="GQ136" s="741"/>
      <c r="GR136" s="741"/>
      <c r="GS136" s="741"/>
      <c r="GT136" s="741"/>
      <c r="GU136" s="741"/>
      <c r="GV136" s="741"/>
      <c r="GW136" s="741"/>
      <c r="GX136" s="741"/>
      <c r="GY136" s="741"/>
      <c r="GZ136" s="741"/>
      <c r="HA136" s="741"/>
      <c r="HB136" s="741"/>
      <c r="HC136" s="741"/>
      <c r="HD136" s="741"/>
      <c r="HE136" s="741"/>
      <c r="HF136" s="741"/>
      <c r="HG136" s="741"/>
      <c r="HH136" s="741"/>
      <c r="HI136" s="741"/>
      <c r="HJ136" s="741"/>
      <c r="HK136" s="741"/>
      <c r="HL136" s="741"/>
      <c r="HM136" s="741"/>
      <c r="HN136" s="741"/>
      <c r="HO136" s="741"/>
      <c r="HP136" s="741"/>
    </row>
    <row r="137" spans="1:224" s="745" customFormat="1">
      <c r="A137" s="504"/>
      <c r="B137" s="772"/>
      <c r="C137" s="773" t="s">
        <v>280</v>
      </c>
      <c r="D137" s="498" t="s">
        <v>63</v>
      </c>
      <c r="E137" s="722">
        <v>3.36</v>
      </c>
      <c r="F137" s="722">
        <f>F136*E137</f>
        <v>31.987199999999998</v>
      </c>
      <c r="G137" s="722"/>
      <c r="H137" s="722"/>
      <c r="I137" s="722"/>
      <c r="J137" s="749"/>
      <c r="K137" s="749"/>
      <c r="L137" s="749"/>
      <c r="M137" s="722"/>
      <c r="N137" s="752"/>
      <c r="O137" s="752"/>
      <c r="P137" s="752"/>
      <c r="Q137" s="752"/>
      <c r="R137" s="752"/>
      <c r="S137" s="752"/>
      <c r="T137" s="752"/>
      <c r="U137" s="752"/>
      <c r="V137" s="752"/>
      <c r="W137" s="752"/>
      <c r="X137" s="752"/>
      <c r="Y137" s="752"/>
      <c r="Z137" s="752"/>
      <c r="AA137" s="752"/>
      <c r="AB137" s="752"/>
      <c r="AC137" s="752"/>
      <c r="AD137" s="752"/>
      <c r="AE137" s="752"/>
      <c r="AF137" s="752"/>
      <c r="AG137" s="752"/>
      <c r="AH137" s="752"/>
      <c r="AI137" s="752"/>
      <c r="AJ137" s="752"/>
      <c r="AK137" s="752"/>
      <c r="AL137" s="752"/>
      <c r="AM137" s="752"/>
      <c r="AN137" s="752"/>
      <c r="AO137" s="752"/>
      <c r="AP137" s="752"/>
      <c r="AQ137" s="752"/>
      <c r="AR137" s="752"/>
      <c r="AS137" s="752"/>
      <c r="AT137" s="752"/>
      <c r="AU137" s="752"/>
      <c r="AV137" s="752"/>
      <c r="AW137" s="752"/>
      <c r="AX137" s="752"/>
      <c r="AY137" s="752"/>
      <c r="AZ137" s="752"/>
      <c r="BA137" s="752"/>
      <c r="BB137" s="752"/>
      <c r="BC137" s="752"/>
      <c r="BD137" s="752"/>
      <c r="BE137" s="752"/>
      <c r="BF137" s="752"/>
      <c r="BG137" s="752"/>
      <c r="BH137" s="752"/>
      <c r="BI137" s="752"/>
      <c r="BJ137" s="752"/>
      <c r="BK137" s="752"/>
      <c r="BL137" s="752"/>
      <c r="BM137" s="752"/>
      <c r="BN137" s="752"/>
      <c r="BO137" s="752"/>
      <c r="BP137" s="752"/>
      <c r="BQ137" s="752"/>
      <c r="BR137" s="752"/>
      <c r="BS137" s="752"/>
      <c r="BT137" s="752"/>
      <c r="BU137" s="752"/>
      <c r="BV137" s="752"/>
      <c r="BW137" s="752"/>
      <c r="BX137" s="752"/>
      <c r="BY137" s="752"/>
      <c r="BZ137" s="752"/>
      <c r="CA137" s="752"/>
      <c r="CB137" s="752"/>
      <c r="CC137" s="752"/>
      <c r="CD137" s="752"/>
      <c r="CE137" s="752"/>
      <c r="CF137" s="752"/>
      <c r="CG137" s="752"/>
      <c r="CH137" s="752"/>
      <c r="CI137" s="752"/>
      <c r="CJ137" s="752"/>
      <c r="CK137" s="752"/>
      <c r="CL137" s="752"/>
      <c r="CM137" s="752"/>
      <c r="CN137" s="752"/>
      <c r="CO137" s="752"/>
      <c r="CP137" s="752"/>
      <c r="CQ137" s="752"/>
      <c r="CR137" s="752"/>
      <c r="CS137" s="752"/>
      <c r="CT137" s="752"/>
      <c r="CU137" s="752"/>
      <c r="CV137" s="752"/>
      <c r="CW137" s="752"/>
      <c r="CX137" s="752"/>
      <c r="CY137" s="752"/>
      <c r="CZ137" s="752"/>
      <c r="DA137" s="752"/>
      <c r="DB137" s="752"/>
      <c r="DC137" s="752"/>
      <c r="DD137" s="752"/>
      <c r="DE137" s="752"/>
      <c r="DF137" s="752"/>
      <c r="DG137" s="752"/>
      <c r="DH137" s="752"/>
      <c r="DI137" s="752"/>
      <c r="DJ137" s="752"/>
      <c r="DK137" s="752"/>
      <c r="DL137" s="752"/>
      <c r="DM137" s="752"/>
      <c r="DN137" s="752"/>
      <c r="DO137" s="752"/>
      <c r="DP137" s="752"/>
      <c r="DQ137" s="752"/>
      <c r="DR137" s="752"/>
      <c r="DS137" s="752"/>
      <c r="DT137" s="752"/>
      <c r="DU137" s="752"/>
      <c r="DV137" s="752"/>
      <c r="DW137" s="752"/>
      <c r="DX137" s="752"/>
      <c r="DY137" s="752"/>
      <c r="DZ137" s="752"/>
      <c r="EA137" s="752"/>
      <c r="EB137" s="752"/>
      <c r="EC137" s="752"/>
      <c r="ED137" s="752"/>
      <c r="EE137" s="752"/>
      <c r="EF137" s="752"/>
      <c r="EG137" s="752"/>
      <c r="EH137" s="752"/>
      <c r="EI137" s="752"/>
      <c r="EJ137" s="752"/>
      <c r="EK137" s="752"/>
      <c r="EL137" s="752"/>
      <c r="EM137" s="752"/>
      <c r="EN137" s="752"/>
      <c r="EO137" s="752"/>
      <c r="EP137" s="752"/>
      <c r="EQ137" s="752"/>
      <c r="ER137" s="752"/>
      <c r="ES137" s="752"/>
      <c r="ET137" s="752"/>
      <c r="EU137" s="752"/>
      <c r="EV137" s="752"/>
      <c r="EW137" s="752"/>
      <c r="EX137" s="752"/>
      <c r="EY137" s="752"/>
      <c r="EZ137" s="752"/>
      <c r="FA137" s="752"/>
      <c r="FB137" s="752"/>
      <c r="FC137" s="752"/>
      <c r="FD137" s="752"/>
      <c r="FE137" s="752"/>
      <c r="FF137" s="752"/>
      <c r="FG137" s="752"/>
      <c r="FH137" s="752"/>
      <c r="FI137" s="752"/>
      <c r="FJ137" s="752"/>
      <c r="FK137" s="752"/>
      <c r="FL137" s="752"/>
      <c r="FM137" s="752"/>
      <c r="FN137" s="752"/>
      <c r="FO137" s="752"/>
      <c r="FP137" s="752"/>
      <c r="FQ137" s="752"/>
      <c r="FR137" s="752"/>
      <c r="FS137" s="752"/>
      <c r="FT137" s="752"/>
      <c r="FU137" s="752"/>
      <c r="FV137" s="752"/>
      <c r="FW137" s="752"/>
      <c r="FX137" s="752"/>
      <c r="FY137" s="752"/>
      <c r="FZ137" s="752"/>
      <c r="GA137" s="752"/>
      <c r="GB137" s="752"/>
      <c r="GC137" s="752"/>
      <c r="GD137" s="752"/>
      <c r="GE137" s="752"/>
      <c r="GF137" s="752"/>
      <c r="GG137" s="752"/>
      <c r="GH137" s="752"/>
      <c r="GI137" s="752"/>
      <c r="GJ137" s="752"/>
      <c r="GK137" s="752"/>
      <c r="GL137" s="752"/>
      <c r="GM137" s="752"/>
      <c r="GN137" s="752"/>
      <c r="GO137" s="752"/>
      <c r="GP137" s="752"/>
      <c r="GQ137" s="752"/>
      <c r="GR137" s="752"/>
      <c r="GS137" s="752"/>
      <c r="GT137" s="752"/>
      <c r="GU137" s="752"/>
      <c r="GV137" s="752"/>
      <c r="GW137" s="752"/>
      <c r="GX137" s="752"/>
      <c r="GY137" s="752"/>
      <c r="GZ137" s="752"/>
      <c r="HA137" s="752"/>
      <c r="HB137" s="752"/>
      <c r="HC137" s="752"/>
      <c r="HD137" s="752"/>
      <c r="HE137" s="752"/>
      <c r="HF137" s="752"/>
      <c r="HG137" s="752"/>
      <c r="HH137" s="752"/>
      <c r="HI137" s="752"/>
      <c r="HJ137" s="752"/>
      <c r="HK137" s="752"/>
      <c r="HL137" s="752"/>
      <c r="HM137" s="752"/>
      <c r="HN137" s="752"/>
      <c r="HO137" s="752"/>
      <c r="HP137" s="752"/>
    </row>
    <row r="138" spans="1:224" s="745" customFormat="1">
      <c r="A138" s="492"/>
      <c r="B138" s="790"/>
      <c r="C138" s="773" t="s">
        <v>295</v>
      </c>
      <c r="D138" s="498" t="s">
        <v>46</v>
      </c>
      <c r="E138" s="722">
        <v>0.92</v>
      </c>
      <c r="F138" s="722">
        <f>E138*F136</f>
        <v>8.7584</v>
      </c>
      <c r="G138" s="722"/>
      <c r="H138" s="722"/>
      <c r="I138" s="722"/>
      <c r="J138" s="722"/>
      <c r="K138" s="722"/>
      <c r="L138" s="722"/>
      <c r="M138" s="722"/>
      <c r="N138" s="791"/>
      <c r="O138" s="791"/>
      <c r="P138" s="791"/>
      <c r="Q138" s="791"/>
      <c r="R138" s="791"/>
      <c r="S138" s="791"/>
      <c r="T138" s="791"/>
      <c r="U138" s="791"/>
      <c r="V138" s="791"/>
      <c r="W138" s="791"/>
      <c r="X138" s="791"/>
      <c r="Y138" s="791"/>
      <c r="Z138" s="791"/>
      <c r="AA138" s="791"/>
      <c r="AB138" s="791"/>
      <c r="AC138" s="791"/>
      <c r="AD138" s="791"/>
      <c r="AE138" s="791"/>
      <c r="AF138" s="791"/>
      <c r="AG138" s="791"/>
      <c r="AH138" s="791"/>
      <c r="AI138" s="791"/>
      <c r="AJ138" s="791"/>
      <c r="AK138" s="791"/>
      <c r="AL138" s="791"/>
      <c r="AM138" s="791"/>
      <c r="AN138" s="791"/>
      <c r="AO138" s="791"/>
      <c r="AP138" s="791"/>
      <c r="AQ138" s="791"/>
      <c r="AR138" s="791"/>
      <c r="AS138" s="791"/>
      <c r="AT138" s="791"/>
      <c r="AU138" s="791"/>
      <c r="AV138" s="791"/>
      <c r="AW138" s="791"/>
      <c r="AX138" s="791"/>
      <c r="AY138" s="791"/>
      <c r="AZ138" s="791"/>
      <c r="BA138" s="791"/>
      <c r="BB138" s="791"/>
      <c r="BC138" s="791"/>
      <c r="BD138" s="791"/>
      <c r="BE138" s="791"/>
      <c r="BF138" s="791"/>
      <c r="BG138" s="791"/>
      <c r="BH138" s="791"/>
      <c r="BI138" s="791"/>
      <c r="BJ138" s="791"/>
      <c r="BK138" s="791"/>
      <c r="BL138" s="791"/>
      <c r="BM138" s="791"/>
      <c r="BN138" s="791"/>
      <c r="BO138" s="791"/>
      <c r="BP138" s="791"/>
      <c r="BQ138" s="791"/>
      <c r="BR138" s="791"/>
      <c r="BS138" s="791"/>
      <c r="BT138" s="791"/>
      <c r="BU138" s="791"/>
      <c r="BV138" s="791"/>
      <c r="BW138" s="791"/>
      <c r="BX138" s="791"/>
      <c r="BY138" s="791"/>
      <c r="BZ138" s="791"/>
      <c r="CA138" s="791"/>
      <c r="CB138" s="791"/>
      <c r="CC138" s="791"/>
      <c r="CD138" s="791"/>
      <c r="CE138" s="791"/>
      <c r="CF138" s="791"/>
      <c r="CG138" s="791"/>
      <c r="CH138" s="791"/>
      <c r="CI138" s="791"/>
      <c r="CJ138" s="791"/>
      <c r="CK138" s="791"/>
      <c r="CL138" s="791"/>
      <c r="CM138" s="791"/>
      <c r="CN138" s="791"/>
      <c r="CO138" s="791"/>
      <c r="CP138" s="791"/>
      <c r="CQ138" s="791"/>
      <c r="CR138" s="791"/>
      <c r="CS138" s="791"/>
      <c r="CT138" s="791"/>
      <c r="CU138" s="791"/>
      <c r="CV138" s="791"/>
      <c r="CW138" s="791"/>
      <c r="CX138" s="791"/>
      <c r="CY138" s="791"/>
      <c r="CZ138" s="791"/>
      <c r="DA138" s="791"/>
      <c r="DB138" s="791"/>
      <c r="DC138" s="791"/>
      <c r="DD138" s="791"/>
      <c r="DE138" s="791"/>
      <c r="DF138" s="791"/>
      <c r="DG138" s="791"/>
      <c r="DH138" s="791"/>
      <c r="DI138" s="791"/>
      <c r="DJ138" s="791"/>
      <c r="DK138" s="791"/>
      <c r="DL138" s="791"/>
      <c r="DM138" s="791"/>
      <c r="DN138" s="791"/>
      <c r="DO138" s="791"/>
      <c r="DP138" s="791"/>
      <c r="DQ138" s="791"/>
      <c r="DR138" s="791"/>
      <c r="DS138" s="791"/>
      <c r="DT138" s="791"/>
      <c r="DU138" s="791"/>
      <c r="DV138" s="791"/>
      <c r="DW138" s="791"/>
      <c r="DX138" s="791"/>
      <c r="DY138" s="791"/>
      <c r="DZ138" s="791"/>
      <c r="EA138" s="791"/>
      <c r="EB138" s="791"/>
      <c r="EC138" s="791"/>
      <c r="ED138" s="791"/>
      <c r="EE138" s="791"/>
      <c r="EF138" s="791"/>
      <c r="EG138" s="791"/>
      <c r="EH138" s="791"/>
      <c r="EI138" s="791"/>
      <c r="EJ138" s="791"/>
      <c r="EK138" s="791"/>
      <c r="EL138" s="791"/>
      <c r="EM138" s="791"/>
      <c r="EN138" s="791"/>
      <c r="EO138" s="791"/>
      <c r="EP138" s="791"/>
      <c r="EQ138" s="791"/>
      <c r="ER138" s="791"/>
      <c r="ES138" s="791"/>
      <c r="ET138" s="791"/>
      <c r="EU138" s="791"/>
      <c r="EV138" s="791"/>
      <c r="EW138" s="791"/>
      <c r="EX138" s="791"/>
      <c r="EY138" s="791"/>
      <c r="EZ138" s="791"/>
      <c r="FA138" s="791"/>
      <c r="FB138" s="791"/>
      <c r="FC138" s="791"/>
      <c r="FD138" s="791"/>
      <c r="FE138" s="791"/>
      <c r="FF138" s="791"/>
      <c r="FG138" s="791"/>
      <c r="FH138" s="791"/>
      <c r="FI138" s="791"/>
      <c r="FJ138" s="791"/>
      <c r="FK138" s="791"/>
      <c r="FL138" s="791"/>
      <c r="FM138" s="791"/>
      <c r="FN138" s="791"/>
      <c r="FO138" s="791"/>
      <c r="FP138" s="791"/>
      <c r="FQ138" s="791"/>
      <c r="FR138" s="791"/>
      <c r="FS138" s="791"/>
      <c r="FT138" s="791"/>
      <c r="FU138" s="791"/>
      <c r="FV138" s="791"/>
      <c r="FW138" s="791"/>
      <c r="FX138" s="791"/>
      <c r="FY138" s="791"/>
      <c r="FZ138" s="791"/>
      <c r="GA138" s="791"/>
      <c r="GB138" s="791"/>
      <c r="GC138" s="791"/>
      <c r="GD138" s="791"/>
      <c r="GE138" s="791"/>
      <c r="GF138" s="791"/>
      <c r="GG138" s="791"/>
      <c r="GH138" s="791"/>
      <c r="GI138" s="791"/>
      <c r="GJ138" s="791"/>
      <c r="GK138" s="791"/>
      <c r="GL138" s="791"/>
      <c r="GM138" s="791"/>
      <c r="GN138" s="791"/>
      <c r="GO138" s="791"/>
      <c r="GP138" s="791"/>
      <c r="GQ138" s="791"/>
      <c r="GR138" s="791"/>
      <c r="GS138" s="791"/>
      <c r="GT138" s="791"/>
      <c r="GU138" s="791"/>
      <c r="GV138" s="791"/>
      <c r="GW138" s="791"/>
      <c r="GX138" s="791"/>
      <c r="GY138" s="791"/>
      <c r="GZ138" s="791"/>
      <c r="HA138" s="791"/>
      <c r="HB138" s="791"/>
      <c r="HC138" s="791"/>
      <c r="HD138" s="791"/>
      <c r="HE138" s="791"/>
      <c r="HF138" s="791"/>
      <c r="HG138" s="791"/>
      <c r="HH138" s="791"/>
      <c r="HI138" s="791"/>
      <c r="HJ138" s="791"/>
      <c r="HK138" s="791"/>
      <c r="HL138" s="791"/>
      <c r="HM138" s="791"/>
      <c r="HN138" s="791"/>
      <c r="HO138" s="791"/>
      <c r="HP138" s="791"/>
    </row>
    <row r="139" spans="1:224" s="745" customFormat="1">
      <c r="A139" s="492"/>
      <c r="B139" s="635" t="s">
        <v>694</v>
      </c>
      <c r="C139" s="773" t="s">
        <v>320</v>
      </c>
      <c r="D139" s="792" t="s">
        <v>44</v>
      </c>
      <c r="E139" s="722">
        <v>0.11</v>
      </c>
      <c r="F139" s="722">
        <f>F136*E139</f>
        <v>1.0471999999999999</v>
      </c>
      <c r="G139" s="758"/>
      <c r="H139" s="722"/>
      <c r="I139" s="722"/>
      <c r="J139" s="722"/>
      <c r="K139" s="722"/>
      <c r="L139" s="722"/>
      <c r="M139" s="722"/>
      <c r="N139" s="765"/>
      <c r="O139" s="765"/>
      <c r="P139" s="765"/>
      <c r="Q139" s="765"/>
      <c r="R139" s="765"/>
      <c r="S139" s="765"/>
      <c r="T139" s="765"/>
      <c r="U139" s="765"/>
      <c r="V139" s="765"/>
      <c r="W139" s="765"/>
      <c r="X139" s="765"/>
      <c r="Y139" s="765"/>
      <c r="Z139" s="765"/>
      <c r="AA139" s="765"/>
      <c r="AB139" s="765"/>
      <c r="AC139" s="765"/>
      <c r="AD139" s="765"/>
      <c r="AE139" s="765"/>
      <c r="AF139" s="765"/>
      <c r="AG139" s="765"/>
      <c r="AH139" s="765"/>
      <c r="AI139" s="765"/>
      <c r="AJ139" s="765"/>
      <c r="AK139" s="765"/>
      <c r="AL139" s="765"/>
      <c r="AM139" s="765"/>
      <c r="AN139" s="765"/>
      <c r="AO139" s="765"/>
      <c r="AP139" s="765"/>
      <c r="AQ139" s="765"/>
      <c r="AR139" s="765"/>
      <c r="AS139" s="765"/>
      <c r="AT139" s="765"/>
      <c r="AU139" s="765"/>
      <c r="AV139" s="765"/>
      <c r="AW139" s="752"/>
      <c r="AX139" s="752"/>
      <c r="AY139" s="752"/>
      <c r="AZ139" s="752"/>
      <c r="BA139" s="752"/>
      <c r="BB139" s="752"/>
      <c r="BC139" s="752"/>
      <c r="BD139" s="752"/>
      <c r="BE139" s="752"/>
      <c r="BF139" s="752"/>
      <c r="BG139" s="752"/>
      <c r="BH139" s="752"/>
      <c r="BI139" s="752"/>
      <c r="BJ139" s="752"/>
      <c r="BK139" s="752"/>
      <c r="BL139" s="752"/>
      <c r="BM139" s="752"/>
      <c r="BN139" s="752"/>
      <c r="BO139" s="752"/>
      <c r="BP139" s="752"/>
      <c r="BQ139" s="752"/>
      <c r="BR139" s="752"/>
      <c r="BS139" s="752"/>
      <c r="BT139" s="752"/>
      <c r="BU139" s="752"/>
      <c r="BV139" s="752"/>
      <c r="BW139" s="752"/>
      <c r="BX139" s="752"/>
      <c r="BY139" s="752"/>
      <c r="BZ139" s="752"/>
      <c r="CA139" s="752"/>
      <c r="CB139" s="752"/>
      <c r="CC139" s="752"/>
      <c r="CD139" s="752"/>
      <c r="CE139" s="752"/>
      <c r="CF139" s="752"/>
      <c r="CG139" s="752"/>
      <c r="CH139" s="752"/>
      <c r="CI139" s="752"/>
      <c r="CJ139" s="752"/>
      <c r="CK139" s="752"/>
      <c r="CL139" s="752"/>
      <c r="CM139" s="752"/>
      <c r="CN139" s="752"/>
      <c r="CO139" s="752"/>
      <c r="CP139" s="752"/>
      <c r="CQ139" s="752"/>
      <c r="CR139" s="752"/>
      <c r="CS139" s="752"/>
      <c r="CT139" s="752"/>
      <c r="CU139" s="752"/>
      <c r="CV139" s="752"/>
      <c r="CW139" s="752"/>
      <c r="CX139" s="752"/>
      <c r="CY139" s="752"/>
      <c r="CZ139" s="752"/>
      <c r="DA139" s="752"/>
      <c r="DB139" s="752"/>
      <c r="DC139" s="752"/>
      <c r="DD139" s="752"/>
      <c r="DE139" s="752"/>
      <c r="DF139" s="752"/>
      <c r="DG139" s="752"/>
      <c r="DH139" s="752"/>
      <c r="DI139" s="752"/>
      <c r="DJ139" s="752"/>
      <c r="DK139" s="752"/>
      <c r="DL139" s="752"/>
      <c r="DM139" s="752"/>
      <c r="DN139" s="752"/>
      <c r="DO139" s="752"/>
      <c r="DP139" s="752"/>
      <c r="DQ139" s="752"/>
      <c r="DR139" s="752"/>
      <c r="DS139" s="752"/>
      <c r="DT139" s="752"/>
      <c r="DU139" s="752"/>
      <c r="DV139" s="752"/>
      <c r="DW139" s="752"/>
      <c r="DX139" s="752"/>
      <c r="DY139" s="752"/>
      <c r="DZ139" s="752"/>
      <c r="EA139" s="752"/>
      <c r="EB139" s="752"/>
      <c r="EC139" s="752"/>
      <c r="ED139" s="752"/>
      <c r="EE139" s="752"/>
      <c r="EF139" s="752"/>
      <c r="EG139" s="752"/>
      <c r="EH139" s="752"/>
      <c r="EI139" s="752"/>
      <c r="EJ139" s="752"/>
      <c r="EK139" s="752"/>
      <c r="EL139" s="752"/>
      <c r="EM139" s="752"/>
      <c r="EN139" s="752"/>
      <c r="EO139" s="752"/>
      <c r="EP139" s="752"/>
      <c r="EQ139" s="752"/>
      <c r="ER139" s="752"/>
      <c r="ES139" s="752"/>
      <c r="ET139" s="752"/>
      <c r="EU139" s="752"/>
      <c r="EV139" s="752"/>
      <c r="EW139" s="752"/>
      <c r="EX139" s="752"/>
      <c r="EY139" s="752"/>
      <c r="EZ139" s="752"/>
      <c r="FA139" s="752"/>
      <c r="FB139" s="752"/>
      <c r="FC139" s="752"/>
      <c r="FD139" s="752"/>
      <c r="FE139" s="752"/>
      <c r="FF139" s="752"/>
      <c r="FG139" s="752"/>
      <c r="FH139" s="752"/>
      <c r="FI139" s="752"/>
      <c r="FJ139" s="752"/>
      <c r="FK139" s="752"/>
      <c r="FL139" s="752"/>
      <c r="FM139" s="752"/>
      <c r="FN139" s="752"/>
      <c r="FO139" s="752"/>
      <c r="FP139" s="752"/>
      <c r="FQ139" s="752"/>
      <c r="FR139" s="752"/>
      <c r="FS139" s="752"/>
      <c r="FT139" s="752"/>
      <c r="FU139" s="752"/>
      <c r="FV139" s="752"/>
      <c r="FW139" s="752"/>
      <c r="FX139" s="752"/>
      <c r="FY139" s="752"/>
      <c r="FZ139" s="752"/>
      <c r="GA139" s="752"/>
      <c r="GB139" s="752"/>
      <c r="GC139" s="752"/>
      <c r="GD139" s="752"/>
      <c r="GE139" s="752"/>
      <c r="GF139" s="752"/>
      <c r="GG139" s="752"/>
      <c r="GH139" s="752"/>
      <c r="GI139" s="752"/>
      <c r="GJ139" s="752"/>
      <c r="GK139" s="752"/>
      <c r="GL139" s="752"/>
      <c r="GM139" s="752"/>
      <c r="GN139" s="752"/>
      <c r="GO139" s="752"/>
      <c r="GP139" s="752"/>
      <c r="GQ139" s="752"/>
      <c r="GR139" s="752"/>
      <c r="GS139" s="752"/>
      <c r="GT139" s="752"/>
      <c r="GU139" s="752"/>
      <c r="GV139" s="752"/>
      <c r="GW139" s="752"/>
      <c r="GX139" s="752"/>
      <c r="GY139" s="752"/>
      <c r="GZ139" s="752"/>
      <c r="HA139" s="752"/>
      <c r="HB139" s="752"/>
      <c r="HC139" s="752"/>
      <c r="HD139" s="752"/>
      <c r="HE139" s="752"/>
      <c r="HF139" s="752"/>
      <c r="HG139" s="752"/>
      <c r="HH139" s="752"/>
      <c r="HI139" s="752"/>
      <c r="HJ139" s="752"/>
      <c r="HK139" s="752"/>
      <c r="HL139" s="752"/>
      <c r="HM139" s="752"/>
      <c r="HN139" s="752"/>
      <c r="HO139" s="752"/>
      <c r="HP139" s="752"/>
    </row>
    <row r="140" spans="1:224" s="745" customFormat="1">
      <c r="A140" s="492"/>
      <c r="B140" s="790" t="s">
        <v>478</v>
      </c>
      <c r="C140" s="793" t="s">
        <v>321</v>
      </c>
      <c r="D140" s="792" t="s">
        <v>131</v>
      </c>
      <c r="E140" s="722">
        <v>62.5</v>
      </c>
      <c r="F140" s="722">
        <f>ROUND(F136*E140,0)</f>
        <v>595</v>
      </c>
      <c r="G140" s="758"/>
      <c r="H140" s="722"/>
      <c r="I140" s="722"/>
      <c r="J140" s="722"/>
      <c r="K140" s="722"/>
      <c r="L140" s="722"/>
      <c r="M140" s="722"/>
      <c r="N140" s="791"/>
      <c r="O140" s="791"/>
      <c r="P140" s="791"/>
      <c r="Q140" s="791"/>
      <c r="R140" s="791"/>
      <c r="S140" s="791"/>
      <c r="T140" s="791"/>
      <c r="U140" s="791"/>
      <c r="V140" s="791"/>
      <c r="W140" s="791"/>
      <c r="X140" s="791"/>
      <c r="Y140" s="791"/>
      <c r="Z140" s="791"/>
      <c r="AA140" s="791"/>
      <c r="AB140" s="791"/>
      <c r="AC140" s="791"/>
      <c r="AD140" s="791"/>
      <c r="AE140" s="791"/>
      <c r="AF140" s="791"/>
      <c r="AG140" s="791"/>
      <c r="AH140" s="791"/>
      <c r="AI140" s="791"/>
      <c r="AJ140" s="791"/>
      <c r="AK140" s="791"/>
      <c r="AL140" s="791"/>
      <c r="AM140" s="791"/>
      <c r="AN140" s="791"/>
      <c r="AO140" s="791"/>
      <c r="AP140" s="791"/>
      <c r="AQ140" s="791"/>
      <c r="AR140" s="791"/>
      <c r="AS140" s="791"/>
      <c r="AT140" s="791"/>
      <c r="AU140" s="791"/>
      <c r="AV140" s="791"/>
      <c r="AW140" s="791"/>
      <c r="AX140" s="791"/>
      <c r="AY140" s="791"/>
      <c r="AZ140" s="791"/>
      <c r="BA140" s="791"/>
      <c r="BB140" s="791"/>
      <c r="BC140" s="791"/>
      <c r="BD140" s="791"/>
      <c r="BE140" s="791"/>
      <c r="BF140" s="791"/>
      <c r="BG140" s="791"/>
      <c r="BH140" s="791"/>
      <c r="BI140" s="791"/>
      <c r="BJ140" s="791"/>
      <c r="BK140" s="791"/>
      <c r="BL140" s="791"/>
      <c r="BM140" s="791"/>
      <c r="BN140" s="791"/>
      <c r="BO140" s="791"/>
      <c r="BP140" s="791"/>
      <c r="BQ140" s="791"/>
      <c r="BR140" s="791"/>
      <c r="BS140" s="791"/>
      <c r="BT140" s="791"/>
      <c r="BU140" s="791"/>
      <c r="BV140" s="791"/>
      <c r="BW140" s="791"/>
      <c r="BX140" s="791"/>
      <c r="BY140" s="791"/>
      <c r="BZ140" s="791"/>
      <c r="CA140" s="791"/>
      <c r="CB140" s="791"/>
      <c r="CC140" s="791"/>
      <c r="CD140" s="791"/>
      <c r="CE140" s="791"/>
      <c r="CF140" s="791"/>
      <c r="CG140" s="791"/>
      <c r="CH140" s="791"/>
      <c r="CI140" s="791"/>
      <c r="CJ140" s="791"/>
      <c r="CK140" s="791"/>
      <c r="CL140" s="791"/>
      <c r="CM140" s="791"/>
      <c r="CN140" s="791"/>
      <c r="CO140" s="791"/>
      <c r="CP140" s="791"/>
      <c r="CQ140" s="791"/>
      <c r="CR140" s="791"/>
      <c r="CS140" s="791"/>
      <c r="CT140" s="791"/>
      <c r="CU140" s="791"/>
      <c r="CV140" s="791"/>
      <c r="CW140" s="791"/>
      <c r="CX140" s="791"/>
      <c r="CY140" s="791"/>
      <c r="CZ140" s="791"/>
      <c r="DA140" s="791"/>
      <c r="DB140" s="791"/>
      <c r="DC140" s="791"/>
      <c r="DD140" s="791"/>
      <c r="DE140" s="791"/>
      <c r="DF140" s="791"/>
      <c r="DG140" s="791"/>
      <c r="DH140" s="791"/>
      <c r="DI140" s="791"/>
      <c r="DJ140" s="791"/>
      <c r="DK140" s="791"/>
      <c r="DL140" s="791"/>
      <c r="DM140" s="791"/>
      <c r="DN140" s="791"/>
      <c r="DO140" s="791"/>
      <c r="DP140" s="791"/>
      <c r="DQ140" s="791"/>
      <c r="DR140" s="791"/>
      <c r="DS140" s="791"/>
      <c r="DT140" s="791"/>
      <c r="DU140" s="791"/>
      <c r="DV140" s="791"/>
      <c r="DW140" s="791"/>
      <c r="DX140" s="791"/>
      <c r="DY140" s="791"/>
      <c r="DZ140" s="791"/>
      <c r="EA140" s="791"/>
      <c r="EB140" s="791"/>
      <c r="EC140" s="791"/>
      <c r="ED140" s="791"/>
      <c r="EE140" s="791"/>
      <c r="EF140" s="791"/>
      <c r="EG140" s="791"/>
      <c r="EH140" s="791"/>
      <c r="EI140" s="791"/>
      <c r="EJ140" s="791"/>
      <c r="EK140" s="791"/>
      <c r="EL140" s="791"/>
      <c r="EM140" s="791"/>
      <c r="EN140" s="791"/>
      <c r="EO140" s="791"/>
      <c r="EP140" s="791"/>
      <c r="EQ140" s="791"/>
      <c r="ER140" s="791"/>
      <c r="ES140" s="791"/>
      <c r="ET140" s="791"/>
      <c r="EU140" s="791"/>
      <c r="EV140" s="791"/>
      <c r="EW140" s="791"/>
      <c r="EX140" s="791"/>
      <c r="EY140" s="791"/>
      <c r="EZ140" s="791"/>
      <c r="FA140" s="791"/>
      <c r="FB140" s="791"/>
      <c r="FC140" s="791"/>
      <c r="FD140" s="791"/>
      <c r="FE140" s="791"/>
      <c r="FF140" s="791"/>
      <c r="FG140" s="791"/>
      <c r="FH140" s="791"/>
      <c r="FI140" s="791"/>
      <c r="FJ140" s="791"/>
      <c r="FK140" s="791"/>
      <c r="FL140" s="791"/>
      <c r="FM140" s="791"/>
      <c r="FN140" s="791"/>
      <c r="FO140" s="791"/>
      <c r="FP140" s="791"/>
      <c r="FQ140" s="791"/>
      <c r="FR140" s="791"/>
      <c r="FS140" s="791"/>
      <c r="FT140" s="791"/>
      <c r="FU140" s="791"/>
      <c r="FV140" s="791"/>
      <c r="FW140" s="791"/>
      <c r="FX140" s="791"/>
      <c r="FY140" s="791"/>
      <c r="FZ140" s="791"/>
      <c r="GA140" s="791"/>
      <c r="GB140" s="791"/>
      <c r="GC140" s="791"/>
      <c r="GD140" s="791"/>
      <c r="GE140" s="791"/>
      <c r="GF140" s="791"/>
      <c r="GG140" s="791"/>
      <c r="GH140" s="791"/>
      <c r="GI140" s="791"/>
      <c r="GJ140" s="791"/>
      <c r="GK140" s="791"/>
      <c r="GL140" s="791"/>
      <c r="GM140" s="791"/>
      <c r="GN140" s="791"/>
      <c r="GO140" s="791"/>
      <c r="GP140" s="791"/>
      <c r="GQ140" s="791"/>
      <c r="GR140" s="791"/>
      <c r="GS140" s="791"/>
      <c r="GT140" s="791"/>
      <c r="GU140" s="791"/>
      <c r="GV140" s="791"/>
      <c r="GW140" s="791"/>
      <c r="GX140" s="791"/>
      <c r="GY140" s="791"/>
      <c r="GZ140" s="791"/>
      <c r="HA140" s="791"/>
      <c r="HB140" s="791"/>
      <c r="HC140" s="791"/>
      <c r="HD140" s="791"/>
      <c r="HE140" s="791"/>
      <c r="HF140" s="791"/>
      <c r="HG140" s="791"/>
      <c r="HH140" s="791"/>
      <c r="HI140" s="791"/>
      <c r="HJ140" s="791"/>
      <c r="HK140" s="791"/>
      <c r="HL140" s="791"/>
      <c r="HM140" s="791"/>
      <c r="HN140" s="791"/>
      <c r="HO140" s="791"/>
      <c r="HP140" s="791"/>
    </row>
    <row r="141" spans="1:224" s="745" customFormat="1">
      <c r="A141" s="494"/>
      <c r="B141" s="790"/>
      <c r="C141" s="773" t="s">
        <v>201</v>
      </c>
      <c r="D141" s="498" t="s">
        <v>46</v>
      </c>
      <c r="E141" s="722">
        <v>0.16</v>
      </c>
      <c r="F141" s="758">
        <f>E141*F136</f>
        <v>1.5231999999999999</v>
      </c>
      <c r="G141" s="722"/>
      <c r="H141" s="722"/>
      <c r="I141" s="722"/>
      <c r="J141" s="722"/>
      <c r="K141" s="722"/>
      <c r="L141" s="722"/>
      <c r="M141" s="722"/>
      <c r="N141" s="791"/>
      <c r="O141" s="791"/>
      <c r="P141" s="791"/>
      <c r="Q141" s="791"/>
      <c r="R141" s="791"/>
      <c r="S141" s="791"/>
      <c r="T141" s="791"/>
      <c r="U141" s="791"/>
      <c r="V141" s="791"/>
      <c r="W141" s="791"/>
      <c r="X141" s="791"/>
      <c r="Y141" s="791"/>
      <c r="Z141" s="791"/>
      <c r="AA141" s="791"/>
      <c r="AB141" s="791"/>
      <c r="AC141" s="791"/>
      <c r="AD141" s="791"/>
      <c r="AE141" s="791"/>
      <c r="AF141" s="791"/>
      <c r="AG141" s="791"/>
      <c r="AH141" s="791"/>
      <c r="AI141" s="791"/>
      <c r="AJ141" s="791"/>
      <c r="AK141" s="791"/>
      <c r="AL141" s="791"/>
      <c r="AM141" s="791"/>
      <c r="AN141" s="791"/>
      <c r="AO141" s="791"/>
      <c r="AP141" s="791"/>
      <c r="AQ141" s="791"/>
      <c r="AR141" s="791"/>
      <c r="AS141" s="791"/>
      <c r="AT141" s="791"/>
      <c r="AU141" s="791"/>
      <c r="AV141" s="791"/>
      <c r="AW141" s="791"/>
      <c r="AX141" s="791"/>
      <c r="AY141" s="791"/>
      <c r="AZ141" s="791"/>
      <c r="BA141" s="791"/>
      <c r="BB141" s="791"/>
      <c r="BC141" s="791"/>
      <c r="BD141" s="791"/>
      <c r="BE141" s="791"/>
      <c r="BF141" s="791"/>
      <c r="BG141" s="791"/>
      <c r="BH141" s="791"/>
      <c r="BI141" s="791"/>
      <c r="BJ141" s="791"/>
      <c r="BK141" s="791"/>
      <c r="BL141" s="791"/>
      <c r="BM141" s="791"/>
      <c r="BN141" s="791"/>
      <c r="BO141" s="791"/>
      <c r="BP141" s="791"/>
      <c r="BQ141" s="791"/>
      <c r="BR141" s="791"/>
      <c r="BS141" s="791"/>
      <c r="BT141" s="791"/>
      <c r="BU141" s="791"/>
      <c r="BV141" s="791"/>
      <c r="BW141" s="791"/>
      <c r="BX141" s="791"/>
      <c r="BY141" s="791"/>
      <c r="BZ141" s="791"/>
      <c r="CA141" s="791"/>
      <c r="CB141" s="791"/>
      <c r="CC141" s="791"/>
      <c r="CD141" s="791"/>
      <c r="CE141" s="791"/>
      <c r="CF141" s="791"/>
      <c r="CG141" s="791"/>
      <c r="CH141" s="791"/>
      <c r="CI141" s="791"/>
      <c r="CJ141" s="791"/>
      <c r="CK141" s="791"/>
      <c r="CL141" s="791"/>
      <c r="CM141" s="791"/>
      <c r="CN141" s="791"/>
      <c r="CO141" s="791"/>
      <c r="CP141" s="791"/>
      <c r="CQ141" s="791"/>
      <c r="CR141" s="791"/>
      <c r="CS141" s="791"/>
      <c r="CT141" s="791"/>
      <c r="CU141" s="791"/>
      <c r="CV141" s="791"/>
      <c r="CW141" s="791"/>
      <c r="CX141" s="791"/>
      <c r="CY141" s="791"/>
      <c r="CZ141" s="791"/>
      <c r="DA141" s="791"/>
      <c r="DB141" s="791"/>
      <c r="DC141" s="791"/>
      <c r="DD141" s="791"/>
      <c r="DE141" s="791"/>
      <c r="DF141" s="791"/>
      <c r="DG141" s="791"/>
      <c r="DH141" s="791"/>
      <c r="DI141" s="791"/>
      <c r="DJ141" s="791"/>
      <c r="DK141" s="791"/>
      <c r="DL141" s="791"/>
      <c r="DM141" s="791"/>
      <c r="DN141" s="791"/>
      <c r="DO141" s="791"/>
      <c r="DP141" s="791"/>
      <c r="DQ141" s="791"/>
      <c r="DR141" s="791"/>
      <c r="DS141" s="791"/>
      <c r="DT141" s="791"/>
      <c r="DU141" s="791"/>
      <c r="DV141" s="791"/>
      <c r="DW141" s="791"/>
      <c r="DX141" s="791"/>
      <c r="DY141" s="791"/>
      <c r="DZ141" s="791"/>
      <c r="EA141" s="791"/>
      <c r="EB141" s="791"/>
      <c r="EC141" s="791"/>
      <c r="ED141" s="791"/>
      <c r="EE141" s="791"/>
      <c r="EF141" s="791"/>
      <c r="EG141" s="791"/>
      <c r="EH141" s="791"/>
      <c r="EI141" s="791"/>
      <c r="EJ141" s="791"/>
      <c r="EK141" s="791"/>
      <c r="EL141" s="791"/>
      <c r="EM141" s="791"/>
      <c r="EN141" s="791"/>
      <c r="EO141" s="791"/>
      <c r="EP141" s="791"/>
      <c r="EQ141" s="791"/>
      <c r="ER141" s="791"/>
      <c r="ES141" s="791"/>
      <c r="ET141" s="791"/>
      <c r="EU141" s="791"/>
      <c r="EV141" s="791"/>
      <c r="EW141" s="791"/>
      <c r="EX141" s="791"/>
      <c r="EY141" s="791"/>
      <c r="EZ141" s="791"/>
      <c r="FA141" s="791"/>
      <c r="FB141" s="791"/>
      <c r="FC141" s="791"/>
      <c r="FD141" s="791"/>
      <c r="FE141" s="791"/>
      <c r="FF141" s="791"/>
      <c r="FG141" s="791"/>
      <c r="FH141" s="791"/>
      <c r="FI141" s="791"/>
      <c r="FJ141" s="791"/>
      <c r="FK141" s="791"/>
      <c r="FL141" s="791"/>
      <c r="FM141" s="791"/>
      <c r="FN141" s="791"/>
      <c r="FO141" s="791"/>
      <c r="FP141" s="791"/>
      <c r="FQ141" s="791"/>
      <c r="FR141" s="791"/>
      <c r="FS141" s="791"/>
      <c r="FT141" s="791"/>
      <c r="FU141" s="791"/>
      <c r="FV141" s="791"/>
      <c r="FW141" s="791"/>
      <c r="FX141" s="791"/>
      <c r="FY141" s="791"/>
      <c r="FZ141" s="791"/>
      <c r="GA141" s="791"/>
      <c r="GB141" s="791"/>
      <c r="GC141" s="791"/>
      <c r="GD141" s="791"/>
      <c r="GE141" s="791"/>
      <c r="GF141" s="791"/>
      <c r="GG141" s="791"/>
      <c r="GH141" s="791"/>
      <c r="GI141" s="791"/>
      <c r="GJ141" s="791"/>
      <c r="GK141" s="791"/>
      <c r="GL141" s="791"/>
      <c r="GM141" s="791"/>
      <c r="GN141" s="791"/>
      <c r="GO141" s="791"/>
      <c r="GP141" s="791"/>
      <c r="GQ141" s="791"/>
      <c r="GR141" s="791"/>
      <c r="GS141" s="791"/>
      <c r="GT141" s="791"/>
      <c r="GU141" s="791"/>
      <c r="GV141" s="791"/>
      <c r="GW141" s="791"/>
      <c r="GX141" s="791"/>
      <c r="GY141" s="791"/>
      <c r="GZ141" s="791"/>
      <c r="HA141" s="791"/>
      <c r="HB141" s="791"/>
      <c r="HC141" s="791"/>
      <c r="HD141" s="791"/>
      <c r="HE141" s="791"/>
      <c r="HF141" s="791"/>
      <c r="HG141" s="791"/>
      <c r="HH141" s="791"/>
      <c r="HI141" s="791"/>
      <c r="HJ141" s="791"/>
      <c r="HK141" s="791"/>
      <c r="HL141" s="791"/>
      <c r="HM141" s="791"/>
      <c r="HN141" s="791"/>
      <c r="HO141" s="791"/>
      <c r="HP141" s="791"/>
    </row>
    <row r="142" spans="1:224" s="745" customFormat="1">
      <c r="A142" s="492">
        <v>23</v>
      </c>
      <c r="B142" s="627" t="s">
        <v>403</v>
      </c>
      <c r="C142" s="720" t="s">
        <v>322</v>
      </c>
      <c r="D142" s="492" t="s">
        <v>48</v>
      </c>
      <c r="E142" s="788"/>
      <c r="F142" s="721">
        <v>9.35</v>
      </c>
      <c r="G142" s="721"/>
      <c r="H142" s="721"/>
      <c r="I142" s="721"/>
      <c r="J142" s="721"/>
      <c r="K142" s="731"/>
      <c r="L142" s="731"/>
      <c r="M142" s="721"/>
      <c r="N142" s="741"/>
      <c r="O142" s="741"/>
      <c r="P142" s="741"/>
      <c r="Q142" s="741"/>
      <c r="R142" s="741"/>
      <c r="S142" s="741"/>
      <c r="T142" s="741"/>
      <c r="U142" s="741"/>
      <c r="V142" s="741"/>
      <c r="W142" s="741"/>
      <c r="X142" s="741"/>
      <c r="Y142" s="741"/>
      <c r="Z142" s="741"/>
      <c r="AA142" s="741"/>
      <c r="AB142" s="741"/>
      <c r="AC142" s="741"/>
      <c r="AD142" s="741"/>
      <c r="AE142" s="741"/>
      <c r="AF142" s="741"/>
      <c r="AG142" s="741"/>
      <c r="AH142" s="741"/>
      <c r="AI142" s="741"/>
      <c r="AJ142" s="741"/>
      <c r="AK142" s="741"/>
      <c r="AL142" s="741"/>
      <c r="AM142" s="741"/>
      <c r="AN142" s="741"/>
      <c r="AO142" s="741"/>
      <c r="AP142" s="741"/>
      <c r="AQ142" s="741"/>
      <c r="AR142" s="741"/>
      <c r="AS142" s="741"/>
      <c r="AT142" s="741"/>
      <c r="AU142" s="741"/>
      <c r="AV142" s="741"/>
      <c r="AW142" s="741"/>
      <c r="AX142" s="741"/>
      <c r="AY142" s="741"/>
      <c r="AZ142" s="741"/>
      <c r="BA142" s="741"/>
      <c r="BB142" s="741"/>
      <c r="BC142" s="741"/>
      <c r="BD142" s="741"/>
      <c r="BE142" s="741"/>
      <c r="BF142" s="741"/>
      <c r="BG142" s="741"/>
      <c r="BH142" s="741"/>
      <c r="BI142" s="741"/>
      <c r="BJ142" s="741"/>
      <c r="BK142" s="741"/>
      <c r="BL142" s="741"/>
      <c r="BM142" s="741"/>
      <c r="BN142" s="741"/>
      <c r="BO142" s="741"/>
      <c r="BP142" s="741"/>
      <c r="BQ142" s="741"/>
      <c r="BR142" s="741"/>
      <c r="BS142" s="741"/>
      <c r="BT142" s="741"/>
      <c r="BU142" s="741"/>
      <c r="BV142" s="741"/>
      <c r="BW142" s="741"/>
      <c r="BX142" s="741"/>
      <c r="BY142" s="741"/>
      <c r="BZ142" s="741"/>
      <c r="CA142" s="741"/>
      <c r="CB142" s="741"/>
      <c r="CC142" s="741"/>
      <c r="CD142" s="741"/>
      <c r="CE142" s="741"/>
      <c r="CF142" s="741"/>
      <c r="CG142" s="741"/>
      <c r="CH142" s="741"/>
      <c r="CI142" s="741"/>
      <c r="CJ142" s="741"/>
      <c r="CK142" s="741"/>
      <c r="CL142" s="741"/>
      <c r="CM142" s="741"/>
      <c r="CN142" s="741"/>
      <c r="CO142" s="741"/>
      <c r="CP142" s="741"/>
      <c r="CQ142" s="741"/>
      <c r="CR142" s="741"/>
      <c r="CS142" s="741"/>
      <c r="CT142" s="741"/>
      <c r="CU142" s="741"/>
      <c r="CV142" s="741"/>
      <c r="CW142" s="741"/>
      <c r="CX142" s="741"/>
      <c r="CY142" s="741"/>
      <c r="CZ142" s="741"/>
      <c r="DA142" s="741"/>
      <c r="DB142" s="741"/>
      <c r="DC142" s="741"/>
      <c r="DD142" s="741"/>
      <c r="DE142" s="741"/>
      <c r="DF142" s="741"/>
      <c r="DG142" s="741"/>
      <c r="DH142" s="741"/>
      <c r="DI142" s="741"/>
      <c r="DJ142" s="741"/>
      <c r="DK142" s="741"/>
      <c r="DL142" s="741"/>
      <c r="DM142" s="741"/>
      <c r="DN142" s="741"/>
      <c r="DO142" s="741"/>
      <c r="DP142" s="741"/>
      <c r="DQ142" s="741"/>
      <c r="DR142" s="741"/>
      <c r="DS142" s="741"/>
      <c r="DT142" s="741"/>
      <c r="DU142" s="741"/>
      <c r="DV142" s="741"/>
      <c r="DW142" s="741"/>
      <c r="DX142" s="741"/>
      <c r="DY142" s="741"/>
      <c r="DZ142" s="741"/>
      <c r="EA142" s="741"/>
      <c r="EB142" s="741"/>
      <c r="EC142" s="741"/>
      <c r="ED142" s="741"/>
      <c r="EE142" s="741"/>
      <c r="EF142" s="741"/>
      <c r="EG142" s="741"/>
      <c r="EH142" s="741"/>
      <c r="EI142" s="741"/>
      <c r="EJ142" s="741"/>
      <c r="EK142" s="741"/>
      <c r="EL142" s="741"/>
      <c r="EM142" s="741"/>
      <c r="EN142" s="741"/>
      <c r="EO142" s="741"/>
      <c r="EP142" s="741"/>
      <c r="EQ142" s="741"/>
      <c r="ER142" s="741"/>
      <c r="ES142" s="741"/>
      <c r="ET142" s="741"/>
      <c r="EU142" s="741"/>
      <c r="EV142" s="741"/>
      <c r="EW142" s="741"/>
      <c r="EX142" s="741"/>
      <c r="EY142" s="741"/>
      <c r="EZ142" s="741"/>
      <c r="FA142" s="741"/>
      <c r="FB142" s="741"/>
      <c r="FC142" s="741"/>
      <c r="FD142" s="741"/>
      <c r="FE142" s="741"/>
      <c r="FF142" s="741"/>
      <c r="FG142" s="741"/>
      <c r="FH142" s="741"/>
      <c r="FI142" s="741"/>
      <c r="FJ142" s="741"/>
      <c r="FK142" s="741"/>
      <c r="FL142" s="741"/>
      <c r="FM142" s="741"/>
      <c r="FN142" s="741"/>
      <c r="FO142" s="741"/>
      <c r="FP142" s="741"/>
      <c r="FQ142" s="741"/>
      <c r="FR142" s="741"/>
      <c r="FS142" s="741"/>
      <c r="FT142" s="741"/>
      <c r="FU142" s="741"/>
      <c r="FV142" s="741"/>
      <c r="FW142" s="741"/>
      <c r="FX142" s="741"/>
      <c r="FY142" s="741"/>
      <c r="FZ142" s="741"/>
      <c r="GA142" s="741"/>
      <c r="GB142" s="741"/>
      <c r="GC142" s="741"/>
      <c r="GD142" s="741"/>
      <c r="GE142" s="741"/>
      <c r="GF142" s="741"/>
      <c r="GG142" s="741"/>
      <c r="GH142" s="741"/>
      <c r="GI142" s="741"/>
      <c r="GJ142" s="741"/>
      <c r="GK142" s="741"/>
      <c r="GL142" s="741"/>
      <c r="GM142" s="741"/>
      <c r="GN142" s="741"/>
      <c r="GO142" s="741"/>
      <c r="GP142" s="741"/>
      <c r="GQ142" s="741"/>
      <c r="GR142" s="741"/>
      <c r="GS142" s="741"/>
      <c r="GT142" s="741"/>
      <c r="GU142" s="741"/>
      <c r="GV142" s="741"/>
      <c r="GW142" s="741"/>
      <c r="GX142" s="741"/>
      <c r="GY142" s="741"/>
      <c r="GZ142" s="741"/>
      <c r="HA142" s="741"/>
      <c r="HB142" s="741"/>
      <c r="HC142" s="741"/>
      <c r="HD142" s="741"/>
      <c r="HE142" s="741"/>
      <c r="HF142" s="741"/>
      <c r="HG142" s="741"/>
      <c r="HH142" s="741"/>
      <c r="HI142" s="741"/>
      <c r="HJ142" s="741"/>
      <c r="HK142" s="741"/>
      <c r="HL142" s="741"/>
      <c r="HM142" s="741"/>
      <c r="HN142" s="741"/>
      <c r="HO142" s="741"/>
      <c r="HP142" s="741"/>
    </row>
    <row r="143" spans="1:224" s="745" customFormat="1">
      <c r="A143" s="504"/>
      <c r="B143" s="772"/>
      <c r="C143" s="773" t="s">
        <v>280</v>
      </c>
      <c r="D143" s="498" t="s">
        <v>63</v>
      </c>
      <c r="E143" s="722">
        <v>0.83</v>
      </c>
      <c r="F143" s="722">
        <f>F142*E143</f>
        <v>7.7604999999999995</v>
      </c>
      <c r="G143" s="722"/>
      <c r="H143" s="722"/>
      <c r="I143" s="722"/>
      <c r="J143" s="722"/>
      <c r="K143" s="722"/>
      <c r="L143" s="722"/>
      <c r="M143" s="722"/>
    </row>
    <row r="144" spans="1:224" s="745" customFormat="1">
      <c r="A144" s="718"/>
      <c r="B144" s="635" t="s">
        <v>473</v>
      </c>
      <c r="C144" s="780" t="s">
        <v>323</v>
      </c>
      <c r="D144" s="498" t="s">
        <v>198</v>
      </c>
      <c r="E144" s="722">
        <v>1.17</v>
      </c>
      <c r="F144" s="722">
        <f>F142*E144</f>
        <v>10.939499999999999</v>
      </c>
      <c r="G144" s="748"/>
      <c r="H144" s="722"/>
      <c r="I144" s="722"/>
      <c r="J144" s="722"/>
      <c r="K144" s="722"/>
      <c r="L144" s="722"/>
      <c r="M144" s="722"/>
    </row>
    <row r="145" spans="1:13" s="745" customFormat="1">
      <c r="A145" s="718"/>
      <c r="B145" s="662" t="s">
        <v>676</v>
      </c>
      <c r="C145" s="780" t="s">
        <v>324</v>
      </c>
      <c r="D145" s="498" t="s">
        <v>15</v>
      </c>
      <c r="E145" s="722" t="s">
        <v>236</v>
      </c>
      <c r="F145" s="722">
        <v>0.48</v>
      </c>
      <c r="G145" s="748"/>
      <c r="H145" s="722"/>
      <c r="I145" s="722"/>
      <c r="J145" s="722"/>
      <c r="K145" s="722"/>
      <c r="L145" s="722"/>
      <c r="M145" s="722"/>
    </row>
    <row r="146" spans="1:13" s="745" customFormat="1">
      <c r="A146" s="718"/>
      <c r="B146" s="772"/>
      <c r="C146" s="773" t="s">
        <v>295</v>
      </c>
      <c r="D146" s="498" t="s">
        <v>46</v>
      </c>
      <c r="E146" s="727">
        <v>4.1000000000000003E-3</v>
      </c>
      <c r="F146" s="722">
        <f>F142*E146</f>
        <v>3.8335000000000001E-2</v>
      </c>
      <c r="G146" s="722"/>
      <c r="H146" s="722"/>
      <c r="I146" s="722"/>
      <c r="J146" s="722"/>
      <c r="K146" s="722"/>
      <c r="L146" s="722"/>
      <c r="M146" s="722"/>
    </row>
    <row r="147" spans="1:13" s="745" customFormat="1">
      <c r="A147" s="781"/>
      <c r="B147" s="774"/>
      <c r="C147" s="773" t="s">
        <v>201</v>
      </c>
      <c r="D147" s="498" t="s">
        <v>46</v>
      </c>
      <c r="E147" s="727">
        <v>7.8E-2</v>
      </c>
      <c r="F147" s="722">
        <f>F142*E147</f>
        <v>0.72929999999999995</v>
      </c>
      <c r="G147" s="722"/>
      <c r="H147" s="722"/>
      <c r="I147" s="722"/>
      <c r="J147" s="722"/>
      <c r="K147" s="722"/>
      <c r="L147" s="722"/>
      <c r="M147" s="722"/>
    </row>
    <row r="148" spans="1:13">
      <c r="A148" s="718"/>
      <c r="B148" s="718"/>
      <c r="C148" s="794" t="s">
        <v>325</v>
      </c>
      <c r="D148" s="718"/>
      <c r="E148" s="719"/>
      <c r="F148" s="719"/>
      <c r="G148" s="719"/>
      <c r="H148" s="719"/>
      <c r="I148" s="719"/>
      <c r="J148" s="719"/>
      <c r="K148" s="719"/>
      <c r="L148" s="719"/>
      <c r="M148" s="719"/>
    </row>
    <row r="149" spans="1:13">
      <c r="A149" s="718">
        <v>24</v>
      </c>
      <c r="B149" s="795" t="s">
        <v>231</v>
      </c>
      <c r="C149" s="796" t="s">
        <v>326</v>
      </c>
      <c r="D149" s="797" t="s">
        <v>167</v>
      </c>
      <c r="E149" s="798"/>
      <c r="F149" s="799">
        <v>1</v>
      </c>
      <c r="G149" s="797"/>
      <c r="H149" s="797"/>
      <c r="I149" s="800"/>
      <c r="J149" s="797"/>
      <c r="K149" s="801"/>
      <c r="L149" s="802"/>
      <c r="M149" s="799"/>
    </row>
    <row r="150" spans="1:13">
      <c r="A150" s="718"/>
      <c r="B150" s="803"/>
      <c r="C150" s="804" t="s">
        <v>96</v>
      </c>
      <c r="D150" s="805" t="s">
        <v>13</v>
      </c>
      <c r="E150" s="806">
        <v>2.19</v>
      </c>
      <c r="F150" s="807">
        <f>F149*E150</f>
        <v>2.19</v>
      </c>
      <c r="G150" s="808"/>
      <c r="H150" s="808"/>
      <c r="I150" s="807"/>
      <c r="J150" s="807"/>
      <c r="K150" s="805"/>
      <c r="L150" s="807"/>
      <c r="M150" s="807"/>
    </row>
    <row r="151" spans="1:13">
      <c r="A151" s="718"/>
      <c r="B151" s="809"/>
      <c r="C151" s="804" t="s">
        <v>87</v>
      </c>
      <c r="D151" s="805" t="s">
        <v>16</v>
      </c>
      <c r="E151" s="806">
        <v>7.0000000000000007E-2</v>
      </c>
      <c r="F151" s="807">
        <f>F149*E151</f>
        <v>7.0000000000000007E-2</v>
      </c>
      <c r="G151" s="807"/>
      <c r="H151" s="810"/>
      <c r="I151" s="805"/>
      <c r="J151" s="805"/>
      <c r="K151" s="807"/>
      <c r="L151" s="807"/>
      <c r="M151" s="807"/>
    </row>
    <row r="152" spans="1:13">
      <c r="A152" s="718"/>
      <c r="B152" s="811" t="s">
        <v>695</v>
      </c>
      <c r="C152" s="804" t="s">
        <v>327</v>
      </c>
      <c r="D152" s="805" t="s">
        <v>167</v>
      </c>
      <c r="E152" s="806">
        <v>1</v>
      </c>
      <c r="F152" s="807">
        <f>F149*E152</f>
        <v>1</v>
      </c>
      <c r="G152" s="810"/>
      <c r="H152" s="807"/>
      <c r="I152" s="808"/>
      <c r="J152" s="808"/>
      <c r="K152" s="807"/>
      <c r="L152" s="807"/>
      <c r="M152" s="807"/>
    </row>
    <row r="153" spans="1:13">
      <c r="A153" s="718"/>
      <c r="B153" s="809"/>
      <c r="C153" s="812" t="s">
        <v>104</v>
      </c>
      <c r="D153" s="805" t="s">
        <v>16</v>
      </c>
      <c r="E153" s="806">
        <v>0.37</v>
      </c>
      <c r="F153" s="807">
        <f>F149*E153</f>
        <v>0.37</v>
      </c>
      <c r="G153" s="807"/>
      <c r="H153" s="807"/>
      <c r="I153" s="808"/>
      <c r="J153" s="808"/>
      <c r="K153" s="805"/>
      <c r="L153" s="807"/>
      <c r="M153" s="807"/>
    </row>
    <row r="154" spans="1:13" ht="27">
      <c r="A154" s="718">
        <v>25</v>
      </c>
      <c r="B154" s="813" t="s">
        <v>232</v>
      </c>
      <c r="C154" s="814" t="s">
        <v>328</v>
      </c>
      <c r="D154" s="815" t="s">
        <v>167</v>
      </c>
      <c r="E154" s="816"/>
      <c r="F154" s="816">
        <v>1</v>
      </c>
      <c r="G154" s="815"/>
      <c r="H154" s="816"/>
      <c r="I154" s="816"/>
      <c r="J154" s="816"/>
      <c r="K154" s="815"/>
      <c r="L154" s="816"/>
      <c r="M154" s="817"/>
    </row>
    <row r="155" spans="1:13">
      <c r="A155" s="718"/>
      <c r="B155" s="718"/>
      <c r="C155" s="818" t="s">
        <v>96</v>
      </c>
      <c r="D155" s="819" t="s">
        <v>13</v>
      </c>
      <c r="E155" s="820">
        <v>1.51</v>
      </c>
      <c r="F155" s="820">
        <f>F154*E155</f>
        <v>1.51</v>
      </c>
      <c r="G155" s="808"/>
      <c r="H155" s="808"/>
      <c r="I155" s="820"/>
      <c r="J155" s="820"/>
      <c r="K155" s="819"/>
      <c r="L155" s="820"/>
      <c r="M155" s="820"/>
    </row>
    <row r="156" spans="1:13">
      <c r="A156" s="718"/>
      <c r="B156" s="718"/>
      <c r="C156" s="818" t="s">
        <v>87</v>
      </c>
      <c r="D156" s="819" t="s">
        <v>16</v>
      </c>
      <c r="E156" s="820">
        <v>0.13</v>
      </c>
      <c r="F156" s="820">
        <f>F154*E156</f>
        <v>0.13</v>
      </c>
      <c r="G156" s="820"/>
      <c r="H156" s="820"/>
      <c r="I156" s="819"/>
      <c r="J156" s="820"/>
      <c r="K156" s="820"/>
      <c r="L156" s="820"/>
      <c r="M156" s="820"/>
    </row>
    <row r="157" spans="1:13">
      <c r="A157" s="718"/>
      <c r="B157" s="718" t="s">
        <v>479</v>
      </c>
      <c r="C157" s="818" t="s">
        <v>233</v>
      </c>
      <c r="D157" s="819" t="s">
        <v>167</v>
      </c>
      <c r="E157" s="820">
        <v>1</v>
      </c>
      <c r="F157" s="820">
        <f>F154*E157</f>
        <v>1</v>
      </c>
      <c r="G157" s="820"/>
      <c r="H157" s="820"/>
      <c r="I157" s="808"/>
      <c r="J157" s="808"/>
      <c r="K157" s="820"/>
      <c r="L157" s="820"/>
      <c r="M157" s="820"/>
    </row>
    <row r="158" spans="1:13">
      <c r="A158" s="718"/>
      <c r="B158" s="635" t="s">
        <v>693</v>
      </c>
      <c r="C158" s="818" t="s">
        <v>234</v>
      </c>
      <c r="D158" s="819" t="s">
        <v>110</v>
      </c>
      <c r="E158" s="820">
        <v>1.1000000000000001</v>
      </c>
      <c r="F158" s="820">
        <f>F154*E158</f>
        <v>1.1000000000000001</v>
      </c>
      <c r="G158" s="748"/>
      <c r="H158" s="820"/>
      <c r="I158" s="808"/>
      <c r="J158" s="808"/>
      <c r="K158" s="819"/>
      <c r="L158" s="820"/>
      <c r="M158" s="820"/>
    </row>
    <row r="159" spans="1:13">
      <c r="A159" s="718"/>
      <c r="B159" s="718"/>
      <c r="C159" s="812" t="s">
        <v>104</v>
      </c>
      <c r="D159" s="819" t="s">
        <v>16</v>
      </c>
      <c r="E159" s="820">
        <v>7.0000000000000007E-2</v>
      </c>
      <c r="F159" s="820">
        <f>F154*E159</f>
        <v>7.0000000000000007E-2</v>
      </c>
      <c r="G159" s="820"/>
      <c r="H159" s="820"/>
      <c r="I159" s="808"/>
      <c r="J159" s="808"/>
      <c r="K159" s="819"/>
      <c r="L159" s="820"/>
      <c r="M159" s="820"/>
    </row>
    <row r="160" spans="1:13">
      <c r="A160" s="718">
        <v>26</v>
      </c>
      <c r="B160" s="821">
        <v>37211</v>
      </c>
      <c r="C160" s="822" t="s">
        <v>480</v>
      </c>
      <c r="D160" s="823" t="s">
        <v>167</v>
      </c>
      <c r="E160" s="824"/>
      <c r="F160" s="824">
        <v>1</v>
      </c>
      <c r="G160" s="823"/>
      <c r="H160" s="824"/>
      <c r="I160" s="824"/>
      <c r="J160" s="824"/>
      <c r="K160" s="823"/>
      <c r="L160" s="824"/>
      <c r="M160" s="825"/>
    </row>
    <row r="161" spans="1:13">
      <c r="A161" s="718"/>
      <c r="B161" s="718"/>
      <c r="C161" s="812" t="s">
        <v>96</v>
      </c>
      <c r="D161" s="826" t="s">
        <v>13</v>
      </c>
      <c r="E161" s="827">
        <v>0.92</v>
      </c>
      <c r="F161" s="827">
        <f>F160*E161</f>
        <v>0.92</v>
      </c>
      <c r="G161" s="808"/>
      <c r="H161" s="808"/>
      <c r="I161" s="827"/>
      <c r="J161" s="827"/>
      <c r="K161" s="826"/>
      <c r="L161" s="827"/>
      <c r="M161" s="827"/>
    </row>
    <row r="162" spans="1:13">
      <c r="A162" s="718"/>
      <c r="B162" s="718"/>
      <c r="C162" s="812" t="s">
        <v>87</v>
      </c>
      <c r="D162" s="826" t="s">
        <v>16</v>
      </c>
      <c r="E162" s="827">
        <v>0.12</v>
      </c>
      <c r="F162" s="827">
        <f>F160*E162</f>
        <v>0.12</v>
      </c>
      <c r="G162" s="827"/>
      <c r="H162" s="827"/>
      <c r="I162" s="826"/>
      <c r="J162" s="827"/>
      <c r="K162" s="827"/>
      <c r="L162" s="827"/>
      <c r="M162" s="827"/>
    </row>
    <row r="163" spans="1:13">
      <c r="A163" s="718"/>
      <c r="B163" s="718"/>
      <c r="C163" s="828" t="s">
        <v>481</v>
      </c>
      <c r="D163" s="829" t="s">
        <v>167</v>
      </c>
      <c r="E163" s="830">
        <v>1</v>
      </c>
      <c r="F163" s="830">
        <f>F160*E163</f>
        <v>1</v>
      </c>
      <c r="G163" s="830"/>
      <c r="H163" s="830"/>
      <c r="I163" s="808"/>
      <c r="J163" s="808"/>
      <c r="K163" s="830"/>
      <c r="L163" s="830"/>
      <c r="M163" s="830"/>
    </row>
    <row r="164" spans="1:13">
      <c r="A164" s="718"/>
      <c r="B164" s="718"/>
      <c r="C164" s="812" t="s">
        <v>104</v>
      </c>
      <c r="D164" s="826" t="s">
        <v>16</v>
      </c>
      <c r="E164" s="827">
        <v>7.0000000000000007E-2</v>
      </c>
      <c r="F164" s="827">
        <f>F160*E164</f>
        <v>7.0000000000000007E-2</v>
      </c>
      <c r="G164" s="827"/>
      <c r="H164" s="827"/>
      <c r="I164" s="808"/>
      <c r="J164" s="808"/>
      <c r="K164" s="826"/>
      <c r="L164" s="827"/>
      <c r="M164" s="827"/>
    </row>
    <row r="165" spans="1:13" ht="27">
      <c r="A165" s="718">
        <v>27</v>
      </c>
      <c r="B165" s="831" t="s">
        <v>235</v>
      </c>
      <c r="C165" s="814" t="s">
        <v>482</v>
      </c>
      <c r="D165" s="832" t="s">
        <v>173</v>
      </c>
      <c r="E165" s="833"/>
      <c r="F165" s="834">
        <v>15</v>
      </c>
      <c r="G165" s="834"/>
      <c r="H165" s="834"/>
      <c r="I165" s="835"/>
      <c r="J165" s="835"/>
      <c r="K165" s="834"/>
      <c r="L165" s="834"/>
      <c r="M165" s="836"/>
    </row>
    <row r="166" spans="1:13">
      <c r="A166" s="718"/>
      <c r="B166" s="718"/>
      <c r="C166" s="837" t="s">
        <v>96</v>
      </c>
      <c r="D166" s="838" t="s">
        <v>13</v>
      </c>
      <c r="E166" s="839">
        <v>0.60899999999999999</v>
      </c>
      <c r="F166" s="840">
        <f>F165*E166</f>
        <v>9.1349999999999998</v>
      </c>
      <c r="G166" s="808"/>
      <c r="H166" s="808"/>
      <c r="I166" s="840"/>
      <c r="J166" s="840"/>
      <c r="K166" s="841"/>
      <c r="L166" s="840"/>
      <c r="M166" s="840"/>
    </row>
    <row r="167" spans="1:13">
      <c r="A167" s="718"/>
      <c r="B167" s="718"/>
      <c r="C167" s="837" t="s">
        <v>87</v>
      </c>
      <c r="D167" s="841" t="s">
        <v>16</v>
      </c>
      <c r="E167" s="842">
        <v>2.0999999999999999E-3</v>
      </c>
      <c r="F167" s="840">
        <f>F165*E167</f>
        <v>3.15E-2</v>
      </c>
      <c r="G167" s="840"/>
      <c r="H167" s="840"/>
      <c r="I167" s="841"/>
      <c r="J167" s="841"/>
      <c r="K167" s="840"/>
      <c r="L167" s="840"/>
      <c r="M167" s="840"/>
    </row>
    <row r="168" spans="1:13">
      <c r="A168" s="718"/>
      <c r="B168" s="718" t="s">
        <v>696</v>
      </c>
      <c r="C168" s="828" t="s">
        <v>483</v>
      </c>
      <c r="D168" s="841" t="s">
        <v>173</v>
      </c>
      <c r="E168" s="840" t="s">
        <v>236</v>
      </c>
      <c r="F168" s="840">
        <f>F165</f>
        <v>15</v>
      </c>
      <c r="G168" s="840"/>
      <c r="H168" s="840"/>
      <c r="I168" s="808"/>
      <c r="J168" s="808"/>
      <c r="K168" s="840"/>
      <c r="L168" s="840"/>
      <c r="M168" s="840"/>
    </row>
    <row r="169" spans="1:13">
      <c r="A169" s="718"/>
      <c r="B169" s="781" t="s">
        <v>484</v>
      </c>
      <c r="C169" s="837" t="s">
        <v>329</v>
      </c>
      <c r="D169" s="841" t="s">
        <v>110</v>
      </c>
      <c r="E169" s="843">
        <v>0.14000000000000001</v>
      </c>
      <c r="F169" s="840">
        <f>F165*E169</f>
        <v>2.1</v>
      </c>
      <c r="G169" s="840"/>
      <c r="H169" s="840"/>
      <c r="I169" s="808"/>
      <c r="J169" s="808"/>
      <c r="K169" s="840"/>
      <c r="L169" s="840"/>
      <c r="M169" s="840"/>
    </row>
    <row r="170" spans="1:13">
      <c r="A170" s="718"/>
      <c r="B170" s="718"/>
      <c r="C170" s="812" t="s">
        <v>104</v>
      </c>
      <c r="D170" s="841" t="s">
        <v>16</v>
      </c>
      <c r="E170" s="843">
        <v>0.156</v>
      </c>
      <c r="F170" s="840">
        <f>F165*E170</f>
        <v>2.34</v>
      </c>
      <c r="G170" s="840"/>
      <c r="H170" s="844"/>
      <c r="I170" s="808"/>
      <c r="J170" s="808"/>
      <c r="K170" s="840"/>
      <c r="L170" s="840"/>
      <c r="M170" s="840"/>
    </row>
    <row r="171" spans="1:13">
      <c r="A171" s="718">
        <v>28</v>
      </c>
      <c r="B171" s="795" t="s">
        <v>128</v>
      </c>
      <c r="C171" s="796" t="s">
        <v>330</v>
      </c>
      <c r="D171" s="797" t="s">
        <v>167</v>
      </c>
      <c r="E171" s="798"/>
      <c r="F171" s="800">
        <f>SUM(F174:F176)</f>
        <v>20</v>
      </c>
      <c r="G171" s="800"/>
      <c r="H171" s="800"/>
      <c r="I171" s="800"/>
      <c r="J171" s="800"/>
      <c r="K171" s="797"/>
      <c r="L171" s="800"/>
      <c r="M171" s="799"/>
    </row>
    <row r="172" spans="1:13">
      <c r="A172" s="718"/>
      <c r="B172" s="808"/>
      <c r="C172" s="804" t="s">
        <v>96</v>
      </c>
      <c r="D172" s="805" t="s">
        <v>13</v>
      </c>
      <c r="E172" s="806">
        <f>3.89/10</f>
        <v>0.38900000000000001</v>
      </c>
      <c r="F172" s="807">
        <f>F171*E172</f>
        <v>7.78</v>
      </c>
      <c r="G172" s="808"/>
      <c r="H172" s="808"/>
      <c r="I172" s="807"/>
      <c r="J172" s="807"/>
      <c r="K172" s="805"/>
      <c r="L172" s="807"/>
      <c r="M172" s="807"/>
    </row>
    <row r="173" spans="1:13">
      <c r="A173" s="742"/>
      <c r="B173" s="751"/>
      <c r="C173" s="804" t="s">
        <v>87</v>
      </c>
      <c r="D173" s="805" t="s">
        <v>16</v>
      </c>
      <c r="E173" s="806">
        <f>1.51/10</f>
        <v>0.151</v>
      </c>
      <c r="F173" s="807">
        <f>F171*E173</f>
        <v>3.02</v>
      </c>
      <c r="G173" s="807"/>
      <c r="H173" s="807"/>
      <c r="I173" s="805"/>
      <c r="J173" s="807"/>
      <c r="K173" s="807"/>
      <c r="L173" s="807"/>
      <c r="M173" s="807"/>
    </row>
    <row r="174" spans="1:13">
      <c r="A174" s="742"/>
      <c r="B174" s="494" t="s">
        <v>697</v>
      </c>
      <c r="C174" s="828" t="s">
        <v>331</v>
      </c>
      <c r="D174" s="805" t="s">
        <v>167</v>
      </c>
      <c r="E174" s="807" t="s">
        <v>236</v>
      </c>
      <c r="F174" s="807">
        <v>1</v>
      </c>
      <c r="G174" s="807"/>
      <c r="H174" s="807"/>
      <c r="I174" s="757"/>
      <c r="J174" s="757"/>
      <c r="K174" s="807"/>
      <c r="L174" s="807"/>
      <c r="M174" s="807"/>
    </row>
    <row r="175" spans="1:13">
      <c r="A175" s="382"/>
      <c r="B175" s="494" t="s">
        <v>697</v>
      </c>
      <c r="C175" s="828" t="s">
        <v>332</v>
      </c>
      <c r="D175" s="805" t="s">
        <v>167</v>
      </c>
      <c r="E175" s="807" t="s">
        <v>236</v>
      </c>
      <c r="F175" s="807">
        <v>5</v>
      </c>
      <c r="G175" s="807"/>
      <c r="H175" s="807"/>
      <c r="I175" s="757"/>
      <c r="J175" s="757"/>
      <c r="K175" s="807"/>
      <c r="L175" s="807"/>
      <c r="M175" s="807"/>
    </row>
    <row r="176" spans="1:13">
      <c r="A176" s="742"/>
      <c r="B176" s="494" t="s">
        <v>698</v>
      </c>
      <c r="C176" s="828" t="s">
        <v>486</v>
      </c>
      <c r="D176" s="805" t="s">
        <v>167</v>
      </c>
      <c r="E176" s="807" t="s">
        <v>236</v>
      </c>
      <c r="F176" s="807">
        <v>14</v>
      </c>
      <c r="G176" s="807"/>
      <c r="H176" s="807"/>
      <c r="I176" s="757"/>
      <c r="J176" s="757"/>
      <c r="K176" s="807"/>
      <c r="L176" s="807"/>
      <c r="M176" s="807"/>
    </row>
    <row r="177" spans="1:13">
      <c r="A177" s="742"/>
      <c r="B177" s="751"/>
      <c r="C177" s="812" t="s">
        <v>104</v>
      </c>
      <c r="D177" s="805" t="s">
        <v>16</v>
      </c>
      <c r="E177" s="806">
        <f>0.24/10</f>
        <v>2.4E-2</v>
      </c>
      <c r="F177" s="807">
        <f>F171*E177</f>
        <v>0.48</v>
      </c>
      <c r="G177" s="807"/>
      <c r="H177" s="807"/>
      <c r="I177" s="757"/>
      <c r="J177" s="757"/>
      <c r="K177" s="805"/>
      <c r="L177" s="807"/>
      <c r="M177" s="807"/>
    </row>
    <row r="178" spans="1:13">
      <c r="A178" s="653">
        <v>29</v>
      </c>
      <c r="B178" s="845" t="s">
        <v>237</v>
      </c>
      <c r="C178" s="846" t="s">
        <v>333</v>
      </c>
      <c r="D178" s="654" t="s">
        <v>98</v>
      </c>
      <c r="E178" s="654"/>
      <c r="F178" s="847">
        <v>1</v>
      </c>
      <c r="G178" s="848"/>
      <c r="H178" s="655"/>
      <c r="I178" s="654"/>
      <c r="J178" s="655"/>
      <c r="K178" s="654"/>
      <c r="L178" s="655"/>
      <c r="M178" s="655"/>
    </row>
    <row r="179" spans="1:13">
      <c r="A179" s="653"/>
      <c r="B179" s="653"/>
      <c r="C179" s="652" t="s">
        <v>86</v>
      </c>
      <c r="D179" s="657" t="s">
        <v>13</v>
      </c>
      <c r="E179" s="657">
        <v>0.35</v>
      </c>
      <c r="F179" s="849">
        <f>F178*E179</f>
        <v>0.35</v>
      </c>
      <c r="G179" s="657"/>
      <c r="H179" s="849"/>
      <c r="I179" s="657"/>
      <c r="J179" s="849"/>
      <c r="K179" s="657"/>
      <c r="L179" s="849"/>
      <c r="M179" s="849"/>
    </row>
    <row r="180" spans="1:13">
      <c r="A180" s="653"/>
      <c r="B180" s="653"/>
      <c r="C180" s="652" t="s">
        <v>87</v>
      </c>
      <c r="D180" s="656" t="s">
        <v>16</v>
      </c>
      <c r="E180" s="657">
        <v>0.23</v>
      </c>
      <c r="F180" s="472">
        <f>E180*F178</f>
        <v>0.23</v>
      </c>
      <c r="G180" s="657"/>
      <c r="H180" s="849"/>
      <c r="I180" s="657"/>
      <c r="J180" s="849"/>
      <c r="K180" s="657"/>
      <c r="L180" s="849"/>
      <c r="M180" s="849"/>
    </row>
    <row r="181" spans="1:13">
      <c r="A181" s="850"/>
      <c r="B181" s="851" t="s">
        <v>699</v>
      </c>
      <c r="C181" s="652" t="s">
        <v>334</v>
      </c>
      <c r="D181" s="656" t="s">
        <v>98</v>
      </c>
      <c r="E181" s="656"/>
      <c r="F181" s="852">
        <f>F178</f>
        <v>1</v>
      </c>
      <c r="G181" s="852"/>
      <c r="H181" s="852"/>
      <c r="I181" s="657"/>
      <c r="J181" s="852"/>
      <c r="K181" s="656"/>
      <c r="L181" s="852"/>
      <c r="M181" s="852"/>
    </row>
    <row r="182" spans="1:13">
      <c r="A182" s="850"/>
      <c r="B182" s="853"/>
      <c r="C182" s="812" t="s">
        <v>104</v>
      </c>
      <c r="D182" s="656" t="s">
        <v>16</v>
      </c>
      <c r="E182" s="656">
        <v>0.01</v>
      </c>
      <c r="F182" s="852">
        <f>E182*F178</f>
        <v>0.01</v>
      </c>
      <c r="G182" s="656"/>
      <c r="H182" s="852"/>
      <c r="I182" s="657"/>
      <c r="J182" s="852"/>
      <c r="K182" s="656"/>
      <c r="L182" s="852"/>
      <c r="M182" s="852"/>
    </row>
    <row r="183" spans="1:13">
      <c r="A183" s="492">
        <v>30</v>
      </c>
      <c r="B183" s="845" t="s">
        <v>237</v>
      </c>
      <c r="C183" s="846" t="s">
        <v>335</v>
      </c>
      <c r="D183" s="654" t="s">
        <v>98</v>
      </c>
      <c r="E183" s="654"/>
      <c r="F183" s="847">
        <v>2</v>
      </c>
      <c r="G183" s="848"/>
      <c r="H183" s="655"/>
      <c r="I183" s="654"/>
      <c r="J183" s="655"/>
      <c r="K183" s="654"/>
      <c r="L183" s="655"/>
      <c r="M183" s="655"/>
    </row>
    <row r="184" spans="1:13">
      <c r="A184" s="509"/>
      <c r="B184" s="653"/>
      <c r="C184" s="652" t="s">
        <v>86</v>
      </c>
      <c r="D184" s="657" t="s">
        <v>13</v>
      </c>
      <c r="E184" s="657">
        <v>0.35</v>
      </c>
      <c r="F184" s="849">
        <f>F183*E184</f>
        <v>0.7</v>
      </c>
      <c r="G184" s="657"/>
      <c r="H184" s="849"/>
      <c r="I184" s="657"/>
      <c r="J184" s="849"/>
      <c r="K184" s="657"/>
      <c r="L184" s="849"/>
      <c r="M184" s="849"/>
    </row>
    <row r="185" spans="1:13">
      <c r="A185" s="742"/>
      <c r="B185" s="653"/>
      <c r="C185" s="652" t="s">
        <v>87</v>
      </c>
      <c r="D185" s="656" t="s">
        <v>16</v>
      </c>
      <c r="E185" s="657">
        <v>0.23</v>
      </c>
      <c r="F185" s="472">
        <f>E185*F183</f>
        <v>0.46</v>
      </c>
      <c r="G185" s="657"/>
      <c r="H185" s="849"/>
      <c r="I185" s="657"/>
      <c r="J185" s="849"/>
      <c r="K185" s="657"/>
      <c r="L185" s="849"/>
      <c r="M185" s="849"/>
    </row>
    <row r="186" spans="1:13">
      <c r="A186" s="382"/>
      <c r="B186" s="851" t="s">
        <v>700</v>
      </c>
      <c r="C186" s="652" t="s">
        <v>336</v>
      </c>
      <c r="D186" s="656" t="s">
        <v>98</v>
      </c>
      <c r="E186" s="656"/>
      <c r="F186" s="852">
        <v>2</v>
      </c>
      <c r="G186" s="852"/>
      <c r="H186" s="852"/>
      <c r="I186" s="657"/>
      <c r="J186" s="852"/>
      <c r="K186" s="656"/>
      <c r="L186" s="852"/>
      <c r="M186" s="852"/>
    </row>
    <row r="187" spans="1:13">
      <c r="A187" s="494"/>
      <c r="B187" s="853"/>
      <c r="C187" s="652" t="s">
        <v>89</v>
      </c>
      <c r="D187" s="656" t="s">
        <v>16</v>
      </c>
      <c r="E187" s="656">
        <v>0.01</v>
      </c>
      <c r="F187" s="852">
        <f>E187*F183</f>
        <v>0.02</v>
      </c>
      <c r="G187" s="656"/>
      <c r="H187" s="852"/>
      <c r="I187" s="657"/>
      <c r="J187" s="852"/>
      <c r="K187" s="656"/>
      <c r="L187" s="852"/>
      <c r="M187" s="852"/>
    </row>
    <row r="188" spans="1:13">
      <c r="A188" s="492">
        <v>31</v>
      </c>
      <c r="B188" s="563" t="s">
        <v>582</v>
      </c>
      <c r="C188" s="528" t="s">
        <v>337</v>
      </c>
      <c r="D188" s="509" t="s">
        <v>167</v>
      </c>
      <c r="E188" s="509"/>
      <c r="F188" s="542">
        <v>10</v>
      </c>
      <c r="G188" s="854"/>
      <c r="H188" s="855"/>
      <c r="I188" s="856"/>
      <c r="J188" s="855"/>
      <c r="K188" s="856"/>
      <c r="L188" s="855"/>
      <c r="M188" s="854"/>
    </row>
    <row r="189" spans="1:13">
      <c r="A189" s="494"/>
      <c r="B189" s="853"/>
      <c r="C189" s="541" t="s">
        <v>238</v>
      </c>
      <c r="D189" s="857" t="s">
        <v>13</v>
      </c>
      <c r="E189" s="858">
        <v>1.51</v>
      </c>
      <c r="F189" s="858">
        <f>F188*E189</f>
        <v>15.1</v>
      </c>
      <c r="G189" s="859"/>
      <c r="H189" s="858"/>
      <c r="I189" s="857"/>
      <c r="J189" s="860"/>
      <c r="K189" s="857"/>
      <c r="L189" s="861"/>
      <c r="M189" s="861"/>
    </row>
    <row r="190" spans="1:13">
      <c r="A190" s="494"/>
      <c r="B190" s="853"/>
      <c r="C190" s="541" t="s">
        <v>125</v>
      </c>
      <c r="D190" s="857" t="s">
        <v>16</v>
      </c>
      <c r="E190" s="862">
        <v>0.13</v>
      </c>
      <c r="F190" s="858">
        <f>F188*E190</f>
        <v>1.3</v>
      </c>
      <c r="G190" s="863"/>
      <c r="H190" s="858"/>
      <c r="I190" s="857"/>
      <c r="J190" s="861"/>
      <c r="K190" s="857"/>
      <c r="L190" s="864"/>
      <c r="M190" s="861"/>
    </row>
    <row r="191" spans="1:13">
      <c r="A191" s="494"/>
      <c r="B191" s="851" t="s">
        <v>701</v>
      </c>
      <c r="C191" s="541" t="s">
        <v>338</v>
      </c>
      <c r="D191" s="857" t="s">
        <v>167</v>
      </c>
      <c r="E191" s="860"/>
      <c r="F191" s="860">
        <f>F188</f>
        <v>10</v>
      </c>
      <c r="G191" s="382"/>
      <c r="H191" s="858"/>
      <c r="I191" s="860"/>
      <c r="J191" s="860"/>
      <c r="K191" s="860"/>
      <c r="L191" s="860"/>
      <c r="M191" s="860"/>
    </row>
    <row r="192" spans="1:13">
      <c r="A192" s="494"/>
      <c r="B192" s="781" t="s">
        <v>484</v>
      </c>
      <c r="C192" s="541" t="s">
        <v>339</v>
      </c>
      <c r="D192" s="857" t="s">
        <v>110</v>
      </c>
      <c r="E192" s="860">
        <v>1.1000000000000001</v>
      </c>
      <c r="F192" s="386">
        <f>E192*F188</f>
        <v>11</v>
      </c>
      <c r="G192" s="840"/>
      <c r="H192" s="858"/>
      <c r="I192" s="382"/>
      <c r="J192" s="386"/>
      <c r="K192" s="382"/>
      <c r="L192" s="388"/>
      <c r="M192" s="386"/>
    </row>
    <row r="193" spans="1:13">
      <c r="A193" s="494"/>
      <c r="B193" s="853"/>
      <c r="C193" s="648" t="s">
        <v>89</v>
      </c>
      <c r="D193" s="857" t="s">
        <v>16</v>
      </c>
      <c r="E193" s="382">
        <v>7.0000000000000007E-2</v>
      </c>
      <c r="F193" s="386">
        <f>F188*E193</f>
        <v>0.70000000000000007</v>
      </c>
      <c r="G193" s="382"/>
      <c r="H193" s="858"/>
      <c r="I193" s="382"/>
      <c r="J193" s="386"/>
      <c r="K193" s="382"/>
      <c r="L193" s="386"/>
      <c r="M193" s="386"/>
    </row>
    <row r="194" spans="1:13">
      <c r="A194" s="494"/>
      <c r="B194" s="627"/>
      <c r="C194" s="865" t="s">
        <v>239</v>
      </c>
      <c r="D194" s="494"/>
      <c r="E194" s="722"/>
      <c r="F194" s="722"/>
      <c r="G194" s="392"/>
      <c r="H194" s="722"/>
      <c r="I194" s="722"/>
      <c r="J194" s="722"/>
      <c r="K194" s="748"/>
      <c r="L194" s="722"/>
      <c r="M194" s="722"/>
    </row>
    <row r="195" spans="1:13" ht="27">
      <c r="A195" s="492">
        <v>32</v>
      </c>
      <c r="B195" s="563" t="s">
        <v>487</v>
      </c>
      <c r="C195" s="866" t="s">
        <v>488</v>
      </c>
      <c r="D195" s="867" t="s">
        <v>240</v>
      </c>
      <c r="E195" s="865"/>
      <c r="F195" s="868">
        <v>10</v>
      </c>
      <c r="G195" s="854"/>
      <c r="H195" s="855"/>
      <c r="I195" s="854"/>
      <c r="J195" s="855"/>
      <c r="K195" s="854"/>
      <c r="L195" s="855"/>
      <c r="M195" s="854"/>
    </row>
    <row r="196" spans="1:13">
      <c r="A196" s="494"/>
      <c r="B196" s="627"/>
      <c r="C196" s="648" t="s">
        <v>238</v>
      </c>
      <c r="D196" s="857" t="s">
        <v>13</v>
      </c>
      <c r="E196" s="388">
        <f>60.9/100</f>
        <v>0.60899999999999999</v>
      </c>
      <c r="F196" s="626">
        <f>E196*F195</f>
        <v>6.09</v>
      </c>
      <c r="G196" s="808"/>
      <c r="H196" s="808"/>
      <c r="I196" s="840"/>
      <c r="J196" s="864"/>
      <c r="K196" s="861"/>
      <c r="L196" s="861"/>
      <c r="M196" s="820"/>
    </row>
    <row r="197" spans="1:13">
      <c r="A197" s="494"/>
      <c r="B197" s="627"/>
      <c r="C197" s="648" t="s">
        <v>241</v>
      </c>
      <c r="D197" s="857" t="s">
        <v>16</v>
      </c>
      <c r="E197" s="388">
        <f>0.21/100</f>
        <v>2.0999999999999999E-3</v>
      </c>
      <c r="F197" s="386">
        <f>E197*F195</f>
        <v>2.0999999999999998E-2</v>
      </c>
      <c r="G197" s="857"/>
      <c r="H197" s="861"/>
      <c r="I197" s="857"/>
      <c r="J197" s="861"/>
      <c r="K197" s="857"/>
      <c r="L197" s="861"/>
      <c r="M197" s="864"/>
    </row>
    <row r="198" spans="1:13">
      <c r="A198" s="494"/>
      <c r="B198" s="627" t="s">
        <v>702</v>
      </c>
      <c r="C198" s="648" t="s">
        <v>489</v>
      </c>
      <c r="D198" s="857" t="s">
        <v>240</v>
      </c>
      <c r="E198" s="382">
        <f>99.8/100</f>
        <v>0.998</v>
      </c>
      <c r="F198" s="860">
        <f>E198*F195</f>
        <v>9.98</v>
      </c>
      <c r="G198" s="857"/>
      <c r="H198" s="861"/>
      <c r="I198" s="808"/>
      <c r="J198" s="808"/>
      <c r="K198" s="857"/>
      <c r="L198" s="861"/>
      <c r="M198" s="820"/>
    </row>
    <row r="199" spans="1:13">
      <c r="A199" s="494"/>
      <c r="B199" s="781" t="s">
        <v>484</v>
      </c>
      <c r="C199" s="648" t="s">
        <v>339</v>
      </c>
      <c r="D199" s="857" t="s">
        <v>110</v>
      </c>
      <c r="E199" s="382">
        <f>14/100</f>
        <v>0.14000000000000001</v>
      </c>
      <c r="F199" s="860">
        <f>E199*F195</f>
        <v>1.4000000000000001</v>
      </c>
      <c r="G199" s="840"/>
      <c r="H199" s="861"/>
      <c r="I199" s="808"/>
      <c r="J199" s="808"/>
      <c r="K199" s="857"/>
      <c r="L199" s="861"/>
      <c r="M199" s="820"/>
    </row>
    <row r="200" spans="1:13">
      <c r="A200" s="494"/>
      <c r="B200" s="627"/>
      <c r="C200" s="648" t="s">
        <v>89</v>
      </c>
      <c r="D200" s="857" t="s">
        <v>16</v>
      </c>
      <c r="E200" s="382">
        <f>15.6/100</f>
        <v>0.156</v>
      </c>
      <c r="F200" s="860">
        <f>E200*F195</f>
        <v>1.56</v>
      </c>
      <c r="G200" s="857"/>
      <c r="H200" s="861"/>
      <c r="I200" s="808"/>
      <c r="J200" s="808"/>
      <c r="K200" s="857"/>
      <c r="L200" s="861"/>
      <c r="M200" s="820"/>
    </row>
    <row r="201" spans="1:13" ht="27">
      <c r="A201" s="492">
        <v>33</v>
      </c>
      <c r="B201" s="795" t="s">
        <v>485</v>
      </c>
      <c r="C201" s="528" t="s">
        <v>340</v>
      </c>
      <c r="D201" s="509" t="s">
        <v>167</v>
      </c>
      <c r="E201" s="509"/>
      <c r="F201" s="542">
        <v>3</v>
      </c>
      <c r="G201" s="869"/>
      <c r="H201" s="870"/>
      <c r="I201" s="869"/>
      <c r="J201" s="870"/>
      <c r="K201" s="869"/>
      <c r="L201" s="870"/>
      <c r="M201" s="869"/>
    </row>
    <row r="202" spans="1:13">
      <c r="A202" s="494"/>
      <c r="B202" s="627"/>
      <c r="C202" s="648" t="s">
        <v>238</v>
      </c>
      <c r="D202" s="857" t="s">
        <v>13</v>
      </c>
      <c r="E202" s="806">
        <f>3.89/10</f>
        <v>0.38900000000000001</v>
      </c>
      <c r="F202" s="858">
        <f>F201*E202</f>
        <v>1.167</v>
      </c>
      <c r="G202" s="808"/>
      <c r="H202" s="808"/>
      <c r="I202" s="858"/>
      <c r="J202" s="858"/>
      <c r="K202" s="863"/>
      <c r="L202" s="858"/>
      <c r="M202" s="820"/>
    </row>
    <row r="203" spans="1:13">
      <c r="A203" s="494"/>
      <c r="B203" s="627"/>
      <c r="C203" s="648" t="s">
        <v>125</v>
      </c>
      <c r="D203" s="382" t="s">
        <v>16</v>
      </c>
      <c r="E203" s="806">
        <f>1.51/10</f>
        <v>0.151</v>
      </c>
      <c r="F203" s="858">
        <f>F201*E203</f>
        <v>0.45299999999999996</v>
      </c>
      <c r="G203" s="863"/>
      <c r="H203" s="858"/>
      <c r="I203" s="863"/>
      <c r="J203" s="858"/>
      <c r="K203" s="863"/>
      <c r="L203" s="858"/>
      <c r="M203" s="858"/>
    </row>
    <row r="204" spans="1:13" ht="15.75">
      <c r="A204" s="494"/>
      <c r="B204" s="635" t="s">
        <v>703</v>
      </c>
      <c r="C204" s="541" t="s">
        <v>490</v>
      </c>
      <c r="D204" s="382" t="s">
        <v>167</v>
      </c>
      <c r="E204" s="863"/>
      <c r="F204" s="859">
        <f>F201</f>
        <v>3</v>
      </c>
      <c r="G204" s="863"/>
      <c r="H204" s="858"/>
      <c r="I204" s="808"/>
      <c r="J204" s="808"/>
      <c r="K204" s="863"/>
      <c r="L204" s="858"/>
      <c r="M204" s="820"/>
    </row>
    <row r="205" spans="1:13">
      <c r="A205" s="509"/>
      <c r="B205" s="563"/>
      <c r="C205" s="648" t="s">
        <v>89</v>
      </c>
      <c r="D205" s="382" t="s">
        <v>16</v>
      </c>
      <c r="E205" s="806">
        <f>0.24/10</f>
        <v>2.4E-2</v>
      </c>
      <c r="F205" s="858">
        <f>E205*F201</f>
        <v>7.2000000000000008E-2</v>
      </c>
      <c r="G205" s="863"/>
      <c r="H205" s="858"/>
      <c r="I205" s="808"/>
      <c r="J205" s="808"/>
      <c r="K205" s="863"/>
      <c r="L205" s="858"/>
      <c r="M205" s="820"/>
    </row>
    <row r="206" spans="1:13" ht="27">
      <c r="A206" s="509">
        <v>34</v>
      </c>
      <c r="B206" s="563" t="s">
        <v>129</v>
      </c>
      <c r="C206" s="528" t="s">
        <v>341</v>
      </c>
      <c r="D206" s="509" t="s">
        <v>167</v>
      </c>
      <c r="E206" s="509"/>
      <c r="F206" s="542">
        <v>1</v>
      </c>
      <c r="G206" s="869"/>
      <c r="H206" s="870"/>
      <c r="I206" s="869"/>
      <c r="J206" s="870"/>
      <c r="K206" s="869"/>
      <c r="L206" s="870"/>
      <c r="M206" s="869"/>
    </row>
    <row r="207" spans="1:13">
      <c r="A207" s="509"/>
      <c r="B207" s="563"/>
      <c r="C207" s="541" t="s">
        <v>238</v>
      </c>
      <c r="D207" s="857" t="s">
        <v>13</v>
      </c>
      <c r="E207" s="862">
        <v>0.58399999999999996</v>
      </c>
      <c r="F207" s="858">
        <f>F206*E207</f>
        <v>0.58399999999999996</v>
      </c>
      <c r="G207" s="808"/>
      <c r="H207" s="808"/>
      <c r="I207" s="858"/>
      <c r="J207" s="858"/>
      <c r="K207" s="382"/>
      <c r="L207" s="386"/>
      <c r="M207" s="820"/>
    </row>
    <row r="208" spans="1:13">
      <c r="A208" s="509"/>
      <c r="B208" s="563"/>
      <c r="C208" s="541" t="s">
        <v>125</v>
      </c>
      <c r="D208" s="382" t="s">
        <v>16</v>
      </c>
      <c r="E208" s="862">
        <v>0.22700000000000001</v>
      </c>
      <c r="F208" s="858">
        <f>F206*E208</f>
        <v>0.22700000000000001</v>
      </c>
      <c r="G208" s="863"/>
      <c r="H208" s="858"/>
      <c r="I208" s="863"/>
      <c r="J208" s="858"/>
      <c r="K208" s="382"/>
      <c r="L208" s="386"/>
      <c r="M208" s="386"/>
    </row>
    <row r="209" spans="1:13" ht="15.75">
      <c r="A209" s="494"/>
      <c r="B209" s="635" t="s">
        <v>704</v>
      </c>
      <c r="C209" s="541" t="s">
        <v>491</v>
      </c>
      <c r="D209" s="382" t="s">
        <v>167</v>
      </c>
      <c r="E209" s="863"/>
      <c r="F209" s="859">
        <f>F206</f>
        <v>1</v>
      </c>
      <c r="G209" s="863"/>
      <c r="H209" s="859"/>
      <c r="I209" s="808"/>
      <c r="J209" s="808"/>
      <c r="K209" s="860"/>
      <c r="L209" s="860"/>
      <c r="M209" s="820"/>
    </row>
    <row r="210" spans="1:13">
      <c r="A210" s="808"/>
      <c r="B210" s="492"/>
      <c r="C210" s="541" t="s">
        <v>89</v>
      </c>
      <c r="D210" s="382" t="s">
        <v>16</v>
      </c>
      <c r="E210" s="863">
        <v>2.4E-2</v>
      </c>
      <c r="F210" s="858">
        <f>F206*E210</f>
        <v>2.4E-2</v>
      </c>
      <c r="G210" s="863"/>
      <c r="H210" s="858"/>
      <c r="I210" s="808"/>
      <c r="J210" s="808"/>
      <c r="K210" s="382"/>
      <c r="L210" s="386"/>
      <c r="M210" s="820"/>
    </row>
    <row r="211" spans="1:13">
      <c r="A211" s="808">
        <v>35</v>
      </c>
      <c r="B211" s="803" t="s">
        <v>174</v>
      </c>
      <c r="C211" s="528" t="s">
        <v>342</v>
      </c>
      <c r="D211" s="811" t="s">
        <v>167</v>
      </c>
      <c r="E211" s="509"/>
      <c r="F211" s="856">
        <v>1</v>
      </c>
      <c r="G211" s="854"/>
      <c r="H211" s="855"/>
      <c r="I211" s="856"/>
      <c r="J211" s="855"/>
      <c r="K211" s="856"/>
      <c r="L211" s="855"/>
      <c r="M211" s="854"/>
    </row>
    <row r="212" spans="1:13">
      <c r="A212" s="808"/>
      <c r="B212" s="627"/>
      <c r="C212" s="648" t="s">
        <v>238</v>
      </c>
      <c r="D212" s="857" t="s">
        <v>13</v>
      </c>
      <c r="E212" s="386">
        <v>0.46</v>
      </c>
      <c r="F212" s="864">
        <f>F211*E212</f>
        <v>0.46</v>
      </c>
      <c r="G212" s="808"/>
      <c r="H212" s="808"/>
      <c r="I212" s="864"/>
      <c r="J212" s="861"/>
      <c r="K212" s="857"/>
      <c r="L212" s="861"/>
      <c r="M212" s="820"/>
    </row>
    <row r="213" spans="1:13">
      <c r="A213" s="808"/>
      <c r="B213" s="627"/>
      <c r="C213" s="648" t="s">
        <v>125</v>
      </c>
      <c r="D213" s="857" t="s">
        <v>16</v>
      </c>
      <c r="E213" s="386">
        <f>0.02</f>
        <v>0.02</v>
      </c>
      <c r="F213" s="861">
        <f>F211*E213</f>
        <v>0.02</v>
      </c>
      <c r="G213" s="857"/>
      <c r="H213" s="861"/>
      <c r="I213" s="857"/>
      <c r="J213" s="861"/>
      <c r="K213" s="857"/>
      <c r="L213" s="864"/>
      <c r="M213" s="864"/>
    </row>
    <row r="214" spans="1:13">
      <c r="A214" s="808"/>
      <c r="B214" s="635" t="s">
        <v>705</v>
      </c>
      <c r="C214" s="541" t="s">
        <v>343</v>
      </c>
      <c r="D214" s="857" t="s">
        <v>167</v>
      </c>
      <c r="E214" s="860">
        <v>1</v>
      </c>
      <c r="F214" s="861">
        <f>E214*F211</f>
        <v>1</v>
      </c>
      <c r="G214" s="857"/>
      <c r="H214" s="864"/>
      <c r="I214" s="808"/>
      <c r="J214" s="808"/>
      <c r="K214" s="857"/>
      <c r="L214" s="864"/>
      <c r="M214" s="820"/>
    </row>
    <row r="215" spans="1:13">
      <c r="A215" s="808"/>
      <c r="B215" s="627"/>
      <c r="C215" s="648" t="s">
        <v>89</v>
      </c>
      <c r="D215" s="857" t="s">
        <v>16</v>
      </c>
      <c r="E215" s="382">
        <v>0.11</v>
      </c>
      <c r="F215" s="861">
        <f>F211*E215</f>
        <v>0.11</v>
      </c>
      <c r="G215" s="857"/>
      <c r="H215" s="861"/>
      <c r="I215" s="808"/>
      <c r="J215" s="808"/>
      <c r="K215" s="857"/>
      <c r="L215" s="861"/>
      <c r="M215" s="820"/>
    </row>
    <row r="216" spans="1:13">
      <c r="A216" s="632"/>
      <c r="B216" s="628"/>
      <c r="C216" s="528" t="s">
        <v>146</v>
      </c>
      <c r="D216" s="630"/>
      <c r="E216" s="871"/>
      <c r="F216" s="872"/>
      <c r="G216" s="873"/>
      <c r="H216" s="873"/>
      <c r="I216" s="874"/>
      <c r="J216" s="873"/>
      <c r="K216" s="873"/>
      <c r="L216" s="873"/>
      <c r="M216" s="873"/>
    </row>
    <row r="217" spans="1:13">
      <c r="A217" s="632"/>
      <c r="B217" s="628"/>
      <c r="C217" s="528" t="s">
        <v>492</v>
      </c>
      <c r="D217" s="630"/>
      <c r="E217" s="871"/>
      <c r="F217" s="872"/>
      <c r="G217" s="873"/>
      <c r="H217" s="873"/>
      <c r="I217" s="874"/>
      <c r="J217" s="873"/>
      <c r="K217" s="873"/>
      <c r="L217" s="873"/>
      <c r="M217" s="873"/>
    </row>
    <row r="218" spans="1:13">
      <c r="A218" s="632"/>
      <c r="B218" s="628"/>
      <c r="C218" s="528" t="s">
        <v>493</v>
      </c>
      <c r="D218" s="630"/>
      <c r="E218" s="871"/>
      <c r="F218" s="872"/>
      <c r="G218" s="873"/>
      <c r="H218" s="873"/>
      <c r="I218" s="874"/>
      <c r="J218" s="873"/>
      <c r="K218" s="873"/>
      <c r="L218" s="873"/>
      <c r="M218" s="873"/>
    </row>
    <row r="219" spans="1:13">
      <c r="A219" s="632"/>
      <c r="B219" s="628"/>
      <c r="C219" s="541" t="s">
        <v>390</v>
      </c>
      <c r="D219" s="875" t="s">
        <v>851</v>
      </c>
      <c r="E219" s="871"/>
      <c r="F219" s="872"/>
      <c r="G219" s="871"/>
      <c r="H219" s="876"/>
      <c r="I219" s="876"/>
      <c r="J219" s="876"/>
      <c r="K219" s="876"/>
      <c r="L219" s="876"/>
      <c r="M219" s="876"/>
    </row>
    <row r="220" spans="1:13">
      <c r="A220" s="632"/>
      <c r="B220" s="628"/>
      <c r="C220" s="541" t="s">
        <v>494</v>
      </c>
      <c r="D220" s="875" t="s">
        <v>851</v>
      </c>
      <c r="E220" s="876"/>
      <c r="F220" s="877"/>
      <c r="G220" s="877"/>
      <c r="H220" s="876"/>
      <c r="I220" s="876"/>
      <c r="J220" s="876"/>
      <c r="K220" s="876"/>
      <c r="L220" s="876"/>
      <c r="M220" s="876"/>
    </row>
    <row r="221" spans="1:13">
      <c r="A221" s="632"/>
      <c r="B221" s="628"/>
      <c r="C221" s="528" t="s">
        <v>158</v>
      </c>
      <c r="D221" s="629"/>
      <c r="E221" s="871"/>
      <c r="F221" s="872"/>
      <c r="G221" s="872"/>
      <c r="H221" s="878"/>
      <c r="I221" s="879"/>
      <c r="J221" s="878"/>
      <c r="K221" s="878"/>
      <c r="L221" s="878"/>
      <c r="M221" s="878"/>
    </row>
    <row r="222" spans="1:13">
      <c r="A222" s="632"/>
      <c r="B222" s="880"/>
      <c r="C222" s="383" t="s">
        <v>162</v>
      </c>
      <c r="D222" s="881" t="s">
        <v>851</v>
      </c>
      <c r="E222" s="876"/>
      <c r="F222" s="877"/>
      <c r="G222" s="876"/>
      <c r="H222" s="876"/>
      <c r="I222" s="876"/>
      <c r="J222" s="876"/>
      <c r="K222" s="876"/>
      <c r="L222" s="876"/>
      <c r="M222" s="871"/>
    </row>
    <row r="223" spans="1:13">
      <c r="A223" s="632"/>
      <c r="B223" s="628"/>
      <c r="C223" s="528" t="s">
        <v>158</v>
      </c>
      <c r="D223" s="629"/>
      <c r="E223" s="871"/>
      <c r="F223" s="872"/>
      <c r="G223" s="871"/>
      <c r="H223" s="871"/>
      <c r="I223" s="876"/>
      <c r="J223" s="871"/>
      <c r="K223" s="871"/>
      <c r="L223" s="871"/>
      <c r="M223" s="871"/>
    </row>
    <row r="224" spans="1:13">
      <c r="A224" s="632"/>
      <c r="B224" s="882"/>
      <c r="C224" s="541" t="s">
        <v>163</v>
      </c>
      <c r="D224" s="881" t="s">
        <v>851</v>
      </c>
      <c r="E224" s="876"/>
      <c r="F224" s="877"/>
      <c r="G224" s="877"/>
      <c r="H224" s="876"/>
      <c r="I224" s="876"/>
      <c r="J224" s="876"/>
      <c r="K224" s="876"/>
      <c r="L224" s="876"/>
      <c r="M224" s="876"/>
    </row>
    <row r="225" spans="1:13">
      <c r="A225" s="632"/>
      <c r="B225" s="628"/>
      <c r="C225" s="528" t="s">
        <v>164</v>
      </c>
      <c r="D225" s="872"/>
      <c r="E225" s="871"/>
      <c r="F225" s="872"/>
      <c r="G225" s="872"/>
      <c r="H225" s="871"/>
      <c r="I225" s="876"/>
      <c r="J225" s="871"/>
      <c r="K225" s="871"/>
      <c r="L225" s="871"/>
      <c r="M225" s="871"/>
    </row>
    <row r="228" spans="1:13">
      <c r="C228" s="884" t="e">
        <f>#REF!</f>
        <v>#REF!</v>
      </c>
    </row>
    <row r="229" spans="1:13">
      <c r="C229" s="884" t="e">
        <f>#REF!</f>
        <v>#REF!</v>
      </c>
      <c r="D229" s="1181" t="e">
        <f>#REF!</f>
        <v>#REF!</v>
      </c>
      <c r="E229" s="1181"/>
    </row>
  </sheetData>
  <sheetProtection password="CA9C" sheet="1" objects="1" scenarios="1"/>
  <protectedRanges>
    <protectedRange sqref="D216:M225" name="Range8"/>
    <protectedRange sqref="E22" name="Range1_1_1_2_2_1_1_2"/>
    <protectedRange sqref="E35 E47:E48 E44 E38:E39" name="Range1_1_1_2_1_2_1"/>
    <protectedRange sqref="E37" name="Range1_1_1_2_1_2_1_2"/>
    <protectedRange sqref="E46" name="Range1_1_1_2_1_2_1_3"/>
    <protectedRange sqref="G69" name="Range1_1_2_1"/>
    <protectedRange sqref="G75 G100 G112" name="Range1_1_3_1_2"/>
    <protectedRange sqref="G9:M225" name="Range7"/>
  </protectedRanges>
  <mergeCells count="14">
    <mergeCell ref="G6:H6"/>
    <mergeCell ref="I6:J6"/>
    <mergeCell ref="K6:L6"/>
    <mergeCell ref="D229:E229"/>
    <mergeCell ref="A1:M1"/>
    <mergeCell ref="A2:C2"/>
    <mergeCell ref="A3:M3"/>
    <mergeCell ref="A4:M4"/>
    <mergeCell ref="A6:A7"/>
    <mergeCell ref="B6:B7"/>
    <mergeCell ref="C6:C7"/>
    <mergeCell ref="D6:D7"/>
    <mergeCell ref="E6:E7"/>
    <mergeCell ref="F6:F7"/>
  </mergeCells>
  <conditionalFormatting sqref="G39">
    <cfRule type="cellIs" dxfId="35" priority="3" stopIfTrue="1" operator="equal">
      <formula>8223.307275</formula>
    </cfRule>
  </conditionalFormatting>
  <conditionalFormatting sqref="G48">
    <cfRule type="cellIs" dxfId="34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2" orientation="landscape" horizontalDpi="4294967292" r:id="rId1"/>
  <rowBreaks count="4" manualBreakCount="4">
    <brk id="49" max="12" man="1"/>
    <brk id="90" max="12" man="1"/>
    <brk id="135" max="12" man="1"/>
    <brk id="182" max="1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04"/>
  <sheetViews>
    <sheetView view="pageBreakPreview" topLeftCell="B79" zoomScaleNormal="100" zoomScaleSheetLayoutView="100" workbookViewId="0">
      <selection activeCell="D94" sqref="D94:J100"/>
    </sheetView>
  </sheetViews>
  <sheetFormatPr defaultColWidth="7" defaultRowHeight="12.75"/>
  <cols>
    <col min="1" max="1" width="3.85546875" style="931" customWidth="1"/>
    <col min="2" max="2" width="11.140625" style="932" customWidth="1"/>
    <col min="3" max="3" width="66.5703125" style="923" customWidth="1"/>
    <col min="4" max="4" width="12.5703125" style="932" customWidth="1"/>
    <col min="5" max="5" width="9.140625" style="932" customWidth="1"/>
    <col min="6" max="6" width="9.5703125" style="932" customWidth="1"/>
    <col min="7" max="7" width="8.5703125" style="932" customWidth="1"/>
    <col min="8" max="8" width="8.5703125" style="933" customWidth="1"/>
    <col min="9" max="9" width="8.5703125" style="932" customWidth="1"/>
    <col min="10" max="10" width="8.5703125" style="933" customWidth="1"/>
    <col min="11" max="11" width="8.5703125" style="932" customWidth="1"/>
    <col min="12" max="12" width="8.5703125" style="933" customWidth="1"/>
    <col min="13" max="13" width="11.140625" style="933" customWidth="1"/>
    <col min="14" max="120" width="9.140625" style="625" customWidth="1"/>
    <col min="121" max="121" width="2.5703125" style="625" customWidth="1"/>
    <col min="122" max="122" width="9.140625" style="625" customWidth="1"/>
    <col min="123" max="123" width="47.85546875" style="625" customWidth="1"/>
    <col min="124" max="124" width="6.7109375" style="625" customWidth="1"/>
    <col min="125" max="125" width="7.42578125" style="625" customWidth="1"/>
    <col min="126" max="126" width="7" style="625"/>
    <col min="127" max="127" width="8.5703125" style="625" customWidth="1"/>
    <col min="128" max="128" width="12" style="625" customWidth="1"/>
    <col min="129" max="129" width="4.7109375" style="625" customWidth="1"/>
    <col min="130" max="130" width="9.140625" style="625" customWidth="1"/>
    <col min="131" max="131" width="11.7109375" style="625" customWidth="1"/>
    <col min="132" max="243" width="7" style="625"/>
    <col min="244" max="244" width="3.85546875" style="625" customWidth="1"/>
    <col min="245" max="245" width="14" style="625" customWidth="1"/>
    <col min="246" max="246" width="66.5703125" style="625" customWidth="1"/>
    <col min="247" max="247" width="9.42578125" style="625" customWidth="1"/>
    <col min="248" max="248" width="9.140625" style="625" customWidth="1"/>
    <col min="249" max="249" width="11.140625" style="625" bestFit="1" customWidth="1"/>
    <col min="250" max="250" width="9.140625" style="625" customWidth="1"/>
    <col min="251" max="251" width="10.42578125" style="625" customWidth="1"/>
    <col min="252" max="252" width="9.140625" style="625" customWidth="1"/>
    <col min="253" max="253" width="10.7109375" style="625" customWidth="1"/>
    <col min="254" max="254" width="9.140625" style="625" customWidth="1"/>
    <col min="255" max="255" width="10.140625" style="625" customWidth="1"/>
    <col min="256" max="256" width="11.140625" style="625" customWidth="1"/>
    <col min="257" max="376" width="9.140625" style="625" customWidth="1"/>
    <col min="377" max="377" width="2.5703125" style="625" customWidth="1"/>
    <col min="378" max="378" width="9.140625" style="625" customWidth="1"/>
    <col min="379" max="379" width="47.85546875" style="625" customWidth="1"/>
    <col min="380" max="380" width="6.7109375" style="625" customWidth="1"/>
    <col min="381" max="381" width="7.42578125" style="625" customWidth="1"/>
    <col min="382" max="382" width="7" style="625"/>
    <col min="383" max="383" width="8.5703125" style="625" customWidth="1"/>
    <col min="384" max="384" width="12" style="625" customWidth="1"/>
    <col min="385" max="385" width="4.7109375" style="625" customWidth="1"/>
    <col min="386" max="386" width="9.140625" style="625" customWidth="1"/>
    <col min="387" max="387" width="11.7109375" style="625" customWidth="1"/>
    <col min="388" max="499" width="7" style="625"/>
    <col min="500" max="500" width="3.85546875" style="625" customWidth="1"/>
    <col min="501" max="501" width="14" style="625" customWidth="1"/>
    <col min="502" max="502" width="66.5703125" style="625" customWidth="1"/>
    <col min="503" max="503" width="9.42578125" style="625" customWidth="1"/>
    <col min="504" max="504" width="9.140625" style="625" customWidth="1"/>
    <col min="505" max="505" width="11.140625" style="625" bestFit="1" customWidth="1"/>
    <col min="506" max="506" width="9.140625" style="625" customWidth="1"/>
    <col min="507" max="507" width="10.42578125" style="625" customWidth="1"/>
    <col min="508" max="508" width="9.140625" style="625" customWidth="1"/>
    <col min="509" max="509" width="10.7109375" style="625" customWidth="1"/>
    <col min="510" max="510" width="9.140625" style="625" customWidth="1"/>
    <col min="511" max="511" width="10.140625" style="625" customWidth="1"/>
    <col min="512" max="512" width="11.140625" style="625" customWidth="1"/>
    <col min="513" max="632" width="9.140625" style="625" customWidth="1"/>
    <col min="633" max="633" width="2.5703125" style="625" customWidth="1"/>
    <col min="634" max="634" width="9.140625" style="625" customWidth="1"/>
    <col min="635" max="635" width="47.85546875" style="625" customWidth="1"/>
    <col min="636" max="636" width="6.7109375" style="625" customWidth="1"/>
    <col min="637" max="637" width="7.42578125" style="625" customWidth="1"/>
    <col min="638" max="638" width="7" style="625"/>
    <col min="639" max="639" width="8.5703125" style="625" customWidth="1"/>
    <col min="640" max="640" width="12" style="625" customWidth="1"/>
    <col min="641" max="641" width="4.7109375" style="625" customWidth="1"/>
    <col min="642" max="642" width="9.140625" style="625" customWidth="1"/>
    <col min="643" max="643" width="11.7109375" style="625" customWidth="1"/>
    <col min="644" max="755" width="7" style="625"/>
    <col min="756" max="756" width="3.85546875" style="625" customWidth="1"/>
    <col min="757" max="757" width="14" style="625" customWidth="1"/>
    <col min="758" max="758" width="66.5703125" style="625" customWidth="1"/>
    <col min="759" max="759" width="9.42578125" style="625" customWidth="1"/>
    <col min="760" max="760" width="9.140625" style="625" customWidth="1"/>
    <col min="761" max="761" width="11.140625" style="625" bestFit="1" customWidth="1"/>
    <col min="762" max="762" width="9.140625" style="625" customWidth="1"/>
    <col min="763" max="763" width="10.42578125" style="625" customWidth="1"/>
    <col min="764" max="764" width="9.140625" style="625" customWidth="1"/>
    <col min="765" max="765" width="10.7109375" style="625" customWidth="1"/>
    <col min="766" max="766" width="9.140625" style="625" customWidth="1"/>
    <col min="767" max="767" width="10.140625" style="625" customWidth="1"/>
    <col min="768" max="768" width="11.140625" style="625" customWidth="1"/>
    <col min="769" max="888" width="9.140625" style="625" customWidth="1"/>
    <col min="889" max="889" width="2.5703125" style="625" customWidth="1"/>
    <col min="890" max="890" width="9.140625" style="625" customWidth="1"/>
    <col min="891" max="891" width="47.85546875" style="625" customWidth="1"/>
    <col min="892" max="892" width="6.7109375" style="625" customWidth="1"/>
    <col min="893" max="893" width="7.42578125" style="625" customWidth="1"/>
    <col min="894" max="894" width="7" style="625"/>
    <col min="895" max="895" width="8.5703125" style="625" customWidth="1"/>
    <col min="896" max="896" width="12" style="625" customWidth="1"/>
    <col min="897" max="897" width="4.7109375" style="625" customWidth="1"/>
    <col min="898" max="898" width="9.140625" style="625" customWidth="1"/>
    <col min="899" max="899" width="11.7109375" style="625" customWidth="1"/>
    <col min="900" max="1011" width="7" style="625"/>
    <col min="1012" max="1012" width="3.85546875" style="625" customWidth="1"/>
    <col min="1013" max="1013" width="14" style="625" customWidth="1"/>
    <col min="1014" max="1014" width="66.5703125" style="625" customWidth="1"/>
    <col min="1015" max="1015" width="9.42578125" style="625" customWidth="1"/>
    <col min="1016" max="1016" width="9.140625" style="625" customWidth="1"/>
    <col min="1017" max="1017" width="11.140625" style="625" bestFit="1" customWidth="1"/>
    <col min="1018" max="1018" width="9.140625" style="625" customWidth="1"/>
    <col min="1019" max="1019" width="10.42578125" style="625" customWidth="1"/>
    <col min="1020" max="1020" width="9.140625" style="625" customWidth="1"/>
    <col min="1021" max="1021" width="10.7109375" style="625" customWidth="1"/>
    <col min="1022" max="1022" width="9.140625" style="625" customWidth="1"/>
    <col min="1023" max="1023" width="10.140625" style="625" customWidth="1"/>
    <col min="1024" max="1024" width="11.140625" style="625" customWidth="1"/>
    <col min="1025" max="1144" width="9.140625" style="625" customWidth="1"/>
    <col min="1145" max="1145" width="2.5703125" style="625" customWidth="1"/>
    <col min="1146" max="1146" width="9.140625" style="625" customWidth="1"/>
    <col min="1147" max="1147" width="47.85546875" style="625" customWidth="1"/>
    <col min="1148" max="1148" width="6.7109375" style="625" customWidth="1"/>
    <col min="1149" max="1149" width="7.42578125" style="625" customWidth="1"/>
    <col min="1150" max="1150" width="7" style="625"/>
    <col min="1151" max="1151" width="8.5703125" style="625" customWidth="1"/>
    <col min="1152" max="1152" width="12" style="625" customWidth="1"/>
    <col min="1153" max="1153" width="4.7109375" style="625" customWidth="1"/>
    <col min="1154" max="1154" width="9.140625" style="625" customWidth="1"/>
    <col min="1155" max="1155" width="11.7109375" style="625" customWidth="1"/>
    <col min="1156" max="1267" width="7" style="625"/>
    <col min="1268" max="1268" width="3.85546875" style="625" customWidth="1"/>
    <col min="1269" max="1269" width="14" style="625" customWidth="1"/>
    <col min="1270" max="1270" width="66.5703125" style="625" customWidth="1"/>
    <col min="1271" max="1271" width="9.42578125" style="625" customWidth="1"/>
    <col min="1272" max="1272" width="9.140625" style="625" customWidth="1"/>
    <col min="1273" max="1273" width="11.140625" style="625" bestFit="1" customWidth="1"/>
    <col min="1274" max="1274" width="9.140625" style="625" customWidth="1"/>
    <col min="1275" max="1275" width="10.42578125" style="625" customWidth="1"/>
    <col min="1276" max="1276" width="9.140625" style="625" customWidth="1"/>
    <col min="1277" max="1277" width="10.7109375" style="625" customWidth="1"/>
    <col min="1278" max="1278" width="9.140625" style="625" customWidth="1"/>
    <col min="1279" max="1279" width="10.140625" style="625" customWidth="1"/>
    <col min="1280" max="1280" width="11.140625" style="625" customWidth="1"/>
    <col min="1281" max="1400" width="9.140625" style="625" customWidth="1"/>
    <col min="1401" max="1401" width="2.5703125" style="625" customWidth="1"/>
    <col min="1402" max="1402" width="9.140625" style="625" customWidth="1"/>
    <col min="1403" max="1403" width="47.85546875" style="625" customWidth="1"/>
    <col min="1404" max="1404" width="6.7109375" style="625" customWidth="1"/>
    <col min="1405" max="1405" width="7.42578125" style="625" customWidth="1"/>
    <col min="1406" max="1406" width="7" style="625"/>
    <col min="1407" max="1407" width="8.5703125" style="625" customWidth="1"/>
    <col min="1408" max="1408" width="12" style="625" customWidth="1"/>
    <col min="1409" max="1409" width="4.7109375" style="625" customWidth="1"/>
    <col min="1410" max="1410" width="9.140625" style="625" customWidth="1"/>
    <col min="1411" max="1411" width="11.7109375" style="625" customWidth="1"/>
    <col min="1412" max="1523" width="7" style="625"/>
    <col min="1524" max="1524" width="3.85546875" style="625" customWidth="1"/>
    <col min="1525" max="1525" width="14" style="625" customWidth="1"/>
    <col min="1526" max="1526" width="66.5703125" style="625" customWidth="1"/>
    <col min="1527" max="1527" width="9.42578125" style="625" customWidth="1"/>
    <col min="1528" max="1528" width="9.140625" style="625" customWidth="1"/>
    <col min="1529" max="1529" width="11.140625" style="625" bestFit="1" customWidth="1"/>
    <col min="1530" max="1530" width="9.140625" style="625" customWidth="1"/>
    <col min="1531" max="1531" width="10.42578125" style="625" customWidth="1"/>
    <col min="1532" max="1532" width="9.140625" style="625" customWidth="1"/>
    <col min="1533" max="1533" width="10.7109375" style="625" customWidth="1"/>
    <col min="1534" max="1534" width="9.140625" style="625" customWidth="1"/>
    <col min="1535" max="1535" width="10.140625" style="625" customWidth="1"/>
    <col min="1536" max="1536" width="11.140625" style="625" customWidth="1"/>
    <col min="1537" max="1656" width="9.140625" style="625" customWidth="1"/>
    <col min="1657" max="1657" width="2.5703125" style="625" customWidth="1"/>
    <col min="1658" max="1658" width="9.140625" style="625" customWidth="1"/>
    <col min="1659" max="1659" width="47.85546875" style="625" customWidth="1"/>
    <col min="1660" max="1660" width="6.7109375" style="625" customWidth="1"/>
    <col min="1661" max="1661" width="7.42578125" style="625" customWidth="1"/>
    <col min="1662" max="1662" width="7" style="625"/>
    <col min="1663" max="1663" width="8.5703125" style="625" customWidth="1"/>
    <col min="1664" max="1664" width="12" style="625" customWidth="1"/>
    <col min="1665" max="1665" width="4.7109375" style="625" customWidth="1"/>
    <col min="1666" max="1666" width="9.140625" style="625" customWidth="1"/>
    <col min="1667" max="1667" width="11.7109375" style="625" customWidth="1"/>
    <col min="1668" max="1779" width="7" style="625"/>
    <col min="1780" max="1780" width="3.85546875" style="625" customWidth="1"/>
    <col min="1781" max="1781" width="14" style="625" customWidth="1"/>
    <col min="1782" max="1782" width="66.5703125" style="625" customWidth="1"/>
    <col min="1783" max="1783" width="9.42578125" style="625" customWidth="1"/>
    <col min="1784" max="1784" width="9.140625" style="625" customWidth="1"/>
    <col min="1785" max="1785" width="11.140625" style="625" bestFit="1" customWidth="1"/>
    <col min="1786" max="1786" width="9.140625" style="625" customWidth="1"/>
    <col min="1787" max="1787" width="10.42578125" style="625" customWidth="1"/>
    <col min="1788" max="1788" width="9.140625" style="625" customWidth="1"/>
    <col min="1789" max="1789" width="10.7109375" style="625" customWidth="1"/>
    <col min="1790" max="1790" width="9.140625" style="625" customWidth="1"/>
    <col min="1791" max="1791" width="10.140625" style="625" customWidth="1"/>
    <col min="1792" max="1792" width="11.140625" style="625" customWidth="1"/>
    <col min="1793" max="1912" width="9.140625" style="625" customWidth="1"/>
    <col min="1913" max="1913" width="2.5703125" style="625" customWidth="1"/>
    <col min="1914" max="1914" width="9.140625" style="625" customWidth="1"/>
    <col min="1915" max="1915" width="47.85546875" style="625" customWidth="1"/>
    <col min="1916" max="1916" width="6.7109375" style="625" customWidth="1"/>
    <col min="1917" max="1917" width="7.42578125" style="625" customWidth="1"/>
    <col min="1918" max="1918" width="7" style="625"/>
    <col min="1919" max="1919" width="8.5703125" style="625" customWidth="1"/>
    <col min="1920" max="1920" width="12" style="625" customWidth="1"/>
    <col min="1921" max="1921" width="4.7109375" style="625" customWidth="1"/>
    <col min="1922" max="1922" width="9.140625" style="625" customWidth="1"/>
    <col min="1923" max="1923" width="11.7109375" style="625" customWidth="1"/>
    <col min="1924" max="2035" width="7" style="625"/>
    <col min="2036" max="2036" width="3.85546875" style="625" customWidth="1"/>
    <col min="2037" max="2037" width="14" style="625" customWidth="1"/>
    <col min="2038" max="2038" width="66.5703125" style="625" customWidth="1"/>
    <col min="2039" max="2039" width="9.42578125" style="625" customWidth="1"/>
    <col min="2040" max="2040" width="9.140625" style="625" customWidth="1"/>
    <col min="2041" max="2041" width="11.140625" style="625" bestFit="1" customWidth="1"/>
    <col min="2042" max="2042" width="9.140625" style="625" customWidth="1"/>
    <col min="2043" max="2043" width="10.42578125" style="625" customWidth="1"/>
    <col min="2044" max="2044" width="9.140625" style="625" customWidth="1"/>
    <col min="2045" max="2045" width="10.7109375" style="625" customWidth="1"/>
    <col min="2046" max="2046" width="9.140625" style="625" customWidth="1"/>
    <col min="2047" max="2047" width="10.140625" style="625" customWidth="1"/>
    <col min="2048" max="2048" width="11.140625" style="625" customWidth="1"/>
    <col min="2049" max="2168" width="9.140625" style="625" customWidth="1"/>
    <col min="2169" max="2169" width="2.5703125" style="625" customWidth="1"/>
    <col min="2170" max="2170" width="9.140625" style="625" customWidth="1"/>
    <col min="2171" max="2171" width="47.85546875" style="625" customWidth="1"/>
    <col min="2172" max="2172" width="6.7109375" style="625" customWidth="1"/>
    <col min="2173" max="2173" width="7.42578125" style="625" customWidth="1"/>
    <col min="2174" max="2174" width="7" style="625"/>
    <col min="2175" max="2175" width="8.5703125" style="625" customWidth="1"/>
    <col min="2176" max="2176" width="12" style="625" customWidth="1"/>
    <col min="2177" max="2177" width="4.7109375" style="625" customWidth="1"/>
    <col min="2178" max="2178" width="9.140625" style="625" customWidth="1"/>
    <col min="2179" max="2179" width="11.7109375" style="625" customWidth="1"/>
    <col min="2180" max="2291" width="7" style="625"/>
    <col min="2292" max="2292" width="3.85546875" style="625" customWidth="1"/>
    <col min="2293" max="2293" width="14" style="625" customWidth="1"/>
    <col min="2294" max="2294" width="66.5703125" style="625" customWidth="1"/>
    <col min="2295" max="2295" width="9.42578125" style="625" customWidth="1"/>
    <col min="2296" max="2296" width="9.140625" style="625" customWidth="1"/>
    <col min="2297" max="2297" width="11.140625" style="625" bestFit="1" customWidth="1"/>
    <col min="2298" max="2298" width="9.140625" style="625" customWidth="1"/>
    <col min="2299" max="2299" width="10.42578125" style="625" customWidth="1"/>
    <col min="2300" max="2300" width="9.140625" style="625" customWidth="1"/>
    <col min="2301" max="2301" width="10.7109375" style="625" customWidth="1"/>
    <col min="2302" max="2302" width="9.140625" style="625" customWidth="1"/>
    <col min="2303" max="2303" width="10.140625" style="625" customWidth="1"/>
    <col min="2304" max="2304" width="11.140625" style="625" customWidth="1"/>
    <col min="2305" max="2424" width="9.140625" style="625" customWidth="1"/>
    <col min="2425" max="2425" width="2.5703125" style="625" customWidth="1"/>
    <col min="2426" max="2426" width="9.140625" style="625" customWidth="1"/>
    <col min="2427" max="2427" width="47.85546875" style="625" customWidth="1"/>
    <col min="2428" max="2428" width="6.7109375" style="625" customWidth="1"/>
    <col min="2429" max="2429" width="7.42578125" style="625" customWidth="1"/>
    <col min="2430" max="2430" width="7" style="625"/>
    <col min="2431" max="2431" width="8.5703125" style="625" customWidth="1"/>
    <col min="2432" max="2432" width="12" style="625" customWidth="1"/>
    <col min="2433" max="2433" width="4.7109375" style="625" customWidth="1"/>
    <col min="2434" max="2434" width="9.140625" style="625" customWidth="1"/>
    <col min="2435" max="2435" width="11.7109375" style="625" customWidth="1"/>
    <col min="2436" max="2547" width="7" style="625"/>
    <col min="2548" max="2548" width="3.85546875" style="625" customWidth="1"/>
    <col min="2549" max="2549" width="14" style="625" customWidth="1"/>
    <col min="2550" max="2550" width="66.5703125" style="625" customWidth="1"/>
    <col min="2551" max="2551" width="9.42578125" style="625" customWidth="1"/>
    <col min="2552" max="2552" width="9.140625" style="625" customWidth="1"/>
    <col min="2553" max="2553" width="11.140625" style="625" bestFit="1" customWidth="1"/>
    <col min="2554" max="2554" width="9.140625" style="625" customWidth="1"/>
    <col min="2555" max="2555" width="10.42578125" style="625" customWidth="1"/>
    <col min="2556" max="2556" width="9.140625" style="625" customWidth="1"/>
    <col min="2557" max="2557" width="10.7109375" style="625" customWidth="1"/>
    <col min="2558" max="2558" width="9.140625" style="625" customWidth="1"/>
    <col min="2559" max="2559" width="10.140625" style="625" customWidth="1"/>
    <col min="2560" max="2560" width="11.140625" style="625" customWidth="1"/>
    <col min="2561" max="2680" width="9.140625" style="625" customWidth="1"/>
    <col min="2681" max="2681" width="2.5703125" style="625" customWidth="1"/>
    <col min="2682" max="2682" width="9.140625" style="625" customWidth="1"/>
    <col min="2683" max="2683" width="47.85546875" style="625" customWidth="1"/>
    <col min="2684" max="2684" width="6.7109375" style="625" customWidth="1"/>
    <col min="2685" max="2685" width="7.42578125" style="625" customWidth="1"/>
    <col min="2686" max="2686" width="7" style="625"/>
    <col min="2687" max="2687" width="8.5703125" style="625" customWidth="1"/>
    <col min="2688" max="2688" width="12" style="625" customWidth="1"/>
    <col min="2689" max="2689" width="4.7109375" style="625" customWidth="1"/>
    <col min="2690" max="2690" width="9.140625" style="625" customWidth="1"/>
    <col min="2691" max="2691" width="11.7109375" style="625" customWidth="1"/>
    <col min="2692" max="2803" width="7" style="625"/>
    <col min="2804" max="2804" width="3.85546875" style="625" customWidth="1"/>
    <col min="2805" max="2805" width="14" style="625" customWidth="1"/>
    <col min="2806" max="2806" width="66.5703125" style="625" customWidth="1"/>
    <col min="2807" max="2807" width="9.42578125" style="625" customWidth="1"/>
    <col min="2808" max="2808" width="9.140625" style="625" customWidth="1"/>
    <col min="2809" max="2809" width="11.140625" style="625" bestFit="1" customWidth="1"/>
    <col min="2810" max="2810" width="9.140625" style="625" customWidth="1"/>
    <col min="2811" max="2811" width="10.42578125" style="625" customWidth="1"/>
    <col min="2812" max="2812" width="9.140625" style="625" customWidth="1"/>
    <col min="2813" max="2813" width="10.7109375" style="625" customWidth="1"/>
    <col min="2814" max="2814" width="9.140625" style="625" customWidth="1"/>
    <col min="2815" max="2815" width="10.140625" style="625" customWidth="1"/>
    <col min="2816" max="2816" width="11.140625" style="625" customWidth="1"/>
    <col min="2817" max="2936" width="9.140625" style="625" customWidth="1"/>
    <col min="2937" max="2937" width="2.5703125" style="625" customWidth="1"/>
    <col min="2938" max="2938" width="9.140625" style="625" customWidth="1"/>
    <col min="2939" max="2939" width="47.85546875" style="625" customWidth="1"/>
    <col min="2940" max="2940" width="6.7109375" style="625" customWidth="1"/>
    <col min="2941" max="2941" width="7.42578125" style="625" customWidth="1"/>
    <col min="2942" max="2942" width="7" style="625"/>
    <col min="2943" max="2943" width="8.5703125" style="625" customWidth="1"/>
    <col min="2944" max="2944" width="12" style="625" customWidth="1"/>
    <col min="2945" max="2945" width="4.7109375" style="625" customWidth="1"/>
    <col min="2946" max="2946" width="9.140625" style="625" customWidth="1"/>
    <col min="2947" max="2947" width="11.7109375" style="625" customWidth="1"/>
    <col min="2948" max="3059" width="7" style="625"/>
    <col min="3060" max="3060" width="3.85546875" style="625" customWidth="1"/>
    <col min="3061" max="3061" width="14" style="625" customWidth="1"/>
    <col min="3062" max="3062" width="66.5703125" style="625" customWidth="1"/>
    <col min="3063" max="3063" width="9.42578125" style="625" customWidth="1"/>
    <col min="3064" max="3064" width="9.140625" style="625" customWidth="1"/>
    <col min="3065" max="3065" width="11.140625" style="625" bestFit="1" customWidth="1"/>
    <col min="3066" max="3066" width="9.140625" style="625" customWidth="1"/>
    <col min="3067" max="3067" width="10.42578125" style="625" customWidth="1"/>
    <col min="3068" max="3068" width="9.140625" style="625" customWidth="1"/>
    <col min="3069" max="3069" width="10.7109375" style="625" customWidth="1"/>
    <col min="3070" max="3070" width="9.140625" style="625" customWidth="1"/>
    <col min="3071" max="3071" width="10.140625" style="625" customWidth="1"/>
    <col min="3072" max="3072" width="11.140625" style="625" customWidth="1"/>
    <col min="3073" max="3192" width="9.140625" style="625" customWidth="1"/>
    <col min="3193" max="3193" width="2.5703125" style="625" customWidth="1"/>
    <col min="3194" max="3194" width="9.140625" style="625" customWidth="1"/>
    <col min="3195" max="3195" width="47.85546875" style="625" customWidth="1"/>
    <col min="3196" max="3196" width="6.7109375" style="625" customWidth="1"/>
    <col min="3197" max="3197" width="7.42578125" style="625" customWidth="1"/>
    <col min="3198" max="3198" width="7" style="625"/>
    <col min="3199" max="3199" width="8.5703125" style="625" customWidth="1"/>
    <col min="3200" max="3200" width="12" style="625" customWidth="1"/>
    <col min="3201" max="3201" width="4.7109375" style="625" customWidth="1"/>
    <col min="3202" max="3202" width="9.140625" style="625" customWidth="1"/>
    <col min="3203" max="3203" width="11.7109375" style="625" customWidth="1"/>
    <col min="3204" max="3315" width="7" style="625"/>
    <col min="3316" max="3316" width="3.85546875" style="625" customWidth="1"/>
    <col min="3317" max="3317" width="14" style="625" customWidth="1"/>
    <col min="3318" max="3318" width="66.5703125" style="625" customWidth="1"/>
    <col min="3319" max="3319" width="9.42578125" style="625" customWidth="1"/>
    <col min="3320" max="3320" width="9.140625" style="625" customWidth="1"/>
    <col min="3321" max="3321" width="11.140625" style="625" bestFit="1" customWidth="1"/>
    <col min="3322" max="3322" width="9.140625" style="625" customWidth="1"/>
    <col min="3323" max="3323" width="10.42578125" style="625" customWidth="1"/>
    <col min="3324" max="3324" width="9.140625" style="625" customWidth="1"/>
    <col min="3325" max="3325" width="10.7109375" style="625" customWidth="1"/>
    <col min="3326" max="3326" width="9.140625" style="625" customWidth="1"/>
    <col min="3327" max="3327" width="10.140625" style="625" customWidth="1"/>
    <col min="3328" max="3328" width="11.140625" style="625" customWidth="1"/>
    <col min="3329" max="3448" width="9.140625" style="625" customWidth="1"/>
    <col min="3449" max="3449" width="2.5703125" style="625" customWidth="1"/>
    <col min="3450" max="3450" width="9.140625" style="625" customWidth="1"/>
    <col min="3451" max="3451" width="47.85546875" style="625" customWidth="1"/>
    <col min="3452" max="3452" width="6.7109375" style="625" customWidth="1"/>
    <col min="3453" max="3453" width="7.42578125" style="625" customWidth="1"/>
    <col min="3454" max="3454" width="7" style="625"/>
    <col min="3455" max="3455" width="8.5703125" style="625" customWidth="1"/>
    <col min="3456" max="3456" width="12" style="625" customWidth="1"/>
    <col min="3457" max="3457" width="4.7109375" style="625" customWidth="1"/>
    <col min="3458" max="3458" width="9.140625" style="625" customWidth="1"/>
    <col min="3459" max="3459" width="11.7109375" style="625" customWidth="1"/>
    <col min="3460" max="3571" width="7" style="625"/>
    <col min="3572" max="3572" width="3.85546875" style="625" customWidth="1"/>
    <col min="3573" max="3573" width="14" style="625" customWidth="1"/>
    <col min="3574" max="3574" width="66.5703125" style="625" customWidth="1"/>
    <col min="3575" max="3575" width="9.42578125" style="625" customWidth="1"/>
    <col min="3576" max="3576" width="9.140625" style="625" customWidth="1"/>
    <col min="3577" max="3577" width="11.140625" style="625" bestFit="1" customWidth="1"/>
    <col min="3578" max="3578" width="9.140625" style="625" customWidth="1"/>
    <col min="3579" max="3579" width="10.42578125" style="625" customWidth="1"/>
    <col min="3580" max="3580" width="9.140625" style="625" customWidth="1"/>
    <col min="3581" max="3581" width="10.7109375" style="625" customWidth="1"/>
    <col min="3582" max="3582" width="9.140625" style="625" customWidth="1"/>
    <col min="3583" max="3583" width="10.140625" style="625" customWidth="1"/>
    <col min="3584" max="3584" width="11.140625" style="625" customWidth="1"/>
    <col min="3585" max="3704" width="9.140625" style="625" customWidth="1"/>
    <col min="3705" max="3705" width="2.5703125" style="625" customWidth="1"/>
    <col min="3706" max="3706" width="9.140625" style="625" customWidth="1"/>
    <col min="3707" max="3707" width="47.85546875" style="625" customWidth="1"/>
    <col min="3708" max="3708" width="6.7109375" style="625" customWidth="1"/>
    <col min="3709" max="3709" width="7.42578125" style="625" customWidth="1"/>
    <col min="3710" max="3710" width="7" style="625"/>
    <col min="3711" max="3711" width="8.5703125" style="625" customWidth="1"/>
    <col min="3712" max="3712" width="12" style="625" customWidth="1"/>
    <col min="3713" max="3713" width="4.7109375" style="625" customWidth="1"/>
    <col min="3714" max="3714" width="9.140625" style="625" customWidth="1"/>
    <col min="3715" max="3715" width="11.7109375" style="625" customWidth="1"/>
    <col min="3716" max="3827" width="7" style="625"/>
    <col min="3828" max="3828" width="3.85546875" style="625" customWidth="1"/>
    <col min="3829" max="3829" width="14" style="625" customWidth="1"/>
    <col min="3830" max="3830" width="66.5703125" style="625" customWidth="1"/>
    <col min="3831" max="3831" width="9.42578125" style="625" customWidth="1"/>
    <col min="3832" max="3832" width="9.140625" style="625" customWidth="1"/>
    <col min="3833" max="3833" width="11.140625" style="625" bestFit="1" customWidth="1"/>
    <col min="3834" max="3834" width="9.140625" style="625" customWidth="1"/>
    <col min="3835" max="3835" width="10.42578125" style="625" customWidth="1"/>
    <col min="3836" max="3836" width="9.140625" style="625" customWidth="1"/>
    <col min="3837" max="3837" width="10.7109375" style="625" customWidth="1"/>
    <col min="3838" max="3838" width="9.140625" style="625" customWidth="1"/>
    <col min="3839" max="3839" width="10.140625" style="625" customWidth="1"/>
    <col min="3840" max="3840" width="11.140625" style="625" customWidth="1"/>
    <col min="3841" max="3960" width="9.140625" style="625" customWidth="1"/>
    <col min="3961" max="3961" width="2.5703125" style="625" customWidth="1"/>
    <col min="3962" max="3962" width="9.140625" style="625" customWidth="1"/>
    <col min="3963" max="3963" width="47.85546875" style="625" customWidth="1"/>
    <col min="3964" max="3964" width="6.7109375" style="625" customWidth="1"/>
    <col min="3965" max="3965" width="7.42578125" style="625" customWidth="1"/>
    <col min="3966" max="3966" width="7" style="625"/>
    <col min="3967" max="3967" width="8.5703125" style="625" customWidth="1"/>
    <col min="3968" max="3968" width="12" style="625" customWidth="1"/>
    <col min="3969" max="3969" width="4.7109375" style="625" customWidth="1"/>
    <col min="3970" max="3970" width="9.140625" style="625" customWidth="1"/>
    <col min="3971" max="3971" width="11.7109375" style="625" customWidth="1"/>
    <col min="3972" max="4083" width="7" style="625"/>
    <col min="4084" max="4084" width="3.85546875" style="625" customWidth="1"/>
    <col min="4085" max="4085" width="14" style="625" customWidth="1"/>
    <col min="4086" max="4086" width="66.5703125" style="625" customWidth="1"/>
    <col min="4087" max="4087" width="9.42578125" style="625" customWidth="1"/>
    <col min="4088" max="4088" width="9.140625" style="625" customWidth="1"/>
    <col min="4089" max="4089" width="11.140625" style="625" bestFit="1" customWidth="1"/>
    <col min="4090" max="4090" width="9.140625" style="625" customWidth="1"/>
    <col min="4091" max="4091" width="10.42578125" style="625" customWidth="1"/>
    <col min="4092" max="4092" width="9.140625" style="625" customWidth="1"/>
    <col min="4093" max="4093" width="10.7109375" style="625" customWidth="1"/>
    <col min="4094" max="4094" width="9.140625" style="625" customWidth="1"/>
    <col min="4095" max="4095" width="10.140625" style="625" customWidth="1"/>
    <col min="4096" max="4096" width="11.140625" style="625" customWidth="1"/>
    <col min="4097" max="4216" width="9.140625" style="625" customWidth="1"/>
    <col min="4217" max="4217" width="2.5703125" style="625" customWidth="1"/>
    <col min="4218" max="4218" width="9.140625" style="625" customWidth="1"/>
    <col min="4219" max="4219" width="47.85546875" style="625" customWidth="1"/>
    <col min="4220" max="4220" width="6.7109375" style="625" customWidth="1"/>
    <col min="4221" max="4221" width="7.42578125" style="625" customWidth="1"/>
    <col min="4222" max="4222" width="7" style="625"/>
    <col min="4223" max="4223" width="8.5703125" style="625" customWidth="1"/>
    <col min="4224" max="4224" width="12" style="625" customWidth="1"/>
    <col min="4225" max="4225" width="4.7109375" style="625" customWidth="1"/>
    <col min="4226" max="4226" width="9.140625" style="625" customWidth="1"/>
    <col min="4227" max="4227" width="11.7109375" style="625" customWidth="1"/>
    <col min="4228" max="4339" width="7" style="625"/>
    <col min="4340" max="4340" width="3.85546875" style="625" customWidth="1"/>
    <col min="4341" max="4341" width="14" style="625" customWidth="1"/>
    <col min="4342" max="4342" width="66.5703125" style="625" customWidth="1"/>
    <col min="4343" max="4343" width="9.42578125" style="625" customWidth="1"/>
    <col min="4344" max="4344" width="9.140625" style="625" customWidth="1"/>
    <col min="4345" max="4345" width="11.140625" style="625" bestFit="1" customWidth="1"/>
    <col min="4346" max="4346" width="9.140625" style="625" customWidth="1"/>
    <col min="4347" max="4347" width="10.42578125" style="625" customWidth="1"/>
    <col min="4348" max="4348" width="9.140625" style="625" customWidth="1"/>
    <col min="4349" max="4349" width="10.7109375" style="625" customWidth="1"/>
    <col min="4350" max="4350" width="9.140625" style="625" customWidth="1"/>
    <col min="4351" max="4351" width="10.140625" style="625" customWidth="1"/>
    <col min="4352" max="4352" width="11.140625" style="625" customWidth="1"/>
    <col min="4353" max="4472" width="9.140625" style="625" customWidth="1"/>
    <col min="4473" max="4473" width="2.5703125" style="625" customWidth="1"/>
    <col min="4474" max="4474" width="9.140625" style="625" customWidth="1"/>
    <col min="4475" max="4475" width="47.85546875" style="625" customWidth="1"/>
    <col min="4476" max="4476" width="6.7109375" style="625" customWidth="1"/>
    <col min="4477" max="4477" width="7.42578125" style="625" customWidth="1"/>
    <col min="4478" max="4478" width="7" style="625"/>
    <col min="4479" max="4479" width="8.5703125" style="625" customWidth="1"/>
    <col min="4480" max="4480" width="12" style="625" customWidth="1"/>
    <col min="4481" max="4481" width="4.7109375" style="625" customWidth="1"/>
    <col min="4482" max="4482" width="9.140625" style="625" customWidth="1"/>
    <col min="4483" max="4483" width="11.7109375" style="625" customWidth="1"/>
    <col min="4484" max="4595" width="7" style="625"/>
    <col min="4596" max="4596" width="3.85546875" style="625" customWidth="1"/>
    <col min="4597" max="4597" width="14" style="625" customWidth="1"/>
    <col min="4598" max="4598" width="66.5703125" style="625" customWidth="1"/>
    <col min="4599" max="4599" width="9.42578125" style="625" customWidth="1"/>
    <col min="4600" max="4600" width="9.140625" style="625" customWidth="1"/>
    <col min="4601" max="4601" width="11.140625" style="625" bestFit="1" customWidth="1"/>
    <col min="4602" max="4602" width="9.140625" style="625" customWidth="1"/>
    <col min="4603" max="4603" width="10.42578125" style="625" customWidth="1"/>
    <col min="4604" max="4604" width="9.140625" style="625" customWidth="1"/>
    <col min="4605" max="4605" width="10.7109375" style="625" customWidth="1"/>
    <col min="4606" max="4606" width="9.140625" style="625" customWidth="1"/>
    <col min="4607" max="4607" width="10.140625" style="625" customWidth="1"/>
    <col min="4608" max="4608" width="11.140625" style="625" customWidth="1"/>
    <col min="4609" max="4728" width="9.140625" style="625" customWidth="1"/>
    <col min="4729" max="4729" width="2.5703125" style="625" customWidth="1"/>
    <col min="4730" max="4730" width="9.140625" style="625" customWidth="1"/>
    <col min="4731" max="4731" width="47.85546875" style="625" customWidth="1"/>
    <col min="4732" max="4732" width="6.7109375" style="625" customWidth="1"/>
    <col min="4733" max="4733" width="7.42578125" style="625" customWidth="1"/>
    <col min="4734" max="4734" width="7" style="625"/>
    <col min="4735" max="4735" width="8.5703125" style="625" customWidth="1"/>
    <col min="4736" max="4736" width="12" style="625" customWidth="1"/>
    <col min="4737" max="4737" width="4.7109375" style="625" customWidth="1"/>
    <col min="4738" max="4738" width="9.140625" style="625" customWidth="1"/>
    <col min="4739" max="4739" width="11.7109375" style="625" customWidth="1"/>
    <col min="4740" max="4851" width="7" style="625"/>
    <col min="4852" max="4852" width="3.85546875" style="625" customWidth="1"/>
    <col min="4853" max="4853" width="14" style="625" customWidth="1"/>
    <col min="4854" max="4854" width="66.5703125" style="625" customWidth="1"/>
    <col min="4855" max="4855" width="9.42578125" style="625" customWidth="1"/>
    <col min="4856" max="4856" width="9.140625" style="625" customWidth="1"/>
    <col min="4857" max="4857" width="11.140625" style="625" bestFit="1" customWidth="1"/>
    <col min="4858" max="4858" width="9.140625" style="625" customWidth="1"/>
    <col min="4859" max="4859" width="10.42578125" style="625" customWidth="1"/>
    <col min="4860" max="4860" width="9.140625" style="625" customWidth="1"/>
    <col min="4861" max="4861" width="10.7109375" style="625" customWidth="1"/>
    <col min="4862" max="4862" width="9.140625" style="625" customWidth="1"/>
    <col min="4863" max="4863" width="10.140625" style="625" customWidth="1"/>
    <col min="4864" max="4864" width="11.140625" style="625" customWidth="1"/>
    <col min="4865" max="4984" width="9.140625" style="625" customWidth="1"/>
    <col min="4985" max="4985" width="2.5703125" style="625" customWidth="1"/>
    <col min="4986" max="4986" width="9.140625" style="625" customWidth="1"/>
    <col min="4987" max="4987" width="47.85546875" style="625" customWidth="1"/>
    <col min="4988" max="4988" width="6.7109375" style="625" customWidth="1"/>
    <col min="4989" max="4989" width="7.42578125" style="625" customWidth="1"/>
    <col min="4990" max="4990" width="7" style="625"/>
    <col min="4991" max="4991" width="8.5703125" style="625" customWidth="1"/>
    <col min="4992" max="4992" width="12" style="625" customWidth="1"/>
    <col min="4993" max="4993" width="4.7109375" style="625" customWidth="1"/>
    <col min="4994" max="4994" width="9.140625" style="625" customWidth="1"/>
    <col min="4995" max="4995" width="11.7109375" style="625" customWidth="1"/>
    <col min="4996" max="5107" width="7" style="625"/>
    <col min="5108" max="5108" width="3.85546875" style="625" customWidth="1"/>
    <col min="5109" max="5109" width="14" style="625" customWidth="1"/>
    <col min="5110" max="5110" width="66.5703125" style="625" customWidth="1"/>
    <col min="5111" max="5111" width="9.42578125" style="625" customWidth="1"/>
    <col min="5112" max="5112" width="9.140625" style="625" customWidth="1"/>
    <col min="5113" max="5113" width="11.140625" style="625" bestFit="1" customWidth="1"/>
    <col min="5114" max="5114" width="9.140625" style="625" customWidth="1"/>
    <col min="5115" max="5115" width="10.42578125" style="625" customWidth="1"/>
    <col min="5116" max="5116" width="9.140625" style="625" customWidth="1"/>
    <col min="5117" max="5117" width="10.7109375" style="625" customWidth="1"/>
    <col min="5118" max="5118" width="9.140625" style="625" customWidth="1"/>
    <col min="5119" max="5119" width="10.140625" style="625" customWidth="1"/>
    <col min="5120" max="5120" width="11.140625" style="625" customWidth="1"/>
    <col min="5121" max="5240" width="9.140625" style="625" customWidth="1"/>
    <col min="5241" max="5241" width="2.5703125" style="625" customWidth="1"/>
    <col min="5242" max="5242" width="9.140625" style="625" customWidth="1"/>
    <col min="5243" max="5243" width="47.85546875" style="625" customWidth="1"/>
    <col min="5244" max="5244" width="6.7109375" style="625" customWidth="1"/>
    <col min="5245" max="5245" width="7.42578125" style="625" customWidth="1"/>
    <col min="5246" max="5246" width="7" style="625"/>
    <col min="5247" max="5247" width="8.5703125" style="625" customWidth="1"/>
    <col min="5248" max="5248" width="12" style="625" customWidth="1"/>
    <col min="5249" max="5249" width="4.7109375" style="625" customWidth="1"/>
    <col min="5250" max="5250" width="9.140625" style="625" customWidth="1"/>
    <col min="5251" max="5251" width="11.7109375" style="625" customWidth="1"/>
    <col min="5252" max="5363" width="7" style="625"/>
    <col min="5364" max="5364" width="3.85546875" style="625" customWidth="1"/>
    <col min="5365" max="5365" width="14" style="625" customWidth="1"/>
    <col min="5366" max="5366" width="66.5703125" style="625" customWidth="1"/>
    <col min="5367" max="5367" width="9.42578125" style="625" customWidth="1"/>
    <col min="5368" max="5368" width="9.140625" style="625" customWidth="1"/>
    <col min="5369" max="5369" width="11.140625" style="625" bestFit="1" customWidth="1"/>
    <col min="5370" max="5370" width="9.140625" style="625" customWidth="1"/>
    <col min="5371" max="5371" width="10.42578125" style="625" customWidth="1"/>
    <col min="5372" max="5372" width="9.140625" style="625" customWidth="1"/>
    <col min="5373" max="5373" width="10.7109375" style="625" customWidth="1"/>
    <col min="5374" max="5374" width="9.140625" style="625" customWidth="1"/>
    <col min="5375" max="5375" width="10.140625" style="625" customWidth="1"/>
    <col min="5376" max="5376" width="11.140625" style="625" customWidth="1"/>
    <col min="5377" max="5496" width="9.140625" style="625" customWidth="1"/>
    <col min="5497" max="5497" width="2.5703125" style="625" customWidth="1"/>
    <col min="5498" max="5498" width="9.140625" style="625" customWidth="1"/>
    <col min="5499" max="5499" width="47.85546875" style="625" customWidth="1"/>
    <col min="5500" max="5500" width="6.7109375" style="625" customWidth="1"/>
    <col min="5501" max="5501" width="7.42578125" style="625" customWidth="1"/>
    <col min="5502" max="5502" width="7" style="625"/>
    <col min="5503" max="5503" width="8.5703125" style="625" customWidth="1"/>
    <col min="5504" max="5504" width="12" style="625" customWidth="1"/>
    <col min="5505" max="5505" width="4.7109375" style="625" customWidth="1"/>
    <col min="5506" max="5506" width="9.140625" style="625" customWidth="1"/>
    <col min="5507" max="5507" width="11.7109375" style="625" customWidth="1"/>
    <col min="5508" max="5619" width="7" style="625"/>
    <col min="5620" max="5620" width="3.85546875" style="625" customWidth="1"/>
    <col min="5621" max="5621" width="14" style="625" customWidth="1"/>
    <col min="5622" max="5622" width="66.5703125" style="625" customWidth="1"/>
    <col min="5623" max="5623" width="9.42578125" style="625" customWidth="1"/>
    <col min="5624" max="5624" width="9.140625" style="625" customWidth="1"/>
    <col min="5625" max="5625" width="11.140625" style="625" bestFit="1" customWidth="1"/>
    <col min="5626" max="5626" width="9.140625" style="625" customWidth="1"/>
    <col min="5627" max="5627" width="10.42578125" style="625" customWidth="1"/>
    <col min="5628" max="5628" width="9.140625" style="625" customWidth="1"/>
    <col min="5629" max="5629" width="10.7109375" style="625" customWidth="1"/>
    <col min="5630" max="5630" width="9.140625" style="625" customWidth="1"/>
    <col min="5631" max="5631" width="10.140625" style="625" customWidth="1"/>
    <col min="5632" max="5632" width="11.140625" style="625" customWidth="1"/>
    <col min="5633" max="5752" width="9.140625" style="625" customWidth="1"/>
    <col min="5753" max="5753" width="2.5703125" style="625" customWidth="1"/>
    <col min="5754" max="5754" width="9.140625" style="625" customWidth="1"/>
    <col min="5755" max="5755" width="47.85546875" style="625" customWidth="1"/>
    <col min="5756" max="5756" width="6.7109375" style="625" customWidth="1"/>
    <col min="5757" max="5757" width="7.42578125" style="625" customWidth="1"/>
    <col min="5758" max="5758" width="7" style="625"/>
    <col min="5759" max="5759" width="8.5703125" style="625" customWidth="1"/>
    <col min="5760" max="5760" width="12" style="625" customWidth="1"/>
    <col min="5761" max="5761" width="4.7109375" style="625" customWidth="1"/>
    <col min="5762" max="5762" width="9.140625" style="625" customWidth="1"/>
    <col min="5763" max="5763" width="11.7109375" style="625" customWidth="1"/>
    <col min="5764" max="5875" width="7" style="625"/>
    <col min="5876" max="5876" width="3.85546875" style="625" customWidth="1"/>
    <col min="5877" max="5877" width="14" style="625" customWidth="1"/>
    <col min="5878" max="5878" width="66.5703125" style="625" customWidth="1"/>
    <col min="5879" max="5879" width="9.42578125" style="625" customWidth="1"/>
    <col min="5880" max="5880" width="9.140625" style="625" customWidth="1"/>
    <col min="5881" max="5881" width="11.140625" style="625" bestFit="1" customWidth="1"/>
    <col min="5882" max="5882" width="9.140625" style="625" customWidth="1"/>
    <col min="5883" max="5883" width="10.42578125" style="625" customWidth="1"/>
    <col min="5884" max="5884" width="9.140625" style="625" customWidth="1"/>
    <col min="5885" max="5885" width="10.7109375" style="625" customWidth="1"/>
    <col min="5886" max="5886" width="9.140625" style="625" customWidth="1"/>
    <col min="5887" max="5887" width="10.140625" style="625" customWidth="1"/>
    <col min="5888" max="5888" width="11.140625" style="625" customWidth="1"/>
    <col min="5889" max="6008" width="9.140625" style="625" customWidth="1"/>
    <col min="6009" max="6009" width="2.5703125" style="625" customWidth="1"/>
    <col min="6010" max="6010" width="9.140625" style="625" customWidth="1"/>
    <col min="6011" max="6011" width="47.85546875" style="625" customWidth="1"/>
    <col min="6012" max="6012" width="6.7109375" style="625" customWidth="1"/>
    <col min="6013" max="6013" width="7.42578125" style="625" customWidth="1"/>
    <col min="6014" max="6014" width="7" style="625"/>
    <col min="6015" max="6015" width="8.5703125" style="625" customWidth="1"/>
    <col min="6016" max="6016" width="12" style="625" customWidth="1"/>
    <col min="6017" max="6017" width="4.7109375" style="625" customWidth="1"/>
    <col min="6018" max="6018" width="9.140625" style="625" customWidth="1"/>
    <col min="6019" max="6019" width="11.7109375" style="625" customWidth="1"/>
    <col min="6020" max="6131" width="7" style="625"/>
    <col min="6132" max="6132" width="3.85546875" style="625" customWidth="1"/>
    <col min="6133" max="6133" width="14" style="625" customWidth="1"/>
    <col min="6134" max="6134" width="66.5703125" style="625" customWidth="1"/>
    <col min="6135" max="6135" width="9.42578125" style="625" customWidth="1"/>
    <col min="6136" max="6136" width="9.140625" style="625" customWidth="1"/>
    <col min="6137" max="6137" width="11.140625" style="625" bestFit="1" customWidth="1"/>
    <col min="6138" max="6138" width="9.140625" style="625" customWidth="1"/>
    <col min="6139" max="6139" width="10.42578125" style="625" customWidth="1"/>
    <col min="6140" max="6140" width="9.140625" style="625" customWidth="1"/>
    <col min="6141" max="6141" width="10.7109375" style="625" customWidth="1"/>
    <col min="6142" max="6142" width="9.140625" style="625" customWidth="1"/>
    <col min="6143" max="6143" width="10.140625" style="625" customWidth="1"/>
    <col min="6144" max="6144" width="11.140625" style="625" customWidth="1"/>
    <col min="6145" max="6264" width="9.140625" style="625" customWidth="1"/>
    <col min="6265" max="6265" width="2.5703125" style="625" customWidth="1"/>
    <col min="6266" max="6266" width="9.140625" style="625" customWidth="1"/>
    <col min="6267" max="6267" width="47.85546875" style="625" customWidth="1"/>
    <col min="6268" max="6268" width="6.7109375" style="625" customWidth="1"/>
    <col min="6269" max="6269" width="7.42578125" style="625" customWidth="1"/>
    <col min="6270" max="6270" width="7" style="625"/>
    <col min="6271" max="6271" width="8.5703125" style="625" customWidth="1"/>
    <col min="6272" max="6272" width="12" style="625" customWidth="1"/>
    <col min="6273" max="6273" width="4.7109375" style="625" customWidth="1"/>
    <col min="6274" max="6274" width="9.140625" style="625" customWidth="1"/>
    <col min="6275" max="6275" width="11.7109375" style="625" customWidth="1"/>
    <col min="6276" max="6387" width="7" style="625"/>
    <col min="6388" max="6388" width="3.85546875" style="625" customWidth="1"/>
    <col min="6389" max="6389" width="14" style="625" customWidth="1"/>
    <col min="6390" max="6390" width="66.5703125" style="625" customWidth="1"/>
    <col min="6391" max="6391" width="9.42578125" style="625" customWidth="1"/>
    <col min="6392" max="6392" width="9.140625" style="625" customWidth="1"/>
    <col min="6393" max="6393" width="11.140625" style="625" bestFit="1" customWidth="1"/>
    <col min="6394" max="6394" width="9.140625" style="625" customWidth="1"/>
    <col min="6395" max="6395" width="10.42578125" style="625" customWidth="1"/>
    <col min="6396" max="6396" width="9.140625" style="625" customWidth="1"/>
    <col min="6397" max="6397" width="10.7109375" style="625" customWidth="1"/>
    <col min="6398" max="6398" width="9.140625" style="625" customWidth="1"/>
    <col min="6399" max="6399" width="10.140625" style="625" customWidth="1"/>
    <col min="6400" max="6400" width="11.140625" style="625" customWidth="1"/>
    <col min="6401" max="6520" width="9.140625" style="625" customWidth="1"/>
    <col min="6521" max="6521" width="2.5703125" style="625" customWidth="1"/>
    <col min="6522" max="6522" width="9.140625" style="625" customWidth="1"/>
    <col min="6523" max="6523" width="47.85546875" style="625" customWidth="1"/>
    <col min="6524" max="6524" width="6.7109375" style="625" customWidth="1"/>
    <col min="6525" max="6525" width="7.42578125" style="625" customWidth="1"/>
    <col min="6526" max="6526" width="7" style="625"/>
    <col min="6527" max="6527" width="8.5703125" style="625" customWidth="1"/>
    <col min="6528" max="6528" width="12" style="625" customWidth="1"/>
    <col min="6529" max="6529" width="4.7109375" style="625" customWidth="1"/>
    <col min="6530" max="6530" width="9.140625" style="625" customWidth="1"/>
    <col min="6531" max="6531" width="11.7109375" style="625" customWidth="1"/>
    <col min="6532" max="6643" width="7" style="625"/>
    <col min="6644" max="6644" width="3.85546875" style="625" customWidth="1"/>
    <col min="6645" max="6645" width="14" style="625" customWidth="1"/>
    <col min="6646" max="6646" width="66.5703125" style="625" customWidth="1"/>
    <col min="6647" max="6647" width="9.42578125" style="625" customWidth="1"/>
    <col min="6648" max="6648" width="9.140625" style="625" customWidth="1"/>
    <col min="6649" max="6649" width="11.140625" style="625" bestFit="1" customWidth="1"/>
    <col min="6650" max="6650" width="9.140625" style="625" customWidth="1"/>
    <col min="6651" max="6651" width="10.42578125" style="625" customWidth="1"/>
    <col min="6652" max="6652" width="9.140625" style="625" customWidth="1"/>
    <col min="6653" max="6653" width="10.7109375" style="625" customWidth="1"/>
    <col min="6654" max="6654" width="9.140625" style="625" customWidth="1"/>
    <col min="6655" max="6655" width="10.140625" style="625" customWidth="1"/>
    <col min="6656" max="6656" width="11.140625" style="625" customWidth="1"/>
    <col min="6657" max="6776" width="9.140625" style="625" customWidth="1"/>
    <col min="6777" max="6777" width="2.5703125" style="625" customWidth="1"/>
    <col min="6778" max="6778" width="9.140625" style="625" customWidth="1"/>
    <col min="6779" max="6779" width="47.85546875" style="625" customWidth="1"/>
    <col min="6780" max="6780" width="6.7109375" style="625" customWidth="1"/>
    <col min="6781" max="6781" width="7.42578125" style="625" customWidth="1"/>
    <col min="6782" max="6782" width="7" style="625"/>
    <col min="6783" max="6783" width="8.5703125" style="625" customWidth="1"/>
    <col min="6784" max="6784" width="12" style="625" customWidth="1"/>
    <col min="6785" max="6785" width="4.7109375" style="625" customWidth="1"/>
    <col min="6786" max="6786" width="9.140625" style="625" customWidth="1"/>
    <col min="6787" max="6787" width="11.7109375" style="625" customWidth="1"/>
    <col min="6788" max="6899" width="7" style="625"/>
    <col min="6900" max="6900" width="3.85546875" style="625" customWidth="1"/>
    <col min="6901" max="6901" width="14" style="625" customWidth="1"/>
    <col min="6902" max="6902" width="66.5703125" style="625" customWidth="1"/>
    <col min="6903" max="6903" width="9.42578125" style="625" customWidth="1"/>
    <col min="6904" max="6904" width="9.140625" style="625" customWidth="1"/>
    <col min="6905" max="6905" width="11.140625" style="625" bestFit="1" customWidth="1"/>
    <col min="6906" max="6906" width="9.140625" style="625" customWidth="1"/>
    <col min="6907" max="6907" width="10.42578125" style="625" customWidth="1"/>
    <col min="6908" max="6908" width="9.140625" style="625" customWidth="1"/>
    <col min="6909" max="6909" width="10.7109375" style="625" customWidth="1"/>
    <col min="6910" max="6910" width="9.140625" style="625" customWidth="1"/>
    <col min="6911" max="6911" width="10.140625" style="625" customWidth="1"/>
    <col min="6912" max="6912" width="11.140625" style="625" customWidth="1"/>
    <col min="6913" max="7032" width="9.140625" style="625" customWidth="1"/>
    <col min="7033" max="7033" width="2.5703125" style="625" customWidth="1"/>
    <col min="7034" max="7034" width="9.140625" style="625" customWidth="1"/>
    <col min="7035" max="7035" width="47.85546875" style="625" customWidth="1"/>
    <col min="7036" max="7036" width="6.7109375" style="625" customWidth="1"/>
    <col min="7037" max="7037" width="7.42578125" style="625" customWidth="1"/>
    <col min="7038" max="7038" width="7" style="625"/>
    <col min="7039" max="7039" width="8.5703125" style="625" customWidth="1"/>
    <col min="7040" max="7040" width="12" style="625" customWidth="1"/>
    <col min="7041" max="7041" width="4.7109375" style="625" customWidth="1"/>
    <col min="7042" max="7042" width="9.140625" style="625" customWidth="1"/>
    <col min="7043" max="7043" width="11.7109375" style="625" customWidth="1"/>
    <col min="7044" max="7155" width="7" style="625"/>
    <col min="7156" max="7156" width="3.85546875" style="625" customWidth="1"/>
    <col min="7157" max="7157" width="14" style="625" customWidth="1"/>
    <col min="7158" max="7158" width="66.5703125" style="625" customWidth="1"/>
    <col min="7159" max="7159" width="9.42578125" style="625" customWidth="1"/>
    <col min="7160" max="7160" width="9.140625" style="625" customWidth="1"/>
    <col min="7161" max="7161" width="11.140625" style="625" bestFit="1" customWidth="1"/>
    <col min="7162" max="7162" width="9.140625" style="625" customWidth="1"/>
    <col min="7163" max="7163" width="10.42578125" style="625" customWidth="1"/>
    <col min="7164" max="7164" width="9.140625" style="625" customWidth="1"/>
    <col min="7165" max="7165" width="10.7109375" style="625" customWidth="1"/>
    <col min="7166" max="7166" width="9.140625" style="625" customWidth="1"/>
    <col min="7167" max="7167" width="10.140625" style="625" customWidth="1"/>
    <col min="7168" max="7168" width="11.140625" style="625" customWidth="1"/>
    <col min="7169" max="7288" width="9.140625" style="625" customWidth="1"/>
    <col min="7289" max="7289" width="2.5703125" style="625" customWidth="1"/>
    <col min="7290" max="7290" width="9.140625" style="625" customWidth="1"/>
    <col min="7291" max="7291" width="47.85546875" style="625" customWidth="1"/>
    <col min="7292" max="7292" width="6.7109375" style="625" customWidth="1"/>
    <col min="7293" max="7293" width="7.42578125" style="625" customWidth="1"/>
    <col min="7294" max="7294" width="7" style="625"/>
    <col min="7295" max="7295" width="8.5703125" style="625" customWidth="1"/>
    <col min="7296" max="7296" width="12" style="625" customWidth="1"/>
    <col min="7297" max="7297" width="4.7109375" style="625" customWidth="1"/>
    <col min="7298" max="7298" width="9.140625" style="625" customWidth="1"/>
    <col min="7299" max="7299" width="11.7109375" style="625" customWidth="1"/>
    <col min="7300" max="7411" width="7" style="625"/>
    <col min="7412" max="7412" width="3.85546875" style="625" customWidth="1"/>
    <col min="7413" max="7413" width="14" style="625" customWidth="1"/>
    <col min="7414" max="7414" width="66.5703125" style="625" customWidth="1"/>
    <col min="7415" max="7415" width="9.42578125" style="625" customWidth="1"/>
    <col min="7416" max="7416" width="9.140625" style="625" customWidth="1"/>
    <col min="7417" max="7417" width="11.140625" style="625" bestFit="1" customWidth="1"/>
    <col min="7418" max="7418" width="9.140625" style="625" customWidth="1"/>
    <col min="7419" max="7419" width="10.42578125" style="625" customWidth="1"/>
    <col min="7420" max="7420" width="9.140625" style="625" customWidth="1"/>
    <col min="7421" max="7421" width="10.7109375" style="625" customWidth="1"/>
    <col min="7422" max="7422" width="9.140625" style="625" customWidth="1"/>
    <col min="7423" max="7423" width="10.140625" style="625" customWidth="1"/>
    <col min="7424" max="7424" width="11.140625" style="625" customWidth="1"/>
    <col min="7425" max="7544" width="9.140625" style="625" customWidth="1"/>
    <col min="7545" max="7545" width="2.5703125" style="625" customWidth="1"/>
    <col min="7546" max="7546" width="9.140625" style="625" customWidth="1"/>
    <col min="7547" max="7547" width="47.85546875" style="625" customWidth="1"/>
    <col min="7548" max="7548" width="6.7109375" style="625" customWidth="1"/>
    <col min="7549" max="7549" width="7.42578125" style="625" customWidth="1"/>
    <col min="7550" max="7550" width="7" style="625"/>
    <col min="7551" max="7551" width="8.5703125" style="625" customWidth="1"/>
    <col min="7552" max="7552" width="12" style="625" customWidth="1"/>
    <col min="7553" max="7553" width="4.7109375" style="625" customWidth="1"/>
    <col min="7554" max="7554" width="9.140625" style="625" customWidth="1"/>
    <col min="7555" max="7555" width="11.7109375" style="625" customWidth="1"/>
    <col min="7556" max="7667" width="7" style="625"/>
    <col min="7668" max="7668" width="3.85546875" style="625" customWidth="1"/>
    <col min="7669" max="7669" width="14" style="625" customWidth="1"/>
    <col min="7670" max="7670" width="66.5703125" style="625" customWidth="1"/>
    <col min="7671" max="7671" width="9.42578125" style="625" customWidth="1"/>
    <col min="7672" max="7672" width="9.140625" style="625" customWidth="1"/>
    <col min="7673" max="7673" width="11.140625" style="625" bestFit="1" customWidth="1"/>
    <col min="7674" max="7674" width="9.140625" style="625" customWidth="1"/>
    <col min="7675" max="7675" width="10.42578125" style="625" customWidth="1"/>
    <col min="7676" max="7676" width="9.140625" style="625" customWidth="1"/>
    <col min="7677" max="7677" width="10.7109375" style="625" customWidth="1"/>
    <col min="7678" max="7678" width="9.140625" style="625" customWidth="1"/>
    <col min="7679" max="7679" width="10.140625" style="625" customWidth="1"/>
    <col min="7680" max="7680" width="11.140625" style="625" customWidth="1"/>
    <col min="7681" max="7800" width="9.140625" style="625" customWidth="1"/>
    <col min="7801" max="7801" width="2.5703125" style="625" customWidth="1"/>
    <col min="7802" max="7802" width="9.140625" style="625" customWidth="1"/>
    <col min="7803" max="7803" width="47.85546875" style="625" customWidth="1"/>
    <col min="7804" max="7804" width="6.7109375" style="625" customWidth="1"/>
    <col min="7805" max="7805" width="7.42578125" style="625" customWidth="1"/>
    <col min="7806" max="7806" width="7" style="625"/>
    <col min="7807" max="7807" width="8.5703125" style="625" customWidth="1"/>
    <col min="7808" max="7808" width="12" style="625" customWidth="1"/>
    <col min="7809" max="7809" width="4.7109375" style="625" customWidth="1"/>
    <col min="7810" max="7810" width="9.140625" style="625" customWidth="1"/>
    <col min="7811" max="7811" width="11.7109375" style="625" customWidth="1"/>
    <col min="7812" max="7923" width="7" style="625"/>
    <col min="7924" max="7924" width="3.85546875" style="625" customWidth="1"/>
    <col min="7925" max="7925" width="14" style="625" customWidth="1"/>
    <col min="7926" max="7926" width="66.5703125" style="625" customWidth="1"/>
    <col min="7927" max="7927" width="9.42578125" style="625" customWidth="1"/>
    <col min="7928" max="7928" width="9.140625" style="625" customWidth="1"/>
    <col min="7929" max="7929" width="11.140625" style="625" bestFit="1" customWidth="1"/>
    <col min="7930" max="7930" width="9.140625" style="625" customWidth="1"/>
    <col min="7931" max="7931" width="10.42578125" style="625" customWidth="1"/>
    <col min="7932" max="7932" width="9.140625" style="625" customWidth="1"/>
    <col min="7933" max="7933" width="10.7109375" style="625" customWidth="1"/>
    <col min="7934" max="7934" width="9.140625" style="625" customWidth="1"/>
    <col min="7935" max="7935" width="10.140625" style="625" customWidth="1"/>
    <col min="7936" max="7936" width="11.140625" style="625" customWidth="1"/>
    <col min="7937" max="8056" width="9.140625" style="625" customWidth="1"/>
    <col min="8057" max="8057" width="2.5703125" style="625" customWidth="1"/>
    <col min="8058" max="8058" width="9.140625" style="625" customWidth="1"/>
    <col min="8059" max="8059" width="47.85546875" style="625" customWidth="1"/>
    <col min="8060" max="8060" width="6.7109375" style="625" customWidth="1"/>
    <col min="8061" max="8061" width="7.42578125" style="625" customWidth="1"/>
    <col min="8062" max="8062" width="7" style="625"/>
    <col min="8063" max="8063" width="8.5703125" style="625" customWidth="1"/>
    <col min="8064" max="8064" width="12" style="625" customWidth="1"/>
    <col min="8065" max="8065" width="4.7109375" style="625" customWidth="1"/>
    <col min="8066" max="8066" width="9.140625" style="625" customWidth="1"/>
    <col min="8067" max="8067" width="11.7109375" style="625" customWidth="1"/>
    <col min="8068" max="8179" width="7" style="625"/>
    <col min="8180" max="8180" width="3.85546875" style="625" customWidth="1"/>
    <col min="8181" max="8181" width="14" style="625" customWidth="1"/>
    <col min="8182" max="8182" width="66.5703125" style="625" customWidth="1"/>
    <col min="8183" max="8183" width="9.42578125" style="625" customWidth="1"/>
    <col min="8184" max="8184" width="9.140625" style="625" customWidth="1"/>
    <col min="8185" max="8185" width="11.140625" style="625" bestFit="1" customWidth="1"/>
    <col min="8186" max="8186" width="9.140625" style="625" customWidth="1"/>
    <col min="8187" max="8187" width="10.42578125" style="625" customWidth="1"/>
    <col min="8188" max="8188" width="9.140625" style="625" customWidth="1"/>
    <col min="8189" max="8189" width="10.7109375" style="625" customWidth="1"/>
    <col min="8190" max="8190" width="9.140625" style="625" customWidth="1"/>
    <col min="8191" max="8191" width="10.140625" style="625" customWidth="1"/>
    <col min="8192" max="8192" width="11.140625" style="625" customWidth="1"/>
    <col min="8193" max="8312" width="9.140625" style="625" customWidth="1"/>
    <col min="8313" max="8313" width="2.5703125" style="625" customWidth="1"/>
    <col min="8314" max="8314" width="9.140625" style="625" customWidth="1"/>
    <col min="8315" max="8315" width="47.85546875" style="625" customWidth="1"/>
    <col min="8316" max="8316" width="6.7109375" style="625" customWidth="1"/>
    <col min="8317" max="8317" width="7.42578125" style="625" customWidth="1"/>
    <col min="8318" max="8318" width="7" style="625"/>
    <col min="8319" max="8319" width="8.5703125" style="625" customWidth="1"/>
    <col min="8320" max="8320" width="12" style="625" customWidth="1"/>
    <col min="8321" max="8321" width="4.7109375" style="625" customWidth="1"/>
    <col min="8322" max="8322" width="9.140625" style="625" customWidth="1"/>
    <col min="8323" max="8323" width="11.7109375" style="625" customWidth="1"/>
    <col min="8324" max="8435" width="7" style="625"/>
    <col min="8436" max="8436" width="3.85546875" style="625" customWidth="1"/>
    <col min="8437" max="8437" width="14" style="625" customWidth="1"/>
    <col min="8438" max="8438" width="66.5703125" style="625" customWidth="1"/>
    <col min="8439" max="8439" width="9.42578125" style="625" customWidth="1"/>
    <col min="8440" max="8440" width="9.140625" style="625" customWidth="1"/>
    <col min="8441" max="8441" width="11.140625" style="625" bestFit="1" customWidth="1"/>
    <col min="8442" max="8442" width="9.140625" style="625" customWidth="1"/>
    <col min="8443" max="8443" width="10.42578125" style="625" customWidth="1"/>
    <col min="8444" max="8444" width="9.140625" style="625" customWidth="1"/>
    <col min="8445" max="8445" width="10.7109375" style="625" customWidth="1"/>
    <col min="8446" max="8446" width="9.140625" style="625" customWidth="1"/>
    <col min="8447" max="8447" width="10.140625" style="625" customWidth="1"/>
    <col min="8448" max="8448" width="11.140625" style="625" customWidth="1"/>
    <col min="8449" max="8568" width="9.140625" style="625" customWidth="1"/>
    <col min="8569" max="8569" width="2.5703125" style="625" customWidth="1"/>
    <col min="8570" max="8570" width="9.140625" style="625" customWidth="1"/>
    <col min="8571" max="8571" width="47.85546875" style="625" customWidth="1"/>
    <col min="8572" max="8572" width="6.7109375" style="625" customWidth="1"/>
    <col min="8573" max="8573" width="7.42578125" style="625" customWidth="1"/>
    <col min="8574" max="8574" width="7" style="625"/>
    <col min="8575" max="8575" width="8.5703125" style="625" customWidth="1"/>
    <col min="8576" max="8576" width="12" style="625" customWidth="1"/>
    <col min="8577" max="8577" width="4.7109375" style="625" customWidth="1"/>
    <col min="8578" max="8578" width="9.140625" style="625" customWidth="1"/>
    <col min="8579" max="8579" width="11.7109375" style="625" customWidth="1"/>
    <col min="8580" max="8691" width="7" style="625"/>
    <col min="8692" max="8692" width="3.85546875" style="625" customWidth="1"/>
    <col min="8693" max="8693" width="14" style="625" customWidth="1"/>
    <col min="8694" max="8694" width="66.5703125" style="625" customWidth="1"/>
    <col min="8695" max="8695" width="9.42578125" style="625" customWidth="1"/>
    <col min="8696" max="8696" width="9.140625" style="625" customWidth="1"/>
    <col min="8697" max="8697" width="11.140625" style="625" bestFit="1" customWidth="1"/>
    <col min="8698" max="8698" width="9.140625" style="625" customWidth="1"/>
    <col min="8699" max="8699" width="10.42578125" style="625" customWidth="1"/>
    <col min="8700" max="8700" width="9.140625" style="625" customWidth="1"/>
    <col min="8701" max="8701" width="10.7109375" style="625" customWidth="1"/>
    <col min="8702" max="8702" width="9.140625" style="625" customWidth="1"/>
    <col min="8703" max="8703" width="10.140625" style="625" customWidth="1"/>
    <col min="8704" max="8704" width="11.140625" style="625" customWidth="1"/>
    <col min="8705" max="8824" width="9.140625" style="625" customWidth="1"/>
    <col min="8825" max="8825" width="2.5703125" style="625" customWidth="1"/>
    <col min="8826" max="8826" width="9.140625" style="625" customWidth="1"/>
    <col min="8827" max="8827" width="47.85546875" style="625" customWidth="1"/>
    <col min="8828" max="8828" width="6.7109375" style="625" customWidth="1"/>
    <col min="8829" max="8829" width="7.42578125" style="625" customWidth="1"/>
    <col min="8830" max="8830" width="7" style="625"/>
    <col min="8831" max="8831" width="8.5703125" style="625" customWidth="1"/>
    <col min="8832" max="8832" width="12" style="625" customWidth="1"/>
    <col min="8833" max="8833" width="4.7109375" style="625" customWidth="1"/>
    <col min="8834" max="8834" width="9.140625" style="625" customWidth="1"/>
    <col min="8835" max="8835" width="11.7109375" style="625" customWidth="1"/>
    <col min="8836" max="8947" width="7" style="625"/>
    <col min="8948" max="8948" width="3.85546875" style="625" customWidth="1"/>
    <col min="8949" max="8949" width="14" style="625" customWidth="1"/>
    <col min="8950" max="8950" width="66.5703125" style="625" customWidth="1"/>
    <col min="8951" max="8951" width="9.42578125" style="625" customWidth="1"/>
    <col min="8952" max="8952" width="9.140625" style="625" customWidth="1"/>
    <col min="8953" max="8953" width="11.140625" style="625" bestFit="1" customWidth="1"/>
    <col min="8954" max="8954" width="9.140625" style="625" customWidth="1"/>
    <col min="8955" max="8955" width="10.42578125" style="625" customWidth="1"/>
    <col min="8956" max="8956" width="9.140625" style="625" customWidth="1"/>
    <col min="8957" max="8957" width="10.7109375" style="625" customWidth="1"/>
    <col min="8958" max="8958" width="9.140625" style="625" customWidth="1"/>
    <col min="8959" max="8959" width="10.140625" style="625" customWidth="1"/>
    <col min="8960" max="8960" width="11.140625" style="625" customWidth="1"/>
    <col min="8961" max="9080" width="9.140625" style="625" customWidth="1"/>
    <col min="9081" max="9081" width="2.5703125" style="625" customWidth="1"/>
    <col min="9082" max="9082" width="9.140625" style="625" customWidth="1"/>
    <col min="9083" max="9083" width="47.85546875" style="625" customWidth="1"/>
    <col min="9084" max="9084" width="6.7109375" style="625" customWidth="1"/>
    <col min="9085" max="9085" width="7.42578125" style="625" customWidth="1"/>
    <col min="9086" max="9086" width="7" style="625"/>
    <col min="9087" max="9087" width="8.5703125" style="625" customWidth="1"/>
    <col min="9088" max="9088" width="12" style="625" customWidth="1"/>
    <col min="9089" max="9089" width="4.7109375" style="625" customWidth="1"/>
    <col min="9090" max="9090" width="9.140625" style="625" customWidth="1"/>
    <col min="9091" max="9091" width="11.7109375" style="625" customWidth="1"/>
    <col min="9092" max="9203" width="7" style="625"/>
    <col min="9204" max="9204" width="3.85546875" style="625" customWidth="1"/>
    <col min="9205" max="9205" width="14" style="625" customWidth="1"/>
    <col min="9206" max="9206" width="66.5703125" style="625" customWidth="1"/>
    <col min="9207" max="9207" width="9.42578125" style="625" customWidth="1"/>
    <col min="9208" max="9208" width="9.140625" style="625" customWidth="1"/>
    <col min="9209" max="9209" width="11.140625" style="625" bestFit="1" customWidth="1"/>
    <col min="9210" max="9210" width="9.140625" style="625" customWidth="1"/>
    <col min="9211" max="9211" width="10.42578125" style="625" customWidth="1"/>
    <col min="9212" max="9212" width="9.140625" style="625" customWidth="1"/>
    <col min="9213" max="9213" width="10.7109375" style="625" customWidth="1"/>
    <col min="9214" max="9214" width="9.140625" style="625" customWidth="1"/>
    <col min="9215" max="9215" width="10.140625" style="625" customWidth="1"/>
    <col min="9216" max="9216" width="11.140625" style="625" customWidth="1"/>
    <col min="9217" max="9336" width="9.140625" style="625" customWidth="1"/>
    <col min="9337" max="9337" width="2.5703125" style="625" customWidth="1"/>
    <col min="9338" max="9338" width="9.140625" style="625" customWidth="1"/>
    <col min="9339" max="9339" width="47.85546875" style="625" customWidth="1"/>
    <col min="9340" max="9340" width="6.7109375" style="625" customWidth="1"/>
    <col min="9341" max="9341" width="7.42578125" style="625" customWidth="1"/>
    <col min="9342" max="9342" width="7" style="625"/>
    <col min="9343" max="9343" width="8.5703125" style="625" customWidth="1"/>
    <col min="9344" max="9344" width="12" style="625" customWidth="1"/>
    <col min="9345" max="9345" width="4.7109375" style="625" customWidth="1"/>
    <col min="9346" max="9346" width="9.140625" style="625" customWidth="1"/>
    <col min="9347" max="9347" width="11.7109375" style="625" customWidth="1"/>
    <col min="9348" max="9459" width="7" style="625"/>
    <col min="9460" max="9460" width="3.85546875" style="625" customWidth="1"/>
    <col min="9461" max="9461" width="14" style="625" customWidth="1"/>
    <col min="9462" max="9462" width="66.5703125" style="625" customWidth="1"/>
    <col min="9463" max="9463" width="9.42578125" style="625" customWidth="1"/>
    <col min="9464" max="9464" width="9.140625" style="625" customWidth="1"/>
    <col min="9465" max="9465" width="11.140625" style="625" bestFit="1" customWidth="1"/>
    <col min="9466" max="9466" width="9.140625" style="625" customWidth="1"/>
    <col min="9467" max="9467" width="10.42578125" style="625" customWidth="1"/>
    <col min="9468" max="9468" width="9.140625" style="625" customWidth="1"/>
    <col min="9469" max="9469" width="10.7109375" style="625" customWidth="1"/>
    <col min="9470" max="9470" width="9.140625" style="625" customWidth="1"/>
    <col min="9471" max="9471" width="10.140625" style="625" customWidth="1"/>
    <col min="9472" max="9472" width="11.140625" style="625" customWidth="1"/>
    <col min="9473" max="9592" width="9.140625" style="625" customWidth="1"/>
    <col min="9593" max="9593" width="2.5703125" style="625" customWidth="1"/>
    <col min="9594" max="9594" width="9.140625" style="625" customWidth="1"/>
    <col min="9595" max="9595" width="47.85546875" style="625" customWidth="1"/>
    <col min="9596" max="9596" width="6.7109375" style="625" customWidth="1"/>
    <col min="9597" max="9597" width="7.42578125" style="625" customWidth="1"/>
    <col min="9598" max="9598" width="7" style="625"/>
    <col min="9599" max="9599" width="8.5703125" style="625" customWidth="1"/>
    <col min="9600" max="9600" width="12" style="625" customWidth="1"/>
    <col min="9601" max="9601" width="4.7109375" style="625" customWidth="1"/>
    <col min="9602" max="9602" width="9.140625" style="625" customWidth="1"/>
    <col min="9603" max="9603" width="11.7109375" style="625" customWidth="1"/>
    <col min="9604" max="9715" width="7" style="625"/>
    <col min="9716" max="9716" width="3.85546875" style="625" customWidth="1"/>
    <col min="9717" max="9717" width="14" style="625" customWidth="1"/>
    <col min="9718" max="9718" width="66.5703125" style="625" customWidth="1"/>
    <col min="9719" max="9719" width="9.42578125" style="625" customWidth="1"/>
    <col min="9720" max="9720" width="9.140625" style="625" customWidth="1"/>
    <col min="9721" max="9721" width="11.140625" style="625" bestFit="1" customWidth="1"/>
    <col min="9722" max="9722" width="9.140625" style="625" customWidth="1"/>
    <col min="9723" max="9723" width="10.42578125" style="625" customWidth="1"/>
    <col min="9724" max="9724" width="9.140625" style="625" customWidth="1"/>
    <col min="9725" max="9725" width="10.7109375" style="625" customWidth="1"/>
    <col min="9726" max="9726" width="9.140625" style="625" customWidth="1"/>
    <col min="9727" max="9727" width="10.140625" style="625" customWidth="1"/>
    <col min="9728" max="9728" width="11.140625" style="625" customWidth="1"/>
    <col min="9729" max="9848" width="9.140625" style="625" customWidth="1"/>
    <col min="9849" max="9849" width="2.5703125" style="625" customWidth="1"/>
    <col min="9850" max="9850" width="9.140625" style="625" customWidth="1"/>
    <col min="9851" max="9851" width="47.85546875" style="625" customWidth="1"/>
    <col min="9852" max="9852" width="6.7109375" style="625" customWidth="1"/>
    <col min="9853" max="9853" width="7.42578125" style="625" customWidth="1"/>
    <col min="9854" max="9854" width="7" style="625"/>
    <col min="9855" max="9855" width="8.5703125" style="625" customWidth="1"/>
    <col min="9856" max="9856" width="12" style="625" customWidth="1"/>
    <col min="9857" max="9857" width="4.7109375" style="625" customWidth="1"/>
    <col min="9858" max="9858" width="9.140625" style="625" customWidth="1"/>
    <col min="9859" max="9859" width="11.7109375" style="625" customWidth="1"/>
    <col min="9860" max="9971" width="7" style="625"/>
    <col min="9972" max="9972" width="3.85546875" style="625" customWidth="1"/>
    <col min="9973" max="9973" width="14" style="625" customWidth="1"/>
    <col min="9974" max="9974" width="66.5703125" style="625" customWidth="1"/>
    <col min="9975" max="9975" width="9.42578125" style="625" customWidth="1"/>
    <col min="9976" max="9976" width="9.140625" style="625" customWidth="1"/>
    <col min="9977" max="9977" width="11.140625" style="625" bestFit="1" customWidth="1"/>
    <col min="9978" max="9978" width="9.140625" style="625" customWidth="1"/>
    <col min="9979" max="9979" width="10.42578125" style="625" customWidth="1"/>
    <col min="9980" max="9980" width="9.140625" style="625" customWidth="1"/>
    <col min="9981" max="9981" width="10.7109375" style="625" customWidth="1"/>
    <col min="9982" max="9982" width="9.140625" style="625" customWidth="1"/>
    <col min="9983" max="9983" width="10.140625" style="625" customWidth="1"/>
    <col min="9984" max="9984" width="11.140625" style="625" customWidth="1"/>
    <col min="9985" max="10104" width="9.140625" style="625" customWidth="1"/>
    <col min="10105" max="10105" width="2.5703125" style="625" customWidth="1"/>
    <col min="10106" max="10106" width="9.140625" style="625" customWidth="1"/>
    <col min="10107" max="10107" width="47.85546875" style="625" customWidth="1"/>
    <col min="10108" max="10108" width="6.7109375" style="625" customWidth="1"/>
    <col min="10109" max="10109" width="7.42578125" style="625" customWidth="1"/>
    <col min="10110" max="10110" width="7" style="625"/>
    <col min="10111" max="10111" width="8.5703125" style="625" customWidth="1"/>
    <col min="10112" max="10112" width="12" style="625" customWidth="1"/>
    <col min="10113" max="10113" width="4.7109375" style="625" customWidth="1"/>
    <col min="10114" max="10114" width="9.140625" style="625" customWidth="1"/>
    <col min="10115" max="10115" width="11.7109375" style="625" customWidth="1"/>
    <col min="10116" max="10227" width="7" style="625"/>
    <col min="10228" max="10228" width="3.85546875" style="625" customWidth="1"/>
    <col min="10229" max="10229" width="14" style="625" customWidth="1"/>
    <col min="10230" max="10230" width="66.5703125" style="625" customWidth="1"/>
    <col min="10231" max="10231" width="9.42578125" style="625" customWidth="1"/>
    <col min="10232" max="10232" width="9.140625" style="625" customWidth="1"/>
    <col min="10233" max="10233" width="11.140625" style="625" bestFit="1" customWidth="1"/>
    <col min="10234" max="10234" width="9.140625" style="625" customWidth="1"/>
    <col min="10235" max="10235" width="10.42578125" style="625" customWidth="1"/>
    <col min="10236" max="10236" width="9.140625" style="625" customWidth="1"/>
    <col min="10237" max="10237" width="10.7109375" style="625" customWidth="1"/>
    <col min="10238" max="10238" width="9.140625" style="625" customWidth="1"/>
    <col min="10239" max="10239" width="10.140625" style="625" customWidth="1"/>
    <col min="10240" max="10240" width="11.140625" style="625" customWidth="1"/>
    <col min="10241" max="10360" width="9.140625" style="625" customWidth="1"/>
    <col min="10361" max="10361" width="2.5703125" style="625" customWidth="1"/>
    <col min="10362" max="10362" width="9.140625" style="625" customWidth="1"/>
    <col min="10363" max="10363" width="47.85546875" style="625" customWidth="1"/>
    <col min="10364" max="10364" width="6.7109375" style="625" customWidth="1"/>
    <col min="10365" max="10365" width="7.42578125" style="625" customWidth="1"/>
    <col min="10366" max="10366" width="7" style="625"/>
    <col min="10367" max="10367" width="8.5703125" style="625" customWidth="1"/>
    <col min="10368" max="10368" width="12" style="625" customWidth="1"/>
    <col min="10369" max="10369" width="4.7109375" style="625" customWidth="1"/>
    <col min="10370" max="10370" width="9.140625" style="625" customWidth="1"/>
    <col min="10371" max="10371" width="11.7109375" style="625" customWidth="1"/>
    <col min="10372" max="10483" width="7" style="625"/>
    <col min="10484" max="10484" width="3.85546875" style="625" customWidth="1"/>
    <col min="10485" max="10485" width="14" style="625" customWidth="1"/>
    <col min="10486" max="10486" width="66.5703125" style="625" customWidth="1"/>
    <col min="10487" max="10487" width="9.42578125" style="625" customWidth="1"/>
    <col min="10488" max="10488" width="9.140625" style="625" customWidth="1"/>
    <col min="10489" max="10489" width="11.140625" style="625" bestFit="1" customWidth="1"/>
    <col min="10490" max="10490" width="9.140625" style="625" customWidth="1"/>
    <col min="10491" max="10491" width="10.42578125" style="625" customWidth="1"/>
    <col min="10492" max="10492" width="9.140625" style="625" customWidth="1"/>
    <col min="10493" max="10493" width="10.7109375" style="625" customWidth="1"/>
    <col min="10494" max="10494" width="9.140625" style="625" customWidth="1"/>
    <col min="10495" max="10495" width="10.140625" style="625" customWidth="1"/>
    <col min="10496" max="10496" width="11.140625" style="625" customWidth="1"/>
    <col min="10497" max="10616" width="9.140625" style="625" customWidth="1"/>
    <col min="10617" max="10617" width="2.5703125" style="625" customWidth="1"/>
    <col min="10618" max="10618" width="9.140625" style="625" customWidth="1"/>
    <col min="10619" max="10619" width="47.85546875" style="625" customWidth="1"/>
    <col min="10620" max="10620" width="6.7109375" style="625" customWidth="1"/>
    <col min="10621" max="10621" width="7.42578125" style="625" customWidth="1"/>
    <col min="10622" max="10622" width="7" style="625"/>
    <col min="10623" max="10623" width="8.5703125" style="625" customWidth="1"/>
    <col min="10624" max="10624" width="12" style="625" customWidth="1"/>
    <col min="10625" max="10625" width="4.7109375" style="625" customWidth="1"/>
    <col min="10626" max="10626" width="9.140625" style="625" customWidth="1"/>
    <col min="10627" max="10627" width="11.7109375" style="625" customWidth="1"/>
    <col min="10628" max="10739" width="7" style="625"/>
    <col min="10740" max="10740" width="3.85546875" style="625" customWidth="1"/>
    <col min="10741" max="10741" width="14" style="625" customWidth="1"/>
    <col min="10742" max="10742" width="66.5703125" style="625" customWidth="1"/>
    <col min="10743" max="10743" width="9.42578125" style="625" customWidth="1"/>
    <col min="10744" max="10744" width="9.140625" style="625" customWidth="1"/>
    <col min="10745" max="10745" width="11.140625" style="625" bestFit="1" customWidth="1"/>
    <col min="10746" max="10746" width="9.140625" style="625" customWidth="1"/>
    <col min="10747" max="10747" width="10.42578125" style="625" customWidth="1"/>
    <col min="10748" max="10748" width="9.140625" style="625" customWidth="1"/>
    <col min="10749" max="10749" width="10.7109375" style="625" customWidth="1"/>
    <col min="10750" max="10750" width="9.140625" style="625" customWidth="1"/>
    <col min="10751" max="10751" width="10.140625" style="625" customWidth="1"/>
    <col min="10752" max="10752" width="11.140625" style="625" customWidth="1"/>
    <col min="10753" max="10872" width="9.140625" style="625" customWidth="1"/>
    <col min="10873" max="10873" width="2.5703125" style="625" customWidth="1"/>
    <col min="10874" max="10874" width="9.140625" style="625" customWidth="1"/>
    <col min="10875" max="10875" width="47.85546875" style="625" customWidth="1"/>
    <col min="10876" max="10876" width="6.7109375" style="625" customWidth="1"/>
    <col min="10877" max="10877" width="7.42578125" style="625" customWidth="1"/>
    <col min="10878" max="10878" width="7" style="625"/>
    <col min="10879" max="10879" width="8.5703125" style="625" customWidth="1"/>
    <col min="10880" max="10880" width="12" style="625" customWidth="1"/>
    <col min="10881" max="10881" width="4.7109375" style="625" customWidth="1"/>
    <col min="10882" max="10882" width="9.140625" style="625" customWidth="1"/>
    <col min="10883" max="10883" width="11.7109375" style="625" customWidth="1"/>
    <col min="10884" max="10995" width="7" style="625"/>
    <col min="10996" max="10996" width="3.85546875" style="625" customWidth="1"/>
    <col min="10997" max="10997" width="14" style="625" customWidth="1"/>
    <col min="10998" max="10998" width="66.5703125" style="625" customWidth="1"/>
    <col min="10999" max="10999" width="9.42578125" style="625" customWidth="1"/>
    <col min="11000" max="11000" width="9.140625" style="625" customWidth="1"/>
    <col min="11001" max="11001" width="11.140625" style="625" bestFit="1" customWidth="1"/>
    <col min="11002" max="11002" width="9.140625" style="625" customWidth="1"/>
    <col min="11003" max="11003" width="10.42578125" style="625" customWidth="1"/>
    <col min="11004" max="11004" width="9.140625" style="625" customWidth="1"/>
    <col min="11005" max="11005" width="10.7109375" style="625" customWidth="1"/>
    <col min="11006" max="11006" width="9.140625" style="625" customWidth="1"/>
    <col min="11007" max="11007" width="10.140625" style="625" customWidth="1"/>
    <col min="11008" max="11008" width="11.140625" style="625" customWidth="1"/>
    <col min="11009" max="11128" width="9.140625" style="625" customWidth="1"/>
    <col min="11129" max="11129" width="2.5703125" style="625" customWidth="1"/>
    <col min="11130" max="11130" width="9.140625" style="625" customWidth="1"/>
    <col min="11131" max="11131" width="47.85546875" style="625" customWidth="1"/>
    <col min="11132" max="11132" width="6.7109375" style="625" customWidth="1"/>
    <col min="11133" max="11133" width="7.42578125" style="625" customWidth="1"/>
    <col min="11134" max="11134" width="7" style="625"/>
    <col min="11135" max="11135" width="8.5703125" style="625" customWidth="1"/>
    <col min="11136" max="11136" width="12" style="625" customWidth="1"/>
    <col min="11137" max="11137" width="4.7109375" style="625" customWidth="1"/>
    <col min="11138" max="11138" width="9.140625" style="625" customWidth="1"/>
    <col min="11139" max="11139" width="11.7109375" style="625" customWidth="1"/>
    <col min="11140" max="11251" width="7" style="625"/>
    <col min="11252" max="11252" width="3.85546875" style="625" customWidth="1"/>
    <col min="11253" max="11253" width="14" style="625" customWidth="1"/>
    <col min="11254" max="11254" width="66.5703125" style="625" customWidth="1"/>
    <col min="11255" max="11255" width="9.42578125" style="625" customWidth="1"/>
    <col min="11256" max="11256" width="9.140625" style="625" customWidth="1"/>
    <col min="11257" max="11257" width="11.140625" style="625" bestFit="1" customWidth="1"/>
    <col min="11258" max="11258" width="9.140625" style="625" customWidth="1"/>
    <col min="11259" max="11259" width="10.42578125" style="625" customWidth="1"/>
    <col min="11260" max="11260" width="9.140625" style="625" customWidth="1"/>
    <col min="11261" max="11261" width="10.7109375" style="625" customWidth="1"/>
    <col min="11262" max="11262" width="9.140625" style="625" customWidth="1"/>
    <col min="11263" max="11263" width="10.140625" style="625" customWidth="1"/>
    <col min="11264" max="11264" width="11.140625" style="625" customWidth="1"/>
    <col min="11265" max="11384" width="9.140625" style="625" customWidth="1"/>
    <col min="11385" max="11385" width="2.5703125" style="625" customWidth="1"/>
    <col min="11386" max="11386" width="9.140625" style="625" customWidth="1"/>
    <col min="11387" max="11387" width="47.85546875" style="625" customWidth="1"/>
    <col min="11388" max="11388" width="6.7109375" style="625" customWidth="1"/>
    <col min="11389" max="11389" width="7.42578125" style="625" customWidth="1"/>
    <col min="11390" max="11390" width="7" style="625"/>
    <col min="11391" max="11391" width="8.5703125" style="625" customWidth="1"/>
    <col min="11392" max="11392" width="12" style="625" customWidth="1"/>
    <col min="11393" max="11393" width="4.7109375" style="625" customWidth="1"/>
    <col min="11394" max="11394" width="9.140625" style="625" customWidth="1"/>
    <col min="11395" max="11395" width="11.7109375" style="625" customWidth="1"/>
    <col min="11396" max="11507" width="7" style="625"/>
    <col min="11508" max="11508" width="3.85546875" style="625" customWidth="1"/>
    <col min="11509" max="11509" width="14" style="625" customWidth="1"/>
    <col min="11510" max="11510" width="66.5703125" style="625" customWidth="1"/>
    <col min="11511" max="11511" width="9.42578125" style="625" customWidth="1"/>
    <col min="11512" max="11512" width="9.140625" style="625" customWidth="1"/>
    <col min="11513" max="11513" width="11.140625" style="625" bestFit="1" customWidth="1"/>
    <col min="11514" max="11514" width="9.140625" style="625" customWidth="1"/>
    <col min="11515" max="11515" width="10.42578125" style="625" customWidth="1"/>
    <col min="11516" max="11516" width="9.140625" style="625" customWidth="1"/>
    <col min="11517" max="11517" width="10.7109375" style="625" customWidth="1"/>
    <col min="11518" max="11518" width="9.140625" style="625" customWidth="1"/>
    <col min="11519" max="11519" width="10.140625" style="625" customWidth="1"/>
    <col min="11520" max="11520" width="11.140625" style="625" customWidth="1"/>
    <col min="11521" max="11640" width="9.140625" style="625" customWidth="1"/>
    <col min="11641" max="11641" width="2.5703125" style="625" customWidth="1"/>
    <col min="11642" max="11642" width="9.140625" style="625" customWidth="1"/>
    <col min="11643" max="11643" width="47.85546875" style="625" customWidth="1"/>
    <col min="11644" max="11644" width="6.7109375" style="625" customWidth="1"/>
    <col min="11645" max="11645" width="7.42578125" style="625" customWidth="1"/>
    <col min="11646" max="11646" width="7" style="625"/>
    <col min="11647" max="11647" width="8.5703125" style="625" customWidth="1"/>
    <col min="11648" max="11648" width="12" style="625" customWidth="1"/>
    <col min="11649" max="11649" width="4.7109375" style="625" customWidth="1"/>
    <col min="11650" max="11650" width="9.140625" style="625" customWidth="1"/>
    <col min="11651" max="11651" width="11.7109375" style="625" customWidth="1"/>
    <col min="11652" max="11763" width="7" style="625"/>
    <col min="11764" max="11764" width="3.85546875" style="625" customWidth="1"/>
    <col min="11765" max="11765" width="14" style="625" customWidth="1"/>
    <col min="11766" max="11766" width="66.5703125" style="625" customWidth="1"/>
    <col min="11767" max="11767" width="9.42578125" style="625" customWidth="1"/>
    <col min="11768" max="11768" width="9.140625" style="625" customWidth="1"/>
    <col min="11769" max="11769" width="11.140625" style="625" bestFit="1" customWidth="1"/>
    <col min="11770" max="11770" width="9.140625" style="625" customWidth="1"/>
    <col min="11771" max="11771" width="10.42578125" style="625" customWidth="1"/>
    <col min="11772" max="11772" width="9.140625" style="625" customWidth="1"/>
    <col min="11773" max="11773" width="10.7109375" style="625" customWidth="1"/>
    <col min="11774" max="11774" width="9.140625" style="625" customWidth="1"/>
    <col min="11775" max="11775" width="10.140625" style="625" customWidth="1"/>
    <col min="11776" max="11776" width="11.140625" style="625" customWidth="1"/>
    <col min="11777" max="11896" width="9.140625" style="625" customWidth="1"/>
    <col min="11897" max="11897" width="2.5703125" style="625" customWidth="1"/>
    <col min="11898" max="11898" width="9.140625" style="625" customWidth="1"/>
    <col min="11899" max="11899" width="47.85546875" style="625" customWidth="1"/>
    <col min="11900" max="11900" width="6.7109375" style="625" customWidth="1"/>
    <col min="11901" max="11901" width="7.42578125" style="625" customWidth="1"/>
    <col min="11902" max="11902" width="7" style="625"/>
    <col min="11903" max="11903" width="8.5703125" style="625" customWidth="1"/>
    <col min="11904" max="11904" width="12" style="625" customWidth="1"/>
    <col min="11905" max="11905" width="4.7109375" style="625" customWidth="1"/>
    <col min="11906" max="11906" width="9.140625" style="625" customWidth="1"/>
    <col min="11907" max="11907" width="11.7109375" style="625" customWidth="1"/>
    <col min="11908" max="12019" width="7" style="625"/>
    <col min="12020" max="12020" width="3.85546875" style="625" customWidth="1"/>
    <col min="12021" max="12021" width="14" style="625" customWidth="1"/>
    <col min="12022" max="12022" width="66.5703125" style="625" customWidth="1"/>
    <col min="12023" max="12023" width="9.42578125" style="625" customWidth="1"/>
    <col min="12024" max="12024" width="9.140625" style="625" customWidth="1"/>
    <col min="12025" max="12025" width="11.140625" style="625" bestFit="1" customWidth="1"/>
    <col min="12026" max="12026" width="9.140625" style="625" customWidth="1"/>
    <col min="12027" max="12027" width="10.42578125" style="625" customWidth="1"/>
    <col min="12028" max="12028" width="9.140625" style="625" customWidth="1"/>
    <col min="12029" max="12029" width="10.7109375" style="625" customWidth="1"/>
    <col min="12030" max="12030" width="9.140625" style="625" customWidth="1"/>
    <col min="12031" max="12031" width="10.140625" style="625" customWidth="1"/>
    <col min="12032" max="12032" width="11.140625" style="625" customWidth="1"/>
    <col min="12033" max="12152" width="9.140625" style="625" customWidth="1"/>
    <col min="12153" max="12153" width="2.5703125" style="625" customWidth="1"/>
    <col min="12154" max="12154" width="9.140625" style="625" customWidth="1"/>
    <col min="12155" max="12155" width="47.85546875" style="625" customWidth="1"/>
    <col min="12156" max="12156" width="6.7109375" style="625" customWidth="1"/>
    <col min="12157" max="12157" width="7.42578125" style="625" customWidth="1"/>
    <col min="12158" max="12158" width="7" style="625"/>
    <col min="12159" max="12159" width="8.5703125" style="625" customWidth="1"/>
    <col min="12160" max="12160" width="12" style="625" customWidth="1"/>
    <col min="12161" max="12161" width="4.7109375" style="625" customWidth="1"/>
    <col min="12162" max="12162" width="9.140625" style="625" customWidth="1"/>
    <col min="12163" max="12163" width="11.7109375" style="625" customWidth="1"/>
    <col min="12164" max="12275" width="7" style="625"/>
    <col min="12276" max="12276" width="3.85546875" style="625" customWidth="1"/>
    <col min="12277" max="12277" width="14" style="625" customWidth="1"/>
    <col min="12278" max="12278" width="66.5703125" style="625" customWidth="1"/>
    <col min="12279" max="12279" width="9.42578125" style="625" customWidth="1"/>
    <col min="12280" max="12280" width="9.140625" style="625" customWidth="1"/>
    <col min="12281" max="12281" width="11.140625" style="625" bestFit="1" customWidth="1"/>
    <col min="12282" max="12282" width="9.140625" style="625" customWidth="1"/>
    <col min="12283" max="12283" width="10.42578125" style="625" customWidth="1"/>
    <col min="12284" max="12284" width="9.140625" style="625" customWidth="1"/>
    <col min="12285" max="12285" width="10.7109375" style="625" customWidth="1"/>
    <col min="12286" max="12286" width="9.140625" style="625" customWidth="1"/>
    <col min="12287" max="12287" width="10.140625" style="625" customWidth="1"/>
    <col min="12288" max="12288" width="11.140625" style="625" customWidth="1"/>
    <col min="12289" max="12408" width="9.140625" style="625" customWidth="1"/>
    <col min="12409" max="12409" width="2.5703125" style="625" customWidth="1"/>
    <col min="12410" max="12410" width="9.140625" style="625" customWidth="1"/>
    <col min="12411" max="12411" width="47.85546875" style="625" customWidth="1"/>
    <col min="12412" max="12412" width="6.7109375" style="625" customWidth="1"/>
    <col min="12413" max="12413" width="7.42578125" style="625" customWidth="1"/>
    <col min="12414" max="12414" width="7" style="625"/>
    <col min="12415" max="12415" width="8.5703125" style="625" customWidth="1"/>
    <col min="12416" max="12416" width="12" style="625" customWidth="1"/>
    <col min="12417" max="12417" width="4.7109375" style="625" customWidth="1"/>
    <col min="12418" max="12418" width="9.140625" style="625" customWidth="1"/>
    <col min="12419" max="12419" width="11.7109375" style="625" customWidth="1"/>
    <col min="12420" max="12531" width="7" style="625"/>
    <col min="12532" max="12532" width="3.85546875" style="625" customWidth="1"/>
    <col min="12533" max="12533" width="14" style="625" customWidth="1"/>
    <col min="12534" max="12534" width="66.5703125" style="625" customWidth="1"/>
    <col min="12535" max="12535" width="9.42578125" style="625" customWidth="1"/>
    <col min="12536" max="12536" width="9.140625" style="625" customWidth="1"/>
    <col min="12537" max="12537" width="11.140625" style="625" bestFit="1" customWidth="1"/>
    <col min="12538" max="12538" width="9.140625" style="625" customWidth="1"/>
    <col min="12539" max="12539" width="10.42578125" style="625" customWidth="1"/>
    <col min="12540" max="12540" width="9.140625" style="625" customWidth="1"/>
    <col min="12541" max="12541" width="10.7109375" style="625" customWidth="1"/>
    <col min="12542" max="12542" width="9.140625" style="625" customWidth="1"/>
    <col min="12543" max="12543" width="10.140625" style="625" customWidth="1"/>
    <col min="12544" max="12544" width="11.140625" style="625" customWidth="1"/>
    <col min="12545" max="12664" width="9.140625" style="625" customWidth="1"/>
    <col min="12665" max="12665" width="2.5703125" style="625" customWidth="1"/>
    <col min="12666" max="12666" width="9.140625" style="625" customWidth="1"/>
    <col min="12667" max="12667" width="47.85546875" style="625" customWidth="1"/>
    <col min="12668" max="12668" width="6.7109375" style="625" customWidth="1"/>
    <col min="12669" max="12669" width="7.42578125" style="625" customWidth="1"/>
    <col min="12670" max="12670" width="7" style="625"/>
    <col min="12671" max="12671" width="8.5703125" style="625" customWidth="1"/>
    <col min="12672" max="12672" width="12" style="625" customWidth="1"/>
    <col min="12673" max="12673" width="4.7109375" style="625" customWidth="1"/>
    <col min="12674" max="12674" width="9.140625" style="625" customWidth="1"/>
    <col min="12675" max="12675" width="11.7109375" style="625" customWidth="1"/>
    <col min="12676" max="12787" width="7" style="625"/>
    <col min="12788" max="12788" width="3.85546875" style="625" customWidth="1"/>
    <col min="12789" max="12789" width="14" style="625" customWidth="1"/>
    <col min="12790" max="12790" width="66.5703125" style="625" customWidth="1"/>
    <col min="12791" max="12791" width="9.42578125" style="625" customWidth="1"/>
    <col min="12792" max="12792" width="9.140625" style="625" customWidth="1"/>
    <col min="12793" max="12793" width="11.140625" style="625" bestFit="1" customWidth="1"/>
    <col min="12794" max="12794" width="9.140625" style="625" customWidth="1"/>
    <col min="12795" max="12795" width="10.42578125" style="625" customWidth="1"/>
    <col min="12796" max="12796" width="9.140625" style="625" customWidth="1"/>
    <col min="12797" max="12797" width="10.7109375" style="625" customWidth="1"/>
    <col min="12798" max="12798" width="9.140625" style="625" customWidth="1"/>
    <col min="12799" max="12799" width="10.140625" style="625" customWidth="1"/>
    <col min="12800" max="12800" width="11.140625" style="625" customWidth="1"/>
    <col min="12801" max="12920" width="9.140625" style="625" customWidth="1"/>
    <col min="12921" max="12921" width="2.5703125" style="625" customWidth="1"/>
    <col min="12922" max="12922" width="9.140625" style="625" customWidth="1"/>
    <col min="12923" max="12923" width="47.85546875" style="625" customWidth="1"/>
    <col min="12924" max="12924" width="6.7109375" style="625" customWidth="1"/>
    <col min="12925" max="12925" width="7.42578125" style="625" customWidth="1"/>
    <col min="12926" max="12926" width="7" style="625"/>
    <col min="12927" max="12927" width="8.5703125" style="625" customWidth="1"/>
    <col min="12928" max="12928" width="12" style="625" customWidth="1"/>
    <col min="12929" max="12929" width="4.7109375" style="625" customWidth="1"/>
    <col min="12930" max="12930" width="9.140625" style="625" customWidth="1"/>
    <col min="12931" max="12931" width="11.7109375" style="625" customWidth="1"/>
    <col min="12932" max="13043" width="7" style="625"/>
    <col min="13044" max="13044" width="3.85546875" style="625" customWidth="1"/>
    <col min="13045" max="13045" width="14" style="625" customWidth="1"/>
    <col min="13046" max="13046" width="66.5703125" style="625" customWidth="1"/>
    <col min="13047" max="13047" width="9.42578125" style="625" customWidth="1"/>
    <col min="13048" max="13048" width="9.140625" style="625" customWidth="1"/>
    <col min="13049" max="13049" width="11.140625" style="625" bestFit="1" customWidth="1"/>
    <col min="13050" max="13050" width="9.140625" style="625" customWidth="1"/>
    <col min="13051" max="13051" width="10.42578125" style="625" customWidth="1"/>
    <col min="13052" max="13052" width="9.140625" style="625" customWidth="1"/>
    <col min="13053" max="13053" width="10.7109375" style="625" customWidth="1"/>
    <col min="13054" max="13054" width="9.140625" style="625" customWidth="1"/>
    <col min="13055" max="13055" width="10.140625" style="625" customWidth="1"/>
    <col min="13056" max="13056" width="11.140625" style="625" customWidth="1"/>
    <col min="13057" max="13176" width="9.140625" style="625" customWidth="1"/>
    <col min="13177" max="13177" width="2.5703125" style="625" customWidth="1"/>
    <col min="13178" max="13178" width="9.140625" style="625" customWidth="1"/>
    <col min="13179" max="13179" width="47.85546875" style="625" customWidth="1"/>
    <col min="13180" max="13180" width="6.7109375" style="625" customWidth="1"/>
    <col min="13181" max="13181" width="7.42578125" style="625" customWidth="1"/>
    <col min="13182" max="13182" width="7" style="625"/>
    <col min="13183" max="13183" width="8.5703125" style="625" customWidth="1"/>
    <col min="13184" max="13184" width="12" style="625" customWidth="1"/>
    <col min="13185" max="13185" width="4.7109375" style="625" customWidth="1"/>
    <col min="13186" max="13186" width="9.140625" style="625" customWidth="1"/>
    <col min="13187" max="13187" width="11.7109375" style="625" customWidth="1"/>
    <col min="13188" max="13299" width="7" style="625"/>
    <col min="13300" max="13300" width="3.85546875" style="625" customWidth="1"/>
    <col min="13301" max="13301" width="14" style="625" customWidth="1"/>
    <col min="13302" max="13302" width="66.5703125" style="625" customWidth="1"/>
    <col min="13303" max="13303" width="9.42578125" style="625" customWidth="1"/>
    <col min="13304" max="13304" width="9.140625" style="625" customWidth="1"/>
    <col min="13305" max="13305" width="11.140625" style="625" bestFit="1" customWidth="1"/>
    <col min="13306" max="13306" width="9.140625" style="625" customWidth="1"/>
    <col min="13307" max="13307" width="10.42578125" style="625" customWidth="1"/>
    <col min="13308" max="13308" width="9.140625" style="625" customWidth="1"/>
    <col min="13309" max="13309" width="10.7109375" style="625" customWidth="1"/>
    <col min="13310" max="13310" width="9.140625" style="625" customWidth="1"/>
    <col min="13311" max="13311" width="10.140625" style="625" customWidth="1"/>
    <col min="13312" max="13312" width="11.140625" style="625" customWidth="1"/>
    <col min="13313" max="13432" width="9.140625" style="625" customWidth="1"/>
    <col min="13433" max="13433" width="2.5703125" style="625" customWidth="1"/>
    <col min="13434" max="13434" width="9.140625" style="625" customWidth="1"/>
    <col min="13435" max="13435" width="47.85546875" style="625" customWidth="1"/>
    <col min="13436" max="13436" width="6.7109375" style="625" customWidth="1"/>
    <col min="13437" max="13437" width="7.42578125" style="625" customWidth="1"/>
    <col min="13438" max="13438" width="7" style="625"/>
    <col min="13439" max="13439" width="8.5703125" style="625" customWidth="1"/>
    <col min="13440" max="13440" width="12" style="625" customWidth="1"/>
    <col min="13441" max="13441" width="4.7109375" style="625" customWidth="1"/>
    <col min="13442" max="13442" width="9.140625" style="625" customWidth="1"/>
    <col min="13443" max="13443" width="11.7109375" style="625" customWidth="1"/>
    <col min="13444" max="13555" width="7" style="625"/>
    <col min="13556" max="13556" width="3.85546875" style="625" customWidth="1"/>
    <col min="13557" max="13557" width="14" style="625" customWidth="1"/>
    <col min="13558" max="13558" width="66.5703125" style="625" customWidth="1"/>
    <col min="13559" max="13559" width="9.42578125" style="625" customWidth="1"/>
    <col min="13560" max="13560" width="9.140625" style="625" customWidth="1"/>
    <col min="13561" max="13561" width="11.140625" style="625" bestFit="1" customWidth="1"/>
    <col min="13562" max="13562" width="9.140625" style="625" customWidth="1"/>
    <col min="13563" max="13563" width="10.42578125" style="625" customWidth="1"/>
    <col min="13564" max="13564" width="9.140625" style="625" customWidth="1"/>
    <col min="13565" max="13565" width="10.7109375" style="625" customWidth="1"/>
    <col min="13566" max="13566" width="9.140625" style="625" customWidth="1"/>
    <col min="13567" max="13567" width="10.140625" style="625" customWidth="1"/>
    <col min="13568" max="13568" width="11.140625" style="625" customWidth="1"/>
    <col min="13569" max="13688" width="9.140625" style="625" customWidth="1"/>
    <col min="13689" max="13689" width="2.5703125" style="625" customWidth="1"/>
    <col min="13690" max="13690" width="9.140625" style="625" customWidth="1"/>
    <col min="13691" max="13691" width="47.85546875" style="625" customWidth="1"/>
    <col min="13692" max="13692" width="6.7109375" style="625" customWidth="1"/>
    <col min="13693" max="13693" width="7.42578125" style="625" customWidth="1"/>
    <col min="13694" max="13694" width="7" style="625"/>
    <col min="13695" max="13695" width="8.5703125" style="625" customWidth="1"/>
    <col min="13696" max="13696" width="12" style="625" customWidth="1"/>
    <col min="13697" max="13697" width="4.7109375" style="625" customWidth="1"/>
    <col min="13698" max="13698" width="9.140625" style="625" customWidth="1"/>
    <col min="13699" max="13699" width="11.7109375" style="625" customWidth="1"/>
    <col min="13700" max="13811" width="7" style="625"/>
    <col min="13812" max="13812" width="3.85546875" style="625" customWidth="1"/>
    <col min="13813" max="13813" width="14" style="625" customWidth="1"/>
    <col min="13814" max="13814" width="66.5703125" style="625" customWidth="1"/>
    <col min="13815" max="13815" width="9.42578125" style="625" customWidth="1"/>
    <col min="13816" max="13816" width="9.140625" style="625" customWidth="1"/>
    <col min="13817" max="13817" width="11.140625" style="625" bestFit="1" customWidth="1"/>
    <col min="13818" max="13818" width="9.140625" style="625" customWidth="1"/>
    <col min="13819" max="13819" width="10.42578125" style="625" customWidth="1"/>
    <col min="13820" max="13820" width="9.140625" style="625" customWidth="1"/>
    <col min="13821" max="13821" width="10.7109375" style="625" customWidth="1"/>
    <col min="13822" max="13822" width="9.140625" style="625" customWidth="1"/>
    <col min="13823" max="13823" width="10.140625" style="625" customWidth="1"/>
    <col min="13824" max="13824" width="11.140625" style="625" customWidth="1"/>
    <col min="13825" max="13944" width="9.140625" style="625" customWidth="1"/>
    <col min="13945" max="13945" width="2.5703125" style="625" customWidth="1"/>
    <col min="13946" max="13946" width="9.140625" style="625" customWidth="1"/>
    <col min="13947" max="13947" width="47.85546875" style="625" customWidth="1"/>
    <col min="13948" max="13948" width="6.7109375" style="625" customWidth="1"/>
    <col min="13949" max="13949" width="7.42578125" style="625" customWidth="1"/>
    <col min="13950" max="13950" width="7" style="625"/>
    <col min="13951" max="13951" width="8.5703125" style="625" customWidth="1"/>
    <col min="13952" max="13952" width="12" style="625" customWidth="1"/>
    <col min="13953" max="13953" width="4.7109375" style="625" customWidth="1"/>
    <col min="13954" max="13954" width="9.140625" style="625" customWidth="1"/>
    <col min="13955" max="13955" width="11.7109375" style="625" customWidth="1"/>
    <col min="13956" max="14067" width="7" style="625"/>
    <col min="14068" max="14068" width="3.85546875" style="625" customWidth="1"/>
    <col min="14069" max="14069" width="14" style="625" customWidth="1"/>
    <col min="14070" max="14070" width="66.5703125" style="625" customWidth="1"/>
    <col min="14071" max="14071" width="9.42578125" style="625" customWidth="1"/>
    <col min="14072" max="14072" width="9.140625" style="625" customWidth="1"/>
    <col min="14073" max="14073" width="11.140625" style="625" bestFit="1" customWidth="1"/>
    <col min="14074" max="14074" width="9.140625" style="625" customWidth="1"/>
    <col min="14075" max="14075" width="10.42578125" style="625" customWidth="1"/>
    <col min="14076" max="14076" width="9.140625" style="625" customWidth="1"/>
    <col min="14077" max="14077" width="10.7109375" style="625" customWidth="1"/>
    <col min="14078" max="14078" width="9.140625" style="625" customWidth="1"/>
    <col min="14079" max="14079" width="10.140625" style="625" customWidth="1"/>
    <col min="14080" max="14080" width="11.140625" style="625" customWidth="1"/>
    <col min="14081" max="14200" width="9.140625" style="625" customWidth="1"/>
    <col min="14201" max="14201" width="2.5703125" style="625" customWidth="1"/>
    <col min="14202" max="14202" width="9.140625" style="625" customWidth="1"/>
    <col min="14203" max="14203" width="47.85546875" style="625" customWidth="1"/>
    <col min="14204" max="14204" width="6.7109375" style="625" customWidth="1"/>
    <col min="14205" max="14205" width="7.42578125" style="625" customWidth="1"/>
    <col min="14206" max="14206" width="7" style="625"/>
    <col min="14207" max="14207" width="8.5703125" style="625" customWidth="1"/>
    <col min="14208" max="14208" width="12" style="625" customWidth="1"/>
    <col min="14209" max="14209" width="4.7109375" style="625" customWidth="1"/>
    <col min="14210" max="14210" width="9.140625" style="625" customWidth="1"/>
    <col min="14211" max="14211" width="11.7109375" style="625" customWidth="1"/>
    <col min="14212" max="14323" width="7" style="625"/>
    <col min="14324" max="14324" width="3.85546875" style="625" customWidth="1"/>
    <col min="14325" max="14325" width="14" style="625" customWidth="1"/>
    <col min="14326" max="14326" width="66.5703125" style="625" customWidth="1"/>
    <col min="14327" max="14327" width="9.42578125" style="625" customWidth="1"/>
    <col min="14328" max="14328" width="9.140625" style="625" customWidth="1"/>
    <col min="14329" max="14329" width="11.140625" style="625" bestFit="1" customWidth="1"/>
    <col min="14330" max="14330" width="9.140625" style="625" customWidth="1"/>
    <col min="14331" max="14331" width="10.42578125" style="625" customWidth="1"/>
    <col min="14332" max="14332" width="9.140625" style="625" customWidth="1"/>
    <col min="14333" max="14333" width="10.7109375" style="625" customWidth="1"/>
    <col min="14334" max="14334" width="9.140625" style="625" customWidth="1"/>
    <col min="14335" max="14335" width="10.140625" style="625" customWidth="1"/>
    <col min="14336" max="14336" width="11.140625" style="625" customWidth="1"/>
    <col min="14337" max="14456" width="9.140625" style="625" customWidth="1"/>
    <col min="14457" max="14457" width="2.5703125" style="625" customWidth="1"/>
    <col min="14458" max="14458" width="9.140625" style="625" customWidth="1"/>
    <col min="14459" max="14459" width="47.85546875" style="625" customWidth="1"/>
    <col min="14460" max="14460" width="6.7109375" style="625" customWidth="1"/>
    <col min="14461" max="14461" width="7.42578125" style="625" customWidth="1"/>
    <col min="14462" max="14462" width="7" style="625"/>
    <col min="14463" max="14463" width="8.5703125" style="625" customWidth="1"/>
    <col min="14464" max="14464" width="12" style="625" customWidth="1"/>
    <col min="14465" max="14465" width="4.7109375" style="625" customWidth="1"/>
    <col min="14466" max="14466" width="9.140625" style="625" customWidth="1"/>
    <col min="14467" max="14467" width="11.7109375" style="625" customWidth="1"/>
    <col min="14468" max="14579" width="7" style="625"/>
    <col min="14580" max="14580" width="3.85546875" style="625" customWidth="1"/>
    <col min="14581" max="14581" width="14" style="625" customWidth="1"/>
    <col min="14582" max="14582" width="66.5703125" style="625" customWidth="1"/>
    <col min="14583" max="14583" width="9.42578125" style="625" customWidth="1"/>
    <col min="14584" max="14584" width="9.140625" style="625" customWidth="1"/>
    <col min="14585" max="14585" width="11.140625" style="625" bestFit="1" customWidth="1"/>
    <col min="14586" max="14586" width="9.140625" style="625" customWidth="1"/>
    <col min="14587" max="14587" width="10.42578125" style="625" customWidth="1"/>
    <col min="14588" max="14588" width="9.140625" style="625" customWidth="1"/>
    <col min="14589" max="14589" width="10.7109375" style="625" customWidth="1"/>
    <col min="14590" max="14590" width="9.140625" style="625" customWidth="1"/>
    <col min="14591" max="14591" width="10.140625" style="625" customWidth="1"/>
    <col min="14592" max="14592" width="11.140625" style="625" customWidth="1"/>
    <col min="14593" max="14712" width="9.140625" style="625" customWidth="1"/>
    <col min="14713" max="14713" width="2.5703125" style="625" customWidth="1"/>
    <col min="14714" max="14714" width="9.140625" style="625" customWidth="1"/>
    <col min="14715" max="14715" width="47.85546875" style="625" customWidth="1"/>
    <col min="14716" max="14716" width="6.7109375" style="625" customWidth="1"/>
    <col min="14717" max="14717" width="7.42578125" style="625" customWidth="1"/>
    <col min="14718" max="14718" width="7" style="625"/>
    <col min="14719" max="14719" width="8.5703125" style="625" customWidth="1"/>
    <col min="14720" max="14720" width="12" style="625" customWidth="1"/>
    <col min="14721" max="14721" width="4.7109375" style="625" customWidth="1"/>
    <col min="14722" max="14722" width="9.140625" style="625" customWidth="1"/>
    <col min="14723" max="14723" width="11.7109375" style="625" customWidth="1"/>
    <col min="14724" max="14835" width="7" style="625"/>
    <col min="14836" max="14836" width="3.85546875" style="625" customWidth="1"/>
    <col min="14837" max="14837" width="14" style="625" customWidth="1"/>
    <col min="14838" max="14838" width="66.5703125" style="625" customWidth="1"/>
    <col min="14839" max="14839" width="9.42578125" style="625" customWidth="1"/>
    <col min="14840" max="14840" width="9.140625" style="625" customWidth="1"/>
    <col min="14841" max="14841" width="11.140625" style="625" bestFit="1" customWidth="1"/>
    <col min="14842" max="14842" width="9.140625" style="625" customWidth="1"/>
    <col min="14843" max="14843" width="10.42578125" style="625" customWidth="1"/>
    <col min="14844" max="14844" width="9.140625" style="625" customWidth="1"/>
    <col min="14845" max="14845" width="10.7109375" style="625" customWidth="1"/>
    <col min="14846" max="14846" width="9.140625" style="625" customWidth="1"/>
    <col min="14847" max="14847" width="10.140625" style="625" customWidth="1"/>
    <col min="14848" max="14848" width="11.140625" style="625" customWidth="1"/>
    <col min="14849" max="14968" width="9.140625" style="625" customWidth="1"/>
    <col min="14969" max="14969" width="2.5703125" style="625" customWidth="1"/>
    <col min="14970" max="14970" width="9.140625" style="625" customWidth="1"/>
    <col min="14971" max="14971" width="47.85546875" style="625" customWidth="1"/>
    <col min="14972" max="14972" width="6.7109375" style="625" customWidth="1"/>
    <col min="14973" max="14973" width="7.42578125" style="625" customWidth="1"/>
    <col min="14974" max="14974" width="7" style="625"/>
    <col min="14975" max="14975" width="8.5703125" style="625" customWidth="1"/>
    <col min="14976" max="14976" width="12" style="625" customWidth="1"/>
    <col min="14977" max="14977" width="4.7109375" style="625" customWidth="1"/>
    <col min="14978" max="14978" width="9.140625" style="625" customWidth="1"/>
    <col min="14979" max="14979" width="11.7109375" style="625" customWidth="1"/>
    <col min="14980" max="15091" width="7" style="625"/>
    <col min="15092" max="15092" width="3.85546875" style="625" customWidth="1"/>
    <col min="15093" max="15093" width="14" style="625" customWidth="1"/>
    <col min="15094" max="15094" width="66.5703125" style="625" customWidth="1"/>
    <col min="15095" max="15095" width="9.42578125" style="625" customWidth="1"/>
    <col min="15096" max="15096" width="9.140625" style="625" customWidth="1"/>
    <col min="15097" max="15097" width="11.140625" style="625" bestFit="1" customWidth="1"/>
    <col min="15098" max="15098" width="9.140625" style="625" customWidth="1"/>
    <col min="15099" max="15099" width="10.42578125" style="625" customWidth="1"/>
    <col min="15100" max="15100" width="9.140625" style="625" customWidth="1"/>
    <col min="15101" max="15101" width="10.7109375" style="625" customWidth="1"/>
    <col min="15102" max="15102" width="9.140625" style="625" customWidth="1"/>
    <col min="15103" max="15103" width="10.140625" style="625" customWidth="1"/>
    <col min="15104" max="15104" width="11.140625" style="625" customWidth="1"/>
    <col min="15105" max="15224" width="9.140625" style="625" customWidth="1"/>
    <col min="15225" max="15225" width="2.5703125" style="625" customWidth="1"/>
    <col min="15226" max="15226" width="9.140625" style="625" customWidth="1"/>
    <col min="15227" max="15227" width="47.85546875" style="625" customWidth="1"/>
    <col min="15228" max="15228" width="6.7109375" style="625" customWidth="1"/>
    <col min="15229" max="15229" width="7.42578125" style="625" customWidth="1"/>
    <col min="15230" max="15230" width="7" style="625"/>
    <col min="15231" max="15231" width="8.5703125" style="625" customWidth="1"/>
    <col min="15232" max="15232" width="12" style="625" customWidth="1"/>
    <col min="15233" max="15233" width="4.7109375" style="625" customWidth="1"/>
    <col min="15234" max="15234" width="9.140625" style="625" customWidth="1"/>
    <col min="15235" max="15235" width="11.7109375" style="625" customWidth="1"/>
    <col min="15236" max="15347" width="7" style="625"/>
    <col min="15348" max="15348" width="3.85546875" style="625" customWidth="1"/>
    <col min="15349" max="15349" width="14" style="625" customWidth="1"/>
    <col min="15350" max="15350" width="66.5703125" style="625" customWidth="1"/>
    <col min="15351" max="15351" width="9.42578125" style="625" customWidth="1"/>
    <col min="15352" max="15352" width="9.140625" style="625" customWidth="1"/>
    <col min="15353" max="15353" width="11.140625" style="625" bestFit="1" customWidth="1"/>
    <col min="15354" max="15354" width="9.140625" style="625" customWidth="1"/>
    <col min="15355" max="15355" width="10.42578125" style="625" customWidth="1"/>
    <col min="15356" max="15356" width="9.140625" style="625" customWidth="1"/>
    <col min="15357" max="15357" width="10.7109375" style="625" customWidth="1"/>
    <col min="15358" max="15358" width="9.140625" style="625" customWidth="1"/>
    <col min="15359" max="15359" width="10.140625" style="625" customWidth="1"/>
    <col min="15360" max="15360" width="11.140625" style="625" customWidth="1"/>
    <col min="15361" max="15480" width="9.140625" style="625" customWidth="1"/>
    <col min="15481" max="15481" width="2.5703125" style="625" customWidth="1"/>
    <col min="15482" max="15482" width="9.140625" style="625" customWidth="1"/>
    <col min="15483" max="15483" width="47.85546875" style="625" customWidth="1"/>
    <col min="15484" max="15484" width="6.7109375" style="625" customWidth="1"/>
    <col min="15485" max="15485" width="7.42578125" style="625" customWidth="1"/>
    <col min="15486" max="15486" width="7" style="625"/>
    <col min="15487" max="15487" width="8.5703125" style="625" customWidth="1"/>
    <col min="15488" max="15488" width="12" style="625" customWidth="1"/>
    <col min="15489" max="15489" width="4.7109375" style="625" customWidth="1"/>
    <col min="15490" max="15490" width="9.140625" style="625" customWidth="1"/>
    <col min="15491" max="15491" width="11.7109375" style="625" customWidth="1"/>
    <col min="15492" max="15603" width="7" style="625"/>
    <col min="15604" max="15604" width="3.85546875" style="625" customWidth="1"/>
    <col min="15605" max="15605" width="14" style="625" customWidth="1"/>
    <col min="15606" max="15606" width="66.5703125" style="625" customWidth="1"/>
    <col min="15607" max="15607" width="9.42578125" style="625" customWidth="1"/>
    <col min="15608" max="15608" width="9.140625" style="625" customWidth="1"/>
    <col min="15609" max="15609" width="11.140625" style="625" bestFit="1" customWidth="1"/>
    <col min="15610" max="15610" width="9.140625" style="625" customWidth="1"/>
    <col min="15611" max="15611" width="10.42578125" style="625" customWidth="1"/>
    <col min="15612" max="15612" width="9.140625" style="625" customWidth="1"/>
    <col min="15613" max="15613" width="10.7109375" style="625" customWidth="1"/>
    <col min="15614" max="15614" width="9.140625" style="625" customWidth="1"/>
    <col min="15615" max="15615" width="10.140625" style="625" customWidth="1"/>
    <col min="15616" max="15616" width="11.140625" style="625" customWidth="1"/>
    <col min="15617" max="15736" width="9.140625" style="625" customWidth="1"/>
    <col min="15737" max="15737" width="2.5703125" style="625" customWidth="1"/>
    <col min="15738" max="15738" width="9.140625" style="625" customWidth="1"/>
    <col min="15739" max="15739" width="47.85546875" style="625" customWidth="1"/>
    <col min="15740" max="15740" width="6.7109375" style="625" customWidth="1"/>
    <col min="15741" max="15741" width="7.42578125" style="625" customWidth="1"/>
    <col min="15742" max="15742" width="7" style="625"/>
    <col min="15743" max="15743" width="8.5703125" style="625" customWidth="1"/>
    <col min="15744" max="15744" width="12" style="625" customWidth="1"/>
    <col min="15745" max="15745" width="4.7109375" style="625" customWidth="1"/>
    <col min="15746" max="15746" width="9.140625" style="625" customWidth="1"/>
    <col min="15747" max="15747" width="11.7109375" style="625" customWidth="1"/>
    <col min="15748" max="15859" width="7" style="625"/>
    <col min="15860" max="15860" width="3.85546875" style="625" customWidth="1"/>
    <col min="15861" max="15861" width="14" style="625" customWidth="1"/>
    <col min="15862" max="15862" width="66.5703125" style="625" customWidth="1"/>
    <col min="15863" max="15863" width="9.42578125" style="625" customWidth="1"/>
    <col min="15864" max="15864" width="9.140625" style="625" customWidth="1"/>
    <col min="15865" max="15865" width="11.140625" style="625" bestFit="1" customWidth="1"/>
    <col min="15866" max="15866" width="9.140625" style="625" customWidth="1"/>
    <col min="15867" max="15867" width="10.42578125" style="625" customWidth="1"/>
    <col min="15868" max="15868" width="9.140625" style="625" customWidth="1"/>
    <col min="15869" max="15869" width="10.7109375" style="625" customWidth="1"/>
    <col min="15870" max="15870" width="9.140625" style="625" customWidth="1"/>
    <col min="15871" max="15871" width="10.140625" style="625" customWidth="1"/>
    <col min="15872" max="15872" width="11.140625" style="625" customWidth="1"/>
    <col min="15873" max="15992" width="9.140625" style="625" customWidth="1"/>
    <col min="15993" max="15993" width="2.5703125" style="625" customWidth="1"/>
    <col min="15994" max="15994" width="9.140625" style="625" customWidth="1"/>
    <col min="15995" max="15995" width="47.85546875" style="625" customWidth="1"/>
    <col min="15996" max="15996" width="6.7109375" style="625" customWidth="1"/>
    <col min="15997" max="15997" width="7.42578125" style="625" customWidth="1"/>
    <col min="15998" max="15998" width="7" style="625"/>
    <col min="15999" max="15999" width="8.5703125" style="625" customWidth="1"/>
    <col min="16000" max="16000" width="12" style="625" customWidth="1"/>
    <col min="16001" max="16001" width="4.7109375" style="625" customWidth="1"/>
    <col min="16002" max="16002" width="9.140625" style="625" customWidth="1"/>
    <col min="16003" max="16003" width="11.7109375" style="625" customWidth="1"/>
    <col min="16004" max="16115" width="7" style="625"/>
    <col min="16116" max="16116" width="3.85546875" style="625" customWidth="1"/>
    <col min="16117" max="16117" width="14" style="625" customWidth="1"/>
    <col min="16118" max="16118" width="66.5703125" style="625" customWidth="1"/>
    <col min="16119" max="16119" width="9.42578125" style="625" customWidth="1"/>
    <col min="16120" max="16120" width="9.140625" style="625" customWidth="1"/>
    <col min="16121" max="16121" width="11.140625" style="625" bestFit="1" customWidth="1"/>
    <col min="16122" max="16122" width="9.140625" style="625" customWidth="1"/>
    <col min="16123" max="16123" width="10.42578125" style="625" customWidth="1"/>
    <col min="16124" max="16124" width="9.140625" style="625" customWidth="1"/>
    <col min="16125" max="16125" width="10.7109375" style="625" customWidth="1"/>
    <col min="16126" max="16126" width="9.140625" style="625" customWidth="1"/>
    <col min="16127" max="16127" width="10.140625" style="625" customWidth="1"/>
    <col min="16128" max="16128" width="11.140625" style="625" customWidth="1"/>
    <col min="16129" max="16248" width="9.140625" style="625" customWidth="1"/>
    <col min="16249" max="16249" width="2.5703125" style="625" customWidth="1"/>
    <col min="16250" max="16250" width="9.140625" style="625" customWidth="1"/>
    <col min="16251" max="16251" width="47.85546875" style="625" customWidth="1"/>
    <col min="16252" max="16252" width="6.7109375" style="625" customWidth="1"/>
    <col min="16253" max="16253" width="7.42578125" style="625" customWidth="1"/>
    <col min="16254" max="16254" width="7" style="625"/>
    <col min="16255" max="16255" width="8.5703125" style="625" customWidth="1"/>
    <col min="16256" max="16256" width="12" style="625" customWidth="1"/>
    <col min="16257" max="16257" width="4.7109375" style="625" customWidth="1"/>
    <col min="16258" max="16258" width="9.140625" style="625" customWidth="1"/>
    <col min="16259" max="16259" width="11.7109375" style="625" customWidth="1"/>
    <col min="16260" max="16384" width="7" style="625"/>
  </cols>
  <sheetData>
    <row r="1" spans="1:13" s="658" customFormat="1" ht="18">
      <c r="A1" s="1073" t="e">
        <f>#REF!</f>
        <v>#REF!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</row>
    <row r="2" spans="1:13" s="658" customFormat="1" ht="18">
      <c r="A2" s="1074" t="s">
        <v>7</v>
      </c>
      <c r="B2" s="1074"/>
      <c r="C2" s="1074"/>
      <c r="D2" s="208" t="str">
        <f>'B-4'!B11</f>
        <v>B-4.2</v>
      </c>
      <c r="E2" s="208"/>
      <c r="F2" s="208"/>
      <c r="G2" s="208"/>
      <c r="H2" s="208"/>
      <c r="I2" s="208"/>
      <c r="J2" s="208"/>
      <c r="K2" s="208"/>
      <c r="L2" s="208"/>
      <c r="M2" s="208"/>
    </row>
    <row r="3" spans="1:13" s="658" customFormat="1" ht="16.5">
      <c r="A3" s="1184" t="str">
        <f>'B-4'!C11</f>
        <v>საქლორატოროს ტექნოლოგია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</row>
    <row r="4" spans="1:13" s="658" customFormat="1" ht="15">
      <c r="A4" s="1076"/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</row>
    <row r="5" spans="1:13" s="658" customFormat="1" ht="13.5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</row>
    <row r="6" spans="1:13" s="658" customFormat="1" ht="13.5">
      <c r="A6" s="1178" t="s">
        <v>147</v>
      </c>
      <c r="B6" s="1178" t="s">
        <v>148</v>
      </c>
      <c r="C6" s="1178" t="s">
        <v>149</v>
      </c>
      <c r="D6" s="1178" t="s">
        <v>150</v>
      </c>
      <c r="E6" s="1178" t="s">
        <v>151</v>
      </c>
      <c r="F6" s="1178" t="s">
        <v>152</v>
      </c>
      <c r="G6" s="1179" t="s">
        <v>153</v>
      </c>
      <c r="H6" s="1179"/>
      <c r="I6" s="1179" t="s">
        <v>154</v>
      </c>
      <c r="J6" s="1179"/>
      <c r="K6" s="1178" t="s">
        <v>155</v>
      </c>
      <c r="L6" s="1178"/>
      <c r="M6" s="546" t="s">
        <v>156</v>
      </c>
    </row>
    <row r="7" spans="1:13" s="658" customFormat="1" ht="13.5">
      <c r="A7" s="1178"/>
      <c r="B7" s="1178"/>
      <c r="C7" s="1178"/>
      <c r="D7" s="1178"/>
      <c r="E7" s="1178"/>
      <c r="F7" s="1178"/>
      <c r="G7" s="546" t="s">
        <v>157</v>
      </c>
      <c r="H7" s="546" t="s">
        <v>158</v>
      </c>
      <c r="I7" s="546" t="s">
        <v>157</v>
      </c>
      <c r="J7" s="546" t="s">
        <v>158</v>
      </c>
      <c r="K7" s="546" t="s">
        <v>157</v>
      </c>
      <c r="L7" s="546" t="s">
        <v>159</v>
      </c>
      <c r="M7" s="546" t="s">
        <v>160</v>
      </c>
    </row>
    <row r="8" spans="1:13" s="887" customFormat="1" ht="13.5">
      <c r="A8" s="390">
        <v>1</v>
      </c>
      <c r="B8" s="390">
        <v>3</v>
      </c>
      <c r="C8" s="390">
        <v>2</v>
      </c>
      <c r="D8" s="390">
        <v>4</v>
      </c>
      <c r="E8" s="390">
        <v>5</v>
      </c>
      <c r="F8" s="390">
        <v>6</v>
      </c>
      <c r="G8" s="546">
        <v>7</v>
      </c>
      <c r="H8" s="546">
        <v>8</v>
      </c>
      <c r="I8" s="546">
        <v>9</v>
      </c>
      <c r="J8" s="546">
        <v>10</v>
      </c>
      <c r="K8" s="546">
        <v>11</v>
      </c>
      <c r="L8" s="546">
        <v>12</v>
      </c>
      <c r="M8" s="546">
        <v>13</v>
      </c>
    </row>
    <row r="9" spans="1:13" s="887" customFormat="1" ht="13.5">
      <c r="A9" s="664">
        <v>1</v>
      </c>
      <c r="B9" s="665" t="s">
        <v>344</v>
      </c>
      <c r="C9" s="888" t="s">
        <v>495</v>
      </c>
      <c r="D9" s="665" t="s">
        <v>242</v>
      </c>
      <c r="E9" s="664"/>
      <c r="F9" s="665" t="s">
        <v>68</v>
      </c>
      <c r="G9" s="889"/>
      <c r="H9" s="665"/>
      <c r="I9" s="664"/>
      <c r="J9" s="665"/>
      <c r="K9" s="664"/>
      <c r="L9" s="665"/>
      <c r="M9" s="890"/>
    </row>
    <row r="10" spans="1:13" s="887" customFormat="1" ht="13.5">
      <c r="A10" s="546"/>
      <c r="B10" s="891"/>
      <c r="C10" s="892" t="s">
        <v>86</v>
      </c>
      <c r="D10" s="546" t="s">
        <v>13</v>
      </c>
      <c r="E10" s="546">
        <v>13.3</v>
      </c>
      <c r="F10" s="651">
        <f>E10*F9</f>
        <v>26.6</v>
      </c>
      <c r="G10" s="651"/>
      <c r="H10" s="651"/>
      <c r="I10" s="651"/>
      <c r="J10" s="651"/>
      <c r="K10" s="651"/>
      <c r="L10" s="651"/>
      <c r="M10" s="651"/>
    </row>
    <row r="11" spans="1:13" s="887" customFormat="1" ht="13.5">
      <c r="A11" s="546"/>
      <c r="B11" s="891"/>
      <c r="C11" s="892" t="s">
        <v>97</v>
      </c>
      <c r="D11" s="546" t="s">
        <v>109</v>
      </c>
      <c r="E11" s="546">
        <v>0.39</v>
      </c>
      <c r="F11" s="651">
        <f>E11*F9</f>
        <v>0.78</v>
      </c>
      <c r="G11" s="651"/>
      <c r="H11" s="651"/>
      <c r="I11" s="651"/>
      <c r="J11" s="651"/>
      <c r="K11" s="651"/>
      <c r="L11" s="651"/>
      <c r="M11" s="651"/>
    </row>
    <row r="12" spans="1:13" s="887" customFormat="1" ht="13.5">
      <c r="A12" s="664"/>
      <c r="B12" s="891"/>
      <c r="C12" s="893" t="s">
        <v>496</v>
      </c>
      <c r="D12" s="891" t="s">
        <v>242</v>
      </c>
      <c r="E12" s="546">
        <v>1</v>
      </c>
      <c r="F12" s="651">
        <f>E12*F9</f>
        <v>2</v>
      </c>
      <c r="G12" s="651"/>
      <c r="H12" s="651"/>
      <c r="I12" s="651"/>
      <c r="J12" s="894"/>
      <c r="K12" s="894"/>
      <c r="L12" s="894"/>
      <c r="M12" s="651"/>
    </row>
    <row r="13" spans="1:13" s="887" customFormat="1" ht="13.5">
      <c r="A13" s="664"/>
      <c r="B13" s="665"/>
      <c r="C13" s="892" t="s">
        <v>104</v>
      </c>
      <c r="D13" s="546" t="s">
        <v>109</v>
      </c>
      <c r="E13" s="546">
        <v>1.58</v>
      </c>
      <c r="F13" s="651">
        <f>E13*F9</f>
        <v>3.16</v>
      </c>
      <c r="G13" s="651"/>
      <c r="H13" s="651"/>
      <c r="I13" s="651"/>
      <c r="J13" s="651"/>
      <c r="K13" s="651"/>
      <c r="L13" s="651"/>
      <c r="M13" s="651"/>
    </row>
    <row r="14" spans="1:13" s="887" customFormat="1" ht="28.5">
      <c r="A14" s="664">
        <v>2</v>
      </c>
      <c r="B14" s="666" t="s">
        <v>497</v>
      </c>
      <c r="C14" s="895" t="s">
        <v>498</v>
      </c>
      <c r="D14" s="664" t="s">
        <v>175</v>
      </c>
      <c r="E14" s="664"/>
      <c r="F14" s="894">
        <v>0.1</v>
      </c>
      <c r="G14" s="894"/>
      <c r="H14" s="894"/>
      <c r="I14" s="894"/>
      <c r="J14" s="894"/>
      <c r="K14" s="894"/>
      <c r="L14" s="894"/>
      <c r="M14" s="894"/>
    </row>
    <row r="15" spans="1:13" s="887" customFormat="1" ht="13.5">
      <c r="A15" s="546"/>
      <c r="B15" s="891"/>
      <c r="C15" s="892" t="s">
        <v>86</v>
      </c>
      <c r="D15" s="546" t="s">
        <v>13</v>
      </c>
      <c r="E15" s="546">
        <v>117</v>
      </c>
      <c r="F15" s="651">
        <f>E15*F14</f>
        <v>11.700000000000001</v>
      </c>
      <c r="G15" s="651"/>
      <c r="H15" s="651"/>
      <c r="I15" s="651"/>
      <c r="J15" s="651"/>
      <c r="K15" s="651"/>
      <c r="L15" s="651"/>
      <c r="M15" s="651"/>
    </row>
    <row r="16" spans="1:13" s="887" customFormat="1" ht="13.5">
      <c r="A16" s="546"/>
      <c r="B16" s="896"/>
      <c r="C16" s="892" t="s">
        <v>97</v>
      </c>
      <c r="D16" s="546" t="s">
        <v>109</v>
      </c>
      <c r="E16" s="546">
        <v>1.72</v>
      </c>
      <c r="F16" s="651">
        <f>E16*F14</f>
        <v>0.17200000000000001</v>
      </c>
      <c r="G16" s="651"/>
      <c r="H16" s="651"/>
      <c r="I16" s="651"/>
      <c r="J16" s="651"/>
      <c r="K16" s="651"/>
      <c r="L16" s="651"/>
      <c r="M16" s="651"/>
    </row>
    <row r="17" spans="1:13" s="887" customFormat="1" ht="13.5">
      <c r="A17" s="546"/>
      <c r="B17" s="718" t="s">
        <v>706</v>
      </c>
      <c r="C17" s="893" t="s">
        <v>499</v>
      </c>
      <c r="D17" s="897" t="s">
        <v>91</v>
      </c>
      <c r="E17" s="546">
        <v>100</v>
      </c>
      <c r="F17" s="651">
        <f>E17*F14</f>
        <v>10</v>
      </c>
      <c r="G17" s="840"/>
      <c r="H17" s="651"/>
      <c r="I17" s="651"/>
      <c r="J17" s="651"/>
      <c r="K17" s="651"/>
      <c r="L17" s="651"/>
      <c r="M17" s="651"/>
    </row>
    <row r="18" spans="1:13" s="887" customFormat="1" ht="13.5">
      <c r="A18" s="546"/>
      <c r="B18" s="896" t="s">
        <v>707</v>
      </c>
      <c r="C18" s="893" t="s">
        <v>258</v>
      </c>
      <c r="D18" s="897" t="s">
        <v>98</v>
      </c>
      <c r="E18" s="546">
        <v>16</v>
      </c>
      <c r="F18" s="651">
        <f>E18*F14</f>
        <v>1.6</v>
      </c>
      <c r="G18" s="651"/>
      <c r="H18" s="651"/>
      <c r="I18" s="651"/>
      <c r="J18" s="651"/>
      <c r="K18" s="651"/>
      <c r="L18" s="651"/>
      <c r="M18" s="651"/>
    </row>
    <row r="19" spans="1:13" s="887" customFormat="1" ht="13.5">
      <c r="A19" s="546"/>
      <c r="B19" s="896" t="s">
        <v>708</v>
      </c>
      <c r="C19" s="893" t="s">
        <v>259</v>
      </c>
      <c r="D19" s="897" t="s">
        <v>98</v>
      </c>
      <c r="E19" s="546" t="s">
        <v>176</v>
      </c>
      <c r="F19" s="651">
        <v>6</v>
      </c>
      <c r="G19" s="807"/>
      <c r="H19" s="651"/>
      <c r="I19" s="651"/>
      <c r="J19" s="651"/>
      <c r="K19" s="651"/>
      <c r="L19" s="651"/>
      <c r="M19" s="651"/>
    </row>
    <row r="20" spans="1:13" s="887" customFormat="1" ht="13.5">
      <c r="A20" s="546"/>
      <c r="B20" s="896" t="s">
        <v>709</v>
      </c>
      <c r="C20" s="893" t="s">
        <v>260</v>
      </c>
      <c r="D20" s="897" t="s">
        <v>98</v>
      </c>
      <c r="E20" s="546" t="s">
        <v>176</v>
      </c>
      <c r="F20" s="651">
        <v>2</v>
      </c>
      <c r="G20" s="807"/>
      <c r="H20" s="651"/>
      <c r="I20" s="651"/>
      <c r="J20" s="651"/>
      <c r="K20" s="651"/>
      <c r="L20" s="651"/>
      <c r="M20" s="651"/>
    </row>
    <row r="21" spans="1:13" s="887" customFormat="1" ht="13.5">
      <c r="A21" s="546"/>
      <c r="B21" s="896" t="s">
        <v>710</v>
      </c>
      <c r="C21" s="893" t="s">
        <v>261</v>
      </c>
      <c r="D21" s="897" t="s">
        <v>98</v>
      </c>
      <c r="E21" s="546">
        <v>4</v>
      </c>
      <c r="F21" s="651">
        <f>E21*F14</f>
        <v>0.4</v>
      </c>
      <c r="G21" s="807"/>
      <c r="H21" s="651"/>
      <c r="I21" s="651"/>
      <c r="J21" s="651"/>
      <c r="K21" s="651"/>
      <c r="L21" s="651"/>
      <c r="M21" s="651"/>
    </row>
    <row r="22" spans="1:13" s="887" customFormat="1" ht="13.5">
      <c r="A22" s="546"/>
      <c r="B22" s="896" t="s">
        <v>709</v>
      </c>
      <c r="C22" s="893" t="s">
        <v>711</v>
      </c>
      <c r="D22" s="897" t="s">
        <v>98</v>
      </c>
      <c r="E22" s="546">
        <v>13</v>
      </c>
      <c r="F22" s="651">
        <f>E22*F14</f>
        <v>1.3</v>
      </c>
      <c r="G22" s="807"/>
      <c r="H22" s="651"/>
      <c r="I22" s="651"/>
      <c r="J22" s="651"/>
      <c r="K22" s="651"/>
      <c r="L22" s="651"/>
      <c r="M22" s="651"/>
    </row>
    <row r="23" spans="1:13" s="887" customFormat="1" ht="13.5">
      <c r="A23" s="546"/>
      <c r="B23" s="896" t="s">
        <v>712</v>
      </c>
      <c r="C23" s="893" t="s">
        <v>262</v>
      </c>
      <c r="D23" s="897" t="s">
        <v>98</v>
      </c>
      <c r="E23" s="546">
        <v>28</v>
      </c>
      <c r="F23" s="651">
        <f>E23*F14</f>
        <v>2.8000000000000003</v>
      </c>
      <c r="G23" s="651"/>
      <c r="H23" s="651"/>
      <c r="I23" s="651"/>
      <c r="J23" s="651"/>
      <c r="K23" s="651"/>
      <c r="L23" s="651"/>
      <c r="M23" s="651"/>
    </row>
    <row r="24" spans="1:13" s="887" customFormat="1" ht="13.5">
      <c r="A24" s="546"/>
      <c r="B24" s="896" t="s">
        <v>712</v>
      </c>
      <c r="C24" s="893" t="s">
        <v>263</v>
      </c>
      <c r="D24" s="897" t="s">
        <v>98</v>
      </c>
      <c r="E24" s="546">
        <v>6</v>
      </c>
      <c r="F24" s="651">
        <f>E24*F14</f>
        <v>0.60000000000000009</v>
      </c>
      <c r="G24" s="651"/>
      <c r="H24" s="651"/>
      <c r="I24" s="651"/>
      <c r="J24" s="651"/>
      <c r="K24" s="651"/>
      <c r="L24" s="651"/>
      <c r="M24" s="651"/>
    </row>
    <row r="25" spans="1:13" s="887" customFormat="1" ht="13.5">
      <c r="A25" s="546"/>
      <c r="B25" s="896" t="s">
        <v>712</v>
      </c>
      <c r="C25" s="893" t="s">
        <v>500</v>
      </c>
      <c r="D25" s="897" t="s">
        <v>98</v>
      </c>
      <c r="E25" s="546">
        <v>1</v>
      </c>
      <c r="F25" s="651">
        <v>1</v>
      </c>
      <c r="G25" s="651"/>
      <c r="H25" s="651"/>
      <c r="I25" s="651"/>
      <c r="J25" s="651"/>
      <c r="K25" s="651"/>
      <c r="L25" s="651"/>
      <c r="M25" s="651"/>
    </row>
    <row r="26" spans="1:13" s="887" customFormat="1" ht="13.5">
      <c r="A26" s="546"/>
      <c r="B26" s="896" t="s">
        <v>713</v>
      </c>
      <c r="C26" s="893" t="s">
        <v>243</v>
      </c>
      <c r="D26" s="897" t="s">
        <v>98</v>
      </c>
      <c r="E26" s="546">
        <v>3</v>
      </c>
      <c r="F26" s="651">
        <f>E26*F14</f>
        <v>0.30000000000000004</v>
      </c>
      <c r="G26" s="651"/>
      <c r="H26" s="651"/>
      <c r="I26" s="651"/>
      <c r="J26" s="651"/>
      <c r="K26" s="651"/>
      <c r="L26" s="651"/>
      <c r="M26" s="651"/>
    </row>
    <row r="27" spans="1:13" s="887" customFormat="1" ht="13.5">
      <c r="A27" s="546"/>
      <c r="B27" s="390"/>
      <c r="C27" s="892" t="s">
        <v>104</v>
      </c>
      <c r="D27" s="546" t="s">
        <v>109</v>
      </c>
      <c r="E27" s="546">
        <v>3.93</v>
      </c>
      <c r="F27" s="651">
        <f>E27*F14</f>
        <v>0.39300000000000002</v>
      </c>
      <c r="G27" s="651"/>
      <c r="H27" s="651"/>
      <c r="I27" s="651"/>
      <c r="J27" s="651"/>
      <c r="K27" s="651"/>
      <c r="L27" s="651"/>
      <c r="M27" s="651"/>
    </row>
    <row r="28" spans="1:13" s="887" customFormat="1" ht="13.5">
      <c r="A28" s="664">
        <v>3</v>
      </c>
      <c r="B28" s="666" t="s">
        <v>583</v>
      </c>
      <c r="C28" s="898" t="s">
        <v>345</v>
      </c>
      <c r="D28" s="664" t="s">
        <v>242</v>
      </c>
      <c r="E28" s="664"/>
      <c r="F28" s="894">
        <v>2</v>
      </c>
      <c r="G28" s="894"/>
      <c r="H28" s="894"/>
      <c r="I28" s="894"/>
      <c r="J28" s="894"/>
      <c r="K28" s="894"/>
      <c r="L28" s="894"/>
      <c r="M28" s="894"/>
    </row>
    <row r="29" spans="1:13" s="887" customFormat="1" ht="13.5">
      <c r="A29" s="546"/>
      <c r="B29" s="891"/>
      <c r="C29" s="892" t="s">
        <v>86</v>
      </c>
      <c r="D29" s="546" t="s">
        <v>13</v>
      </c>
      <c r="E29" s="546">
        <v>1.51</v>
      </c>
      <c r="F29" s="651">
        <f>E29*F28</f>
        <v>3.02</v>
      </c>
      <c r="G29" s="651"/>
      <c r="H29" s="651"/>
      <c r="I29" s="651"/>
      <c r="J29" s="651"/>
      <c r="K29" s="651"/>
      <c r="L29" s="651"/>
      <c r="M29" s="651"/>
    </row>
    <row r="30" spans="1:13" s="887" customFormat="1" ht="13.5">
      <c r="A30" s="546"/>
      <c r="B30" s="896"/>
      <c r="C30" s="892" t="s">
        <v>97</v>
      </c>
      <c r="D30" s="546" t="s">
        <v>109</v>
      </c>
      <c r="E30" s="546">
        <v>0.13</v>
      </c>
      <c r="F30" s="651">
        <f>E30*F28</f>
        <v>0.26</v>
      </c>
      <c r="G30" s="651"/>
      <c r="H30" s="651"/>
      <c r="I30" s="651"/>
      <c r="J30" s="651"/>
      <c r="K30" s="651"/>
      <c r="L30" s="651"/>
      <c r="M30" s="651"/>
    </row>
    <row r="31" spans="1:13" s="887" customFormat="1" ht="13.5">
      <c r="A31" s="546"/>
      <c r="B31" s="896" t="s">
        <v>701</v>
      </c>
      <c r="C31" s="899" t="s">
        <v>501</v>
      </c>
      <c r="D31" s="546" t="s">
        <v>98</v>
      </c>
      <c r="E31" s="546">
        <v>1</v>
      </c>
      <c r="F31" s="651">
        <f>E31*F28</f>
        <v>2</v>
      </c>
      <c r="G31" s="651"/>
      <c r="H31" s="651"/>
      <c r="I31" s="651"/>
      <c r="J31" s="651"/>
      <c r="K31" s="651"/>
      <c r="L31" s="651"/>
      <c r="M31" s="651"/>
    </row>
    <row r="32" spans="1:13" s="887" customFormat="1" ht="13.5">
      <c r="A32" s="546"/>
      <c r="B32" s="390"/>
      <c r="C32" s="892" t="s">
        <v>104</v>
      </c>
      <c r="D32" s="546" t="s">
        <v>109</v>
      </c>
      <c r="E32" s="546">
        <v>7.0000000000000007E-2</v>
      </c>
      <c r="F32" s="651">
        <f>E32*F28</f>
        <v>0.14000000000000001</v>
      </c>
      <c r="G32" s="651"/>
      <c r="H32" s="651"/>
      <c r="I32" s="651"/>
      <c r="J32" s="651"/>
      <c r="K32" s="651"/>
      <c r="L32" s="651"/>
      <c r="M32" s="651"/>
    </row>
    <row r="33" spans="1:144" s="887" customFormat="1" ht="28.5">
      <c r="A33" s="664">
        <v>4</v>
      </c>
      <c r="B33" s="666" t="s">
        <v>585</v>
      </c>
      <c r="C33" s="895" t="s">
        <v>502</v>
      </c>
      <c r="D33" s="664" t="s">
        <v>175</v>
      </c>
      <c r="E33" s="664"/>
      <c r="F33" s="894">
        <v>0.2</v>
      </c>
      <c r="G33" s="894"/>
      <c r="H33" s="894"/>
      <c r="I33" s="894"/>
      <c r="J33" s="894"/>
      <c r="K33" s="894"/>
      <c r="L33" s="894"/>
      <c r="M33" s="894"/>
    </row>
    <row r="34" spans="1:144" s="887" customFormat="1" ht="13.5">
      <c r="A34" s="546"/>
      <c r="B34" s="891"/>
      <c r="C34" s="892" t="s">
        <v>86</v>
      </c>
      <c r="D34" s="546" t="s">
        <v>13</v>
      </c>
      <c r="E34" s="546">
        <v>156</v>
      </c>
      <c r="F34" s="651">
        <f>E34*F33</f>
        <v>31.200000000000003</v>
      </c>
      <c r="G34" s="651"/>
      <c r="H34" s="651"/>
      <c r="I34" s="651"/>
      <c r="J34" s="651"/>
      <c r="K34" s="651"/>
      <c r="L34" s="651"/>
      <c r="M34" s="651"/>
    </row>
    <row r="35" spans="1:144" s="650" customFormat="1" ht="13.5">
      <c r="A35" s="546"/>
      <c r="B35" s="896"/>
      <c r="C35" s="892" t="s">
        <v>97</v>
      </c>
      <c r="D35" s="546" t="s">
        <v>109</v>
      </c>
      <c r="E35" s="546">
        <v>2.17</v>
      </c>
      <c r="F35" s="651">
        <f>E35*F33</f>
        <v>0.434</v>
      </c>
      <c r="G35" s="651"/>
      <c r="H35" s="651"/>
      <c r="I35" s="651"/>
      <c r="J35" s="651"/>
      <c r="K35" s="651"/>
      <c r="L35" s="651"/>
      <c r="M35" s="651"/>
    </row>
    <row r="36" spans="1:144" s="650" customFormat="1" ht="13.5">
      <c r="A36" s="546"/>
      <c r="B36" s="718" t="s">
        <v>696</v>
      </c>
      <c r="C36" s="893" t="s">
        <v>346</v>
      </c>
      <c r="D36" s="546" t="s">
        <v>91</v>
      </c>
      <c r="E36" s="546">
        <v>100</v>
      </c>
      <c r="F36" s="651">
        <f>E36*F33</f>
        <v>20</v>
      </c>
      <c r="G36" s="651"/>
      <c r="H36" s="651"/>
      <c r="I36" s="651"/>
      <c r="J36" s="651"/>
      <c r="K36" s="651"/>
      <c r="L36" s="651"/>
      <c r="M36" s="651"/>
    </row>
    <row r="37" spans="1:144" s="650" customFormat="1" ht="13.5">
      <c r="A37" s="546"/>
      <c r="B37" s="896" t="s">
        <v>714</v>
      </c>
      <c r="C37" s="900" t="s">
        <v>347</v>
      </c>
      <c r="D37" s="546" t="s">
        <v>98</v>
      </c>
      <c r="E37" s="546">
        <v>16</v>
      </c>
      <c r="F37" s="651">
        <f>E37*F33</f>
        <v>3.2</v>
      </c>
      <c r="G37" s="651"/>
      <c r="H37" s="651"/>
      <c r="I37" s="651"/>
      <c r="J37" s="651"/>
      <c r="K37" s="651"/>
      <c r="L37" s="651"/>
      <c r="M37" s="651"/>
    </row>
    <row r="38" spans="1:144" s="650" customFormat="1" ht="13.5">
      <c r="A38" s="546"/>
      <c r="B38" s="896" t="s">
        <v>715</v>
      </c>
      <c r="C38" s="900" t="s">
        <v>348</v>
      </c>
      <c r="D38" s="546" t="s">
        <v>98</v>
      </c>
      <c r="E38" s="546" t="s">
        <v>176</v>
      </c>
      <c r="F38" s="651">
        <v>6</v>
      </c>
      <c r="G38" s="651"/>
      <c r="H38" s="651"/>
      <c r="I38" s="651"/>
      <c r="J38" s="651"/>
      <c r="K38" s="651"/>
      <c r="L38" s="651"/>
      <c r="M38" s="651"/>
    </row>
    <row r="39" spans="1:144" s="650" customFormat="1" ht="13.5">
      <c r="A39" s="546"/>
      <c r="B39" s="896" t="s">
        <v>710</v>
      </c>
      <c r="C39" s="900" t="s">
        <v>349</v>
      </c>
      <c r="D39" s="546" t="s">
        <v>98</v>
      </c>
      <c r="E39" s="546" t="s">
        <v>176</v>
      </c>
      <c r="F39" s="651">
        <v>8</v>
      </c>
      <c r="G39" s="651"/>
      <c r="H39" s="651"/>
      <c r="I39" s="651"/>
      <c r="J39" s="651"/>
      <c r="K39" s="651"/>
      <c r="L39" s="651"/>
      <c r="M39" s="651"/>
    </row>
    <row r="40" spans="1:144" s="650" customFormat="1" ht="13.5">
      <c r="A40" s="546"/>
      <c r="B40" s="896" t="s">
        <v>716</v>
      </c>
      <c r="C40" s="900" t="s">
        <v>350</v>
      </c>
      <c r="D40" s="546" t="s">
        <v>98</v>
      </c>
      <c r="E40" s="546" t="s">
        <v>176</v>
      </c>
      <c r="F40" s="651">
        <v>4</v>
      </c>
      <c r="G40" s="651"/>
      <c r="H40" s="651"/>
      <c r="I40" s="651"/>
      <c r="J40" s="651"/>
      <c r="K40" s="651"/>
      <c r="L40" s="651"/>
      <c r="M40" s="651"/>
    </row>
    <row r="41" spans="1:144" s="650" customFormat="1" ht="13.5">
      <c r="A41" s="546"/>
      <c r="B41" s="896" t="s">
        <v>717</v>
      </c>
      <c r="C41" s="900" t="s">
        <v>351</v>
      </c>
      <c r="D41" s="546" t="s">
        <v>98</v>
      </c>
      <c r="E41" s="546">
        <v>4</v>
      </c>
      <c r="F41" s="651">
        <f>E41*F33</f>
        <v>0.8</v>
      </c>
      <c r="G41" s="651"/>
      <c r="H41" s="651"/>
      <c r="I41" s="651"/>
      <c r="J41" s="651"/>
      <c r="K41" s="651"/>
      <c r="L41" s="651"/>
      <c r="M41" s="651"/>
    </row>
    <row r="42" spans="1:144" s="650" customFormat="1" ht="15">
      <c r="A42" s="546"/>
      <c r="B42" s="896" t="s">
        <v>717</v>
      </c>
      <c r="C42" s="901" t="s">
        <v>244</v>
      </c>
      <c r="D42" s="546" t="s">
        <v>98</v>
      </c>
      <c r="E42" s="546">
        <v>2</v>
      </c>
      <c r="F42" s="651">
        <f>E42*F33</f>
        <v>0.4</v>
      </c>
      <c r="G42" s="651"/>
      <c r="H42" s="651"/>
      <c r="I42" s="651"/>
      <c r="J42" s="651"/>
      <c r="K42" s="651"/>
      <c r="L42" s="651"/>
      <c r="M42" s="651"/>
    </row>
    <row r="43" spans="1:144" s="887" customFormat="1" ht="13.5">
      <c r="A43" s="546"/>
      <c r="B43" s="390"/>
      <c r="C43" s="892" t="s">
        <v>104</v>
      </c>
      <c r="D43" s="546" t="s">
        <v>109</v>
      </c>
      <c r="E43" s="546">
        <v>7.08</v>
      </c>
      <c r="F43" s="651">
        <f>E43*F33</f>
        <v>1.4160000000000001</v>
      </c>
      <c r="G43" s="651"/>
      <c r="H43" s="651"/>
      <c r="I43" s="651"/>
      <c r="J43" s="651"/>
      <c r="K43" s="651"/>
      <c r="L43" s="651"/>
      <c r="M43" s="651"/>
      <c r="N43" s="902"/>
      <c r="O43" s="902"/>
      <c r="P43" s="902"/>
      <c r="Q43" s="902"/>
      <c r="R43" s="902"/>
      <c r="S43" s="902"/>
      <c r="T43" s="902"/>
      <c r="U43" s="902"/>
      <c r="V43" s="902"/>
      <c r="W43" s="902"/>
      <c r="X43" s="902"/>
      <c r="Y43" s="902"/>
      <c r="Z43" s="902"/>
      <c r="AA43" s="902"/>
      <c r="AB43" s="902"/>
      <c r="AC43" s="902"/>
      <c r="AD43" s="902"/>
      <c r="AE43" s="902"/>
      <c r="AF43" s="902"/>
      <c r="AG43" s="902"/>
      <c r="AH43" s="902"/>
      <c r="AI43" s="902"/>
      <c r="AJ43" s="902"/>
      <c r="AK43" s="902"/>
      <c r="AL43" s="902"/>
      <c r="AM43" s="902"/>
      <c r="AN43" s="902"/>
      <c r="AO43" s="902"/>
      <c r="AP43" s="902"/>
      <c r="AQ43" s="902"/>
      <c r="AR43" s="902"/>
      <c r="AS43" s="902"/>
      <c r="AT43" s="902"/>
      <c r="AU43" s="902"/>
      <c r="AV43" s="902"/>
      <c r="AW43" s="902"/>
      <c r="AX43" s="902"/>
      <c r="AY43" s="902"/>
      <c r="AZ43" s="902"/>
      <c r="BA43" s="902"/>
      <c r="BB43" s="902"/>
      <c r="BC43" s="902"/>
      <c r="BD43" s="902"/>
      <c r="BE43" s="902"/>
      <c r="BF43" s="902"/>
      <c r="BG43" s="902"/>
      <c r="BH43" s="902"/>
      <c r="BI43" s="902"/>
      <c r="BJ43" s="902"/>
      <c r="BK43" s="902"/>
      <c r="BL43" s="902"/>
      <c r="BM43" s="902"/>
      <c r="BN43" s="902"/>
      <c r="BO43" s="902"/>
      <c r="BP43" s="902"/>
      <c r="BQ43" s="902"/>
      <c r="BR43" s="902"/>
      <c r="BS43" s="902"/>
      <c r="BT43" s="902"/>
      <c r="BU43" s="902"/>
      <c r="BV43" s="902"/>
      <c r="BW43" s="902"/>
      <c r="BX43" s="902"/>
      <c r="BY43" s="902"/>
      <c r="BZ43" s="902"/>
      <c r="CA43" s="902"/>
      <c r="CB43" s="902"/>
      <c r="CC43" s="902"/>
      <c r="CD43" s="902"/>
      <c r="CE43" s="902"/>
      <c r="CF43" s="902"/>
      <c r="CG43" s="902"/>
      <c r="CH43" s="902"/>
      <c r="CI43" s="902"/>
      <c r="CJ43" s="902"/>
      <c r="CK43" s="902"/>
      <c r="CL43" s="902"/>
      <c r="CM43" s="902"/>
      <c r="CN43" s="902"/>
      <c r="CO43" s="902"/>
      <c r="CP43" s="902"/>
      <c r="CQ43" s="902"/>
      <c r="CR43" s="902"/>
      <c r="CS43" s="902"/>
      <c r="CT43" s="902"/>
      <c r="CU43" s="902"/>
      <c r="CV43" s="902"/>
      <c r="CW43" s="902"/>
      <c r="CX43" s="902"/>
      <c r="CY43" s="902"/>
      <c r="CZ43" s="902"/>
      <c r="DA43" s="902"/>
      <c r="DB43" s="902"/>
      <c r="DC43" s="902"/>
      <c r="DD43" s="902"/>
      <c r="DE43" s="902"/>
      <c r="DF43" s="902"/>
      <c r="DG43" s="902"/>
      <c r="DH43" s="902"/>
      <c r="DI43" s="902"/>
      <c r="DJ43" s="902"/>
      <c r="DK43" s="902"/>
      <c r="DL43" s="902"/>
      <c r="DM43" s="902"/>
      <c r="DN43" s="902"/>
      <c r="DO43" s="902"/>
      <c r="DP43" s="902"/>
      <c r="DQ43" s="902"/>
      <c r="DR43" s="902"/>
      <c r="DS43" s="902"/>
      <c r="DT43" s="902"/>
      <c r="DU43" s="902"/>
      <c r="DV43" s="902"/>
      <c r="DW43" s="902"/>
      <c r="DX43" s="902"/>
      <c r="DY43" s="902"/>
      <c r="DZ43" s="902"/>
      <c r="EA43" s="902"/>
      <c r="EB43" s="902"/>
      <c r="EC43" s="902"/>
      <c r="ED43" s="902"/>
      <c r="EE43" s="902"/>
      <c r="EF43" s="902"/>
      <c r="EG43" s="902"/>
      <c r="EH43" s="902"/>
      <c r="EI43" s="902"/>
      <c r="EJ43" s="902"/>
      <c r="EK43" s="902"/>
      <c r="EL43" s="902"/>
      <c r="EM43" s="902"/>
      <c r="EN43" s="902"/>
    </row>
    <row r="44" spans="1:144" s="887" customFormat="1" ht="13.5">
      <c r="A44" s="664">
        <v>5</v>
      </c>
      <c r="B44" s="666" t="s">
        <v>503</v>
      </c>
      <c r="C44" s="898" t="s">
        <v>374</v>
      </c>
      <c r="D44" s="664" t="s">
        <v>242</v>
      </c>
      <c r="E44" s="664"/>
      <c r="F44" s="894">
        <v>4</v>
      </c>
      <c r="G44" s="894"/>
      <c r="H44" s="894"/>
      <c r="I44" s="894"/>
      <c r="J44" s="894"/>
      <c r="K44" s="894"/>
      <c r="L44" s="894"/>
      <c r="M44" s="894"/>
      <c r="N44" s="903"/>
      <c r="O44" s="903"/>
      <c r="P44" s="903"/>
      <c r="Q44" s="903"/>
      <c r="R44" s="903"/>
      <c r="S44" s="903"/>
      <c r="T44" s="903"/>
      <c r="U44" s="903"/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903"/>
      <c r="AG44" s="903"/>
      <c r="AH44" s="903"/>
      <c r="AI44" s="903"/>
      <c r="AJ44" s="903"/>
      <c r="AK44" s="903"/>
      <c r="AL44" s="903"/>
      <c r="AM44" s="903"/>
      <c r="AN44" s="903"/>
      <c r="AO44" s="903"/>
      <c r="AP44" s="903"/>
      <c r="AQ44" s="903"/>
      <c r="AR44" s="903"/>
      <c r="AS44" s="903"/>
      <c r="AT44" s="903"/>
      <c r="AU44" s="903"/>
      <c r="AV44" s="903"/>
      <c r="AW44" s="903"/>
      <c r="AX44" s="903"/>
      <c r="AY44" s="903"/>
      <c r="AZ44" s="903"/>
      <c r="BA44" s="903"/>
      <c r="BB44" s="903"/>
      <c r="BC44" s="903"/>
      <c r="BD44" s="903"/>
      <c r="BE44" s="903"/>
      <c r="BF44" s="903"/>
      <c r="BG44" s="903"/>
      <c r="BH44" s="903"/>
      <c r="BI44" s="903"/>
      <c r="BJ44" s="903"/>
      <c r="BK44" s="903"/>
      <c r="BL44" s="903"/>
      <c r="BM44" s="903"/>
      <c r="BN44" s="903"/>
      <c r="BO44" s="903"/>
      <c r="BP44" s="903"/>
      <c r="BQ44" s="903"/>
      <c r="BR44" s="903"/>
      <c r="BS44" s="903"/>
      <c r="BT44" s="903"/>
      <c r="BU44" s="903"/>
      <c r="BV44" s="903"/>
      <c r="BW44" s="903"/>
      <c r="BX44" s="903"/>
      <c r="BY44" s="903"/>
      <c r="BZ44" s="903"/>
      <c r="CA44" s="903"/>
      <c r="CB44" s="903"/>
      <c r="CC44" s="903"/>
      <c r="CD44" s="903"/>
      <c r="CE44" s="903"/>
      <c r="CF44" s="903"/>
      <c r="CG44" s="903"/>
      <c r="CH44" s="903"/>
      <c r="CI44" s="903"/>
      <c r="CJ44" s="903"/>
      <c r="CK44" s="903"/>
      <c r="CL44" s="903"/>
      <c r="CM44" s="903"/>
      <c r="CN44" s="903"/>
      <c r="CO44" s="903"/>
      <c r="CP44" s="903"/>
      <c r="CQ44" s="903"/>
      <c r="CR44" s="903"/>
      <c r="CS44" s="903"/>
      <c r="CT44" s="903"/>
      <c r="CU44" s="903"/>
      <c r="CV44" s="903"/>
      <c r="CW44" s="903"/>
      <c r="CX44" s="903"/>
      <c r="CY44" s="903"/>
      <c r="CZ44" s="903"/>
      <c r="DA44" s="903"/>
      <c r="DB44" s="903"/>
      <c r="DC44" s="903"/>
      <c r="DD44" s="903"/>
      <c r="DE44" s="903"/>
      <c r="DF44" s="903"/>
      <c r="DG44" s="903"/>
      <c r="DH44" s="903"/>
      <c r="DI44" s="903"/>
      <c r="DJ44" s="903"/>
      <c r="DK44" s="903"/>
      <c r="DL44" s="903"/>
      <c r="DM44" s="903"/>
      <c r="DN44" s="903"/>
      <c r="DO44" s="903"/>
      <c r="DP44" s="903"/>
      <c r="DQ44" s="903"/>
      <c r="DR44" s="903"/>
      <c r="DS44" s="903"/>
      <c r="DT44" s="903"/>
      <c r="DU44" s="903"/>
      <c r="DV44" s="903"/>
      <c r="DW44" s="903"/>
      <c r="DX44" s="903"/>
      <c r="DY44" s="903"/>
      <c r="DZ44" s="903"/>
      <c r="EA44" s="903"/>
      <c r="EB44" s="903"/>
      <c r="EC44" s="903"/>
      <c r="ED44" s="903"/>
      <c r="EE44" s="903"/>
      <c r="EF44" s="903"/>
      <c r="EG44" s="903"/>
      <c r="EH44" s="903"/>
      <c r="EI44" s="903"/>
      <c r="EJ44" s="903"/>
      <c r="EK44" s="903"/>
      <c r="EL44" s="903"/>
      <c r="EM44" s="903"/>
      <c r="EN44" s="903"/>
    </row>
    <row r="45" spans="1:144" s="887" customFormat="1" ht="13.5">
      <c r="A45" s="546"/>
      <c r="B45" s="891"/>
      <c r="C45" s="892" t="s">
        <v>86</v>
      </c>
      <c r="D45" s="546" t="s">
        <v>13</v>
      </c>
      <c r="E45" s="546">
        <v>1.51</v>
      </c>
      <c r="F45" s="651">
        <f>E45*F44</f>
        <v>6.04</v>
      </c>
      <c r="G45" s="651"/>
      <c r="H45" s="651"/>
      <c r="I45" s="651"/>
      <c r="J45" s="651"/>
      <c r="K45" s="651"/>
      <c r="L45" s="651"/>
      <c r="M45" s="651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902"/>
      <c r="AC45" s="902"/>
      <c r="AD45" s="902"/>
      <c r="AE45" s="902"/>
      <c r="AF45" s="902"/>
      <c r="AG45" s="902"/>
      <c r="AH45" s="902"/>
      <c r="AI45" s="902"/>
      <c r="AJ45" s="902"/>
      <c r="AK45" s="902"/>
      <c r="AL45" s="902"/>
      <c r="AM45" s="902"/>
      <c r="AN45" s="902"/>
      <c r="AO45" s="902"/>
      <c r="AP45" s="902"/>
      <c r="AQ45" s="902"/>
      <c r="AR45" s="902"/>
      <c r="AS45" s="902"/>
      <c r="AT45" s="902"/>
      <c r="AU45" s="902"/>
      <c r="AV45" s="902"/>
      <c r="AW45" s="902"/>
      <c r="AX45" s="902"/>
      <c r="AY45" s="902"/>
      <c r="AZ45" s="902"/>
      <c r="BA45" s="902"/>
      <c r="BB45" s="902"/>
      <c r="BC45" s="902"/>
      <c r="BD45" s="902"/>
      <c r="BE45" s="902"/>
      <c r="BF45" s="902"/>
      <c r="BG45" s="902"/>
      <c r="BH45" s="902"/>
      <c r="BI45" s="902"/>
      <c r="BJ45" s="902"/>
      <c r="BK45" s="902"/>
      <c r="BL45" s="902"/>
      <c r="BM45" s="902"/>
      <c r="BN45" s="902"/>
      <c r="BO45" s="902"/>
      <c r="BP45" s="902"/>
      <c r="BQ45" s="902"/>
      <c r="BR45" s="902"/>
      <c r="BS45" s="902"/>
      <c r="BT45" s="902"/>
      <c r="BU45" s="902"/>
      <c r="BV45" s="902"/>
      <c r="BW45" s="902"/>
      <c r="BX45" s="902"/>
      <c r="BY45" s="902"/>
      <c r="BZ45" s="902"/>
      <c r="CA45" s="902"/>
      <c r="CB45" s="902"/>
      <c r="CC45" s="902"/>
      <c r="CD45" s="902"/>
      <c r="CE45" s="902"/>
      <c r="CF45" s="902"/>
      <c r="CG45" s="902"/>
      <c r="CH45" s="902"/>
      <c r="CI45" s="902"/>
      <c r="CJ45" s="902"/>
      <c r="CK45" s="902"/>
      <c r="CL45" s="902"/>
      <c r="CM45" s="902"/>
      <c r="CN45" s="902"/>
      <c r="CO45" s="902"/>
      <c r="CP45" s="902"/>
      <c r="CQ45" s="902"/>
      <c r="CR45" s="902"/>
      <c r="CS45" s="902"/>
      <c r="CT45" s="902"/>
      <c r="CU45" s="902"/>
      <c r="CV45" s="902"/>
      <c r="CW45" s="902"/>
      <c r="CX45" s="902"/>
      <c r="CY45" s="902"/>
      <c r="CZ45" s="902"/>
      <c r="DA45" s="902"/>
      <c r="DB45" s="902"/>
      <c r="DC45" s="902"/>
      <c r="DD45" s="902"/>
      <c r="DE45" s="902"/>
      <c r="DF45" s="902"/>
      <c r="DG45" s="902"/>
      <c r="DH45" s="902"/>
      <c r="DI45" s="902"/>
      <c r="DJ45" s="902"/>
      <c r="DK45" s="902"/>
      <c r="DL45" s="902"/>
      <c r="DM45" s="902"/>
      <c r="DN45" s="902"/>
      <c r="DO45" s="902"/>
      <c r="DP45" s="902"/>
      <c r="DQ45" s="902"/>
      <c r="DR45" s="902"/>
      <c r="DS45" s="902"/>
      <c r="DT45" s="902"/>
      <c r="DU45" s="902"/>
      <c r="DV45" s="902"/>
      <c r="DW45" s="902"/>
      <c r="DX45" s="902"/>
      <c r="DY45" s="902"/>
      <c r="DZ45" s="902"/>
      <c r="EA45" s="902"/>
      <c r="EB45" s="902"/>
      <c r="EC45" s="902"/>
      <c r="ED45" s="902"/>
      <c r="EE45" s="902"/>
      <c r="EF45" s="902"/>
      <c r="EG45" s="902"/>
      <c r="EH45" s="902"/>
      <c r="EI45" s="902"/>
      <c r="EJ45" s="902"/>
      <c r="EK45" s="902"/>
      <c r="EL45" s="902"/>
      <c r="EM45" s="902"/>
      <c r="EN45" s="902"/>
    </row>
    <row r="46" spans="1:144" s="887" customFormat="1" ht="13.5">
      <c r="A46" s="546"/>
      <c r="B46" s="896"/>
      <c r="C46" s="892" t="s">
        <v>97</v>
      </c>
      <c r="D46" s="546" t="s">
        <v>109</v>
      </c>
      <c r="E46" s="546">
        <v>0.13</v>
      </c>
      <c r="F46" s="651">
        <f>E46*F44</f>
        <v>0.52</v>
      </c>
      <c r="G46" s="651"/>
      <c r="H46" s="651"/>
      <c r="I46" s="651"/>
      <c r="J46" s="651"/>
      <c r="K46" s="651"/>
      <c r="L46" s="651"/>
      <c r="M46" s="651"/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2"/>
      <c r="AJ46" s="902"/>
      <c r="AK46" s="902"/>
      <c r="AL46" s="902"/>
      <c r="AM46" s="902"/>
      <c r="AN46" s="902"/>
      <c r="AO46" s="902"/>
      <c r="AP46" s="902"/>
      <c r="AQ46" s="902"/>
      <c r="AR46" s="902"/>
      <c r="AS46" s="902"/>
      <c r="AT46" s="902"/>
      <c r="AU46" s="902"/>
      <c r="AV46" s="902"/>
      <c r="AW46" s="902"/>
      <c r="AX46" s="902"/>
      <c r="AY46" s="902"/>
      <c r="AZ46" s="902"/>
      <c r="BA46" s="902"/>
      <c r="BB46" s="902"/>
      <c r="BC46" s="902"/>
      <c r="BD46" s="902"/>
      <c r="BE46" s="902"/>
      <c r="BF46" s="902"/>
      <c r="BG46" s="902"/>
      <c r="BH46" s="902"/>
      <c r="BI46" s="902"/>
      <c r="BJ46" s="902"/>
      <c r="BK46" s="902"/>
      <c r="BL46" s="902"/>
      <c r="BM46" s="902"/>
      <c r="BN46" s="902"/>
      <c r="BO46" s="902"/>
      <c r="BP46" s="902"/>
      <c r="BQ46" s="902"/>
      <c r="BR46" s="902"/>
      <c r="BS46" s="902"/>
      <c r="BT46" s="902"/>
      <c r="BU46" s="902"/>
      <c r="BV46" s="902"/>
      <c r="BW46" s="902"/>
      <c r="BX46" s="902"/>
      <c r="BY46" s="902"/>
      <c r="BZ46" s="902"/>
      <c r="CA46" s="902"/>
      <c r="CB46" s="902"/>
      <c r="CC46" s="902"/>
      <c r="CD46" s="902"/>
      <c r="CE46" s="902"/>
      <c r="CF46" s="902"/>
      <c r="CG46" s="902"/>
      <c r="CH46" s="902"/>
      <c r="CI46" s="902"/>
      <c r="CJ46" s="902"/>
      <c r="CK46" s="902"/>
      <c r="CL46" s="902"/>
      <c r="CM46" s="902"/>
      <c r="CN46" s="902"/>
      <c r="CO46" s="902"/>
      <c r="CP46" s="902"/>
      <c r="CQ46" s="902"/>
      <c r="CR46" s="902"/>
      <c r="CS46" s="902"/>
      <c r="CT46" s="902"/>
      <c r="CU46" s="902"/>
      <c r="CV46" s="902"/>
      <c r="CW46" s="902"/>
      <c r="CX46" s="902"/>
      <c r="CY46" s="902"/>
      <c r="CZ46" s="902"/>
      <c r="DA46" s="902"/>
      <c r="DB46" s="902"/>
      <c r="DC46" s="902"/>
      <c r="DD46" s="902"/>
      <c r="DE46" s="902"/>
      <c r="DF46" s="902"/>
      <c r="DG46" s="902"/>
      <c r="DH46" s="902"/>
      <c r="DI46" s="902"/>
      <c r="DJ46" s="902"/>
      <c r="DK46" s="902"/>
      <c r="DL46" s="902"/>
      <c r="DM46" s="902"/>
      <c r="DN46" s="902"/>
      <c r="DO46" s="902"/>
      <c r="DP46" s="902"/>
      <c r="DQ46" s="902"/>
      <c r="DR46" s="902"/>
      <c r="DS46" s="902"/>
      <c r="DT46" s="902"/>
      <c r="DU46" s="902"/>
      <c r="DV46" s="902"/>
      <c r="DW46" s="902"/>
      <c r="DX46" s="902"/>
      <c r="DY46" s="902"/>
      <c r="DZ46" s="902"/>
      <c r="EA46" s="902"/>
      <c r="EB46" s="902"/>
      <c r="EC46" s="902"/>
      <c r="ED46" s="902"/>
      <c r="EE46" s="902"/>
      <c r="EF46" s="902"/>
      <c r="EG46" s="902"/>
      <c r="EH46" s="902"/>
      <c r="EI46" s="902"/>
      <c r="EJ46" s="902"/>
      <c r="EK46" s="902"/>
      <c r="EL46" s="902"/>
      <c r="EM46" s="902"/>
      <c r="EN46" s="902"/>
    </row>
    <row r="47" spans="1:144" s="887" customFormat="1" ht="13.5">
      <c r="A47" s="546"/>
      <c r="B47" s="896" t="s">
        <v>701</v>
      </c>
      <c r="C47" s="899" t="s">
        <v>352</v>
      </c>
      <c r="D47" s="546" t="s">
        <v>98</v>
      </c>
      <c r="E47" s="546">
        <v>1</v>
      </c>
      <c r="F47" s="651">
        <f>E47*F44</f>
        <v>4</v>
      </c>
      <c r="G47" s="651"/>
      <c r="H47" s="651"/>
      <c r="I47" s="651"/>
      <c r="J47" s="651"/>
      <c r="K47" s="651"/>
      <c r="L47" s="651"/>
      <c r="M47" s="651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2"/>
      <c r="AJ47" s="902"/>
      <c r="AK47" s="902"/>
      <c r="AL47" s="902"/>
      <c r="AM47" s="902"/>
      <c r="AN47" s="902"/>
      <c r="AO47" s="902"/>
      <c r="AP47" s="902"/>
      <c r="AQ47" s="902"/>
      <c r="AR47" s="902"/>
      <c r="AS47" s="902"/>
      <c r="AT47" s="902"/>
      <c r="AU47" s="902"/>
      <c r="AV47" s="902"/>
      <c r="AW47" s="902"/>
      <c r="AX47" s="902"/>
      <c r="AY47" s="902"/>
      <c r="AZ47" s="902"/>
      <c r="BA47" s="902"/>
      <c r="BB47" s="902"/>
      <c r="BC47" s="902"/>
      <c r="BD47" s="902"/>
      <c r="BE47" s="902"/>
      <c r="BF47" s="902"/>
      <c r="BG47" s="902"/>
      <c r="BH47" s="902"/>
      <c r="BI47" s="902"/>
      <c r="BJ47" s="902"/>
      <c r="BK47" s="902"/>
      <c r="BL47" s="902"/>
      <c r="BM47" s="902"/>
      <c r="BN47" s="902"/>
      <c r="BO47" s="902"/>
      <c r="BP47" s="902"/>
      <c r="BQ47" s="902"/>
      <c r="BR47" s="902"/>
      <c r="BS47" s="902"/>
      <c r="BT47" s="902"/>
      <c r="BU47" s="902"/>
      <c r="BV47" s="902"/>
      <c r="BW47" s="902"/>
      <c r="BX47" s="902"/>
      <c r="BY47" s="902"/>
      <c r="BZ47" s="902"/>
      <c r="CA47" s="902"/>
      <c r="CB47" s="902"/>
      <c r="CC47" s="902"/>
      <c r="CD47" s="902"/>
      <c r="CE47" s="902"/>
      <c r="CF47" s="902"/>
      <c r="CG47" s="902"/>
      <c r="CH47" s="902"/>
      <c r="CI47" s="902"/>
      <c r="CJ47" s="902"/>
      <c r="CK47" s="902"/>
      <c r="CL47" s="902"/>
      <c r="CM47" s="902"/>
      <c r="CN47" s="902"/>
      <c r="CO47" s="902"/>
      <c r="CP47" s="902"/>
      <c r="CQ47" s="902"/>
      <c r="CR47" s="902"/>
      <c r="CS47" s="902"/>
      <c r="CT47" s="902"/>
      <c r="CU47" s="902"/>
      <c r="CV47" s="902"/>
      <c r="CW47" s="902"/>
      <c r="CX47" s="902"/>
      <c r="CY47" s="902"/>
      <c r="CZ47" s="902"/>
      <c r="DA47" s="902"/>
      <c r="DB47" s="902"/>
      <c r="DC47" s="902"/>
      <c r="DD47" s="902"/>
      <c r="DE47" s="902"/>
      <c r="DF47" s="902"/>
      <c r="DG47" s="902"/>
      <c r="DH47" s="902"/>
      <c r="DI47" s="902"/>
      <c r="DJ47" s="902"/>
      <c r="DK47" s="902"/>
      <c r="DL47" s="902"/>
      <c r="DM47" s="902"/>
      <c r="DN47" s="902"/>
      <c r="DO47" s="902"/>
      <c r="DP47" s="902"/>
      <c r="DQ47" s="902"/>
      <c r="DR47" s="902"/>
      <c r="DS47" s="902"/>
      <c r="DT47" s="902"/>
      <c r="DU47" s="902"/>
      <c r="DV47" s="902"/>
      <c r="DW47" s="902"/>
      <c r="DX47" s="902"/>
      <c r="DY47" s="902"/>
      <c r="DZ47" s="902"/>
      <c r="EA47" s="902"/>
      <c r="EB47" s="902"/>
      <c r="EC47" s="902"/>
      <c r="ED47" s="902"/>
      <c r="EE47" s="902"/>
      <c r="EF47" s="902"/>
      <c r="EG47" s="902"/>
      <c r="EH47" s="902"/>
      <c r="EI47" s="902"/>
      <c r="EJ47" s="902"/>
      <c r="EK47" s="902"/>
      <c r="EL47" s="902"/>
      <c r="EM47" s="902"/>
      <c r="EN47" s="902"/>
    </row>
    <row r="48" spans="1:144" s="887" customFormat="1" ht="13.5">
      <c r="A48" s="546"/>
      <c r="B48" s="390"/>
      <c r="C48" s="892" t="s">
        <v>104</v>
      </c>
      <c r="D48" s="546" t="s">
        <v>109</v>
      </c>
      <c r="E48" s="546">
        <v>7.0000000000000007E-2</v>
      </c>
      <c r="F48" s="651">
        <f>E48*F44</f>
        <v>0.28000000000000003</v>
      </c>
      <c r="G48" s="651"/>
      <c r="H48" s="651"/>
      <c r="I48" s="651"/>
      <c r="J48" s="651"/>
      <c r="K48" s="651"/>
      <c r="L48" s="651"/>
      <c r="M48" s="651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2"/>
      <c r="AG48" s="902"/>
      <c r="AH48" s="902"/>
      <c r="AI48" s="902"/>
      <c r="AJ48" s="902"/>
      <c r="AK48" s="902"/>
      <c r="AL48" s="902"/>
      <c r="AM48" s="902"/>
      <c r="AN48" s="902"/>
      <c r="AO48" s="902"/>
      <c r="AP48" s="902"/>
      <c r="AQ48" s="902"/>
      <c r="AR48" s="902"/>
      <c r="AS48" s="902"/>
      <c r="AT48" s="902"/>
      <c r="AU48" s="902"/>
      <c r="AV48" s="902"/>
      <c r="AW48" s="902"/>
      <c r="AX48" s="902"/>
      <c r="AY48" s="902"/>
      <c r="AZ48" s="902"/>
      <c r="BA48" s="902"/>
      <c r="BB48" s="902"/>
      <c r="BC48" s="902"/>
      <c r="BD48" s="902"/>
      <c r="BE48" s="902"/>
      <c r="BF48" s="902"/>
      <c r="BG48" s="902"/>
      <c r="BH48" s="902"/>
      <c r="BI48" s="902"/>
      <c r="BJ48" s="902"/>
      <c r="BK48" s="902"/>
      <c r="BL48" s="902"/>
      <c r="BM48" s="902"/>
      <c r="BN48" s="902"/>
      <c r="BO48" s="902"/>
      <c r="BP48" s="902"/>
      <c r="BQ48" s="902"/>
      <c r="BR48" s="902"/>
      <c r="BS48" s="902"/>
      <c r="BT48" s="902"/>
      <c r="BU48" s="902"/>
      <c r="BV48" s="902"/>
      <c r="BW48" s="902"/>
      <c r="BX48" s="902"/>
      <c r="BY48" s="902"/>
      <c r="BZ48" s="902"/>
      <c r="CA48" s="902"/>
      <c r="CB48" s="902"/>
      <c r="CC48" s="902"/>
      <c r="CD48" s="902"/>
      <c r="CE48" s="902"/>
      <c r="CF48" s="902"/>
      <c r="CG48" s="902"/>
      <c r="CH48" s="902"/>
      <c r="CI48" s="902"/>
      <c r="CJ48" s="902"/>
      <c r="CK48" s="902"/>
      <c r="CL48" s="902"/>
      <c r="CM48" s="902"/>
      <c r="CN48" s="902"/>
      <c r="CO48" s="902"/>
      <c r="CP48" s="902"/>
      <c r="CQ48" s="902"/>
      <c r="CR48" s="902"/>
      <c r="CS48" s="902"/>
      <c r="CT48" s="902"/>
      <c r="CU48" s="902"/>
      <c r="CV48" s="902"/>
      <c r="CW48" s="902"/>
      <c r="CX48" s="902"/>
      <c r="CY48" s="902"/>
      <c r="CZ48" s="902"/>
      <c r="DA48" s="902"/>
      <c r="DB48" s="902"/>
      <c r="DC48" s="902"/>
      <c r="DD48" s="902"/>
      <c r="DE48" s="902"/>
      <c r="DF48" s="902"/>
      <c r="DG48" s="902"/>
      <c r="DH48" s="902"/>
      <c r="DI48" s="902"/>
      <c r="DJ48" s="902"/>
      <c r="DK48" s="902"/>
      <c r="DL48" s="902"/>
      <c r="DM48" s="902"/>
      <c r="DN48" s="902"/>
      <c r="DO48" s="902"/>
      <c r="DP48" s="902"/>
      <c r="DQ48" s="902"/>
      <c r="DR48" s="902"/>
      <c r="DS48" s="902"/>
      <c r="DT48" s="902"/>
      <c r="DU48" s="902"/>
      <c r="DV48" s="902"/>
      <c r="DW48" s="902"/>
      <c r="DX48" s="902"/>
      <c r="DY48" s="902"/>
      <c r="DZ48" s="902"/>
      <c r="EA48" s="902"/>
      <c r="EB48" s="902"/>
      <c r="EC48" s="902"/>
      <c r="ED48" s="902"/>
      <c r="EE48" s="902"/>
      <c r="EF48" s="902"/>
      <c r="EG48" s="902"/>
      <c r="EH48" s="902"/>
      <c r="EI48" s="902"/>
      <c r="EJ48" s="902"/>
      <c r="EK48" s="902"/>
      <c r="EL48" s="902"/>
      <c r="EM48" s="902"/>
      <c r="EN48" s="902"/>
    </row>
    <row r="49" spans="1:144" s="887" customFormat="1" ht="27">
      <c r="A49" s="664">
        <v>6</v>
      </c>
      <c r="B49" s="666" t="s">
        <v>583</v>
      </c>
      <c r="C49" s="898" t="s">
        <v>353</v>
      </c>
      <c r="D49" s="664" t="s">
        <v>242</v>
      </c>
      <c r="E49" s="664"/>
      <c r="F49" s="894">
        <v>4</v>
      </c>
      <c r="G49" s="894"/>
      <c r="H49" s="894"/>
      <c r="I49" s="894"/>
      <c r="J49" s="894"/>
      <c r="K49" s="894"/>
      <c r="L49" s="894"/>
      <c r="M49" s="894"/>
      <c r="N49" s="903"/>
      <c r="O49" s="903"/>
      <c r="P49" s="903"/>
      <c r="Q49" s="903"/>
      <c r="R49" s="903"/>
      <c r="S49" s="903"/>
      <c r="T49" s="903"/>
      <c r="U49" s="903"/>
      <c r="V49" s="903"/>
      <c r="W49" s="903"/>
      <c r="X49" s="903"/>
      <c r="Y49" s="903"/>
      <c r="Z49" s="903"/>
      <c r="AA49" s="903"/>
      <c r="AB49" s="903"/>
      <c r="AC49" s="903"/>
      <c r="AD49" s="903"/>
      <c r="AE49" s="903"/>
      <c r="AF49" s="903"/>
      <c r="AG49" s="903"/>
      <c r="AH49" s="903"/>
      <c r="AI49" s="903"/>
      <c r="AJ49" s="903"/>
      <c r="AK49" s="903"/>
      <c r="AL49" s="903"/>
      <c r="AM49" s="903"/>
      <c r="AN49" s="903"/>
      <c r="AO49" s="903"/>
      <c r="AP49" s="903"/>
      <c r="AQ49" s="903"/>
      <c r="AR49" s="903"/>
      <c r="AS49" s="903"/>
      <c r="AT49" s="903"/>
      <c r="AU49" s="903"/>
      <c r="AV49" s="903"/>
      <c r="AW49" s="903"/>
      <c r="AX49" s="903"/>
      <c r="AY49" s="903"/>
      <c r="AZ49" s="903"/>
      <c r="BA49" s="903"/>
      <c r="BB49" s="903"/>
      <c r="BC49" s="903"/>
      <c r="BD49" s="903"/>
      <c r="BE49" s="903"/>
      <c r="BF49" s="903"/>
      <c r="BG49" s="903"/>
      <c r="BH49" s="903"/>
      <c r="BI49" s="903"/>
      <c r="BJ49" s="903"/>
      <c r="BK49" s="903"/>
      <c r="BL49" s="903"/>
      <c r="BM49" s="903"/>
      <c r="BN49" s="903"/>
      <c r="BO49" s="903"/>
      <c r="BP49" s="903"/>
      <c r="BQ49" s="903"/>
      <c r="BR49" s="903"/>
      <c r="BS49" s="903"/>
      <c r="BT49" s="903"/>
      <c r="BU49" s="903"/>
      <c r="BV49" s="903"/>
      <c r="BW49" s="903"/>
      <c r="BX49" s="903"/>
      <c r="BY49" s="903"/>
      <c r="BZ49" s="903"/>
      <c r="CA49" s="903"/>
      <c r="CB49" s="903"/>
      <c r="CC49" s="903"/>
      <c r="CD49" s="903"/>
      <c r="CE49" s="903"/>
      <c r="CF49" s="903"/>
      <c r="CG49" s="903"/>
      <c r="CH49" s="903"/>
      <c r="CI49" s="903"/>
      <c r="CJ49" s="903"/>
      <c r="CK49" s="903"/>
      <c r="CL49" s="903"/>
      <c r="CM49" s="903"/>
      <c r="CN49" s="903"/>
      <c r="CO49" s="903"/>
      <c r="CP49" s="903"/>
      <c r="CQ49" s="903"/>
      <c r="CR49" s="903"/>
      <c r="CS49" s="903"/>
      <c r="CT49" s="903"/>
      <c r="CU49" s="903"/>
      <c r="CV49" s="903"/>
      <c r="CW49" s="903"/>
      <c r="CX49" s="903"/>
      <c r="CY49" s="903"/>
      <c r="CZ49" s="903"/>
      <c r="DA49" s="903"/>
      <c r="DB49" s="903"/>
      <c r="DC49" s="903"/>
      <c r="DD49" s="903"/>
      <c r="DE49" s="903"/>
      <c r="DF49" s="903"/>
      <c r="DG49" s="903"/>
      <c r="DH49" s="903"/>
      <c r="DI49" s="903"/>
      <c r="DJ49" s="903"/>
      <c r="DK49" s="903"/>
      <c r="DL49" s="903"/>
      <c r="DM49" s="903"/>
      <c r="DN49" s="903"/>
      <c r="DO49" s="903"/>
      <c r="DP49" s="903"/>
      <c r="DQ49" s="903"/>
      <c r="DR49" s="903"/>
      <c r="DS49" s="903"/>
      <c r="DT49" s="903"/>
      <c r="DU49" s="903"/>
      <c r="DV49" s="903"/>
      <c r="DW49" s="903"/>
      <c r="DX49" s="903"/>
      <c r="DY49" s="903"/>
      <c r="DZ49" s="903"/>
      <c r="EA49" s="903"/>
      <c r="EB49" s="903"/>
      <c r="EC49" s="903"/>
      <c r="ED49" s="903"/>
      <c r="EE49" s="903"/>
      <c r="EF49" s="903"/>
      <c r="EG49" s="903"/>
      <c r="EH49" s="903"/>
      <c r="EI49" s="903"/>
      <c r="EJ49" s="903"/>
      <c r="EK49" s="903"/>
      <c r="EL49" s="903"/>
      <c r="EM49" s="903"/>
      <c r="EN49" s="903"/>
    </row>
    <row r="50" spans="1:144" s="887" customFormat="1" ht="13.5">
      <c r="A50" s="546"/>
      <c r="B50" s="891"/>
      <c r="C50" s="892" t="s">
        <v>86</v>
      </c>
      <c r="D50" s="546" t="s">
        <v>13</v>
      </c>
      <c r="E50" s="546">
        <v>1.51</v>
      </c>
      <c r="F50" s="651">
        <f>E50*F49</f>
        <v>6.04</v>
      </c>
      <c r="G50" s="651"/>
      <c r="H50" s="651"/>
      <c r="I50" s="651"/>
      <c r="J50" s="651"/>
      <c r="K50" s="651"/>
      <c r="L50" s="651"/>
      <c r="M50" s="651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2"/>
      <c r="AA50" s="902"/>
      <c r="AB50" s="902"/>
      <c r="AC50" s="902"/>
      <c r="AD50" s="902"/>
      <c r="AE50" s="902"/>
      <c r="AF50" s="902"/>
      <c r="AG50" s="902"/>
      <c r="AH50" s="902"/>
      <c r="AI50" s="902"/>
      <c r="AJ50" s="902"/>
      <c r="AK50" s="902"/>
      <c r="AL50" s="902"/>
      <c r="AM50" s="902"/>
      <c r="AN50" s="902"/>
      <c r="AO50" s="902"/>
      <c r="AP50" s="902"/>
      <c r="AQ50" s="902"/>
      <c r="AR50" s="902"/>
      <c r="AS50" s="902"/>
      <c r="AT50" s="902"/>
      <c r="AU50" s="902"/>
      <c r="AV50" s="902"/>
      <c r="AW50" s="902"/>
      <c r="AX50" s="902"/>
      <c r="AY50" s="902"/>
      <c r="AZ50" s="902"/>
      <c r="BA50" s="902"/>
      <c r="BB50" s="902"/>
      <c r="BC50" s="902"/>
      <c r="BD50" s="902"/>
      <c r="BE50" s="902"/>
      <c r="BF50" s="902"/>
      <c r="BG50" s="902"/>
      <c r="BH50" s="902"/>
      <c r="BI50" s="902"/>
      <c r="BJ50" s="902"/>
      <c r="BK50" s="902"/>
      <c r="BL50" s="902"/>
      <c r="BM50" s="902"/>
      <c r="BN50" s="902"/>
      <c r="BO50" s="902"/>
      <c r="BP50" s="902"/>
      <c r="BQ50" s="902"/>
      <c r="BR50" s="902"/>
      <c r="BS50" s="902"/>
      <c r="BT50" s="902"/>
      <c r="BU50" s="902"/>
      <c r="BV50" s="902"/>
      <c r="BW50" s="902"/>
      <c r="BX50" s="902"/>
      <c r="BY50" s="902"/>
      <c r="BZ50" s="902"/>
      <c r="CA50" s="902"/>
      <c r="CB50" s="902"/>
      <c r="CC50" s="902"/>
      <c r="CD50" s="902"/>
      <c r="CE50" s="902"/>
      <c r="CF50" s="902"/>
      <c r="CG50" s="902"/>
      <c r="CH50" s="902"/>
      <c r="CI50" s="902"/>
      <c r="CJ50" s="902"/>
      <c r="CK50" s="902"/>
      <c r="CL50" s="902"/>
      <c r="CM50" s="902"/>
      <c r="CN50" s="902"/>
      <c r="CO50" s="902"/>
      <c r="CP50" s="902"/>
      <c r="CQ50" s="902"/>
      <c r="CR50" s="902"/>
      <c r="CS50" s="902"/>
      <c r="CT50" s="902"/>
      <c r="CU50" s="902"/>
      <c r="CV50" s="902"/>
      <c r="CW50" s="902"/>
      <c r="CX50" s="902"/>
      <c r="CY50" s="902"/>
      <c r="CZ50" s="902"/>
      <c r="DA50" s="902"/>
      <c r="DB50" s="902"/>
      <c r="DC50" s="902"/>
      <c r="DD50" s="902"/>
      <c r="DE50" s="902"/>
      <c r="DF50" s="902"/>
      <c r="DG50" s="902"/>
      <c r="DH50" s="902"/>
      <c r="DI50" s="902"/>
      <c r="DJ50" s="902"/>
      <c r="DK50" s="902"/>
      <c r="DL50" s="902"/>
      <c r="DM50" s="902"/>
      <c r="DN50" s="902"/>
      <c r="DO50" s="902"/>
      <c r="DP50" s="902"/>
      <c r="DQ50" s="902"/>
      <c r="DR50" s="902"/>
      <c r="DS50" s="902"/>
      <c r="DT50" s="902"/>
      <c r="DU50" s="902"/>
      <c r="DV50" s="902"/>
      <c r="DW50" s="902"/>
      <c r="DX50" s="902"/>
      <c r="DY50" s="902"/>
      <c r="DZ50" s="902"/>
      <c r="EA50" s="902"/>
      <c r="EB50" s="902"/>
      <c r="EC50" s="902"/>
      <c r="ED50" s="902"/>
      <c r="EE50" s="902"/>
      <c r="EF50" s="902"/>
      <c r="EG50" s="902"/>
      <c r="EH50" s="902"/>
      <c r="EI50" s="902"/>
      <c r="EJ50" s="902"/>
      <c r="EK50" s="902"/>
      <c r="EL50" s="902"/>
      <c r="EM50" s="902"/>
      <c r="EN50" s="902"/>
    </row>
    <row r="51" spans="1:144" s="887" customFormat="1" ht="13.5">
      <c r="A51" s="546"/>
      <c r="B51" s="896"/>
      <c r="C51" s="892" t="s">
        <v>97</v>
      </c>
      <c r="D51" s="546" t="s">
        <v>109</v>
      </c>
      <c r="E51" s="546">
        <v>0.13</v>
      </c>
      <c r="F51" s="651">
        <f>E51*F49</f>
        <v>0.52</v>
      </c>
      <c r="G51" s="651"/>
      <c r="H51" s="651"/>
      <c r="I51" s="651"/>
      <c r="J51" s="651"/>
      <c r="K51" s="651"/>
      <c r="L51" s="651"/>
      <c r="M51" s="651"/>
      <c r="N51" s="902"/>
      <c r="O51" s="902"/>
      <c r="P51" s="902"/>
      <c r="Q51" s="902"/>
      <c r="R51" s="902"/>
      <c r="S51" s="902"/>
      <c r="T51" s="902"/>
      <c r="U51" s="902"/>
      <c r="V51" s="902"/>
      <c r="W51" s="902"/>
      <c r="X51" s="902"/>
      <c r="Y51" s="902"/>
      <c r="Z51" s="902"/>
      <c r="AA51" s="902"/>
      <c r="AB51" s="902"/>
      <c r="AC51" s="902"/>
      <c r="AD51" s="902"/>
      <c r="AE51" s="902"/>
      <c r="AF51" s="902"/>
      <c r="AG51" s="902"/>
      <c r="AH51" s="902"/>
      <c r="AI51" s="902"/>
      <c r="AJ51" s="902"/>
      <c r="AK51" s="902"/>
      <c r="AL51" s="902"/>
      <c r="AM51" s="902"/>
      <c r="AN51" s="902"/>
      <c r="AO51" s="902"/>
      <c r="AP51" s="902"/>
      <c r="AQ51" s="902"/>
      <c r="AR51" s="902"/>
      <c r="AS51" s="902"/>
      <c r="AT51" s="902"/>
      <c r="AU51" s="902"/>
      <c r="AV51" s="902"/>
      <c r="AW51" s="902"/>
      <c r="AX51" s="902"/>
      <c r="AY51" s="902"/>
      <c r="AZ51" s="902"/>
      <c r="BA51" s="902"/>
      <c r="BB51" s="902"/>
      <c r="BC51" s="902"/>
      <c r="BD51" s="902"/>
      <c r="BE51" s="902"/>
      <c r="BF51" s="902"/>
      <c r="BG51" s="902"/>
      <c r="BH51" s="902"/>
      <c r="BI51" s="902"/>
      <c r="BJ51" s="902"/>
      <c r="BK51" s="902"/>
      <c r="BL51" s="902"/>
      <c r="BM51" s="902"/>
      <c r="BN51" s="902"/>
      <c r="BO51" s="902"/>
      <c r="BP51" s="902"/>
      <c r="BQ51" s="902"/>
      <c r="BR51" s="902"/>
      <c r="BS51" s="902"/>
      <c r="BT51" s="902"/>
      <c r="BU51" s="902"/>
      <c r="BV51" s="902"/>
      <c r="BW51" s="902"/>
      <c r="BX51" s="902"/>
      <c r="BY51" s="902"/>
      <c r="BZ51" s="902"/>
      <c r="CA51" s="902"/>
      <c r="CB51" s="902"/>
      <c r="CC51" s="902"/>
      <c r="CD51" s="902"/>
      <c r="CE51" s="902"/>
      <c r="CF51" s="902"/>
      <c r="CG51" s="902"/>
      <c r="CH51" s="902"/>
      <c r="CI51" s="902"/>
      <c r="CJ51" s="902"/>
      <c r="CK51" s="902"/>
      <c r="CL51" s="902"/>
      <c r="CM51" s="902"/>
      <c r="CN51" s="902"/>
      <c r="CO51" s="902"/>
      <c r="CP51" s="902"/>
      <c r="CQ51" s="902"/>
      <c r="CR51" s="902"/>
      <c r="CS51" s="902"/>
      <c r="CT51" s="902"/>
      <c r="CU51" s="902"/>
      <c r="CV51" s="902"/>
      <c r="CW51" s="902"/>
      <c r="CX51" s="902"/>
      <c r="CY51" s="902"/>
      <c r="CZ51" s="902"/>
      <c r="DA51" s="902"/>
      <c r="DB51" s="902"/>
      <c r="DC51" s="902"/>
      <c r="DD51" s="902"/>
      <c r="DE51" s="902"/>
      <c r="DF51" s="902"/>
      <c r="DG51" s="902"/>
      <c r="DH51" s="902"/>
      <c r="DI51" s="902"/>
      <c r="DJ51" s="902"/>
      <c r="DK51" s="902"/>
      <c r="DL51" s="902"/>
      <c r="DM51" s="902"/>
      <c r="DN51" s="902"/>
      <c r="DO51" s="902"/>
      <c r="DP51" s="902"/>
      <c r="DQ51" s="902"/>
      <c r="DR51" s="902"/>
      <c r="DS51" s="902"/>
      <c r="DT51" s="902"/>
      <c r="DU51" s="902"/>
      <c r="DV51" s="902"/>
      <c r="DW51" s="902"/>
      <c r="DX51" s="902"/>
      <c r="DY51" s="902"/>
      <c r="DZ51" s="902"/>
      <c r="EA51" s="902"/>
      <c r="EB51" s="902"/>
      <c r="EC51" s="902"/>
      <c r="ED51" s="902"/>
      <c r="EE51" s="902"/>
      <c r="EF51" s="902"/>
      <c r="EG51" s="902"/>
      <c r="EH51" s="902"/>
      <c r="EI51" s="902"/>
      <c r="EJ51" s="902"/>
      <c r="EK51" s="902"/>
      <c r="EL51" s="902"/>
      <c r="EM51" s="902"/>
      <c r="EN51" s="902"/>
    </row>
    <row r="52" spans="1:144" s="887" customFormat="1" ht="13.5">
      <c r="A52" s="546"/>
      <c r="B52" s="896" t="s">
        <v>701</v>
      </c>
      <c r="C52" s="899" t="s">
        <v>354</v>
      </c>
      <c r="D52" s="546" t="s">
        <v>98</v>
      </c>
      <c r="E52" s="546">
        <v>1</v>
      </c>
      <c r="F52" s="651">
        <f>E52*F49</f>
        <v>4</v>
      </c>
      <c r="G52" s="651"/>
      <c r="H52" s="651"/>
      <c r="I52" s="651"/>
      <c r="J52" s="651"/>
      <c r="K52" s="651"/>
      <c r="L52" s="651"/>
      <c r="M52" s="651"/>
      <c r="N52" s="902"/>
      <c r="O52" s="902"/>
      <c r="P52" s="902"/>
      <c r="Q52" s="902"/>
      <c r="R52" s="902"/>
      <c r="S52" s="902"/>
      <c r="T52" s="902"/>
      <c r="U52" s="902"/>
      <c r="V52" s="902"/>
      <c r="W52" s="902"/>
      <c r="X52" s="902"/>
      <c r="Y52" s="902"/>
      <c r="Z52" s="902"/>
      <c r="AA52" s="902"/>
      <c r="AB52" s="902"/>
      <c r="AC52" s="902"/>
      <c r="AD52" s="902"/>
      <c r="AE52" s="902"/>
      <c r="AF52" s="902"/>
      <c r="AG52" s="902"/>
      <c r="AH52" s="902"/>
      <c r="AI52" s="902"/>
      <c r="AJ52" s="902"/>
      <c r="AK52" s="902"/>
      <c r="AL52" s="902"/>
      <c r="AM52" s="902"/>
      <c r="AN52" s="902"/>
      <c r="AO52" s="902"/>
      <c r="AP52" s="902"/>
      <c r="AQ52" s="902"/>
      <c r="AR52" s="902"/>
      <c r="AS52" s="902"/>
      <c r="AT52" s="902"/>
      <c r="AU52" s="902"/>
      <c r="AV52" s="902"/>
      <c r="AW52" s="902"/>
      <c r="AX52" s="902"/>
      <c r="AY52" s="902"/>
      <c r="AZ52" s="902"/>
      <c r="BA52" s="902"/>
      <c r="BB52" s="902"/>
      <c r="BC52" s="902"/>
      <c r="BD52" s="902"/>
      <c r="BE52" s="902"/>
      <c r="BF52" s="902"/>
      <c r="BG52" s="902"/>
      <c r="BH52" s="902"/>
      <c r="BI52" s="902"/>
      <c r="BJ52" s="902"/>
      <c r="BK52" s="902"/>
      <c r="BL52" s="902"/>
      <c r="BM52" s="902"/>
      <c r="BN52" s="902"/>
      <c r="BO52" s="902"/>
      <c r="BP52" s="902"/>
      <c r="BQ52" s="902"/>
      <c r="BR52" s="902"/>
      <c r="BS52" s="902"/>
      <c r="BT52" s="902"/>
      <c r="BU52" s="902"/>
      <c r="BV52" s="902"/>
      <c r="BW52" s="902"/>
      <c r="BX52" s="902"/>
      <c r="BY52" s="902"/>
      <c r="BZ52" s="902"/>
      <c r="CA52" s="902"/>
      <c r="CB52" s="902"/>
      <c r="CC52" s="902"/>
      <c r="CD52" s="902"/>
      <c r="CE52" s="902"/>
      <c r="CF52" s="902"/>
      <c r="CG52" s="902"/>
      <c r="CH52" s="902"/>
      <c r="CI52" s="902"/>
      <c r="CJ52" s="902"/>
      <c r="CK52" s="902"/>
      <c r="CL52" s="902"/>
      <c r="CM52" s="902"/>
      <c r="CN52" s="902"/>
      <c r="CO52" s="902"/>
      <c r="CP52" s="902"/>
      <c r="CQ52" s="902"/>
      <c r="CR52" s="902"/>
      <c r="CS52" s="902"/>
      <c r="CT52" s="902"/>
      <c r="CU52" s="902"/>
      <c r="CV52" s="902"/>
      <c r="CW52" s="902"/>
      <c r="CX52" s="902"/>
      <c r="CY52" s="902"/>
      <c r="CZ52" s="902"/>
      <c r="DA52" s="902"/>
      <c r="DB52" s="902"/>
      <c r="DC52" s="902"/>
      <c r="DD52" s="902"/>
      <c r="DE52" s="902"/>
      <c r="DF52" s="902"/>
      <c r="DG52" s="902"/>
      <c r="DH52" s="902"/>
      <c r="DI52" s="902"/>
      <c r="DJ52" s="902"/>
      <c r="DK52" s="902"/>
      <c r="DL52" s="902"/>
      <c r="DM52" s="902"/>
      <c r="DN52" s="902"/>
      <c r="DO52" s="902"/>
      <c r="DP52" s="902"/>
      <c r="DQ52" s="902"/>
      <c r="DR52" s="902"/>
      <c r="DS52" s="902"/>
      <c r="DT52" s="902"/>
      <c r="DU52" s="902"/>
      <c r="DV52" s="902"/>
      <c r="DW52" s="902"/>
      <c r="DX52" s="902"/>
      <c r="DY52" s="902"/>
      <c r="DZ52" s="902"/>
      <c r="EA52" s="902"/>
      <c r="EB52" s="902"/>
      <c r="EC52" s="902"/>
      <c r="ED52" s="902"/>
      <c r="EE52" s="902"/>
      <c r="EF52" s="902"/>
      <c r="EG52" s="902"/>
      <c r="EH52" s="902"/>
      <c r="EI52" s="902"/>
      <c r="EJ52" s="902"/>
      <c r="EK52" s="902"/>
      <c r="EL52" s="902"/>
      <c r="EM52" s="902"/>
      <c r="EN52" s="902"/>
    </row>
    <row r="53" spans="1:144" s="887" customFormat="1" ht="13.5">
      <c r="A53" s="546"/>
      <c r="B53" s="390"/>
      <c r="C53" s="892" t="s">
        <v>104</v>
      </c>
      <c r="D53" s="546" t="s">
        <v>109</v>
      </c>
      <c r="E53" s="546">
        <v>7.0000000000000007E-2</v>
      </c>
      <c r="F53" s="651">
        <f>E53*F49</f>
        <v>0.28000000000000003</v>
      </c>
      <c r="G53" s="651"/>
      <c r="H53" s="651"/>
      <c r="I53" s="651"/>
      <c r="J53" s="651"/>
      <c r="K53" s="651"/>
      <c r="L53" s="651"/>
      <c r="M53" s="651"/>
      <c r="N53" s="902"/>
      <c r="O53" s="902"/>
      <c r="P53" s="902"/>
      <c r="Q53" s="902"/>
      <c r="R53" s="902"/>
      <c r="S53" s="902"/>
      <c r="T53" s="902"/>
      <c r="U53" s="902"/>
      <c r="V53" s="902"/>
      <c r="W53" s="902"/>
      <c r="X53" s="902"/>
      <c r="Y53" s="902"/>
      <c r="Z53" s="902"/>
      <c r="AA53" s="902"/>
      <c r="AB53" s="902"/>
      <c r="AC53" s="902"/>
      <c r="AD53" s="902"/>
      <c r="AE53" s="902"/>
      <c r="AF53" s="902"/>
      <c r="AG53" s="902"/>
      <c r="AH53" s="902"/>
      <c r="AI53" s="902"/>
      <c r="AJ53" s="902"/>
      <c r="AK53" s="902"/>
      <c r="AL53" s="902"/>
      <c r="AM53" s="902"/>
      <c r="AN53" s="902"/>
      <c r="AO53" s="902"/>
      <c r="AP53" s="902"/>
      <c r="AQ53" s="902"/>
      <c r="AR53" s="902"/>
      <c r="AS53" s="902"/>
      <c r="AT53" s="902"/>
      <c r="AU53" s="902"/>
      <c r="AV53" s="902"/>
      <c r="AW53" s="902"/>
      <c r="AX53" s="902"/>
      <c r="AY53" s="902"/>
      <c r="AZ53" s="902"/>
      <c r="BA53" s="902"/>
      <c r="BB53" s="902"/>
      <c r="BC53" s="902"/>
      <c r="BD53" s="902"/>
      <c r="BE53" s="902"/>
      <c r="BF53" s="902"/>
      <c r="BG53" s="902"/>
      <c r="BH53" s="902"/>
      <c r="BI53" s="902"/>
      <c r="BJ53" s="902"/>
      <c r="BK53" s="902"/>
      <c r="BL53" s="902"/>
      <c r="BM53" s="902"/>
      <c r="BN53" s="902"/>
      <c r="BO53" s="902"/>
      <c r="BP53" s="902"/>
      <c r="BQ53" s="902"/>
      <c r="BR53" s="902"/>
      <c r="BS53" s="902"/>
      <c r="BT53" s="902"/>
      <c r="BU53" s="902"/>
      <c r="BV53" s="902"/>
      <c r="BW53" s="902"/>
      <c r="BX53" s="902"/>
      <c r="BY53" s="902"/>
      <c r="BZ53" s="902"/>
      <c r="CA53" s="902"/>
      <c r="CB53" s="902"/>
      <c r="CC53" s="902"/>
      <c r="CD53" s="902"/>
      <c r="CE53" s="902"/>
      <c r="CF53" s="902"/>
      <c r="CG53" s="902"/>
      <c r="CH53" s="902"/>
      <c r="CI53" s="902"/>
      <c r="CJ53" s="902"/>
      <c r="CK53" s="902"/>
      <c r="CL53" s="902"/>
      <c r="CM53" s="902"/>
      <c r="CN53" s="902"/>
      <c r="CO53" s="902"/>
      <c r="CP53" s="902"/>
      <c r="CQ53" s="902"/>
      <c r="CR53" s="902"/>
      <c r="CS53" s="902"/>
      <c r="CT53" s="902"/>
      <c r="CU53" s="902"/>
      <c r="CV53" s="902"/>
      <c r="CW53" s="902"/>
      <c r="CX53" s="902"/>
      <c r="CY53" s="902"/>
      <c r="CZ53" s="902"/>
      <c r="DA53" s="902"/>
      <c r="DB53" s="902"/>
      <c r="DC53" s="902"/>
      <c r="DD53" s="902"/>
      <c r="DE53" s="902"/>
      <c r="DF53" s="902"/>
      <c r="DG53" s="902"/>
      <c r="DH53" s="902"/>
      <c r="DI53" s="902"/>
      <c r="DJ53" s="902"/>
      <c r="DK53" s="902"/>
      <c r="DL53" s="902"/>
      <c r="DM53" s="902"/>
      <c r="DN53" s="902"/>
      <c r="DO53" s="902"/>
      <c r="DP53" s="902"/>
      <c r="DQ53" s="902"/>
      <c r="DR53" s="902"/>
      <c r="DS53" s="902"/>
      <c r="DT53" s="902"/>
      <c r="DU53" s="902"/>
      <c r="DV53" s="902"/>
      <c r="DW53" s="902"/>
      <c r="DX53" s="902"/>
      <c r="DY53" s="902"/>
      <c r="DZ53" s="902"/>
      <c r="EA53" s="902"/>
      <c r="EB53" s="902"/>
      <c r="EC53" s="902"/>
      <c r="ED53" s="902"/>
      <c r="EE53" s="902"/>
      <c r="EF53" s="902"/>
      <c r="EG53" s="902"/>
      <c r="EH53" s="902"/>
      <c r="EI53" s="902"/>
      <c r="EJ53" s="902"/>
      <c r="EK53" s="902"/>
      <c r="EL53" s="902"/>
      <c r="EM53" s="902"/>
      <c r="EN53" s="902"/>
    </row>
    <row r="54" spans="1:144" s="887" customFormat="1" ht="13.5">
      <c r="A54" s="664">
        <v>7</v>
      </c>
      <c r="B54" s="665"/>
      <c r="C54" s="888" t="s">
        <v>355</v>
      </c>
      <c r="D54" s="664" t="s">
        <v>98</v>
      </c>
      <c r="E54" s="664"/>
      <c r="F54" s="894">
        <v>4</v>
      </c>
      <c r="G54" s="894"/>
      <c r="H54" s="894"/>
      <c r="I54" s="894"/>
      <c r="J54" s="894"/>
      <c r="K54" s="894"/>
      <c r="L54" s="894"/>
      <c r="M54" s="894"/>
      <c r="N54" s="903"/>
      <c r="O54" s="903"/>
      <c r="P54" s="903"/>
      <c r="Q54" s="903"/>
      <c r="R54" s="903"/>
      <c r="S54" s="903"/>
      <c r="T54" s="903"/>
      <c r="U54" s="903"/>
      <c r="V54" s="903"/>
      <c r="W54" s="903"/>
      <c r="X54" s="903"/>
      <c r="Y54" s="903"/>
      <c r="Z54" s="903"/>
      <c r="AA54" s="903"/>
      <c r="AB54" s="903"/>
      <c r="AC54" s="903"/>
      <c r="AD54" s="903"/>
      <c r="AE54" s="903"/>
      <c r="AF54" s="903"/>
      <c r="AG54" s="903"/>
      <c r="AH54" s="903"/>
      <c r="AI54" s="903"/>
      <c r="AJ54" s="903"/>
      <c r="AK54" s="903"/>
      <c r="AL54" s="903"/>
      <c r="AM54" s="903"/>
      <c r="AN54" s="903"/>
      <c r="AO54" s="903"/>
      <c r="AP54" s="903"/>
      <c r="AQ54" s="903"/>
      <c r="AR54" s="903"/>
      <c r="AS54" s="903"/>
      <c r="AT54" s="903"/>
      <c r="AU54" s="903"/>
      <c r="AV54" s="903"/>
      <c r="AW54" s="903"/>
      <c r="AX54" s="903"/>
      <c r="AY54" s="903"/>
      <c r="AZ54" s="903"/>
      <c r="BA54" s="903"/>
      <c r="BB54" s="903"/>
      <c r="BC54" s="903"/>
      <c r="BD54" s="903"/>
      <c r="BE54" s="903"/>
      <c r="BF54" s="903"/>
      <c r="BG54" s="903"/>
      <c r="BH54" s="903"/>
      <c r="BI54" s="903"/>
      <c r="BJ54" s="903"/>
      <c r="BK54" s="903"/>
      <c r="BL54" s="903"/>
      <c r="BM54" s="903"/>
      <c r="BN54" s="903"/>
      <c r="BO54" s="903"/>
      <c r="BP54" s="903"/>
      <c r="BQ54" s="903"/>
      <c r="BR54" s="903"/>
      <c r="BS54" s="903"/>
      <c r="BT54" s="903"/>
      <c r="BU54" s="903"/>
      <c r="BV54" s="903"/>
      <c r="BW54" s="903"/>
      <c r="BX54" s="903"/>
      <c r="BY54" s="903"/>
      <c r="BZ54" s="903"/>
      <c r="CA54" s="903"/>
      <c r="CB54" s="903"/>
      <c r="CC54" s="903"/>
      <c r="CD54" s="903"/>
      <c r="CE54" s="903"/>
      <c r="CF54" s="903"/>
      <c r="CG54" s="903"/>
      <c r="CH54" s="903"/>
      <c r="CI54" s="903"/>
      <c r="CJ54" s="903"/>
      <c r="CK54" s="903"/>
      <c r="CL54" s="903"/>
      <c r="CM54" s="903"/>
      <c r="CN54" s="903"/>
      <c r="CO54" s="903"/>
      <c r="CP54" s="903"/>
      <c r="CQ54" s="903"/>
      <c r="CR54" s="903"/>
      <c r="CS54" s="903"/>
      <c r="CT54" s="903"/>
      <c r="CU54" s="903"/>
      <c r="CV54" s="903"/>
      <c r="CW54" s="903"/>
      <c r="CX54" s="903"/>
      <c r="CY54" s="903"/>
      <c r="CZ54" s="903"/>
      <c r="DA54" s="903"/>
      <c r="DB54" s="903"/>
      <c r="DC54" s="903"/>
      <c r="DD54" s="903"/>
      <c r="DE54" s="903"/>
      <c r="DF54" s="903"/>
      <c r="DG54" s="903"/>
      <c r="DH54" s="903"/>
      <c r="DI54" s="903"/>
      <c r="DJ54" s="903"/>
      <c r="DK54" s="903"/>
      <c r="DL54" s="903"/>
      <c r="DM54" s="903"/>
      <c r="DN54" s="903"/>
      <c r="DO54" s="903"/>
      <c r="DP54" s="903"/>
      <c r="DQ54" s="903"/>
      <c r="DR54" s="903"/>
      <c r="DS54" s="903"/>
      <c r="DT54" s="903"/>
      <c r="DU54" s="903"/>
      <c r="DV54" s="903"/>
      <c r="DW54" s="903"/>
      <c r="DX54" s="903"/>
      <c r="DY54" s="903"/>
      <c r="DZ54" s="903"/>
      <c r="EA54" s="903"/>
      <c r="EB54" s="903"/>
      <c r="EC54" s="903"/>
      <c r="ED54" s="903"/>
      <c r="EE54" s="903"/>
      <c r="EF54" s="903"/>
      <c r="EG54" s="903"/>
      <c r="EH54" s="903"/>
      <c r="EI54" s="903"/>
      <c r="EJ54" s="903"/>
      <c r="EK54" s="903"/>
      <c r="EL54" s="903"/>
      <c r="EM54" s="903"/>
      <c r="EN54" s="903"/>
    </row>
    <row r="55" spans="1:144" s="887" customFormat="1" ht="13.5">
      <c r="A55" s="546"/>
      <c r="B55" s="891"/>
      <c r="C55" s="892" t="s">
        <v>86</v>
      </c>
      <c r="D55" s="546" t="s">
        <v>98</v>
      </c>
      <c r="E55" s="546">
        <v>1</v>
      </c>
      <c r="F55" s="651">
        <f>F54</f>
        <v>4</v>
      </c>
      <c r="G55" s="651"/>
      <c r="H55" s="651"/>
      <c r="I55" s="651"/>
      <c r="J55" s="651"/>
      <c r="K55" s="651"/>
      <c r="L55" s="651"/>
      <c r="M55" s="651"/>
      <c r="N55" s="902"/>
      <c r="O55" s="902"/>
      <c r="P55" s="902"/>
      <c r="Q55" s="902"/>
      <c r="R55" s="902"/>
      <c r="S55" s="902"/>
      <c r="T55" s="902"/>
      <c r="U55" s="902"/>
      <c r="V55" s="902"/>
      <c r="W55" s="902"/>
      <c r="X55" s="902"/>
      <c r="Y55" s="902"/>
      <c r="Z55" s="902"/>
      <c r="AA55" s="902"/>
      <c r="AB55" s="902"/>
      <c r="AC55" s="902"/>
      <c r="AD55" s="902"/>
      <c r="AE55" s="902"/>
      <c r="AF55" s="902"/>
      <c r="AG55" s="902"/>
      <c r="AH55" s="902"/>
      <c r="AI55" s="902"/>
      <c r="AJ55" s="902"/>
      <c r="AK55" s="902"/>
      <c r="AL55" s="902"/>
      <c r="AM55" s="902"/>
      <c r="AN55" s="902"/>
      <c r="AO55" s="902"/>
      <c r="AP55" s="902"/>
      <c r="AQ55" s="902"/>
      <c r="AR55" s="902"/>
      <c r="AS55" s="902"/>
      <c r="AT55" s="902"/>
      <c r="AU55" s="902"/>
      <c r="AV55" s="902"/>
      <c r="AW55" s="902"/>
      <c r="AX55" s="902"/>
      <c r="AY55" s="902"/>
      <c r="AZ55" s="902"/>
      <c r="BA55" s="902"/>
      <c r="BB55" s="902"/>
      <c r="BC55" s="902"/>
      <c r="BD55" s="902"/>
      <c r="BE55" s="902"/>
      <c r="BF55" s="902"/>
      <c r="BG55" s="902"/>
      <c r="BH55" s="902"/>
      <c r="BI55" s="902"/>
      <c r="BJ55" s="902"/>
      <c r="BK55" s="902"/>
      <c r="BL55" s="902"/>
      <c r="BM55" s="902"/>
      <c r="BN55" s="902"/>
      <c r="BO55" s="902"/>
      <c r="BP55" s="902"/>
      <c r="BQ55" s="902"/>
      <c r="BR55" s="902"/>
      <c r="BS55" s="902"/>
      <c r="BT55" s="902"/>
      <c r="BU55" s="902"/>
      <c r="BV55" s="902"/>
      <c r="BW55" s="902"/>
      <c r="BX55" s="902"/>
      <c r="BY55" s="902"/>
      <c r="BZ55" s="902"/>
      <c r="CA55" s="902"/>
      <c r="CB55" s="902"/>
      <c r="CC55" s="902"/>
      <c r="CD55" s="902"/>
      <c r="CE55" s="902"/>
      <c r="CF55" s="902"/>
      <c r="CG55" s="902"/>
      <c r="CH55" s="902"/>
      <c r="CI55" s="902"/>
      <c r="CJ55" s="902"/>
      <c r="CK55" s="902"/>
      <c r="CL55" s="902"/>
      <c r="CM55" s="902"/>
      <c r="CN55" s="902"/>
      <c r="CO55" s="902"/>
      <c r="CP55" s="902"/>
      <c r="CQ55" s="902"/>
      <c r="CR55" s="902"/>
      <c r="CS55" s="902"/>
      <c r="CT55" s="902"/>
      <c r="CU55" s="902"/>
      <c r="CV55" s="902"/>
      <c r="CW55" s="902"/>
      <c r="CX55" s="902"/>
      <c r="CY55" s="902"/>
      <c r="CZ55" s="902"/>
      <c r="DA55" s="902"/>
      <c r="DB55" s="902"/>
      <c r="DC55" s="902"/>
      <c r="DD55" s="902"/>
      <c r="DE55" s="902"/>
      <c r="DF55" s="902"/>
      <c r="DG55" s="902"/>
      <c r="DH55" s="902"/>
      <c r="DI55" s="902"/>
      <c r="DJ55" s="902"/>
      <c r="DK55" s="902"/>
      <c r="DL55" s="902"/>
      <c r="DM55" s="902"/>
      <c r="DN55" s="902"/>
      <c r="DO55" s="902"/>
      <c r="DP55" s="902"/>
      <c r="DQ55" s="902"/>
      <c r="DR55" s="902"/>
      <c r="DS55" s="902"/>
      <c r="DT55" s="902"/>
      <c r="DU55" s="902"/>
      <c r="DV55" s="902"/>
      <c r="DW55" s="902"/>
      <c r="DX55" s="902"/>
      <c r="DY55" s="902"/>
      <c r="DZ55" s="902"/>
      <c r="EA55" s="902"/>
      <c r="EB55" s="902"/>
      <c r="EC55" s="902"/>
      <c r="ED55" s="902"/>
      <c r="EE55" s="902"/>
      <c r="EF55" s="902"/>
      <c r="EG55" s="902"/>
      <c r="EH55" s="902"/>
      <c r="EI55" s="902"/>
      <c r="EJ55" s="902"/>
      <c r="EK55" s="902"/>
      <c r="EL55" s="902"/>
      <c r="EM55" s="902"/>
      <c r="EN55" s="902"/>
    </row>
    <row r="56" spans="1:144" s="887" customFormat="1" ht="13.5">
      <c r="A56" s="546"/>
      <c r="B56" s="891" t="s">
        <v>718</v>
      </c>
      <c r="C56" s="893" t="s">
        <v>356</v>
      </c>
      <c r="D56" s="546" t="s">
        <v>98</v>
      </c>
      <c r="E56" s="546" t="s">
        <v>176</v>
      </c>
      <c r="F56" s="651">
        <v>1</v>
      </c>
      <c r="G56" s="651"/>
      <c r="H56" s="651"/>
      <c r="I56" s="651"/>
      <c r="J56" s="651"/>
      <c r="K56" s="651"/>
      <c r="L56" s="651"/>
      <c r="M56" s="651"/>
      <c r="N56" s="902"/>
      <c r="O56" s="902"/>
      <c r="P56" s="902"/>
      <c r="Q56" s="902"/>
      <c r="R56" s="902"/>
      <c r="S56" s="902"/>
      <c r="T56" s="902"/>
      <c r="U56" s="902"/>
      <c r="V56" s="902"/>
      <c r="W56" s="902"/>
      <c r="X56" s="902"/>
      <c r="Y56" s="902"/>
      <c r="Z56" s="902"/>
      <c r="AA56" s="902"/>
      <c r="AB56" s="902"/>
      <c r="AC56" s="902"/>
      <c r="AD56" s="902"/>
      <c r="AE56" s="902"/>
      <c r="AF56" s="902"/>
      <c r="AG56" s="902"/>
      <c r="AH56" s="902"/>
      <c r="AI56" s="902"/>
      <c r="AJ56" s="902"/>
      <c r="AK56" s="902"/>
      <c r="AL56" s="902"/>
      <c r="AM56" s="902"/>
      <c r="AN56" s="902"/>
      <c r="AO56" s="902"/>
      <c r="AP56" s="902"/>
      <c r="AQ56" s="902"/>
      <c r="AR56" s="902"/>
      <c r="AS56" s="902"/>
      <c r="AT56" s="902"/>
      <c r="AU56" s="902"/>
      <c r="AV56" s="902"/>
      <c r="AW56" s="902"/>
      <c r="AX56" s="902"/>
      <c r="AY56" s="902"/>
      <c r="AZ56" s="902"/>
      <c r="BA56" s="902"/>
      <c r="BB56" s="902"/>
      <c r="BC56" s="902"/>
      <c r="BD56" s="902"/>
      <c r="BE56" s="902"/>
      <c r="BF56" s="902"/>
      <c r="BG56" s="902"/>
      <c r="BH56" s="902"/>
      <c r="BI56" s="902"/>
      <c r="BJ56" s="902"/>
      <c r="BK56" s="902"/>
      <c r="BL56" s="902"/>
      <c r="BM56" s="902"/>
      <c r="BN56" s="902"/>
      <c r="BO56" s="902"/>
      <c r="BP56" s="902"/>
      <c r="BQ56" s="902"/>
      <c r="BR56" s="902"/>
      <c r="BS56" s="902"/>
      <c r="BT56" s="902"/>
      <c r="BU56" s="902"/>
      <c r="BV56" s="902"/>
      <c r="BW56" s="902"/>
      <c r="BX56" s="902"/>
      <c r="BY56" s="902"/>
      <c r="BZ56" s="902"/>
      <c r="CA56" s="902"/>
      <c r="CB56" s="902"/>
      <c r="CC56" s="902"/>
      <c r="CD56" s="902"/>
      <c r="CE56" s="902"/>
      <c r="CF56" s="902"/>
      <c r="CG56" s="902"/>
      <c r="CH56" s="902"/>
      <c r="CI56" s="902"/>
      <c r="CJ56" s="902"/>
      <c r="CK56" s="902"/>
      <c r="CL56" s="902"/>
      <c r="CM56" s="902"/>
      <c r="CN56" s="902"/>
      <c r="CO56" s="902"/>
      <c r="CP56" s="902"/>
      <c r="CQ56" s="902"/>
      <c r="CR56" s="902"/>
      <c r="CS56" s="902"/>
      <c r="CT56" s="902"/>
      <c r="CU56" s="902"/>
      <c r="CV56" s="902"/>
      <c r="CW56" s="902"/>
      <c r="CX56" s="902"/>
      <c r="CY56" s="902"/>
      <c r="CZ56" s="902"/>
      <c r="DA56" s="902"/>
      <c r="DB56" s="902"/>
      <c r="DC56" s="902"/>
      <c r="DD56" s="902"/>
      <c r="DE56" s="902"/>
      <c r="DF56" s="902"/>
      <c r="DG56" s="902"/>
      <c r="DH56" s="902"/>
      <c r="DI56" s="902"/>
      <c r="DJ56" s="902"/>
      <c r="DK56" s="902"/>
      <c r="DL56" s="902"/>
      <c r="DM56" s="902"/>
      <c r="DN56" s="902"/>
      <c r="DO56" s="902"/>
      <c r="DP56" s="902"/>
      <c r="DQ56" s="902"/>
      <c r="DR56" s="902"/>
      <c r="DS56" s="902"/>
      <c r="DT56" s="902"/>
      <c r="DU56" s="902"/>
      <c r="DV56" s="902"/>
      <c r="DW56" s="902"/>
      <c r="DX56" s="902"/>
      <c r="DY56" s="902"/>
      <c r="DZ56" s="902"/>
      <c r="EA56" s="902"/>
      <c r="EB56" s="902"/>
      <c r="EC56" s="902"/>
      <c r="ED56" s="902"/>
      <c r="EE56" s="902"/>
      <c r="EF56" s="902"/>
      <c r="EG56" s="902"/>
      <c r="EH56" s="902"/>
      <c r="EI56" s="902"/>
      <c r="EJ56" s="902"/>
      <c r="EK56" s="902"/>
      <c r="EL56" s="902"/>
      <c r="EM56" s="902"/>
      <c r="EN56" s="902"/>
    </row>
    <row r="57" spans="1:144" s="887" customFormat="1" ht="13.5">
      <c r="A57" s="546"/>
      <c r="B57" s="891" t="s">
        <v>718</v>
      </c>
      <c r="C57" s="893" t="s">
        <v>357</v>
      </c>
      <c r="D57" s="546" t="s">
        <v>98</v>
      </c>
      <c r="E57" s="546" t="s">
        <v>176</v>
      </c>
      <c r="F57" s="651">
        <v>2</v>
      </c>
      <c r="G57" s="651"/>
      <c r="H57" s="651"/>
      <c r="I57" s="651"/>
      <c r="J57" s="651"/>
      <c r="K57" s="651"/>
      <c r="L57" s="651"/>
      <c r="M57" s="651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2"/>
      <c r="AI57" s="902"/>
      <c r="AJ57" s="902"/>
      <c r="AK57" s="902"/>
      <c r="AL57" s="902"/>
      <c r="AM57" s="902"/>
      <c r="AN57" s="902"/>
      <c r="AO57" s="902"/>
      <c r="AP57" s="902"/>
      <c r="AQ57" s="902"/>
      <c r="AR57" s="902"/>
      <c r="AS57" s="902"/>
      <c r="AT57" s="902"/>
      <c r="AU57" s="902"/>
      <c r="AV57" s="902"/>
      <c r="AW57" s="902"/>
      <c r="AX57" s="902"/>
      <c r="AY57" s="902"/>
      <c r="AZ57" s="902"/>
      <c r="BA57" s="902"/>
      <c r="BB57" s="902"/>
      <c r="BC57" s="902"/>
      <c r="BD57" s="902"/>
      <c r="BE57" s="902"/>
      <c r="BF57" s="902"/>
      <c r="BG57" s="902"/>
      <c r="BH57" s="902"/>
      <c r="BI57" s="902"/>
      <c r="BJ57" s="902"/>
      <c r="BK57" s="902"/>
      <c r="BL57" s="902"/>
      <c r="BM57" s="902"/>
      <c r="BN57" s="902"/>
      <c r="BO57" s="902"/>
      <c r="BP57" s="902"/>
      <c r="BQ57" s="902"/>
      <c r="BR57" s="902"/>
      <c r="BS57" s="902"/>
      <c r="BT57" s="902"/>
      <c r="BU57" s="902"/>
      <c r="BV57" s="902"/>
      <c r="BW57" s="902"/>
      <c r="BX57" s="902"/>
      <c r="BY57" s="902"/>
      <c r="BZ57" s="902"/>
      <c r="CA57" s="902"/>
      <c r="CB57" s="902"/>
      <c r="CC57" s="902"/>
      <c r="CD57" s="902"/>
      <c r="CE57" s="902"/>
      <c r="CF57" s="902"/>
      <c r="CG57" s="902"/>
      <c r="CH57" s="902"/>
      <c r="CI57" s="902"/>
      <c r="CJ57" s="902"/>
      <c r="CK57" s="902"/>
      <c r="CL57" s="902"/>
      <c r="CM57" s="902"/>
      <c r="CN57" s="902"/>
      <c r="CO57" s="902"/>
      <c r="CP57" s="902"/>
      <c r="CQ57" s="902"/>
      <c r="CR57" s="902"/>
      <c r="CS57" s="902"/>
      <c r="CT57" s="902"/>
      <c r="CU57" s="902"/>
      <c r="CV57" s="902"/>
      <c r="CW57" s="902"/>
      <c r="CX57" s="902"/>
      <c r="CY57" s="902"/>
      <c r="CZ57" s="902"/>
      <c r="DA57" s="902"/>
      <c r="DB57" s="902"/>
      <c r="DC57" s="902"/>
      <c r="DD57" s="902"/>
      <c r="DE57" s="902"/>
      <c r="DF57" s="902"/>
      <c r="DG57" s="902"/>
      <c r="DH57" s="902"/>
      <c r="DI57" s="902"/>
      <c r="DJ57" s="902"/>
      <c r="DK57" s="902"/>
      <c r="DL57" s="902"/>
      <c r="DM57" s="902"/>
      <c r="DN57" s="902"/>
      <c r="DO57" s="902"/>
      <c r="DP57" s="902"/>
      <c r="DQ57" s="902"/>
      <c r="DR57" s="902"/>
      <c r="DS57" s="902"/>
      <c r="DT57" s="902"/>
      <c r="DU57" s="902"/>
      <c r="DV57" s="902"/>
      <c r="DW57" s="902"/>
      <c r="DX57" s="902"/>
      <c r="DY57" s="902"/>
      <c r="DZ57" s="902"/>
      <c r="EA57" s="902"/>
      <c r="EB57" s="902"/>
      <c r="EC57" s="902"/>
      <c r="ED57" s="902"/>
      <c r="EE57" s="902"/>
      <c r="EF57" s="902"/>
      <c r="EG57" s="902"/>
      <c r="EH57" s="902"/>
      <c r="EI57" s="902"/>
      <c r="EJ57" s="902"/>
      <c r="EK57" s="902"/>
      <c r="EL57" s="902"/>
      <c r="EM57" s="902"/>
      <c r="EN57" s="902"/>
    </row>
    <row r="58" spans="1:144" s="887" customFormat="1" ht="13.5">
      <c r="A58" s="546"/>
      <c r="B58" s="891" t="s">
        <v>718</v>
      </c>
      <c r="C58" s="893" t="s">
        <v>358</v>
      </c>
      <c r="D58" s="546" t="s">
        <v>98</v>
      </c>
      <c r="E58" s="546" t="s">
        <v>176</v>
      </c>
      <c r="F58" s="651">
        <v>1</v>
      </c>
      <c r="G58" s="651"/>
      <c r="H58" s="651"/>
      <c r="I58" s="651"/>
      <c r="J58" s="651"/>
      <c r="K58" s="651"/>
      <c r="L58" s="651"/>
      <c r="M58" s="651"/>
      <c r="N58" s="902"/>
      <c r="O58" s="902"/>
      <c r="P58" s="902"/>
      <c r="Q58" s="902"/>
      <c r="R58" s="902"/>
      <c r="S58" s="902"/>
      <c r="T58" s="902"/>
      <c r="U58" s="902"/>
      <c r="V58" s="902"/>
      <c r="W58" s="902"/>
      <c r="X58" s="902"/>
      <c r="Y58" s="902"/>
      <c r="Z58" s="902"/>
      <c r="AA58" s="902"/>
      <c r="AB58" s="902"/>
      <c r="AC58" s="902"/>
      <c r="AD58" s="902"/>
      <c r="AE58" s="902"/>
      <c r="AF58" s="902"/>
      <c r="AG58" s="902"/>
      <c r="AH58" s="902"/>
      <c r="AI58" s="902"/>
      <c r="AJ58" s="902"/>
      <c r="AK58" s="902"/>
      <c r="AL58" s="902"/>
      <c r="AM58" s="902"/>
      <c r="AN58" s="902"/>
      <c r="AO58" s="902"/>
      <c r="AP58" s="902"/>
      <c r="AQ58" s="902"/>
      <c r="AR58" s="902"/>
      <c r="AS58" s="902"/>
      <c r="AT58" s="902"/>
      <c r="AU58" s="902"/>
      <c r="AV58" s="902"/>
      <c r="AW58" s="902"/>
      <c r="AX58" s="902"/>
      <c r="AY58" s="902"/>
      <c r="AZ58" s="902"/>
      <c r="BA58" s="902"/>
      <c r="BB58" s="902"/>
      <c r="BC58" s="902"/>
      <c r="BD58" s="902"/>
      <c r="BE58" s="902"/>
      <c r="BF58" s="902"/>
      <c r="BG58" s="902"/>
      <c r="BH58" s="902"/>
      <c r="BI58" s="902"/>
      <c r="BJ58" s="902"/>
      <c r="BK58" s="902"/>
      <c r="BL58" s="902"/>
      <c r="BM58" s="902"/>
      <c r="BN58" s="902"/>
      <c r="BO58" s="902"/>
      <c r="BP58" s="902"/>
      <c r="BQ58" s="902"/>
      <c r="BR58" s="902"/>
      <c r="BS58" s="902"/>
      <c r="BT58" s="902"/>
      <c r="BU58" s="902"/>
      <c r="BV58" s="902"/>
      <c r="BW58" s="902"/>
      <c r="BX58" s="902"/>
      <c r="BY58" s="902"/>
      <c r="BZ58" s="902"/>
      <c r="CA58" s="902"/>
      <c r="CB58" s="902"/>
      <c r="CC58" s="902"/>
      <c r="CD58" s="902"/>
      <c r="CE58" s="902"/>
      <c r="CF58" s="902"/>
      <c r="CG58" s="902"/>
      <c r="CH58" s="902"/>
      <c r="CI58" s="902"/>
      <c r="CJ58" s="902"/>
      <c r="CK58" s="902"/>
      <c r="CL58" s="902"/>
      <c r="CM58" s="902"/>
      <c r="CN58" s="902"/>
      <c r="CO58" s="902"/>
      <c r="CP58" s="902"/>
      <c r="CQ58" s="902"/>
      <c r="CR58" s="902"/>
      <c r="CS58" s="902"/>
      <c r="CT58" s="902"/>
      <c r="CU58" s="902"/>
      <c r="CV58" s="902"/>
      <c r="CW58" s="902"/>
      <c r="CX58" s="902"/>
      <c r="CY58" s="902"/>
      <c r="CZ58" s="902"/>
      <c r="DA58" s="902"/>
      <c r="DB58" s="902"/>
      <c r="DC58" s="902"/>
      <c r="DD58" s="902"/>
      <c r="DE58" s="902"/>
      <c r="DF58" s="902"/>
      <c r="DG58" s="902"/>
      <c r="DH58" s="902"/>
      <c r="DI58" s="902"/>
      <c r="DJ58" s="902"/>
      <c r="DK58" s="902"/>
      <c r="DL58" s="902"/>
      <c r="DM58" s="902"/>
      <c r="DN58" s="902"/>
      <c r="DO58" s="902"/>
      <c r="DP58" s="902"/>
      <c r="DQ58" s="902"/>
      <c r="DR58" s="902"/>
      <c r="DS58" s="902"/>
      <c r="DT58" s="902"/>
      <c r="DU58" s="902"/>
      <c r="DV58" s="902"/>
      <c r="DW58" s="902"/>
      <c r="DX58" s="902"/>
      <c r="DY58" s="902"/>
      <c r="DZ58" s="902"/>
      <c r="EA58" s="902"/>
      <c r="EB58" s="902"/>
      <c r="EC58" s="902"/>
      <c r="ED58" s="902"/>
      <c r="EE58" s="902"/>
      <c r="EF58" s="902"/>
      <c r="EG58" s="902"/>
      <c r="EH58" s="902"/>
      <c r="EI58" s="902"/>
      <c r="EJ58" s="902"/>
      <c r="EK58" s="902"/>
      <c r="EL58" s="902"/>
      <c r="EM58" s="902"/>
      <c r="EN58" s="902"/>
    </row>
    <row r="59" spans="1:144" s="887" customFormat="1" ht="27">
      <c r="A59" s="664">
        <v>8</v>
      </c>
      <c r="B59" s="666" t="s">
        <v>504</v>
      </c>
      <c r="C59" s="898" t="s">
        <v>359</v>
      </c>
      <c r="D59" s="664" t="s">
        <v>242</v>
      </c>
      <c r="E59" s="664"/>
      <c r="F59" s="894">
        <v>2</v>
      </c>
      <c r="G59" s="894"/>
      <c r="H59" s="894"/>
      <c r="I59" s="894"/>
      <c r="J59" s="894"/>
      <c r="K59" s="894"/>
      <c r="L59" s="894"/>
      <c r="M59" s="894"/>
      <c r="N59" s="903"/>
      <c r="O59" s="903"/>
      <c r="P59" s="903"/>
      <c r="Q59" s="903"/>
      <c r="R59" s="903"/>
      <c r="S59" s="903"/>
      <c r="T59" s="903"/>
      <c r="U59" s="903"/>
      <c r="V59" s="903"/>
      <c r="W59" s="903"/>
      <c r="X59" s="903"/>
      <c r="Y59" s="903"/>
      <c r="Z59" s="903"/>
      <c r="AA59" s="903"/>
      <c r="AB59" s="903"/>
      <c r="AC59" s="903"/>
      <c r="AD59" s="903"/>
      <c r="AE59" s="903"/>
      <c r="AF59" s="903"/>
      <c r="AG59" s="903"/>
      <c r="AH59" s="903"/>
      <c r="AI59" s="903"/>
      <c r="AJ59" s="903"/>
      <c r="AK59" s="903"/>
      <c r="AL59" s="903"/>
      <c r="AM59" s="903"/>
      <c r="AN59" s="903"/>
      <c r="AO59" s="903"/>
      <c r="AP59" s="903"/>
      <c r="AQ59" s="903"/>
      <c r="AR59" s="903"/>
      <c r="AS59" s="903"/>
      <c r="AT59" s="903"/>
      <c r="AU59" s="903"/>
      <c r="AV59" s="903"/>
      <c r="AW59" s="903"/>
      <c r="AX59" s="903"/>
      <c r="AY59" s="903"/>
      <c r="AZ59" s="903"/>
      <c r="BA59" s="903"/>
      <c r="BB59" s="903"/>
      <c r="BC59" s="903"/>
      <c r="BD59" s="903"/>
      <c r="BE59" s="903"/>
      <c r="BF59" s="903"/>
      <c r="BG59" s="903"/>
      <c r="BH59" s="903"/>
      <c r="BI59" s="903"/>
      <c r="BJ59" s="903"/>
      <c r="BK59" s="903"/>
      <c r="BL59" s="903"/>
      <c r="BM59" s="903"/>
      <c r="BN59" s="903"/>
      <c r="BO59" s="903"/>
      <c r="BP59" s="903"/>
      <c r="BQ59" s="903"/>
      <c r="BR59" s="903"/>
      <c r="BS59" s="903"/>
      <c r="BT59" s="903"/>
      <c r="BU59" s="903"/>
      <c r="BV59" s="903"/>
      <c r="BW59" s="903"/>
      <c r="BX59" s="903"/>
      <c r="BY59" s="903"/>
      <c r="BZ59" s="903"/>
      <c r="CA59" s="903"/>
      <c r="CB59" s="903"/>
      <c r="CC59" s="903"/>
      <c r="CD59" s="903"/>
      <c r="CE59" s="903"/>
      <c r="CF59" s="903"/>
      <c r="CG59" s="903"/>
      <c r="CH59" s="903"/>
      <c r="CI59" s="903"/>
      <c r="CJ59" s="903"/>
      <c r="CK59" s="903"/>
      <c r="CL59" s="903"/>
      <c r="CM59" s="903"/>
      <c r="CN59" s="903"/>
      <c r="CO59" s="903"/>
      <c r="CP59" s="903"/>
      <c r="CQ59" s="903"/>
      <c r="CR59" s="903"/>
      <c r="CS59" s="903"/>
      <c r="CT59" s="903"/>
      <c r="CU59" s="903"/>
      <c r="CV59" s="903"/>
      <c r="CW59" s="903"/>
      <c r="CX59" s="903"/>
      <c r="CY59" s="903"/>
      <c r="CZ59" s="903"/>
      <c r="DA59" s="903"/>
      <c r="DB59" s="903"/>
      <c r="DC59" s="903"/>
      <c r="DD59" s="903"/>
      <c r="DE59" s="903"/>
      <c r="DF59" s="903"/>
      <c r="DG59" s="903"/>
      <c r="DH59" s="903"/>
      <c r="DI59" s="903"/>
      <c r="DJ59" s="903"/>
      <c r="DK59" s="903"/>
      <c r="DL59" s="903"/>
      <c r="DM59" s="903"/>
      <c r="DN59" s="903"/>
      <c r="DO59" s="903"/>
      <c r="DP59" s="903"/>
      <c r="DQ59" s="903"/>
      <c r="DR59" s="903"/>
      <c r="DS59" s="903"/>
      <c r="DT59" s="903"/>
      <c r="DU59" s="903"/>
      <c r="DV59" s="903"/>
      <c r="DW59" s="903"/>
      <c r="DX59" s="903"/>
      <c r="DY59" s="903"/>
      <c r="DZ59" s="903"/>
      <c r="EA59" s="903"/>
      <c r="EB59" s="903"/>
      <c r="EC59" s="903"/>
      <c r="ED59" s="903"/>
      <c r="EE59" s="903"/>
      <c r="EF59" s="903"/>
      <c r="EG59" s="903"/>
      <c r="EH59" s="903"/>
      <c r="EI59" s="903"/>
      <c r="EJ59" s="903"/>
      <c r="EK59" s="903"/>
      <c r="EL59" s="903"/>
      <c r="EM59" s="903"/>
      <c r="EN59" s="903"/>
    </row>
    <row r="60" spans="1:144" s="887" customFormat="1" ht="13.5">
      <c r="A60" s="546"/>
      <c r="B60" s="891"/>
      <c r="C60" s="892" t="s">
        <v>86</v>
      </c>
      <c r="D60" s="546" t="s">
        <v>13</v>
      </c>
      <c r="E60" s="546">
        <v>1.51</v>
      </c>
      <c r="F60" s="651">
        <f>E60*F59</f>
        <v>3.02</v>
      </c>
      <c r="G60" s="651"/>
      <c r="H60" s="651"/>
      <c r="I60" s="651"/>
      <c r="J60" s="651"/>
      <c r="K60" s="651"/>
      <c r="L60" s="651"/>
      <c r="M60" s="651"/>
      <c r="N60" s="902"/>
      <c r="O60" s="902"/>
      <c r="P60" s="902"/>
      <c r="Q60" s="902"/>
      <c r="R60" s="902"/>
      <c r="S60" s="902"/>
      <c r="T60" s="902"/>
      <c r="U60" s="902"/>
      <c r="V60" s="902"/>
      <c r="W60" s="902"/>
      <c r="X60" s="902"/>
      <c r="Y60" s="902"/>
      <c r="Z60" s="902"/>
      <c r="AA60" s="902"/>
      <c r="AB60" s="902"/>
      <c r="AC60" s="902"/>
      <c r="AD60" s="902"/>
      <c r="AE60" s="902"/>
      <c r="AF60" s="902"/>
      <c r="AG60" s="902"/>
      <c r="AH60" s="902"/>
      <c r="AI60" s="902"/>
      <c r="AJ60" s="902"/>
      <c r="AK60" s="902"/>
      <c r="AL60" s="902"/>
      <c r="AM60" s="902"/>
      <c r="AN60" s="902"/>
      <c r="AO60" s="902"/>
      <c r="AP60" s="902"/>
      <c r="AQ60" s="902"/>
      <c r="AR60" s="902"/>
      <c r="AS60" s="902"/>
      <c r="AT60" s="902"/>
      <c r="AU60" s="902"/>
      <c r="AV60" s="902"/>
      <c r="AW60" s="902"/>
      <c r="AX60" s="902"/>
      <c r="AY60" s="902"/>
      <c r="AZ60" s="902"/>
      <c r="BA60" s="902"/>
      <c r="BB60" s="902"/>
      <c r="BC60" s="902"/>
      <c r="BD60" s="902"/>
      <c r="BE60" s="902"/>
      <c r="BF60" s="902"/>
      <c r="BG60" s="902"/>
      <c r="BH60" s="902"/>
      <c r="BI60" s="902"/>
      <c r="BJ60" s="902"/>
      <c r="BK60" s="902"/>
      <c r="BL60" s="902"/>
      <c r="BM60" s="902"/>
      <c r="BN60" s="902"/>
      <c r="BO60" s="902"/>
      <c r="BP60" s="902"/>
      <c r="BQ60" s="902"/>
      <c r="BR60" s="902"/>
      <c r="BS60" s="902"/>
      <c r="BT60" s="902"/>
      <c r="BU60" s="902"/>
      <c r="BV60" s="902"/>
      <c r="BW60" s="902"/>
      <c r="BX60" s="902"/>
      <c r="BY60" s="902"/>
      <c r="BZ60" s="902"/>
      <c r="CA60" s="902"/>
      <c r="CB60" s="902"/>
      <c r="CC60" s="902"/>
      <c r="CD60" s="902"/>
      <c r="CE60" s="902"/>
      <c r="CF60" s="902"/>
      <c r="CG60" s="902"/>
      <c r="CH60" s="902"/>
      <c r="CI60" s="902"/>
      <c r="CJ60" s="902"/>
      <c r="CK60" s="902"/>
      <c r="CL60" s="902"/>
      <c r="CM60" s="902"/>
      <c r="CN60" s="902"/>
      <c r="CO60" s="902"/>
      <c r="CP60" s="902"/>
      <c r="CQ60" s="902"/>
      <c r="CR60" s="902"/>
      <c r="CS60" s="902"/>
      <c r="CT60" s="902"/>
      <c r="CU60" s="902"/>
      <c r="CV60" s="902"/>
      <c r="CW60" s="902"/>
      <c r="CX60" s="902"/>
      <c r="CY60" s="902"/>
      <c r="CZ60" s="902"/>
      <c r="DA60" s="902"/>
      <c r="DB60" s="902"/>
      <c r="DC60" s="902"/>
      <c r="DD60" s="902"/>
      <c r="DE60" s="902"/>
      <c r="DF60" s="902"/>
      <c r="DG60" s="902"/>
      <c r="DH60" s="902"/>
      <c r="DI60" s="902"/>
      <c r="DJ60" s="902"/>
      <c r="DK60" s="902"/>
      <c r="DL60" s="902"/>
      <c r="DM60" s="902"/>
      <c r="DN60" s="902"/>
      <c r="DO60" s="902"/>
      <c r="DP60" s="902"/>
      <c r="DQ60" s="902"/>
      <c r="DR60" s="902"/>
      <c r="DS60" s="902"/>
      <c r="DT60" s="902"/>
      <c r="DU60" s="902"/>
      <c r="DV60" s="902"/>
      <c r="DW60" s="902"/>
      <c r="DX60" s="902"/>
      <c r="DY60" s="902"/>
      <c r="DZ60" s="902"/>
      <c r="EA60" s="902"/>
      <c r="EB60" s="902"/>
      <c r="EC60" s="902"/>
      <c r="ED60" s="902"/>
      <c r="EE60" s="902"/>
      <c r="EF60" s="902"/>
      <c r="EG60" s="902"/>
      <c r="EH60" s="902"/>
      <c r="EI60" s="902"/>
      <c r="EJ60" s="902"/>
      <c r="EK60" s="902"/>
      <c r="EL60" s="902"/>
      <c r="EM60" s="902"/>
      <c r="EN60" s="902"/>
    </row>
    <row r="61" spans="1:144" s="887" customFormat="1" ht="13.5">
      <c r="A61" s="546"/>
      <c r="B61" s="896"/>
      <c r="C61" s="892" t="s">
        <v>97</v>
      </c>
      <c r="D61" s="546" t="s">
        <v>109</v>
      </c>
      <c r="E61" s="546">
        <v>0.13</v>
      </c>
      <c r="F61" s="651">
        <f>E61*F59</f>
        <v>0.26</v>
      </c>
      <c r="G61" s="651"/>
      <c r="H61" s="651"/>
      <c r="I61" s="651"/>
      <c r="J61" s="651"/>
      <c r="K61" s="651"/>
      <c r="L61" s="651"/>
      <c r="M61" s="651"/>
      <c r="N61" s="902"/>
      <c r="O61" s="902"/>
      <c r="P61" s="902"/>
      <c r="Q61" s="902"/>
      <c r="R61" s="902"/>
      <c r="S61" s="902"/>
      <c r="T61" s="902"/>
      <c r="U61" s="902"/>
      <c r="V61" s="902"/>
      <c r="W61" s="902"/>
      <c r="X61" s="902"/>
      <c r="Y61" s="902"/>
      <c r="Z61" s="902"/>
      <c r="AA61" s="902"/>
      <c r="AB61" s="902"/>
      <c r="AC61" s="902"/>
      <c r="AD61" s="902"/>
      <c r="AE61" s="902"/>
      <c r="AF61" s="902"/>
      <c r="AG61" s="902"/>
      <c r="AH61" s="902"/>
      <c r="AI61" s="902"/>
      <c r="AJ61" s="902"/>
      <c r="AK61" s="902"/>
      <c r="AL61" s="902"/>
      <c r="AM61" s="902"/>
      <c r="AN61" s="902"/>
      <c r="AO61" s="902"/>
      <c r="AP61" s="902"/>
      <c r="AQ61" s="902"/>
      <c r="AR61" s="902"/>
      <c r="AS61" s="902"/>
      <c r="AT61" s="902"/>
      <c r="AU61" s="902"/>
      <c r="AV61" s="902"/>
      <c r="AW61" s="902"/>
      <c r="AX61" s="902"/>
      <c r="AY61" s="902"/>
      <c r="AZ61" s="902"/>
      <c r="BA61" s="902"/>
      <c r="BB61" s="902"/>
      <c r="BC61" s="902"/>
      <c r="BD61" s="902"/>
      <c r="BE61" s="902"/>
      <c r="BF61" s="902"/>
      <c r="BG61" s="902"/>
      <c r="BH61" s="902"/>
      <c r="BI61" s="902"/>
      <c r="BJ61" s="902"/>
      <c r="BK61" s="902"/>
      <c r="BL61" s="902"/>
      <c r="BM61" s="902"/>
      <c r="BN61" s="902"/>
      <c r="BO61" s="902"/>
      <c r="BP61" s="902"/>
      <c r="BQ61" s="902"/>
      <c r="BR61" s="902"/>
      <c r="BS61" s="902"/>
      <c r="BT61" s="902"/>
      <c r="BU61" s="902"/>
      <c r="BV61" s="902"/>
      <c r="BW61" s="902"/>
      <c r="BX61" s="902"/>
      <c r="BY61" s="902"/>
      <c r="BZ61" s="902"/>
      <c r="CA61" s="902"/>
      <c r="CB61" s="902"/>
      <c r="CC61" s="902"/>
      <c r="CD61" s="902"/>
      <c r="CE61" s="902"/>
      <c r="CF61" s="902"/>
      <c r="CG61" s="902"/>
      <c r="CH61" s="902"/>
      <c r="CI61" s="902"/>
      <c r="CJ61" s="902"/>
      <c r="CK61" s="902"/>
      <c r="CL61" s="902"/>
      <c r="CM61" s="902"/>
      <c r="CN61" s="902"/>
      <c r="CO61" s="902"/>
      <c r="CP61" s="902"/>
      <c r="CQ61" s="902"/>
      <c r="CR61" s="902"/>
      <c r="CS61" s="902"/>
      <c r="CT61" s="902"/>
      <c r="CU61" s="902"/>
      <c r="CV61" s="902"/>
      <c r="CW61" s="902"/>
      <c r="CX61" s="902"/>
      <c r="CY61" s="902"/>
      <c r="CZ61" s="902"/>
      <c r="DA61" s="902"/>
      <c r="DB61" s="902"/>
      <c r="DC61" s="902"/>
      <c r="DD61" s="902"/>
      <c r="DE61" s="902"/>
      <c r="DF61" s="902"/>
      <c r="DG61" s="902"/>
      <c r="DH61" s="902"/>
      <c r="DI61" s="902"/>
      <c r="DJ61" s="902"/>
      <c r="DK61" s="902"/>
      <c r="DL61" s="902"/>
      <c r="DM61" s="902"/>
      <c r="DN61" s="902"/>
      <c r="DO61" s="902"/>
      <c r="DP61" s="902"/>
      <c r="DQ61" s="902"/>
      <c r="DR61" s="902"/>
      <c r="DS61" s="902"/>
      <c r="DT61" s="902"/>
      <c r="DU61" s="902"/>
      <c r="DV61" s="902"/>
      <c r="DW61" s="902"/>
      <c r="DX61" s="902"/>
      <c r="DY61" s="902"/>
      <c r="DZ61" s="902"/>
      <c r="EA61" s="902"/>
      <c r="EB61" s="902"/>
      <c r="EC61" s="902"/>
      <c r="ED61" s="902"/>
      <c r="EE61" s="902"/>
      <c r="EF61" s="902"/>
      <c r="EG61" s="902"/>
      <c r="EH61" s="902"/>
      <c r="EI61" s="902"/>
      <c r="EJ61" s="902"/>
      <c r="EK61" s="902"/>
      <c r="EL61" s="902"/>
      <c r="EM61" s="902"/>
      <c r="EN61" s="902"/>
    </row>
    <row r="62" spans="1:144" s="887" customFormat="1" ht="13.5">
      <c r="A62" s="546"/>
      <c r="B62" s="896" t="s">
        <v>719</v>
      </c>
      <c r="C62" s="899" t="s">
        <v>360</v>
      </c>
      <c r="D62" s="546" t="s">
        <v>98</v>
      </c>
      <c r="E62" s="546">
        <v>1</v>
      </c>
      <c r="F62" s="651">
        <f>E62*F59</f>
        <v>2</v>
      </c>
      <c r="G62" s="651"/>
      <c r="H62" s="651"/>
      <c r="I62" s="651"/>
      <c r="J62" s="651"/>
      <c r="K62" s="651"/>
      <c r="L62" s="651"/>
      <c r="M62" s="651"/>
      <c r="N62" s="902"/>
      <c r="O62" s="902"/>
      <c r="P62" s="902"/>
      <c r="Q62" s="902"/>
      <c r="R62" s="902"/>
      <c r="S62" s="902"/>
      <c r="T62" s="902"/>
      <c r="U62" s="902"/>
      <c r="V62" s="902"/>
      <c r="W62" s="902"/>
      <c r="X62" s="902"/>
      <c r="Y62" s="902"/>
      <c r="Z62" s="902"/>
      <c r="AA62" s="902"/>
      <c r="AB62" s="902"/>
      <c r="AC62" s="902"/>
      <c r="AD62" s="902"/>
      <c r="AE62" s="902"/>
      <c r="AF62" s="902"/>
      <c r="AG62" s="902"/>
      <c r="AH62" s="902"/>
      <c r="AI62" s="902"/>
      <c r="AJ62" s="902"/>
      <c r="AK62" s="902"/>
      <c r="AL62" s="902"/>
      <c r="AM62" s="902"/>
      <c r="AN62" s="902"/>
      <c r="AO62" s="902"/>
      <c r="AP62" s="902"/>
      <c r="AQ62" s="902"/>
      <c r="AR62" s="902"/>
      <c r="AS62" s="902"/>
      <c r="AT62" s="902"/>
      <c r="AU62" s="902"/>
      <c r="AV62" s="902"/>
      <c r="AW62" s="902"/>
      <c r="AX62" s="902"/>
      <c r="AY62" s="902"/>
      <c r="AZ62" s="902"/>
      <c r="BA62" s="902"/>
      <c r="BB62" s="902"/>
      <c r="BC62" s="902"/>
      <c r="BD62" s="902"/>
      <c r="BE62" s="902"/>
      <c r="BF62" s="902"/>
      <c r="BG62" s="902"/>
      <c r="BH62" s="902"/>
      <c r="BI62" s="902"/>
      <c r="BJ62" s="902"/>
      <c r="BK62" s="902"/>
      <c r="BL62" s="902"/>
      <c r="BM62" s="902"/>
      <c r="BN62" s="902"/>
      <c r="BO62" s="902"/>
      <c r="BP62" s="902"/>
      <c r="BQ62" s="902"/>
      <c r="BR62" s="902"/>
      <c r="BS62" s="902"/>
      <c r="BT62" s="902"/>
      <c r="BU62" s="902"/>
      <c r="BV62" s="902"/>
      <c r="BW62" s="902"/>
      <c r="BX62" s="902"/>
      <c r="BY62" s="902"/>
      <c r="BZ62" s="902"/>
      <c r="CA62" s="902"/>
      <c r="CB62" s="902"/>
      <c r="CC62" s="902"/>
      <c r="CD62" s="902"/>
      <c r="CE62" s="902"/>
      <c r="CF62" s="902"/>
      <c r="CG62" s="902"/>
      <c r="CH62" s="902"/>
      <c r="CI62" s="902"/>
      <c r="CJ62" s="902"/>
      <c r="CK62" s="902"/>
      <c r="CL62" s="902"/>
      <c r="CM62" s="902"/>
      <c r="CN62" s="902"/>
      <c r="CO62" s="902"/>
      <c r="CP62" s="902"/>
      <c r="CQ62" s="902"/>
      <c r="CR62" s="902"/>
      <c r="CS62" s="902"/>
      <c r="CT62" s="902"/>
      <c r="CU62" s="902"/>
      <c r="CV62" s="902"/>
      <c r="CW62" s="902"/>
      <c r="CX62" s="902"/>
      <c r="CY62" s="902"/>
      <c r="CZ62" s="902"/>
      <c r="DA62" s="902"/>
      <c r="DB62" s="902"/>
      <c r="DC62" s="902"/>
      <c r="DD62" s="902"/>
      <c r="DE62" s="902"/>
      <c r="DF62" s="902"/>
      <c r="DG62" s="902"/>
      <c r="DH62" s="902"/>
      <c r="DI62" s="902"/>
      <c r="DJ62" s="902"/>
      <c r="DK62" s="902"/>
      <c r="DL62" s="902"/>
      <c r="DM62" s="902"/>
      <c r="DN62" s="902"/>
      <c r="DO62" s="902"/>
      <c r="DP62" s="902"/>
      <c r="DQ62" s="902"/>
      <c r="DR62" s="902"/>
      <c r="DS62" s="902"/>
      <c r="DT62" s="902"/>
      <c r="DU62" s="902"/>
      <c r="DV62" s="902"/>
      <c r="DW62" s="902"/>
      <c r="DX62" s="902"/>
      <c r="DY62" s="902"/>
      <c r="DZ62" s="902"/>
      <c r="EA62" s="902"/>
      <c r="EB62" s="902"/>
      <c r="EC62" s="902"/>
      <c r="ED62" s="902"/>
      <c r="EE62" s="902"/>
      <c r="EF62" s="902"/>
      <c r="EG62" s="902"/>
      <c r="EH62" s="902"/>
      <c r="EI62" s="902"/>
      <c r="EJ62" s="902"/>
      <c r="EK62" s="902"/>
      <c r="EL62" s="902"/>
      <c r="EM62" s="902"/>
      <c r="EN62" s="902"/>
    </row>
    <row r="63" spans="1:144" s="887" customFormat="1" ht="13.5">
      <c r="A63" s="546"/>
      <c r="B63" s="390"/>
      <c r="C63" s="892" t="s">
        <v>104</v>
      </c>
      <c r="D63" s="546" t="s">
        <v>109</v>
      </c>
      <c r="E63" s="546">
        <v>7.0000000000000007E-2</v>
      </c>
      <c r="F63" s="651">
        <f>E63*F59</f>
        <v>0.14000000000000001</v>
      </c>
      <c r="G63" s="651"/>
      <c r="H63" s="651"/>
      <c r="I63" s="651"/>
      <c r="J63" s="651"/>
      <c r="K63" s="651"/>
      <c r="L63" s="651"/>
      <c r="M63" s="651"/>
      <c r="N63" s="902"/>
      <c r="O63" s="902"/>
      <c r="P63" s="902"/>
      <c r="Q63" s="902"/>
      <c r="R63" s="902"/>
      <c r="S63" s="902"/>
      <c r="T63" s="902"/>
      <c r="U63" s="902"/>
      <c r="V63" s="902"/>
      <c r="W63" s="902"/>
      <c r="X63" s="902"/>
      <c r="Y63" s="902"/>
      <c r="Z63" s="902"/>
      <c r="AA63" s="902"/>
      <c r="AB63" s="902"/>
      <c r="AC63" s="902"/>
      <c r="AD63" s="902"/>
      <c r="AE63" s="902"/>
      <c r="AF63" s="902"/>
      <c r="AG63" s="902"/>
      <c r="AH63" s="902"/>
      <c r="AI63" s="902"/>
      <c r="AJ63" s="902"/>
      <c r="AK63" s="902"/>
      <c r="AL63" s="902"/>
      <c r="AM63" s="902"/>
      <c r="AN63" s="902"/>
      <c r="AO63" s="902"/>
      <c r="AP63" s="902"/>
      <c r="AQ63" s="902"/>
      <c r="AR63" s="902"/>
      <c r="AS63" s="902"/>
      <c r="AT63" s="902"/>
      <c r="AU63" s="902"/>
      <c r="AV63" s="902"/>
      <c r="AW63" s="902"/>
      <c r="AX63" s="902"/>
      <c r="AY63" s="902"/>
      <c r="AZ63" s="902"/>
      <c r="BA63" s="902"/>
      <c r="BB63" s="902"/>
      <c r="BC63" s="902"/>
      <c r="BD63" s="902"/>
      <c r="BE63" s="902"/>
      <c r="BF63" s="902"/>
      <c r="BG63" s="902"/>
      <c r="BH63" s="902"/>
      <c r="BI63" s="902"/>
      <c r="BJ63" s="902"/>
      <c r="BK63" s="902"/>
      <c r="BL63" s="902"/>
      <c r="BM63" s="902"/>
      <c r="BN63" s="902"/>
      <c r="BO63" s="902"/>
      <c r="BP63" s="902"/>
      <c r="BQ63" s="902"/>
      <c r="BR63" s="902"/>
      <c r="BS63" s="902"/>
      <c r="BT63" s="902"/>
      <c r="BU63" s="902"/>
      <c r="BV63" s="902"/>
      <c r="BW63" s="902"/>
      <c r="BX63" s="902"/>
      <c r="BY63" s="902"/>
      <c r="BZ63" s="902"/>
      <c r="CA63" s="902"/>
      <c r="CB63" s="902"/>
      <c r="CC63" s="902"/>
      <c r="CD63" s="902"/>
      <c r="CE63" s="902"/>
      <c r="CF63" s="902"/>
      <c r="CG63" s="902"/>
      <c r="CH63" s="902"/>
      <c r="CI63" s="902"/>
      <c r="CJ63" s="902"/>
      <c r="CK63" s="902"/>
      <c r="CL63" s="902"/>
      <c r="CM63" s="902"/>
      <c r="CN63" s="902"/>
      <c r="CO63" s="902"/>
      <c r="CP63" s="902"/>
      <c r="CQ63" s="902"/>
      <c r="CR63" s="902"/>
      <c r="CS63" s="902"/>
      <c r="CT63" s="902"/>
      <c r="CU63" s="902"/>
      <c r="CV63" s="902"/>
      <c r="CW63" s="902"/>
      <c r="CX63" s="902"/>
      <c r="CY63" s="902"/>
      <c r="CZ63" s="902"/>
      <c r="DA63" s="902"/>
      <c r="DB63" s="902"/>
      <c r="DC63" s="902"/>
      <c r="DD63" s="902"/>
      <c r="DE63" s="902"/>
      <c r="DF63" s="902"/>
      <c r="DG63" s="902"/>
      <c r="DH63" s="902"/>
      <c r="DI63" s="902"/>
      <c r="DJ63" s="902"/>
      <c r="DK63" s="902"/>
      <c r="DL63" s="902"/>
      <c r="DM63" s="902"/>
      <c r="DN63" s="902"/>
      <c r="DO63" s="902"/>
      <c r="DP63" s="902"/>
      <c r="DQ63" s="902"/>
      <c r="DR63" s="902"/>
      <c r="DS63" s="902"/>
      <c r="DT63" s="902"/>
      <c r="DU63" s="902"/>
      <c r="DV63" s="902"/>
      <c r="DW63" s="902"/>
      <c r="DX63" s="902"/>
      <c r="DY63" s="902"/>
      <c r="DZ63" s="902"/>
      <c r="EA63" s="902"/>
      <c r="EB63" s="902"/>
      <c r="EC63" s="902"/>
      <c r="ED63" s="902"/>
      <c r="EE63" s="902"/>
      <c r="EF63" s="902"/>
      <c r="EG63" s="902"/>
      <c r="EH63" s="902"/>
      <c r="EI63" s="902"/>
      <c r="EJ63" s="902"/>
      <c r="EK63" s="902"/>
      <c r="EL63" s="902"/>
      <c r="EM63" s="902"/>
      <c r="EN63" s="902"/>
    </row>
    <row r="64" spans="1:144" s="887" customFormat="1" ht="13.5">
      <c r="A64" s="664">
        <v>9</v>
      </c>
      <c r="B64" s="666" t="s">
        <v>245</v>
      </c>
      <c r="C64" s="888" t="s">
        <v>246</v>
      </c>
      <c r="D64" s="664" t="s">
        <v>91</v>
      </c>
      <c r="E64" s="664"/>
      <c r="F64" s="894">
        <v>30</v>
      </c>
      <c r="G64" s="894"/>
      <c r="H64" s="894"/>
      <c r="I64" s="894"/>
      <c r="J64" s="894"/>
      <c r="K64" s="894"/>
      <c r="L64" s="894"/>
      <c r="M64" s="894"/>
      <c r="N64" s="903"/>
      <c r="O64" s="903"/>
      <c r="P64" s="903"/>
      <c r="Q64" s="903"/>
      <c r="R64" s="903"/>
      <c r="S64" s="903"/>
      <c r="T64" s="903"/>
      <c r="U64" s="903"/>
      <c r="V64" s="903"/>
      <c r="W64" s="903"/>
      <c r="X64" s="903"/>
      <c r="Y64" s="903"/>
      <c r="Z64" s="903"/>
      <c r="AA64" s="903"/>
      <c r="AB64" s="903"/>
      <c r="AC64" s="903"/>
      <c r="AD64" s="903"/>
      <c r="AE64" s="903"/>
      <c r="AF64" s="903"/>
      <c r="AG64" s="903"/>
      <c r="AH64" s="903"/>
      <c r="AI64" s="903"/>
      <c r="AJ64" s="903"/>
      <c r="AK64" s="903"/>
      <c r="AL64" s="903"/>
      <c r="AM64" s="903"/>
      <c r="AN64" s="903"/>
      <c r="AO64" s="903"/>
      <c r="AP64" s="903"/>
      <c r="AQ64" s="903"/>
      <c r="AR64" s="903"/>
      <c r="AS64" s="903"/>
      <c r="AT64" s="903"/>
      <c r="AU64" s="903"/>
      <c r="AV64" s="903"/>
      <c r="AW64" s="903"/>
      <c r="AX64" s="903"/>
      <c r="AY64" s="903"/>
      <c r="AZ64" s="903"/>
      <c r="BA64" s="903"/>
      <c r="BB64" s="903"/>
      <c r="BC64" s="903"/>
      <c r="BD64" s="903"/>
      <c r="BE64" s="903"/>
      <c r="BF64" s="903"/>
      <c r="BG64" s="903"/>
      <c r="BH64" s="903"/>
      <c r="BI64" s="903"/>
      <c r="BJ64" s="903"/>
      <c r="BK64" s="903"/>
      <c r="BL64" s="903"/>
      <c r="BM64" s="903"/>
      <c r="BN64" s="903"/>
      <c r="BO64" s="903"/>
      <c r="BP64" s="903"/>
      <c r="BQ64" s="903"/>
      <c r="BR64" s="903"/>
      <c r="BS64" s="903"/>
      <c r="BT64" s="903"/>
      <c r="BU64" s="903"/>
      <c r="BV64" s="903"/>
      <c r="BW64" s="903"/>
      <c r="BX64" s="903"/>
      <c r="BY64" s="903"/>
      <c r="BZ64" s="903"/>
      <c r="CA64" s="903"/>
      <c r="CB64" s="903"/>
      <c r="CC64" s="903"/>
      <c r="CD64" s="903"/>
      <c r="CE64" s="903"/>
      <c r="CF64" s="903"/>
      <c r="CG64" s="903"/>
      <c r="CH64" s="903"/>
      <c r="CI64" s="903"/>
      <c r="CJ64" s="903"/>
      <c r="CK64" s="903"/>
      <c r="CL64" s="903"/>
      <c r="CM64" s="903"/>
      <c r="CN64" s="903"/>
      <c r="CO64" s="903"/>
      <c r="CP64" s="903"/>
      <c r="CQ64" s="903"/>
      <c r="CR64" s="903"/>
      <c r="CS64" s="903"/>
      <c r="CT64" s="903"/>
      <c r="CU64" s="903"/>
      <c r="CV64" s="903"/>
      <c r="CW64" s="903"/>
      <c r="CX64" s="903"/>
      <c r="CY64" s="903"/>
      <c r="CZ64" s="903"/>
      <c r="DA64" s="903"/>
      <c r="DB64" s="903"/>
      <c r="DC64" s="903"/>
      <c r="DD64" s="903"/>
      <c r="DE64" s="903"/>
      <c r="DF64" s="903"/>
      <c r="DG64" s="903"/>
      <c r="DH64" s="903"/>
      <c r="DI64" s="903"/>
      <c r="DJ64" s="903"/>
      <c r="DK64" s="903"/>
      <c r="DL64" s="903"/>
      <c r="DM64" s="903"/>
      <c r="DN64" s="903"/>
      <c r="DO64" s="903"/>
      <c r="DP64" s="903"/>
      <c r="DQ64" s="903"/>
      <c r="DR64" s="903"/>
      <c r="DS64" s="903"/>
      <c r="DT64" s="903"/>
      <c r="DU64" s="903"/>
      <c r="DV64" s="903"/>
      <c r="DW64" s="903"/>
      <c r="DX64" s="903"/>
      <c r="DY64" s="903"/>
      <c r="DZ64" s="903"/>
      <c r="EA64" s="903"/>
      <c r="EB64" s="903"/>
      <c r="EC64" s="903"/>
      <c r="ED64" s="903"/>
      <c r="EE64" s="903"/>
      <c r="EF64" s="903"/>
      <c r="EG64" s="903"/>
      <c r="EH64" s="903"/>
      <c r="EI64" s="903"/>
      <c r="EJ64" s="903"/>
      <c r="EK64" s="903"/>
      <c r="EL64" s="903"/>
      <c r="EM64" s="903"/>
      <c r="EN64" s="903"/>
    </row>
    <row r="65" spans="1:144" s="887" customFormat="1" ht="13.5">
      <c r="A65" s="546"/>
      <c r="B65" s="891"/>
      <c r="C65" s="892" t="s">
        <v>86</v>
      </c>
      <c r="D65" s="546" t="s">
        <v>13</v>
      </c>
      <c r="E65" s="546">
        <f>5.16*0.01</f>
        <v>5.16E-2</v>
      </c>
      <c r="F65" s="651">
        <f>E65*F64</f>
        <v>1.548</v>
      </c>
      <c r="G65" s="651"/>
      <c r="H65" s="651"/>
      <c r="I65" s="651"/>
      <c r="J65" s="651"/>
      <c r="K65" s="651"/>
      <c r="L65" s="651"/>
      <c r="M65" s="651"/>
      <c r="N65" s="902"/>
      <c r="O65" s="902"/>
      <c r="P65" s="902"/>
      <c r="Q65" s="902"/>
      <c r="R65" s="902"/>
      <c r="S65" s="902"/>
      <c r="T65" s="902"/>
      <c r="U65" s="902"/>
      <c r="V65" s="902"/>
      <c r="W65" s="902"/>
      <c r="X65" s="902"/>
      <c r="Y65" s="902"/>
      <c r="Z65" s="902"/>
      <c r="AA65" s="902"/>
      <c r="AB65" s="902"/>
      <c r="AC65" s="902"/>
      <c r="AD65" s="902"/>
      <c r="AE65" s="902"/>
      <c r="AF65" s="902"/>
      <c r="AG65" s="902"/>
      <c r="AH65" s="902"/>
      <c r="AI65" s="902"/>
      <c r="AJ65" s="902"/>
      <c r="AK65" s="902"/>
      <c r="AL65" s="902"/>
      <c r="AM65" s="902"/>
      <c r="AN65" s="902"/>
      <c r="AO65" s="902"/>
      <c r="AP65" s="902"/>
      <c r="AQ65" s="902"/>
      <c r="AR65" s="902"/>
      <c r="AS65" s="902"/>
      <c r="AT65" s="902"/>
      <c r="AU65" s="902"/>
      <c r="AV65" s="902"/>
      <c r="AW65" s="902"/>
      <c r="AX65" s="902"/>
      <c r="AY65" s="902"/>
      <c r="AZ65" s="902"/>
      <c r="BA65" s="902"/>
      <c r="BB65" s="902"/>
      <c r="BC65" s="902"/>
      <c r="BD65" s="902"/>
      <c r="BE65" s="902"/>
      <c r="BF65" s="902"/>
      <c r="BG65" s="902"/>
      <c r="BH65" s="902"/>
      <c r="BI65" s="902"/>
      <c r="BJ65" s="902"/>
      <c r="BK65" s="902"/>
      <c r="BL65" s="902"/>
      <c r="BM65" s="902"/>
      <c r="BN65" s="902"/>
      <c r="BO65" s="902"/>
      <c r="BP65" s="902"/>
      <c r="BQ65" s="902"/>
      <c r="BR65" s="902"/>
      <c r="BS65" s="902"/>
      <c r="BT65" s="902"/>
      <c r="BU65" s="902"/>
      <c r="BV65" s="902"/>
      <c r="BW65" s="902"/>
      <c r="BX65" s="902"/>
      <c r="BY65" s="902"/>
      <c r="BZ65" s="902"/>
      <c r="CA65" s="902"/>
      <c r="CB65" s="902"/>
      <c r="CC65" s="902"/>
      <c r="CD65" s="902"/>
      <c r="CE65" s="902"/>
      <c r="CF65" s="902"/>
      <c r="CG65" s="902"/>
      <c r="CH65" s="902"/>
      <c r="CI65" s="902"/>
      <c r="CJ65" s="902"/>
      <c r="CK65" s="902"/>
      <c r="CL65" s="902"/>
      <c r="CM65" s="902"/>
      <c r="CN65" s="902"/>
      <c r="CO65" s="902"/>
      <c r="CP65" s="902"/>
      <c r="CQ65" s="902"/>
      <c r="CR65" s="902"/>
      <c r="CS65" s="902"/>
      <c r="CT65" s="902"/>
      <c r="CU65" s="902"/>
      <c r="CV65" s="902"/>
      <c r="CW65" s="902"/>
      <c r="CX65" s="902"/>
      <c r="CY65" s="902"/>
      <c r="CZ65" s="902"/>
      <c r="DA65" s="902"/>
      <c r="DB65" s="902"/>
      <c r="DC65" s="902"/>
      <c r="DD65" s="902"/>
      <c r="DE65" s="902"/>
      <c r="DF65" s="902"/>
      <c r="DG65" s="902"/>
      <c r="DH65" s="902"/>
      <c r="DI65" s="902"/>
      <c r="DJ65" s="902"/>
      <c r="DK65" s="902"/>
      <c r="DL65" s="902"/>
      <c r="DM65" s="902"/>
      <c r="DN65" s="902"/>
      <c r="DO65" s="902"/>
      <c r="DP65" s="902"/>
      <c r="DQ65" s="902"/>
      <c r="DR65" s="902"/>
      <c r="DS65" s="902"/>
      <c r="DT65" s="902"/>
      <c r="DU65" s="902"/>
      <c r="DV65" s="902"/>
      <c r="DW65" s="902"/>
      <c r="DX65" s="902"/>
      <c r="DY65" s="902"/>
      <c r="DZ65" s="902"/>
      <c r="EA65" s="902"/>
      <c r="EB65" s="902"/>
      <c r="EC65" s="902"/>
      <c r="ED65" s="902"/>
      <c r="EE65" s="902"/>
      <c r="EF65" s="902"/>
      <c r="EG65" s="902"/>
      <c r="EH65" s="902"/>
      <c r="EI65" s="902"/>
      <c r="EJ65" s="902"/>
      <c r="EK65" s="902"/>
      <c r="EL65" s="902"/>
      <c r="EM65" s="902"/>
      <c r="EN65" s="902"/>
    </row>
    <row r="66" spans="1:144" s="887" customFormat="1" ht="15">
      <c r="A66" s="546"/>
      <c r="B66" s="468" t="s">
        <v>623</v>
      </c>
      <c r="C66" s="892" t="s">
        <v>247</v>
      </c>
      <c r="D66" s="546" t="s">
        <v>15</v>
      </c>
      <c r="E66" s="546">
        <v>0.01</v>
      </c>
      <c r="F66" s="651">
        <f>E66*F64</f>
        <v>0.3</v>
      </c>
      <c r="G66" s="651"/>
      <c r="H66" s="651"/>
      <c r="I66" s="651"/>
      <c r="J66" s="651"/>
      <c r="K66" s="651"/>
      <c r="L66" s="651"/>
      <c r="M66" s="651"/>
      <c r="N66" s="902"/>
      <c r="O66" s="902"/>
      <c r="P66" s="902"/>
      <c r="Q66" s="902"/>
      <c r="R66" s="902"/>
      <c r="S66" s="902"/>
      <c r="T66" s="902"/>
      <c r="U66" s="902"/>
      <c r="V66" s="902"/>
      <c r="W66" s="902"/>
      <c r="X66" s="902"/>
      <c r="Y66" s="902"/>
      <c r="Z66" s="902"/>
      <c r="AA66" s="902"/>
      <c r="AB66" s="902"/>
      <c r="AC66" s="902"/>
      <c r="AD66" s="902"/>
      <c r="AE66" s="902"/>
      <c r="AF66" s="902"/>
      <c r="AG66" s="902"/>
      <c r="AH66" s="902"/>
      <c r="AI66" s="902"/>
      <c r="AJ66" s="902"/>
      <c r="AK66" s="902"/>
      <c r="AL66" s="902"/>
      <c r="AM66" s="902"/>
      <c r="AN66" s="902"/>
      <c r="AO66" s="902"/>
      <c r="AP66" s="902"/>
      <c r="AQ66" s="902"/>
      <c r="AR66" s="902"/>
      <c r="AS66" s="902"/>
      <c r="AT66" s="902"/>
      <c r="AU66" s="902"/>
      <c r="AV66" s="902"/>
      <c r="AW66" s="902"/>
      <c r="AX66" s="902"/>
      <c r="AY66" s="902"/>
      <c r="AZ66" s="902"/>
      <c r="BA66" s="902"/>
      <c r="BB66" s="902"/>
      <c r="BC66" s="902"/>
      <c r="BD66" s="902"/>
      <c r="BE66" s="902"/>
      <c r="BF66" s="902"/>
      <c r="BG66" s="902"/>
      <c r="BH66" s="902"/>
      <c r="BI66" s="902"/>
      <c r="BJ66" s="902"/>
      <c r="BK66" s="902"/>
      <c r="BL66" s="902"/>
      <c r="BM66" s="902"/>
      <c r="BN66" s="902"/>
      <c r="BO66" s="902"/>
      <c r="BP66" s="902"/>
      <c r="BQ66" s="902"/>
      <c r="BR66" s="902"/>
      <c r="BS66" s="902"/>
      <c r="BT66" s="902"/>
      <c r="BU66" s="902"/>
      <c r="BV66" s="902"/>
      <c r="BW66" s="902"/>
      <c r="BX66" s="902"/>
      <c r="BY66" s="902"/>
      <c r="BZ66" s="902"/>
      <c r="CA66" s="902"/>
      <c r="CB66" s="902"/>
      <c r="CC66" s="902"/>
      <c r="CD66" s="902"/>
      <c r="CE66" s="902"/>
      <c r="CF66" s="902"/>
      <c r="CG66" s="902"/>
      <c r="CH66" s="902"/>
      <c r="CI66" s="902"/>
      <c r="CJ66" s="902"/>
      <c r="CK66" s="902"/>
      <c r="CL66" s="902"/>
      <c r="CM66" s="902"/>
      <c r="CN66" s="902"/>
      <c r="CO66" s="902"/>
      <c r="CP66" s="902"/>
      <c r="CQ66" s="902"/>
      <c r="CR66" s="902"/>
      <c r="CS66" s="902"/>
      <c r="CT66" s="902"/>
      <c r="CU66" s="902"/>
      <c r="CV66" s="902"/>
      <c r="CW66" s="902"/>
      <c r="CX66" s="902"/>
      <c r="CY66" s="902"/>
      <c r="CZ66" s="902"/>
      <c r="DA66" s="902"/>
      <c r="DB66" s="902"/>
      <c r="DC66" s="902"/>
      <c r="DD66" s="902"/>
      <c r="DE66" s="902"/>
      <c r="DF66" s="902"/>
      <c r="DG66" s="902"/>
      <c r="DH66" s="902"/>
      <c r="DI66" s="902"/>
      <c r="DJ66" s="902"/>
      <c r="DK66" s="902"/>
      <c r="DL66" s="902"/>
      <c r="DM66" s="902"/>
      <c r="DN66" s="902"/>
      <c r="DO66" s="902"/>
      <c r="DP66" s="902"/>
      <c r="DQ66" s="902"/>
      <c r="DR66" s="902"/>
      <c r="DS66" s="902"/>
      <c r="DT66" s="902"/>
      <c r="DU66" s="902"/>
      <c r="DV66" s="902"/>
      <c r="DW66" s="902"/>
      <c r="DX66" s="902"/>
      <c r="DY66" s="902"/>
      <c r="DZ66" s="902"/>
      <c r="EA66" s="902"/>
      <c r="EB66" s="902"/>
      <c r="EC66" s="902"/>
      <c r="ED66" s="902"/>
      <c r="EE66" s="902"/>
      <c r="EF66" s="902"/>
      <c r="EG66" s="902"/>
      <c r="EH66" s="902"/>
      <c r="EI66" s="902"/>
      <c r="EJ66" s="902"/>
      <c r="EK66" s="902"/>
      <c r="EL66" s="902"/>
      <c r="EM66" s="902"/>
      <c r="EN66" s="902"/>
    </row>
    <row r="67" spans="1:144" s="887" customFormat="1" ht="13.5">
      <c r="A67" s="546"/>
      <c r="B67" s="390"/>
      <c r="C67" s="892" t="s">
        <v>104</v>
      </c>
      <c r="D67" s="546" t="s">
        <v>109</v>
      </c>
      <c r="E67" s="546">
        <f>0.11*0.01</f>
        <v>1.1000000000000001E-3</v>
      </c>
      <c r="F67" s="651">
        <f>E67*F63</f>
        <v>1.5400000000000003E-4</v>
      </c>
      <c r="G67" s="651"/>
      <c r="H67" s="651"/>
      <c r="I67" s="651"/>
      <c r="J67" s="651"/>
      <c r="K67" s="651"/>
      <c r="L67" s="651"/>
      <c r="M67" s="651"/>
      <c r="N67" s="902"/>
      <c r="O67" s="902"/>
      <c r="P67" s="902"/>
      <c r="Q67" s="902"/>
      <c r="R67" s="902"/>
      <c r="S67" s="902"/>
      <c r="T67" s="902"/>
      <c r="U67" s="902"/>
      <c r="V67" s="902"/>
      <c r="W67" s="902"/>
      <c r="X67" s="902"/>
      <c r="Y67" s="902"/>
      <c r="Z67" s="902"/>
      <c r="AA67" s="902"/>
      <c r="AB67" s="902"/>
      <c r="AC67" s="902"/>
      <c r="AD67" s="902"/>
      <c r="AE67" s="902"/>
      <c r="AF67" s="902"/>
      <c r="AG67" s="902"/>
      <c r="AH67" s="902"/>
      <c r="AI67" s="902"/>
      <c r="AJ67" s="902"/>
      <c r="AK67" s="902"/>
      <c r="AL67" s="902"/>
      <c r="AM67" s="902"/>
      <c r="AN67" s="902"/>
      <c r="AO67" s="902"/>
      <c r="AP67" s="902"/>
      <c r="AQ67" s="902"/>
      <c r="AR67" s="902"/>
      <c r="AS67" s="902"/>
      <c r="AT67" s="902"/>
      <c r="AU67" s="902"/>
      <c r="AV67" s="902"/>
      <c r="AW67" s="902"/>
      <c r="AX67" s="902"/>
      <c r="AY67" s="902"/>
      <c r="AZ67" s="902"/>
      <c r="BA67" s="902"/>
      <c r="BB67" s="902"/>
      <c r="BC67" s="902"/>
      <c r="BD67" s="902"/>
      <c r="BE67" s="902"/>
      <c r="BF67" s="902"/>
      <c r="BG67" s="902"/>
      <c r="BH67" s="902"/>
      <c r="BI67" s="902"/>
      <c r="BJ67" s="902"/>
      <c r="BK67" s="902"/>
      <c r="BL67" s="902"/>
      <c r="BM67" s="902"/>
      <c r="BN67" s="902"/>
      <c r="BO67" s="902"/>
      <c r="BP67" s="902"/>
      <c r="BQ67" s="902"/>
      <c r="BR67" s="902"/>
      <c r="BS67" s="902"/>
      <c r="BT67" s="902"/>
      <c r="BU67" s="902"/>
      <c r="BV67" s="902"/>
      <c r="BW67" s="902"/>
      <c r="BX67" s="902"/>
      <c r="BY67" s="902"/>
      <c r="BZ67" s="902"/>
      <c r="CA67" s="902"/>
      <c r="CB67" s="902"/>
      <c r="CC67" s="902"/>
      <c r="CD67" s="902"/>
      <c r="CE67" s="902"/>
      <c r="CF67" s="902"/>
      <c r="CG67" s="902"/>
      <c r="CH67" s="902"/>
      <c r="CI67" s="902"/>
      <c r="CJ67" s="902"/>
      <c r="CK67" s="902"/>
      <c r="CL67" s="902"/>
      <c r="CM67" s="902"/>
      <c r="CN67" s="902"/>
      <c r="CO67" s="902"/>
      <c r="CP67" s="902"/>
      <c r="CQ67" s="902"/>
      <c r="CR67" s="902"/>
      <c r="CS67" s="902"/>
      <c r="CT67" s="902"/>
      <c r="CU67" s="902"/>
      <c r="CV67" s="902"/>
      <c r="CW67" s="902"/>
      <c r="CX67" s="902"/>
      <c r="CY67" s="902"/>
      <c r="CZ67" s="902"/>
      <c r="DA67" s="902"/>
      <c r="DB67" s="902"/>
      <c r="DC67" s="902"/>
      <c r="DD67" s="902"/>
      <c r="DE67" s="902"/>
      <c r="DF67" s="902"/>
      <c r="DG67" s="902"/>
      <c r="DH67" s="902"/>
      <c r="DI67" s="902"/>
      <c r="DJ67" s="902"/>
      <c r="DK67" s="902"/>
      <c r="DL67" s="902"/>
      <c r="DM67" s="902"/>
      <c r="DN67" s="902"/>
      <c r="DO67" s="902"/>
      <c r="DP67" s="902"/>
      <c r="DQ67" s="902"/>
      <c r="DR67" s="902"/>
      <c r="DS67" s="902"/>
      <c r="DT67" s="902"/>
      <c r="DU67" s="902"/>
      <c r="DV67" s="902"/>
      <c r="DW67" s="902"/>
      <c r="DX67" s="902"/>
      <c r="DY67" s="902"/>
      <c r="DZ67" s="902"/>
      <c r="EA67" s="902"/>
      <c r="EB67" s="902"/>
      <c r="EC67" s="902"/>
      <c r="ED67" s="902"/>
      <c r="EE67" s="902"/>
      <c r="EF67" s="902"/>
      <c r="EG67" s="902"/>
      <c r="EH67" s="902"/>
      <c r="EI67" s="902"/>
      <c r="EJ67" s="902"/>
      <c r="EK67" s="902"/>
      <c r="EL67" s="902"/>
      <c r="EM67" s="902"/>
      <c r="EN67" s="902"/>
    </row>
    <row r="68" spans="1:144" s="887" customFormat="1" ht="27">
      <c r="A68" s="904">
        <v>10</v>
      </c>
      <c r="B68" s="665" t="s">
        <v>248</v>
      </c>
      <c r="C68" s="905" t="s">
        <v>361</v>
      </c>
      <c r="D68" s="906" t="s">
        <v>103</v>
      </c>
      <c r="E68" s="906"/>
      <c r="F68" s="907">
        <v>0.1</v>
      </c>
      <c r="G68" s="907"/>
      <c r="H68" s="907"/>
      <c r="I68" s="907"/>
      <c r="J68" s="907"/>
      <c r="K68" s="907"/>
      <c r="L68" s="907"/>
      <c r="M68" s="894"/>
      <c r="N68" s="903"/>
      <c r="O68" s="903"/>
      <c r="P68" s="903"/>
      <c r="Q68" s="903"/>
      <c r="R68" s="903"/>
      <c r="S68" s="903"/>
      <c r="T68" s="903"/>
      <c r="U68" s="903"/>
      <c r="V68" s="903"/>
      <c r="W68" s="903"/>
      <c r="X68" s="903"/>
      <c r="Y68" s="903"/>
      <c r="Z68" s="903"/>
      <c r="AA68" s="903"/>
      <c r="AB68" s="903"/>
      <c r="AC68" s="903"/>
      <c r="AD68" s="903"/>
      <c r="AE68" s="903"/>
      <c r="AF68" s="903"/>
      <c r="AG68" s="903"/>
      <c r="AH68" s="903"/>
      <c r="AI68" s="903"/>
      <c r="AJ68" s="903"/>
      <c r="AK68" s="903"/>
      <c r="AL68" s="903"/>
      <c r="AM68" s="903"/>
      <c r="AN68" s="903"/>
      <c r="AO68" s="903"/>
      <c r="AP68" s="903"/>
      <c r="AQ68" s="903"/>
      <c r="AR68" s="903"/>
      <c r="AS68" s="903"/>
      <c r="AT68" s="903"/>
      <c r="AU68" s="903"/>
      <c r="AV68" s="903"/>
      <c r="AW68" s="903"/>
      <c r="AX68" s="903"/>
      <c r="AY68" s="903"/>
      <c r="AZ68" s="903"/>
      <c r="BA68" s="903"/>
      <c r="BB68" s="903"/>
      <c r="BC68" s="903"/>
      <c r="BD68" s="903"/>
      <c r="BE68" s="903"/>
      <c r="BF68" s="903"/>
      <c r="BG68" s="903"/>
      <c r="BH68" s="903"/>
      <c r="BI68" s="903"/>
      <c r="BJ68" s="903"/>
      <c r="BK68" s="903"/>
      <c r="BL68" s="903"/>
      <c r="BM68" s="903"/>
      <c r="BN68" s="903"/>
      <c r="BO68" s="903"/>
      <c r="BP68" s="903"/>
      <c r="BQ68" s="903"/>
      <c r="BR68" s="903"/>
      <c r="BS68" s="903"/>
      <c r="BT68" s="903"/>
      <c r="BU68" s="903"/>
      <c r="BV68" s="903"/>
      <c r="BW68" s="903"/>
      <c r="BX68" s="903"/>
      <c r="BY68" s="903"/>
      <c r="BZ68" s="903"/>
      <c r="CA68" s="903"/>
      <c r="CB68" s="903"/>
      <c r="CC68" s="903"/>
      <c r="CD68" s="903"/>
      <c r="CE68" s="903"/>
      <c r="CF68" s="903"/>
      <c r="CG68" s="903"/>
      <c r="CH68" s="903"/>
      <c r="CI68" s="903"/>
      <c r="CJ68" s="903"/>
      <c r="CK68" s="903"/>
      <c r="CL68" s="903"/>
      <c r="CM68" s="903"/>
      <c r="CN68" s="903"/>
      <c r="CO68" s="903"/>
      <c r="CP68" s="903"/>
      <c r="CQ68" s="903"/>
      <c r="CR68" s="903"/>
      <c r="CS68" s="903"/>
      <c r="CT68" s="903"/>
      <c r="CU68" s="903"/>
      <c r="CV68" s="903"/>
      <c r="CW68" s="903"/>
      <c r="CX68" s="903"/>
      <c r="CY68" s="903"/>
      <c r="CZ68" s="903"/>
      <c r="DA68" s="903"/>
      <c r="DB68" s="903"/>
      <c r="DC68" s="903"/>
      <c r="DD68" s="903"/>
      <c r="DE68" s="903"/>
      <c r="DF68" s="903"/>
      <c r="DG68" s="903"/>
      <c r="DH68" s="903"/>
      <c r="DI68" s="903"/>
      <c r="DJ68" s="903"/>
      <c r="DK68" s="903"/>
      <c r="DL68" s="903"/>
      <c r="DM68" s="903"/>
      <c r="DN68" s="903"/>
      <c r="DO68" s="903"/>
      <c r="DP68" s="903"/>
      <c r="DQ68" s="903"/>
      <c r="DR68" s="903"/>
      <c r="DS68" s="903"/>
      <c r="DT68" s="903"/>
      <c r="DU68" s="903"/>
      <c r="DV68" s="903"/>
      <c r="DW68" s="903"/>
      <c r="DX68" s="903"/>
      <c r="DY68" s="903"/>
      <c r="DZ68" s="903"/>
      <c r="EA68" s="903"/>
      <c r="EB68" s="903"/>
      <c r="EC68" s="903"/>
      <c r="ED68" s="903"/>
      <c r="EE68" s="903"/>
      <c r="EF68" s="903"/>
      <c r="EG68" s="903"/>
      <c r="EH68" s="903"/>
      <c r="EI68" s="903"/>
      <c r="EJ68" s="903"/>
      <c r="EK68" s="903"/>
      <c r="EL68" s="903"/>
      <c r="EM68" s="903"/>
      <c r="EN68" s="903"/>
    </row>
    <row r="69" spans="1:144" s="887" customFormat="1" ht="13.5">
      <c r="A69" s="546"/>
      <c r="B69" s="891"/>
      <c r="C69" s="892" t="s">
        <v>86</v>
      </c>
      <c r="D69" s="546" t="s">
        <v>13</v>
      </c>
      <c r="E69" s="546">
        <v>34.9</v>
      </c>
      <c r="F69" s="651">
        <f>F68*E69</f>
        <v>3.49</v>
      </c>
      <c r="G69" s="651"/>
      <c r="H69" s="651"/>
      <c r="I69" s="651"/>
      <c r="J69" s="651"/>
      <c r="K69" s="651"/>
      <c r="L69" s="651"/>
      <c r="M69" s="651"/>
      <c r="N69" s="902"/>
      <c r="O69" s="902"/>
      <c r="P69" s="902"/>
      <c r="Q69" s="902"/>
      <c r="R69" s="902"/>
      <c r="S69" s="902"/>
      <c r="T69" s="902"/>
      <c r="U69" s="902"/>
      <c r="V69" s="902"/>
      <c r="W69" s="902"/>
      <c r="X69" s="902"/>
      <c r="Y69" s="902"/>
      <c r="Z69" s="902"/>
      <c r="AA69" s="902"/>
      <c r="AB69" s="902"/>
      <c r="AC69" s="902"/>
      <c r="AD69" s="902"/>
      <c r="AE69" s="902"/>
      <c r="AF69" s="902"/>
      <c r="AG69" s="902"/>
      <c r="AH69" s="902"/>
      <c r="AI69" s="902"/>
      <c r="AJ69" s="902"/>
      <c r="AK69" s="902"/>
      <c r="AL69" s="902"/>
      <c r="AM69" s="902"/>
      <c r="AN69" s="902"/>
      <c r="AO69" s="902"/>
      <c r="AP69" s="902"/>
      <c r="AQ69" s="902"/>
      <c r="AR69" s="902"/>
      <c r="AS69" s="902"/>
      <c r="AT69" s="902"/>
      <c r="AU69" s="902"/>
      <c r="AV69" s="902"/>
      <c r="AW69" s="902"/>
      <c r="AX69" s="902"/>
      <c r="AY69" s="902"/>
      <c r="AZ69" s="902"/>
      <c r="BA69" s="902"/>
      <c r="BB69" s="902"/>
      <c r="BC69" s="902"/>
      <c r="BD69" s="902"/>
      <c r="BE69" s="902"/>
      <c r="BF69" s="902"/>
      <c r="BG69" s="902"/>
      <c r="BH69" s="902"/>
      <c r="BI69" s="902"/>
      <c r="BJ69" s="902"/>
      <c r="BK69" s="902"/>
      <c r="BL69" s="902"/>
      <c r="BM69" s="902"/>
      <c r="BN69" s="902"/>
      <c r="BO69" s="902"/>
      <c r="BP69" s="902"/>
      <c r="BQ69" s="902"/>
      <c r="BR69" s="902"/>
      <c r="BS69" s="902"/>
      <c r="BT69" s="902"/>
      <c r="BU69" s="902"/>
      <c r="BV69" s="902"/>
      <c r="BW69" s="902"/>
      <c r="BX69" s="902"/>
      <c r="BY69" s="902"/>
      <c r="BZ69" s="902"/>
      <c r="CA69" s="902"/>
      <c r="CB69" s="902"/>
      <c r="CC69" s="902"/>
      <c r="CD69" s="902"/>
      <c r="CE69" s="902"/>
      <c r="CF69" s="902"/>
      <c r="CG69" s="902"/>
      <c r="CH69" s="902"/>
      <c r="CI69" s="902"/>
      <c r="CJ69" s="902"/>
      <c r="CK69" s="902"/>
      <c r="CL69" s="902"/>
      <c r="CM69" s="902"/>
      <c r="CN69" s="902"/>
      <c r="CO69" s="902"/>
      <c r="CP69" s="902"/>
      <c r="CQ69" s="902"/>
      <c r="CR69" s="902"/>
      <c r="CS69" s="902"/>
      <c r="CT69" s="902"/>
      <c r="CU69" s="902"/>
      <c r="CV69" s="902"/>
      <c r="CW69" s="902"/>
      <c r="CX69" s="902"/>
      <c r="CY69" s="902"/>
      <c r="CZ69" s="902"/>
      <c r="DA69" s="902"/>
      <c r="DB69" s="902"/>
      <c r="DC69" s="902"/>
      <c r="DD69" s="902"/>
      <c r="DE69" s="902"/>
      <c r="DF69" s="902"/>
      <c r="DG69" s="902"/>
      <c r="DH69" s="902"/>
      <c r="DI69" s="902"/>
      <c r="DJ69" s="902"/>
      <c r="DK69" s="902"/>
      <c r="DL69" s="902"/>
      <c r="DM69" s="902"/>
      <c r="DN69" s="902"/>
      <c r="DO69" s="902"/>
      <c r="DP69" s="902"/>
      <c r="DQ69" s="902"/>
      <c r="DR69" s="902"/>
      <c r="DS69" s="902"/>
      <c r="DT69" s="902"/>
      <c r="DU69" s="902"/>
      <c r="DV69" s="902"/>
      <c r="DW69" s="902"/>
      <c r="DX69" s="902"/>
      <c r="DY69" s="902"/>
      <c r="DZ69" s="902"/>
      <c r="EA69" s="902"/>
      <c r="EB69" s="902"/>
      <c r="EC69" s="902"/>
      <c r="ED69" s="902"/>
      <c r="EE69" s="902"/>
      <c r="EF69" s="902"/>
      <c r="EG69" s="902"/>
      <c r="EH69" s="902"/>
      <c r="EI69" s="902"/>
      <c r="EJ69" s="902"/>
      <c r="EK69" s="902"/>
      <c r="EL69" s="902"/>
      <c r="EM69" s="902"/>
      <c r="EN69" s="902"/>
    </row>
    <row r="70" spans="1:144" s="887" customFormat="1" ht="13.5">
      <c r="A70" s="908"/>
      <c r="B70" s="909"/>
      <c r="C70" s="910" t="s">
        <v>97</v>
      </c>
      <c r="D70" s="911" t="s">
        <v>109</v>
      </c>
      <c r="E70" s="911">
        <v>4.07</v>
      </c>
      <c r="F70" s="912">
        <f>E70*F68</f>
        <v>0.40700000000000003</v>
      </c>
      <c r="G70" s="912"/>
      <c r="H70" s="912"/>
      <c r="I70" s="912"/>
      <c r="J70" s="912"/>
      <c r="K70" s="912"/>
      <c r="L70" s="912"/>
      <c r="M70" s="651"/>
      <c r="N70" s="902"/>
      <c r="O70" s="902"/>
      <c r="P70" s="902"/>
      <c r="Q70" s="902"/>
      <c r="R70" s="902"/>
      <c r="S70" s="902"/>
      <c r="T70" s="902"/>
      <c r="U70" s="902"/>
      <c r="V70" s="902"/>
      <c r="W70" s="902"/>
      <c r="X70" s="902"/>
      <c r="Y70" s="902"/>
      <c r="Z70" s="902"/>
      <c r="AA70" s="902"/>
      <c r="AB70" s="902"/>
      <c r="AC70" s="902"/>
      <c r="AD70" s="902"/>
      <c r="AE70" s="902"/>
      <c r="AF70" s="902"/>
      <c r="AG70" s="902"/>
      <c r="AH70" s="902"/>
      <c r="AI70" s="902"/>
      <c r="AJ70" s="902"/>
      <c r="AK70" s="902"/>
      <c r="AL70" s="902"/>
      <c r="AM70" s="902"/>
      <c r="AN70" s="902"/>
      <c r="AO70" s="902"/>
      <c r="AP70" s="902"/>
      <c r="AQ70" s="902"/>
      <c r="AR70" s="902"/>
      <c r="AS70" s="902"/>
      <c r="AT70" s="902"/>
      <c r="AU70" s="902"/>
      <c r="AV70" s="902"/>
      <c r="AW70" s="902"/>
      <c r="AX70" s="902"/>
      <c r="AY70" s="902"/>
      <c r="AZ70" s="902"/>
      <c r="BA70" s="902"/>
      <c r="BB70" s="902"/>
      <c r="BC70" s="902"/>
      <c r="BD70" s="902"/>
      <c r="BE70" s="902"/>
      <c r="BF70" s="902"/>
      <c r="BG70" s="902"/>
      <c r="BH70" s="902"/>
      <c r="BI70" s="902"/>
      <c r="BJ70" s="902"/>
      <c r="BK70" s="902"/>
      <c r="BL70" s="902"/>
      <c r="BM70" s="902"/>
      <c r="BN70" s="902"/>
      <c r="BO70" s="902"/>
      <c r="BP70" s="902"/>
      <c r="BQ70" s="902"/>
      <c r="BR70" s="902"/>
      <c r="BS70" s="902"/>
      <c r="BT70" s="902"/>
      <c r="BU70" s="902"/>
      <c r="BV70" s="902"/>
      <c r="BW70" s="902"/>
      <c r="BX70" s="902"/>
      <c r="BY70" s="902"/>
      <c r="BZ70" s="902"/>
      <c r="CA70" s="902"/>
      <c r="CB70" s="902"/>
      <c r="CC70" s="902"/>
      <c r="CD70" s="902"/>
      <c r="CE70" s="902"/>
      <c r="CF70" s="902"/>
      <c r="CG70" s="902"/>
      <c r="CH70" s="902"/>
      <c r="CI70" s="902"/>
      <c r="CJ70" s="902"/>
      <c r="CK70" s="902"/>
      <c r="CL70" s="902"/>
      <c r="CM70" s="902"/>
      <c r="CN70" s="902"/>
      <c r="CO70" s="902"/>
      <c r="CP70" s="902"/>
      <c r="CQ70" s="902"/>
      <c r="CR70" s="902"/>
      <c r="CS70" s="902"/>
      <c r="CT70" s="902"/>
      <c r="CU70" s="902"/>
      <c r="CV70" s="902"/>
      <c r="CW70" s="902"/>
      <c r="CX70" s="902"/>
      <c r="CY70" s="902"/>
      <c r="CZ70" s="902"/>
      <c r="DA70" s="902"/>
      <c r="DB70" s="902"/>
      <c r="DC70" s="902"/>
      <c r="DD70" s="902"/>
      <c r="DE70" s="902"/>
      <c r="DF70" s="902"/>
      <c r="DG70" s="902"/>
      <c r="DH70" s="902"/>
      <c r="DI70" s="902"/>
      <c r="DJ70" s="902"/>
      <c r="DK70" s="902"/>
      <c r="DL70" s="902"/>
      <c r="DM70" s="902"/>
      <c r="DN70" s="902"/>
      <c r="DO70" s="902"/>
      <c r="DP70" s="902"/>
      <c r="DQ70" s="902"/>
      <c r="DR70" s="902"/>
      <c r="DS70" s="902"/>
      <c r="DT70" s="902"/>
      <c r="DU70" s="902"/>
      <c r="DV70" s="902"/>
      <c r="DW70" s="902"/>
      <c r="DX70" s="902"/>
      <c r="DY70" s="902"/>
      <c r="DZ70" s="902"/>
      <c r="EA70" s="902"/>
      <c r="EB70" s="902"/>
      <c r="EC70" s="902"/>
      <c r="ED70" s="902"/>
      <c r="EE70" s="902"/>
      <c r="EF70" s="902"/>
      <c r="EG70" s="902"/>
      <c r="EH70" s="902"/>
      <c r="EI70" s="902"/>
      <c r="EJ70" s="902"/>
      <c r="EK70" s="902"/>
      <c r="EL70" s="902"/>
      <c r="EM70" s="902"/>
      <c r="EN70" s="902"/>
    </row>
    <row r="71" spans="1:144" s="887" customFormat="1" ht="13.5">
      <c r="A71" s="908"/>
      <c r="B71" s="911" t="s">
        <v>505</v>
      </c>
      <c r="C71" s="913" t="s">
        <v>249</v>
      </c>
      <c r="D71" s="911" t="s">
        <v>103</v>
      </c>
      <c r="E71" s="911">
        <v>1</v>
      </c>
      <c r="F71" s="912">
        <f>F68*E71</f>
        <v>0.1</v>
      </c>
      <c r="G71" s="912"/>
      <c r="H71" s="912"/>
      <c r="I71" s="912"/>
      <c r="J71" s="912"/>
      <c r="K71" s="912"/>
      <c r="L71" s="912"/>
      <c r="M71" s="651"/>
      <c r="N71" s="902"/>
      <c r="O71" s="902"/>
      <c r="P71" s="902"/>
      <c r="Q71" s="902"/>
      <c r="R71" s="902"/>
      <c r="S71" s="902"/>
      <c r="T71" s="902"/>
      <c r="U71" s="902"/>
      <c r="V71" s="902"/>
      <c r="W71" s="902"/>
      <c r="X71" s="902"/>
      <c r="Y71" s="902"/>
      <c r="Z71" s="902"/>
      <c r="AA71" s="902"/>
      <c r="AB71" s="902"/>
      <c r="AC71" s="902"/>
      <c r="AD71" s="902"/>
      <c r="AE71" s="902"/>
      <c r="AF71" s="902"/>
      <c r="AG71" s="902"/>
      <c r="AH71" s="902"/>
      <c r="AI71" s="902"/>
      <c r="AJ71" s="902"/>
      <c r="AK71" s="902"/>
      <c r="AL71" s="902"/>
      <c r="AM71" s="902"/>
      <c r="AN71" s="902"/>
      <c r="AO71" s="902"/>
      <c r="AP71" s="902"/>
      <c r="AQ71" s="902"/>
      <c r="AR71" s="902"/>
      <c r="AS71" s="902"/>
      <c r="AT71" s="902"/>
      <c r="AU71" s="902"/>
      <c r="AV71" s="902"/>
      <c r="AW71" s="902"/>
      <c r="AX71" s="902"/>
      <c r="AY71" s="902"/>
      <c r="AZ71" s="902"/>
      <c r="BA71" s="902"/>
      <c r="BB71" s="902"/>
      <c r="BC71" s="902"/>
      <c r="BD71" s="902"/>
      <c r="BE71" s="902"/>
      <c r="BF71" s="902"/>
      <c r="BG71" s="902"/>
      <c r="BH71" s="902"/>
      <c r="BI71" s="902"/>
      <c r="BJ71" s="902"/>
      <c r="BK71" s="902"/>
      <c r="BL71" s="902"/>
      <c r="BM71" s="902"/>
      <c r="BN71" s="902"/>
      <c r="BO71" s="902"/>
      <c r="BP71" s="902"/>
      <c r="BQ71" s="902"/>
      <c r="BR71" s="902"/>
      <c r="BS71" s="902"/>
      <c r="BT71" s="902"/>
      <c r="BU71" s="902"/>
      <c r="BV71" s="902"/>
      <c r="BW71" s="902"/>
      <c r="BX71" s="902"/>
      <c r="BY71" s="902"/>
      <c r="BZ71" s="902"/>
      <c r="CA71" s="902"/>
      <c r="CB71" s="902"/>
      <c r="CC71" s="902"/>
      <c r="CD71" s="902"/>
      <c r="CE71" s="902"/>
      <c r="CF71" s="902"/>
      <c r="CG71" s="902"/>
      <c r="CH71" s="902"/>
      <c r="CI71" s="902"/>
      <c r="CJ71" s="902"/>
      <c r="CK71" s="902"/>
      <c r="CL71" s="902"/>
      <c r="CM71" s="902"/>
      <c r="CN71" s="902"/>
      <c r="CO71" s="902"/>
      <c r="CP71" s="902"/>
      <c r="CQ71" s="902"/>
      <c r="CR71" s="902"/>
      <c r="CS71" s="902"/>
      <c r="CT71" s="902"/>
      <c r="CU71" s="902"/>
      <c r="CV71" s="902"/>
      <c r="CW71" s="902"/>
      <c r="CX71" s="902"/>
      <c r="CY71" s="902"/>
      <c r="CZ71" s="902"/>
      <c r="DA71" s="902"/>
      <c r="DB71" s="902"/>
      <c r="DC71" s="902"/>
      <c r="DD71" s="902"/>
      <c r="DE71" s="902"/>
      <c r="DF71" s="902"/>
      <c r="DG71" s="902"/>
      <c r="DH71" s="902"/>
      <c r="DI71" s="902"/>
      <c r="DJ71" s="902"/>
      <c r="DK71" s="902"/>
      <c r="DL71" s="902"/>
      <c r="DM71" s="902"/>
      <c r="DN71" s="902"/>
      <c r="DO71" s="902"/>
      <c r="DP71" s="902"/>
      <c r="DQ71" s="902"/>
      <c r="DR71" s="902"/>
      <c r="DS71" s="902"/>
      <c r="DT71" s="902"/>
      <c r="DU71" s="902"/>
      <c r="DV71" s="902"/>
      <c r="DW71" s="902"/>
      <c r="DX71" s="902"/>
      <c r="DY71" s="902"/>
      <c r="DZ71" s="902"/>
      <c r="EA71" s="902"/>
      <c r="EB71" s="902"/>
      <c r="EC71" s="902"/>
      <c r="ED71" s="902"/>
      <c r="EE71" s="902"/>
      <c r="EF71" s="902"/>
      <c r="EG71" s="902"/>
      <c r="EH71" s="902"/>
      <c r="EI71" s="902"/>
      <c r="EJ71" s="902"/>
      <c r="EK71" s="902"/>
      <c r="EL71" s="902"/>
      <c r="EM71" s="902"/>
      <c r="EN71" s="902"/>
    </row>
    <row r="72" spans="1:144" s="887" customFormat="1" ht="13.5">
      <c r="A72" s="908"/>
      <c r="B72" s="896" t="s">
        <v>693</v>
      </c>
      <c r="C72" s="893" t="s">
        <v>172</v>
      </c>
      <c r="D72" s="546" t="s">
        <v>110</v>
      </c>
      <c r="E72" s="911">
        <v>3.3</v>
      </c>
      <c r="F72" s="912">
        <f>E72*F68</f>
        <v>0.33</v>
      </c>
      <c r="G72" s="651"/>
      <c r="H72" s="912"/>
      <c r="I72" s="912"/>
      <c r="J72" s="912"/>
      <c r="K72" s="912"/>
      <c r="L72" s="912"/>
      <c r="M72" s="651"/>
      <c r="N72" s="902"/>
      <c r="O72" s="902"/>
      <c r="P72" s="902"/>
      <c r="Q72" s="902"/>
      <c r="R72" s="902"/>
      <c r="S72" s="902"/>
      <c r="T72" s="902"/>
      <c r="U72" s="902"/>
      <c r="V72" s="902"/>
      <c r="W72" s="902"/>
      <c r="X72" s="902"/>
      <c r="Y72" s="902"/>
      <c r="Z72" s="902"/>
      <c r="AA72" s="902"/>
      <c r="AB72" s="902"/>
      <c r="AC72" s="902"/>
      <c r="AD72" s="902"/>
      <c r="AE72" s="902"/>
      <c r="AF72" s="902"/>
      <c r="AG72" s="902"/>
      <c r="AH72" s="902"/>
      <c r="AI72" s="902"/>
      <c r="AJ72" s="902"/>
      <c r="AK72" s="902"/>
      <c r="AL72" s="902"/>
      <c r="AM72" s="902"/>
      <c r="AN72" s="902"/>
      <c r="AO72" s="902"/>
      <c r="AP72" s="902"/>
      <c r="AQ72" s="902"/>
      <c r="AR72" s="902"/>
      <c r="AS72" s="902"/>
      <c r="AT72" s="902"/>
      <c r="AU72" s="902"/>
      <c r="AV72" s="902"/>
      <c r="AW72" s="902"/>
      <c r="AX72" s="902"/>
      <c r="AY72" s="902"/>
      <c r="AZ72" s="902"/>
      <c r="BA72" s="902"/>
      <c r="BB72" s="902"/>
      <c r="BC72" s="902"/>
      <c r="BD72" s="902"/>
      <c r="BE72" s="902"/>
      <c r="BF72" s="902"/>
      <c r="BG72" s="902"/>
      <c r="BH72" s="902"/>
      <c r="BI72" s="902"/>
      <c r="BJ72" s="902"/>
      <c r="BK72" s="902"/>
      <c r="BL72" s="902"/>
      <c r="BM72" s="902"/>
      <c r="BN72" s="902"/>
      <c r="BO72" s="902"/>
      <c r="BP72" s="902"/>
      <c r="BQ72" s="902"/>
      <c r="BR72" s="902"/>
      <c r="BS72" s="902"/>
      <c r="BT72" s="902"/>
      <c r="BU72" s="902"/>
      <c r="BV72" s="902"/>
      <c r="BW72" s="902"/>
      <c r="BX72" s="902"/>
      <c r="BY72" s="902"/>
      <c r="BZ72" s="902"/>
      <c r="CA72" s="902"/>
      <c r="CB72" s="902"/>
      <c r="CC72" s="902"/>
      <c r="CD72" s="902"/>
      <c r="CE72" s="902"/>
      <c r="CF72" s="902"/>
      <c r="CG72" s="902"/>
      <c r="CH72" s="902"/>
      <c r="CI72" s="902"/>
      <c r="CJ72" s="902"/>
      <c r="CK72" s="902"/>
      <c r="CL72" s="902"/>
      <c r="CM72" s="902"/>
      <c r="CN72" s="902"/>
      <c r="CO72" s="902"/>
      <c r="CP72" s="902"/>
      <c r="CQ72" s="902"/>
      <c r="CR72" s="902"/>
      <c r="CS72" s="902"/>
      <c r="CT72" s="902"/>
      <c r="CU72" s="902"/>
      <c r="CV72" s="902"/>
      <c r="CW72" s="902"/>
      <c r="CX72" s="902"/>
      <c r="CY72" s="902"/>
      <c r="CZ72" s="902"/>
      <c r="DA72" s="902"/>
      <c r="DB72" s="902"/>
      <c r="DC72" s="902"/>
      <c r="DD72" s="902"/>
      <c r="DE72" s="902"/>
      <c r="DF72" s="902"/>
      <c r="DG72" s="902"/>
      <c r="DH72" s="902"/>
      <c r="DI72" s="902"/>
      <c r="DJ72" s="902"/>
      <c r="DK72" s="902"/>
      <c r="DL72" s="902"/>
      <c r="DM72" s="902"/>
      <c r="DN72" s="902"/>
      <c r="DO72" s="902"/>
      <c r="DP72" s="902"/>
      <c r="DQ72" s="902"/>
      <c r="DR72" s="902"/>
      <c r="DS72" s="902"/>
      <c r="DT72" s="902"/>
      <c r="DU72" s="902"/>
      <c r="DV72" s="902"/>
      <c r="DW72" s="902"/>
      <c r="DX72" s="902"/>
      <c r="DY72" s="902"/>
      <c r="DZ72" s="902"/>
      <c r="EA72" s="902"/>
      <c r="EB72" s="902"/>
      <c r="EC72" s="902"/>
      <c r="ED72" s="902"/>
      <c r="EE72" s="902"/>
      <c r="EF72" s="902"/>
      <c r="EG72" s="902"/>
      <c r="EH72" s="902"/>
      <c r="EI72" s="902"/>
      <c r="EJ72" s="902"/>
      <c r="EK72" s="902"/>
      <c r="EL72" s="902"/>
      <c r="EM72" s="902"/>
      <c r="EN72" s="902"/>
    </row>
    <row r="73" spans="1:144" s="887" customFormat="1" ht="13.5">
      <c r="A73" s="908"/>
      <c r="B73" s="911" t="s">
        <v>661</v>
      </c>
      <c r="C73" s="899" t="s">
        <v>177</v>
      </c>
      <c r="D73" s="911" t="s">
        <v>110</v>
      </c>
      <c r="E73" s="911">
        <v>15.2</v>
      </c>
      <c r="F73" s="912">
        <f>E73*F68</f>
        <v>1.52</v>
      </c>
      <c r="G73" s="912"/>
      <c r="H73" s="912"/>
      <c r="I73" s="912"/>
      <c r="J73" s="912"/>
      <c r="K73" s="912"/>
      <c r="L73" s="912"/>
      <c r="M73" s="651"/>
      <c r="N73" s="902"/>
      <c r="O73" s="902"/>
      <c r="P73" s="902"/>
      <c r="Q73" s="902"/>
      <c r="R73" s="902"/>
      <c r="S73" s="902"/>
      <c r="T73" s="902"/>
      <c r="U73" s="902"/>
      <c r="V73" s="902"/>
      <c r="W73" s="902"/>
      <c r="X73" s="902"/>
      <c r="Y73" s="902"/>
      <c r="Z73" s="902"/>
      <c r="AA73" s="902"/>
      <c r="AB73" s="902"/>
      <c r="AC73" s="902"/>
      <c r="AD73" s="902"/>
      <c r="AE73" s="902"/>
      <c r="AF73" s="902"/>
      <c r="AG73" s="902"/>
      <c r="AH73" s="902"/>
      <c r="AI73" s="902"/>
      <c r="AJ73" s="902"/>
      <c r="AK73" s="902"/>
      <c r="AL73" s="902"/>
      <c r="AM73" s="902"/>
      <c r="AN73" s="902"/>
      <c r="AO73" s="902"/>
      <c r="AP73" s="902"/>
      <c r="AQ73" s="902"/>
      <c r="AR73" s="902"/>
      <c r="AS73" s="902"/>
      <c r="AT73" s="902"/>
      <c r="AU73" s="902"/>
      <c r="AV73" s="902"/>
      <c r="AW73" s="902"/>
      <c r="AX73" s="902"/>
      <c r="AY73" s="902"/>
      <c r="AZ73" s="902"/>
      <c r="BA73" s="902"/>
      <c r="BB73" s="902"/>
      <c r="BC73" s="902"/>
      <c r="BD73" s="902"/>
      <c r="BE73" s="902"/>
      <c r="BF73" s="902"/>
      <c r="BG73" s="902"/>
      <c r="BH73" s="902"/>
      <c r="BI73" s="902"/>
      <c r="BJ73" s="902"/>
      <c r="BK73" s="902"/>
      <c r="BL73" s="902"/>
      <c r="BM73" s="902"/>
      <c r="BN73" s="902"/>
      <c r="BO73" s="902"/>
      <c r="BP73" s="902"/>
      <c r="BQ73" s="902"/>
      <c r="BR73" s="902"/>
      <c r="BS73" s="902"/>
      <c r="BT73" s="902"/>
      <c r="BU73" s="902"/>
      <c r="BV73" s="902"/>
      <c r="BW73" s="902"/>
      <c r="BX73" s="902"/>
      <c r="BY73" s="902"/>
      <c r="BZ73" s="902"/>
      <c r="CA73" s="902"/>
      <c r="CB73" s="902"/>
      <c r="CC73" s="902"/>
      <c r="CD73" s="902"/>
      <c r="CE73" s="902"/>
      <c r="CF73" s="902"/>
      <c r="CG73" s="902"/>
      <c r="CH73" s="902"/>
      <c r="CI73" s="902"/>
      <c r="CJ73" s="902"/>
      <c r="CK73" s="902"/>
      <c r="CL73" s="902"/>
      <c r="CM73" s="902"/>
      <c r="CN73" s="902"/>
      <c r="CO73" s="902"/>
      <c r="CP73" s="902"/>
      <c r="CQ73" s="902"/>
      <c r="CR73" s="902"/>
      <c r="CS73" s="902"/>
      <c r="CT73" s="902"/>
      <c r="CU73" s="902"/>
      <c r="CV73" s="902"/>
      <c r="CW73" s="902"/>
      <c r="CX73" s="902"/>
      <c r="CY73" s="902"/>
      <c r="CZ73" s="902"/>
      <c r="DA73" s="902"/>
      <c r="DB73" s="902"/>
      <c r="DC73" s="902"/>
      <c r="DD73" s="902"/>
      <c r="DE73" s="902"/>
      <c r="DF73" s="902"/>
      <c r="DG73" s="902"/>
      <c r="DH73" s="902"/>
      <c r="DI73" s="902"/>
      <c r="DJ73" s="902"/>
      <c r="DK73" s="902"/>
      <c r="DL73" s="902"/>
      <c r="DM73" s="902"/>
      <c r="DN73" s="902"/>
      <c r="DO73" s="902"/>
      <c r="DP73" s="902"/>
      <c r="DQ73" s="902"/>
      <c r="DR73" s="902"/>
      <c r="DS73" s="902"/>
      <c r="DT73" s="902"/>
      <c r="DU73" s="902"/>
      <c r="DV73" s="902"/>
      <c r="DW73" s="902"/>
      <c r="DX73" s="902"/>
      <c r="DY73" s="902"/>
      <c r="DZ73" s="902"/>
      <c r="EA73" s="902"/>
      <c r="EB73" s="902"/>
      <c r="EC73" s="902"/>
      <c r="ED73" s="902"/>
      <c r="EE73" s="902"/>
      <c r="EF73" s="902"/>
      <c r="EG73" s="902"/>
      <c r="EH73" s="902"/>
      <c r="EI73" s="902"/>
      <c r="EJ73" s="902"/>
      <c r="EK73" s="902"/>
      <c r="EL73" s="902"/>
      <c r="EM73" s="902"/>
      <c r="EN73" s="902"/>
    </row>
    <row r="74" spans="1:144" s="887" customFormat="1" ht="13.5">
      <c r="A74" s="546"/>
      <c r="B74" s="896"/>
      <c r="C74" s="892" t="s">
        <v>104</v>
      </c>
      <c r="D74" s="546" t="s">
        <v>109</v>
      </c>
      <c r="E74" s="546">
        <v>2.78</v>
      </c>
      <c r="F74" s="914">
        <f>E74*F68</f>
        <v>0.27799999999999997</v>
      </c>
      <c r="G74" s="651"/>
      <c r="H74" s="914"/>
      <c r="I74" s="651"/>
      <c r="J74" s="914"/>
      <c r="K74" s="651"/>
      <c r="L74" s="651"/>
      <c r="M74" s="651"/>
      <c r="N74" s="902"/>
      <c r="O74" s="902"/>
      <c r="P74" s="902"/>
      <c r="Q74" s="902"/>
      <c r="R74" s="902"/>
      <c r="S74" s="902"/>
      <c r="T74" s="902"/>
      <c r="U74" s="902"/>
      <c r="V74" s="902"/>
      <c r="W74" s="902"/>
      <c r="X74" s="902"/>
      <c r="Y74" s="902"/>
      <c r="Z74" s="902"/>
      <c r="AA74" s="902"/>
      <c r="AB74" s="902"/>
      <c r="AC74" s="902"/>
      <c r="AD74" s="902"/>
      <c r="AE74" s="902"/>
      <c r="AF74" s="902"/>
      <c r="AG74" s="902"/>
      <c r="AH74" s="902"/>
      <c r="AI74" s="902"/>
      <c r="AJ74" s="902"/>
      <c r="AK74" s="902"/>
      <c r="AL74" s="902"/>
      <c r="AM74" s="902"/>
      <c r="AN74" s="902"/>
      <c r="AO74" s="902"/>
      <c r="AP74" s="902"/>
      <c r="AQ74" s="902"/>
      <c r="AR74" s="902"/>
      <c r="AS74" s="902"/>
      <c r="AT74" s="902"/>
      <c r="AU74" s="902"/>
      <c r="AV74" s="902"/>
      <c r="AW74" s="902"/>
      <c r="AX74" s="902"/>
      <c r="AY74" s="902"/>
      <c r="AZ74" s="902"/>
      <c r="BA74" s="902"/>
      <c r="BB74" s="902"/>
      <c r="BC74" s="902"/>
      <c r="BD74" s="902"/>
      <c r="BE74" s="902"/>
      <c r="BF74" s="902"/>
      <c r="BG74" s="902"/>
      <c r="BH74" s="902"/>
      <c r="BI74" s="902"/>
      <c r="BJ74" s="902"/>
      <c r="BK74" s="902"/>
      <c r="BL74" s="902"/>
      <c r="BM74" s="902"/>
      <c r="BN74" s="902"/>
      <c r="BO74" s="902"/>
      <c r="BP74" s="902"/>
      <c r="BQ74" s="902"/>
      <c r="BR74" s="902"/>
      <c r="BS74" s="902"/>
      <c r="BT74" s="902"/>
      <c r="BU74" s="902"/>
      <c r="BV74" s="902"/>
      <c r="BW74" s="902"/>
      <c r="BX74" s="902"/>
      <c r="BY74" s="902"/>
      <c r="BZ74" s="902"/>
      <c r="CA74" s="902"/>
      <c r="CB74" s="902"/>
      <c r="CC74" s="902"/>
      <c r="CD74" s="902"/>
      <c r="CE74" s="902"/>
      <c r="CF74" s="902"/>
      <c r="CG74" s="902"/>
      <c r="CH74" s="902"/>
      <c r="CI74" s="902"/>
      <c r="CJ74" s="902"/>
      <c r="CK74" s="902"/>
      <c r="CL74" s="902"/>
      <c r="CM74" s="902"/>
      <c r="CN74" s="902"/>
      <c r="CO74" s="902"/>
      <c r="CP74" s="902"/>
      <c r="CQ74" s="902"/>
      <c r="CR74" s="902"/>
      <c r="CS74" s="902"/>
      <c r="CT74" s="902"/>
      <c r="CU74" s="902"/>
      <c r="CV74" s="902"/>
      <c r="CW74" s="902"/>
      <c r="CX74" s="902"/>
      <c r="CY74" s="902"/>
      <c r="CZ74" s="902"/>
      <c r="DA74" s="902"/>
      <c r="DB74" s="902"/>
      <c r="DC74" s="902"/>
      <c r="DD74" s="902"/>
      <c r="DE74" s="902"/>
      <c r="DF74" s="902"/>
      <c r="DG74" s="902"/>
      <c r="DH74" s="902"/>
      <c r="DI74" s="902"/>
      <c r="DJ74" s="902"/>
      <c r="DK74" s="902"/>
      <c r="DL74" s="902"/>
      <c r="DM74" s="902"/>
      <c r="DN74" s="902"/>
      <c r="DO74" s="902"/>
      <c r="DP74" s="902"/>
      <c r="DQ74" s="902"/>
      <c r="DR74" s="902"/>
      <c r="DS74" s="902"/>
      <c r="DT74" s="902"/>
      <c r="DU74" s="902"/>
      <c r="DV74" s="902"/>
      <c r="DW74" s="902"/>
      <c r="DX74" s="902"/>
      <c r="DY74" s="902"/>
      <c r="DZ74" s="902"/>
      <c r="EA74" s="902"/>
      <c r="EB74" s="902"/>
      <c r="EC74" s="902"/>
      <c r="ED74" s="902"/>
      <c r="EE74" s="902"/>
      <c r="EF74" s="902"/>
      <c r="EG74" s="902"/>
      <c r="EH74" s="902"/>
      <c r="EI74" s="902"/>
      <c r="EJ74" s="902"/>
      <c r="EK74" s="902"/>
      <c r="EL74" s="902"/>
      <c r="EM74" s="902"/>
      <c r="EN74" s="902"/>
    </row>
    <row r="75" spans="1:144" s="887" customFormat="1" ht="27">
      <c r="A75" s="664">
        <v>11</v>
      </c>
      <c r="B75" s="666" t="s">
        <v>178</v>
      </c>
      <c r="C75" s="915" t="s">
        <v>362</v>
      </c>
      <c r="D75" s="664" t="s">
        <v>103</v>
      </c>
      <c r="E75" s="664"/>
      <c r="F75" s="916">
        <v>4.0000000000000001E-3</v>
      </c>
      <c r="G75" s="894"/>
      <c r="H75" s="894"/>
      <c r="I75" s="894"/>
      <c r="J75" s="894"/>
      <c r="K75" s="894"/>
      <c r="L75" s="894"/>
      <c r="M75" s="894"/>
      <c r="N75" s="903"/>
      <c r="O75" s="903"/>
      <c r="P75" s="903"/>
      <c r="Q75" s="903"/>
      <c r="R75" s="903"/>
      <c r="S75" s="903"/>
      <c r="T75" s="903"/>
      <c r="U75" s="903"/>
      <c r="V75" s="903"/>
      <c r="W75" s="903"/>
      <c r="X75" s="903"/>
      <c r="Y75" s="903"/>
      <c r="Z75" s="903"/>
      <c r="AA75" s="903"/>
      <c r="AB75" s="903"/>
      <c r="AC75" s="903"/>
      <c r="AD75" s="903"/>
      <c r="AE75" s="903"/>
      <c r="AF75" s="903"/>
      <c r="AG75" s="903"/>
      <c r="AH75" s="903"/>
      <c r="AI75" s="903"/>
      <c r="AJ75" s="903"/>
      <c r="AK75" s="903"/>
      <c r="AL75" s="903"/>
      <c r="AM75" s="903"/>
      <c r="AN75" s="903"/>
      <c r="AO75" s="903"/>
      <c r="AP75" s="903"/>
      <c r="AQ75" s="903"/>
      <c r="AR75" s="903"/>
      <c r="AS75" s="903"/>
      <c r="AT75" s="903"/>
      <c r="AU75" s="903"/>
      <c r="AV75" s="903"/>
      <c r="AW75" s="903"/>
      <c r="AX75" s="903"/>
      <c r="AY75" s="903"/>
      <c r="AZ75" s="903"/>
      <c r="BA75" s="903"/>
      <c r="BB75" s="903"/>
      <c r="BC75" s="903"/>
      <c r="BD75" s="903"/>
      <c r="BE75" s="903"/>
      <c r="BF75" s="903"/>
      <c r="BG75" s="903"/>
      <c r="BH75" s="903"/>
      <c r="BI75" s="903"/>
      <c r="BJ75" s="903"/>
      <c r="BK75" s="903"/>
      <c r="BL75" s="903"/>
      <c r="BM75" s="903"/>
      <c r="BN75" s="903"/>
      <c r="BO75" s="903"/>
      <c r="BP75" s="903"/>
      <c r="BQ75" s="903"/>
      <c r="BR75" s="903"/>
      <c r="BS75" s="903"/>
      <c r="BT75" s="903"/>
      <c r="BU75" s="903"/>
      <c r="BV75" s="903"/>
      <c r="BW75" s="903"/>
      <c r="BX75" s="903"/>
      <c r="BY75" s="903"/>
      <c r="BZ75" s="903"/>
      <c r="CA75" s="903"/>
      <c r="CB75" s="903"/>
      <c r="CC75" s="903"/>
      <c r="CD75" s="903"/>
      <c r="CE75" s="903"/>
      <c r="CF75" s="903"/>
      <c r="CG75" s="903"/>
      <c r="CH75" s="903"/>
      <c r="CI75" s="903"/>
      <c r="CJ75" s="903"/>
      <c r="CK75" s="903"/>
      <c r="CL75" s="903"/>
      <c r="CM75" s="903"/>
      <c r="CN75" s="903"/>
      <c r="CO75" s="903"/>
      <c r="CP75" s="903"/>
      <c r="CQ75" s="903"/>
      <c r="CR75" s="903"/>
      <c r="CS75" s="903"/>
      <c r="CT75" s="903"/>
      <c r="CU75" s="903"/>
      <c r="CV75" s="903"/>
      <c r="CW75" s="903"/>
      <c r="CX75" s="903"/>
      <c r="CY75" s="903"/>
      <c r="CZ75" s="903"/>
      <c r="DA75" s="903"/>
      <c r="DB75" s="903"/>
      <c r="DC75" s="903"/>
      <c r="DD75" s="903"/>
      <c r="DE75" s="903"/>
      <c r="DF75" s="903"/>
      <c r="DG75" s="903"/>
      <c r="DH75" s="903"/>
      <c r="DI75" s="903"/>
      <c r="DJ75" s="903"/>
      <c r="DK75" s="903"/>
      <c r="DL75" s="903"/>
      <c r="DM75" s="903"/>
      <c r="DN75" s="903"/>
      <c r="DO75" s="903"/>
      <c r="DP75" s="903"/>
      <c r="DQ75" s="903"/>
      <c r="DR75" s="903"/>
      <c r="DS75" s="903"/>
      <c r="DT75" s="903"/>
      <c r="DU75" s="903"/>
      <c r="DV75" s="903"/>
      <c r="DW75" s="903"/>
      <c r="DX75" s="903"/>
      <c r="DY75" s="903"/>
      <c r="DZ75" s="903"/>
      <c r="EA75" s="903"/>
      <c r="EB75" s="903"/>
      <c r="EC75" s="903"/>
      <c r="ED75" s="903"/>
      <c r="EE75" s="903"/>
      <c r="EF75" s="903"/>
      <c r="EG75" s="903"/>
      <c r="EH75" s="903"/>
      <c r="EI75" s="903"/>
      <c r="EJ75" s="903"/>
      <c r="EK75" s="903"/>
      <c r="EL75" s="903"/>
      <c r="EM75" s="903"/>
      <c r="EN75" s="903"/>
    </row>
    <row r="76" spans="1:144" s="887" customFormat="1" ht="13.5">
      <c r="A76" s="546"/>
      <c r="B76" s="891"/>
      <c r="C76" s="892" t="s">
        <v>86</v>
      </c>
      <c r="D76" s="546" t="s">
        <v>13</v>
      </c>
      <c r="E76" s="546">
        <v>305</v>
      </c>
      <c r="F76" s="651">
        <f>E76*F75</f>
        <v>1.22</v>
      </c>
      <c r="G76" s="651"/>
      <c r="H76" s="651"/>
      <c r="I76" s="651"/>
      <c r="J76" s="651"/>
      <c r="K76" s="651"/>
      <c r="L76" s="651"/>
      <c r="M76" s="651"/>
      <c r="N76" s="902"/>
      <c r="O76" s="902"/>
      <c r="P76" s="902"/>
      <c r="Q76" s="902"/>
      <c r="R76" s="902"/>
      <c r="S76" s="902"/>
      <c r="T76" s="902"/>
      <c r="U76" s="902"/>
      <c r="V76" s="902"/>
      <c r="W76" s="902"/>
      <c r="X76" s="902"/>
      <c r="Y76" s="902"/>
      <c r="Z76" s="902"/>
      <c r="AA76" s="902"/>
      <c r="AB76" s="902"/>
      <c r="AC76" s="902"/>
      <c r="AD76" s="902"/>
      <c r="AE76" s="902"/>
      <c r="AF76" s="902"/>
      <c r="AG76" s="902"/>
      <c r="AH76" s="902"/>
      <c r="AI76" s="902"/>
      <c r="AJ76" s="902"/>
      <c r="AK76" s="902"/>
      <c r="AL76" s="902"/>
      <c r="AM76" s="902"/>
      <c r="AN76" s="902"/>
      <c r="AO76" s="902"/>
      <c r="AP76" s="902"/>
      <c r="AQ76" s="902"/>
      <c r="AR76" s="902"/>
      <c r="AS76" s="902"/>
      <c r="AT76" s="902"/>
      <c r="AU76" s="902"/>
      <c r="AV76" s="902"/>
      <c r="AW76" s="902"/>
      <c r="AX76" s="902"/>
      <c r="AY76" s="902"/>
      <c r="AZ76" s="902"/>
      <c r="BA76" s="902"/>
      <c r="BB76" s="902"/>
      <c r="BC76" s="902"/>
      <c r="BD76" s="902"/>
      <c r="BE76" s="902"/>
      <c r="BF76" s="902"/>
      <c r="BG76" s="902"/>
      <c r="BH76" s="902"/>
      <c r="BI76" s="902"/>
      <c r="BJ76" s="902"/>
      <c r="BK76" s="902"/>
      <c r="BL76" s="902"/>
      <c r="BM76" s="902"/>
      <c r="BN76" s="902"/>
      <c r="BO76" s="902"/>
      <c r="BP76" s="902"/>
      <c r="BQ76" s="902"/>
      <c r="BR76" s="902"/>
      <c r="BS76" s="902"/>
      <c r="BT76" s="902"/>
      <c r="BU76" s="902"/>
      <c r="BV76" s="902"/>
      <c r="BW76" s="902"/>
      <c r="BX76" s="902"/>
      <c r="BY76" s="902"/>
      <c r="BZ76" s="902"/>
      <c r="CA76" s="902"/>
      <c r="CB76" s="902"/>
      <c r="CC76" s="902"/>
      <c r="CD76" s="902"/>
      <c r="CE76" s="902"/>
      <c r="CF76" s="902"/>
      <c r="CG76" s="902"/>
      <c r="CH76" s="902"/>
      <c r="CI76" s="902"/>
      <c r="CJ76" s="902"/>
      <c r="CK76" s="902"/>
      <c r="CL76" s="902"/>
      <c r="CM76" s="902"/>
      <c r="CN76" s="902"/>
      <c r="CO76" s="902"/>
      <c r="CP76" s="902"/>
      <c r="CQ76" s="902"/>
      <c r="CR76" s="902"/>
      <c r="CS76" s="902"/>
      <c r="CT76" s="902"/>
      <c r="CU76" s="902"/>
      <c r="CV76" s="902"/>
      <c r="CW76" s="902"/>
      <c r="CX76" s="902"/>
      <c r="CY76" s="902"/>
      <c r="CZ76" s="902"/>
      <c r="DA76" s="902"/>
      <c r="DB76" s="902"/>
      <c r="DC76" s="902"/>
      <c r="DD76" s="902"/>
      <c r="DE76" s="902"/>
      <c r="DF76" s="902"/>
      <c r="DG76" s="902"/>
      <c r="DH76" s="902"/>
      <c r="DI76" s="902"/>
      <c r="DJ76" s="902"/>
      <c r="DK76" s="902"/>
      <c r="DL76" s="902"/>
      <c r="DM76" s="902"/>
      <c r="DN76" s="902"/>
      <c r="DO76" s="902"/>
      <c r="DP76" s="902"/>
      <c r="DQ76" s="902"/>
      <c r="DR76" s="902"/>
      <c r="DS76" s="902"/>
      <c r="DT76" s="902"/>
      <c r="DU76" s="902"/>
      <c r="DV76" s="902"/>
      <c r="DW76" s="902"/>
      <c r="DX76" s="902"/>
      <c r="DY76" s="902"/>
      <c r="DZ76" s="902"/>
      <c r="EA76" s="902"/>
      <c r="EB76" s="902"/>
      <c r="EC76" s="902"/>
      <c r="ED76" s="902"/>
      <c r="EE76" s="902"/>
      <c r="EF76" s="902"/>
      <c r="EG76" s="902"/>
      <c r="EH76" s="902"/>
      <c r="EI76" s="902"/>
      <c r="EJ76" s="902"/>
      <c r="EK76" s="902"/>
      <c r="EL76" s="902"/>
      <c r="EM76" s="902"/>
      <c r="EN76" s="902"/>
    </row>
    <row r="77" spans="1:144" s="887" customFormat="1" ht="13.5">
      <c r="A77" s="546"/>
      <c r="B77" s="896"/>
      <c r="C77" s="892" t="s">
        <v>97</v>
      </c>
      <c r="D77" s="546" t="s">
        <v>109</v>
      </c>
      <c r="E77" s="546">
        <v>162</v>
      </c>
      <c r="F77" s="651">
        <f>E77*F75</f>
        <v>0.64800000000000002</v>
      </c>
      <c r="G77" s="651"/>
      <c r="H77" s="651"/>
      <c r="I77" s="651"/>
      <c r="J77" s="651"/>
      <c r="K77" s="651"/>
      <c r="L77" s="651"/>
      <c r="M77" s="651"/>
      <c r="N77" s="902"/>
      <c r="O77" s="902"/>
      <c r="P77" s="902"/>
      <c r="Q77" s="902"/>
      <c r="R77" s="902"/>
      <c r="S77" s="902"/>
      <c r="T77" s="902"/>
      <c r="U77" s="902"/>
      <c r="V77" s="902"/>
      <c r="W77" s="902"/>
      <c r="X77" s="902"/>
      <c r="Y77" s="902"/>
      <c r="Z77" s="902"/>
      <c r="AA77" s="902"/>
      <c r="AB77" s="902"/>
      <c r="AC77" s="902"/>
      <c r="AD77" s="902"/>
      <c r="AE77" s="902"/>
      <c r="AF77" s="902"/>
      <c r="AG77" s="902"/>
      <c r="AH77" s="902"/>
      <c r="AI77" s="902"/>
      <c r="AJ77" s="902"/>
      <c r="AK77" s="902"/>
      <c r="AL77" s="902"/>
      <c r="AM77" s="902"/>
      <c r="AN77" s="902"/>
      <c r="AO77" s="902"/>
      <c r="AP77" s="902"/>
      <c r="AQ77" s="902"/>
      <c r="AR77" s="902"/>
      <c r="AS77" s="902"/>
      <c r="AT77" s="902"/>
      <c r="AU77" s="902"/>
      <c r="AV77" s="902"/>
      <c r="AW77" s="902"/>
      <c r="AX77" s="902"/>
      <c r="AY77" s="902"/>
      <c r="AZ77" s="902"/>
      <c r="BA77" s="902"/>
      <c r="BB77" s="902"/>
      <c r="BC77" s="902"/>
      <c r="BD77" s="902"/>
      <c r="BE77" s="902"/>
      <c r="BF77" s="902"/>
      <c r="BG77" s="902"/>
      <c r="BH77" s="902"/>
      <c r="BI77" s="902"/>
      <c r="BJ77" s="902"/>
      <c r="BK77" s="902"/>
      <c r="BL77" s="902"/>
      <c r="BM77" s="902"/>
      <c r="BN77" s="902"/>
      <c r="BO77" s="902"/>
      <c r="BP77" s="902"/>
      <c r="BQ77" s="902"/>
      <c r="BR77" s="902"/>
      <c r="BS77" s="902"/>
      <c r="BT77" s="902"/>
      <c r="BU77" s="902"/>
      <c r="BV77" s="902"/>
      <c r="BW77" s="902"/>
      <c r="BX77" s="902"/>
      <c r="BY77" s="902"/>
      <c r="BZ77" s="902"/>
      <c r="CA77" s="902"/>
      <c r="CB77" s="902"/>
      <c r="CC77" s="902"/>
      <c r="CD77" s="902"/>
      <c r="CE77" s="902"/>
      <c r="CF77" s="902"/>
      <c r="CG77" s="902"/>
      <c r="CH77" s="902"/>
      <c r="CI77" s="902"/>
      <c r="CJ77" s="902"/>
      <c r="CK77" s="902"/>
      <c r="CL77" s="902"/>
      <c r="CM77" s="902"/>
      <c r="CN77" s="902"/>
      <c r="CO77" s="902"/>
      <c r="CP77" s="902"/>
      <c r="CQ77" s="902"/>
      <c r="CR77" s="902"/>
      <c r="CS77" s="902"/>
      <c r="CT77" s="902"/>
      <c r="CU77" s="902"/>
      <c r="CV77" s="902"/>
      <c r="CW77" s="902"/>
      <c r="CX77" s="902"/>
      <c r="CY77" s="902"/>
      <c r="CZ77" s="902"/>
      <c r="DA77" s="902"/>
      <c r="DB77" s="902"/>
      <c r="DC77" s="902"/>
      <c r="DD77" s="902"/>
      <c r="DE77" s="902"/>
      <c r="DF77" s="902"/>
      <c r="DG77" s="902"/>
      <c r="DH77" s="902"/>
      <c r="DI77" s="902"/>
      <c r="DJ77" s="902"/>
      <c r="DK77" s="902"/>
      <c r="DL77" s="902"/>
      <c r="DM77" s="902"/>
      <c r="DN77" s="902"/>
      <c r="DO77" s="902"/>
      <c r="DP77" s="902"/>
      <c r="DQ77" s="902"/>
      <c r="DR77" s="902"/>
      <c r="DS77" s="902"/>
      <c r="DT77" s="902"/>
      <c r="DU77" s="902"/>
      <c r="DV77" s="902"/>
      <c r="DW77" s="902"/>
      <c r="DX77" s="902"/>
      <c r="DY77" s="902"/>
      <c r="DZ77" s="902"/>
      <c r="EA77" s="902"/>
      <c r="EB77" s="902"/>
      <c r="EC77" s="902"/>
      <c r="ED77" s="902"/>
      <c r="EE77" s="902"/>
      <c r="EF77" s="902"/>
      <c r="EG77" s="902"/>
      <c r="EH77" s="902"/>
      <c r="EI77" s="902"/>
      <c r="EJ77" s="902"/>
      <c r="EK77" s="902"/>
      <c r="EL77" s="902"/>
      <c r="EM77" s="902"/>
      <c r="EN77" s="902"/>
    </row>
    <row r="78" spans="1:144" s="887" customFormat="1" ht="13.5">
      <c r="A78" s="546"/>
      <c r="B78" s="896" t="s">
        <v>720</v>
      </c>
      <c r="C78" s="913" t="s">
        <v>250</v>
      </c>
      <c r="D78" s="546" t="s">
        <v>103</v>
      </c>
      <c r="E78" s="546">
        <v>1</v>
      </c>
      <c r="F78" s="651">
        <f>E78*F75</f>
        <v>4.0000000000000001E-3</v>
      </c>
      <c r="G78" s="651"/>
      <c r="H78" s="651"/>
      <c r="I78" s="651"/>
      <c r="J78" s="651"/>
      <c r="K78" s="651"/>
      <c r="L78" s="651"/>
      <c r="M78" s="651"/>
      <c r="N78" s="902"/>
      <c r="O78" s="902"/>
      <c r="P78" s="902"/>
      <c r="Q78" s="902"/>
      <c r="R78" s="902"/>
      <c r="S78" s="902"/>
      <c r="T78" s="902"/>
      <c r="U78" s="902"/>
      <c r="V78" s="902"/>
      <c r="W78" s="902"/>
      <c r="X78" s="902"/>
      <c r="Y78" s="902"/>
      <c r="Z78" s="902"/>
      <c r="AA78" s="902"/>
      <c r="AB78" s="902"/>
      <c r="AC78" s="902"/>
      <c r="AD78" s="902"/>
      <c r="AE78" s="902"/>
      <c r="AF78" s="902"/>
      <c r="AG78" s="902"/>
      <c r="AH78" s="902"/>
      <c r="AI78" s="902"/>
      <c r="AJ78" s="902"/>
      <c r="AK78" s="902"/>
      <c r="AL78" s="902"/>
      <c r="AM78" s="902"/>
      <c r="AN78" s="902"/>
      <c r="AO78" s="902"/>
      <c r="AP78" s="902"/>
      <c r="AQ78" s="902"/>
      <c r="AR78" s="902"/>
      <c r="AS78" s="902"/>
      <c r="AT78" s="902"/>
      <c r="AU78" s="902"/>
      <c r="AV78" s="902"/>
      <c r="AW78" s="902"/>
      <c r="AX78" s="902"/>
      <c r="AY78" s="902"/>
      <c r="AZ78" s="902"/>
      <c r="BA78" s="902"/>
      <c r="BB78" s="902"/>
      <c r="BC78" s="902"/>
      <c r="BD78" s="902"/>
      <c r="BE78" s="902"/>
      <c r="BF78" s="902"/>
      <c r="BG78" s="902"/>
      <c r="BH78" s="902"/>
      <c r="BI78" s="902"/>
      <c r="BJ78" s="902"/>
      <c r="BK78" s="902"/>
      <c r="BL78" s="902"/>
      <c r="BM78" s="902"/>
      <c r="BN78" s="902"/>
      <c r="BO78" s="902"/>
      <c r="BP78" s="902"/>
      <c r="BQ78" s="902"/>
      <c r="BR78" s="902"/>
      <c r="BS78" s="902"/>
      <c r="BT78" s="902"/>
      <c r="BU78" s="902"/>
      <c r="BV78" s="902"/>
      <c r="BW78" s="902"/>
      <c r="BX78" s="902"/>
      <c r="BY78" s="902"/>
      <c r="BZ78" s="902"/>
      <c r="CA78" s="902"/>
      <c r="CB78" s="902"/>
      <c r="CC78" s="902"/>
      <c r="CD78" s="902"/>
      <c r="CE78" s="902"/>
      <c r="CF78" s="902"/>
      <c r="CG78" s="902"/>
      <c r="CH78" s="902"/>
      <c r="CI78" s="902"/>
      <c r="CJ78" s="902"/>
      <c r="CK78" s="902"/>
      <c r="CL78" s="902"/>
      <c r="CM78" s="902"/>
      <c r="CN78" s="902"/>
      <c r="CO78" s="902"/>
      <c r="CP78" s="902"/>
      <c r="CQ78" s="902"/>
      <c r="CR78" s="902"/>
      <c r="CS78" s="902"/>
      <c r="CT78" s="902"/>
      <c r="CU78" s="902"/>
      <c r="CV78" s="902"/>
      <c r="CW78" s="902"/>
      <c r="CX78" s="902"/>
      <c r="CY78" s="902"/>
      <c r="CZ78" s="902"/>
      <c r="DA78" s="902"/>
      <c r="DB78" s="902"/>
      <c r="DC78" s="902"/>
      <c r="DD78" s="902"/>
      <c r="DE78" s="902"/>
      <c r="DF78" s="902"/>
      <c r="DG78" s="902"/>
      <c r="DH78" s="902"/>
      <c r="DI78" s="902"/>
      <c r="DJ78" s="902"/>
      <c r="DK78" s="902"/>
      <c r="DL78" s="902"/>
      <c r="DM78" s="902"/>
      <c r="DN78" s="902"/>
      <c r="DO78" s="902"/>
      <c r="DP78" s="902"/>
      <c r="DQ78" s="902"/>
      <c r="DR78" s="902"/>
      <c r="DS78" s="902"/>
      <c r="DT78" s="902"/>
      <c r="DU78" s="902"/>
      <c r="DV78" s="902"/>
      <c r="DW78" s="902"/>
      <c r="DX78" s="902"/>
      <c r="DY78" s="902"/>
      <c r="DZ78" s="902"/>
      <c r="EA78" s="902"/>
      <c r="EB78" s="902"/>
      <c r="EC78" s="902"/>
      <c r="ED78" s="902"/>
      <c r="EE78" s="902"/>
      <c r="EF78" s="902"/>
      <c r="EG78" s="902"/>
      <c r="EH78" s="902"/>
      <c r="EI78" s="902"/>
      <c r="EJ78" s="902"/>
      <c r="EK78" s="902"/>
      <c r="EL78" s="902"/>
      <c r="EM78" s="902"/>
      <c r="EN78" s="902"/>
    </row>
    <row r="79" spans="1:144" s="887" customFormat="1" ht="13.5">
      <c r="A79" s="546"/>
      <c r="B79" s="390"/>
      <c r="C79" s="892" t="s">
        <v>104</v>
      </c>
      <c r="D79" s="546" t="s">
        <v>109</v>
      </c>
      <c r="E79" s="546">
        <v>49.2</v>
      </c>
      <c r="F79" s="651">
        <f>E79*F75</f>
        <v>0.1968</v>
      </c>
      <c r="G79" s="651"/>
      <c r="H79" s="651"/>
      <c r="I79" s="651"/>
      <c r="J79" s="651"/>
      <c r="K79" s="651"/>
      <c r="L79" s="651"/>
      <c r="M79" s="651"/>
      <c r="N79" s="902"/>
      <c r="O79" s="902"/>
      <c r="P79" s="902"/>
      <c r="Q79" s="902"/>
      <c r="R79" s="902"/>
      <c r="S79" s="902"/>
      <c r="T79" s="902"/>
      <c r="U79" s="902"/>
      <c r="V79" s="902"/>
      <c r="W79" s="902"/>
      <c r="X79" s="902"/>
      <c r="Y79" s="902"/>
      <c r="Z79" s="902"/>
      <c r="AA79" s="902"/>
      <c r="AB79" s="902"/>
      <c r="AC79" s="902"/>
      <c r="AD79" s="902"/>
      <c r="AE79" s="902"/>
      <c r="AF79" s="902"/>
      <c r="AG79" s="902"/>
      <c r="AH79" s="902"/>
      <c r="AI79" s="902"/>
      <c r="AJ79" s="902"/>
      <c r="AK79" s="902"/>
      <c r="AL79" s="902"/>
      <c r="AM79" s="902"/>
      <c r="AN79" s="902"/>
      <c r="AO79" s="902"/>
      <c r="AP79" s="902"/>
      <c r="AQ79" s="902"/>
      <c r="AR79" s="902"/>
      <c r="AS79" s="902"/>
      <c r="AT79" s="902"/>
      <c r="AU79" s="902"/>
      <c r="AV79" s="902"/>
      <c r="AW79" s="902"/>
      <c r="AX79" s="902"/>
      <c r="AY79" s="902"/>
      <c r="AZ79" s="902"/>
      <c r="BA79" s="902"/>
      <c r="BB79" s="902"/>
      <c r="BC79" s="902"/>
      <c r="BD79" s="902"/>
      <c r="BE79" s="902"/>
      <c r="BF79" s="902"/>
      <c r="BG79" s="902"/>
      <c r="BH79" s="902"/>
      <c r="BI79" s="902"/>
      <c r="BJ79" s="902"/>
      <c r="BK79" s="902"/>
      <c r="BL79" s="902"/>
      <c r="BM79" s="902"/>
      <c r="BN79" s="902"/>
      <c r="BO79" s="902"/>
      <c r="BP79" s="902"/>
      <c r="BQ79" s="902"/>
      <c r="BR79" s="902"/>
      <c r="BS79" s="902"/>
      <c r="BT79" s="902"/>
      <c r="BU79" s="902"/>
      <c r="BV79" s="902"/>
      <c r="BW79" s="902"/>
      <c r="BX79" s="902"/>
      <c r="BY79" s="902"/>
      <c r="BZ79" s="902"/>
      <c r="CA79" s="902"/>
      <c r="CB79" s="902"/>
      <c r="CC79" s="902"/>
      <c r="CD79" s="902"/>
      <c r="CE79" s="902"/>
      <c r="CF79" s="902"/>
      <c r="CG79" s="902"/>
      <c r="CH79" s="902"/>
      <c r="CI79" s="902"/>
      <c r="CJ79" s="902"/>
      <c r="CK79" s="902"/>
      <c r="CL79" s="902"/>
      <c r="CM79" s="902"/>
      <c r="CN79" s="902"/>
      <c r="CO79" s="902"/>
      <c r="CP79" s="902"/>
      <c r="CQ79" s="902"/>
      <c r="CR79" s="902"/>
      <c r="CS79" s="902"/>
      <c r="CT79" s="902"/>
      <c r="CU79" s="902"/>
      <c r="CV79" s="902"/>
      <c r="CW79" s="902"/>
      <c r="CX79" s="902"/>
      <c r="CY79" s="902"/>
      <c r="CZ79" s="902"/>
      <c r="DA79" s="902"/>
      <c r="DB79" s="902"/>
      <c r="DC79" s="902"/>
      <c r="DD79" s="902"/>
      <c r="DE79" s="902"/>
      <c r="DF79" s="902"/>
      <c r="DG79" s="902"/>
      <c r="DH79" s="902"/>
      <c r="DI79" s="902"/>
      <c r="DJ79" s="902"/>
      <c r="DK79" s="902"/>
      <c r="DL79" s="902"/>
      <c r="DM79" s="902"/>
      <c r="DN79" s="902"/>
      <c r="DO79" s="902"/>
      <c r="DP79" s="902"/>
      <c r="DQ79" s="902"/>
      <c r="DR79" s="902"/>
      <c r="DS79" s="902"/>
      <c r="DT79" s="902"/>
      <c r="DU79" s="902"/>
      <c r="DV79" s="902"/>
      <c r="DW79" s="902"/>
      <c r="DX79" s="902"/>
      <c r="DY79" s="902"/>
      <c r="DZ79" s="902"/>
      <c r="EA79" s="902"/>
      <c r="EB79" s="902"/>
      <c r="EC79" s="902"/>
      <c r="ED79" s="902"/>
      <c r="EE79" s="902"/>
      <c r="EF79" s="902"/>
      <c r="EG79" s="902"/>
      <c r="EH79" s="902"/>
      <c r="EI79" s="902"/>
      <c r="EJ79" s="902"/>
      <c r="EK79" s="902"/>
      <c r="EL79" s="902"/>
      <c r="EM79" s="902"/>
      <c r="EN79" s="902"/>
    </row>
    <row r="80" spans="1:144" s="887" customFormat="1" ht="27">
      <c r="A80" s="664">
        <v>12</v>
      </c>
      <c r="B80" s="665" t="s">
        <v>179</v>
      </c>
      <c r="C80" s="917" t="s">
        <v>363</v>
      </c>
      <c r="D80" s="664" t="s">
        <v>103</v>
      </c>
      <c r="E80" s="664"/>
      <c r="F80" s="894">
        <f>0.001*3*17.2</f>
        <v>5.16E-2</v>
      </c>
      <c r="G80" s="894"/>
      <c r="H80" s="894"/>
      <c r="I80" s="894"/>
      <c r="J80" s="894"/>
      <c r="K80" s="894"/>
      <c r="L80" s="894"/>
      <c r="M80" s="894"/>
      <c r="N80" s="903"/>
      <c r="O80" s="903"/>
      <c r="P80" s="903"/>
      <c r="Q80" s="903"/>
      <c r="R80" s="903"/>
      <c r="S80" s="903"/>
      <c r="T80" s="903"/>
      <c r="U80" s="903"/>
      <c r="V80" s="903"/>
      <c r="W80" s="903"/>
      <c r="X80" s="903"/>
      <c r="Y80" s="903"/>
      <c r="Z80" s="903"/>
      <c r="AA80" s="903"/>
      <c r="AB80" s="903"/>
      <c r="AC80" s="903"/>
      <c r="AD80" s="903"/>
      <c r="AE80" s="903"/>
      <c r="AF80" s="903"/>
      <c r="AG80" s="903"/>
      <c r="AH80" s="903"/>
      <c r="AI80" s="903"/>
      <c r="AJ80" s="903"/>
      <c r="AK80" s="903"/>
      <c r="AL80" s="903"/>
      <c r="AM80" s="903"/>
      <c r="AN80" s="903"/>
      <c r="AO80" s="903"/>
      <c r="AP80" s="903"/>
      <c r="AQ80" s="903"/>
      <c r="AR80" s="903"/>
      <c r="AS80" s="903"/>
      <c r="AT80" s="903"/>
      <c r="AU80" s="903"/>
      <c r="AV80" s="903"/>
      <c r="AW80" s="903"/>
      <c r="AX80" s="903"/>
      <c r="AY80" s="903"/>
      <c r="AZ80" s="903"/>
      <c r="BA80" s="903"/>
      <c r="BB80" s="903"/>
      <c r="BC80" s="903"/>
      <c r="BD80" s="903"/>
      <c r="BE80" s="903"/>
      <c r="BF80" s="903"/>
      <c r="BG80" s="903"/>
      <c r="BH80" s="903"/>
      <c r="BI80" s="903"/>
      <c r="BJ80" s="903"/>
      <c r="BK80" s="903"/>
      <c r="BL80" s="903"/>
      <c r="BM80" s="903"/>
      <c r="BN80" s="903"/>
      <c r="BO80" s="903"/>
      <c r="BP80" s="903"/>
      <c r="BQ80" s="903"/>
      <c r="BR80" s="903"/>
      <c r="BS80" s="903"/>
      <c r="BT80" s="903"/>
      <c r="BU80" s="903"/>
      <c r="BV80" s="903"/>
      <c r="BW80" s="903"/>
      <c r="BX80" s="903"/>
      <c r="BY80" s="903"/>
      <c r="BZ80" s="903"/>
      <c r="CA80" s="903"/>
      <c r="CB80" s="903"/>
      <c r="CC80" s="903"/>
      <c r="CD80" s="903"/>
      <c r="CE80" s="903"/>
      <c r="CF80" s="903"/>
      <c r="CG80" s="903"/>
      <c r="CH80" s="903"/>
      <c r="CI80" s="903"/>
      <c r="CJ80" s="903"/>
      <c r="CK80" s="903"/>
      <c r="CL80" s="903"/>
      <c r="CM80" s="903"/>
      <c r="CN80" s="903"/>
      <c r="CO80" s="903"/>
      <c r="CP80" s="903"/>
      <c r="CQ80" s="903"/>
      <c r="CR80" s="903"/>
      <c r="CS80" s="903"/>
      <c r="CT80" s="903"/>
      <c r="CU80" s="903"/>
      <c r="CV80" s="903"/>
      <c r="CW80" s="903"/>
      <c r="CX80" s="903"/>
      <c r="CY80" s="903"/>
      <c r="CZ80" s="903"/>
      <c r="DA80" s="903"/>
      <c r="DB80" s="903"/>
      <c r="DC80" s="903"/>
      <c r="DD80" s="903"/>
      <c r="DE80" s="903"/>
      <c r="DF80" s="903"/>
      <c r="DG80" s="903"/>
      <c r="DH80" s="903"/>
      <c r="DI80" s="903"/>
      <c r="DJ80" s="903"/>
      <c r="DK80" s="903"/>
      <c r="DL80" s="903"/>
      <c r="DM80" s="903"/>
      <c r="DN80" s="903"/>
      <c r="DO80" s="903"/>
      <c r="DP80" s="903"/>
      <c r="DQ80" s="903"/>
      <c r="DR80" s="903"/>
      <c r="DS80" s="903"/>
      <c r="DT80" s="903"/>
      <c r="DU80" s="903"/>
      <c r="DV80" s="903"/>
      <c r="DW80" s="903"/>
      <c r="DX80" s="903"/>
      <c r="DY80" s="903"/>
      <c r="DZ80" s="903"/>
      <c r="EA80" s="903"/>
      <c r="EB80" s="903"/>
      <c r="EC80" s="903"/>
      <c r="ED80" s="903"/>
      <c r="EE80" s="903"/>
      <c r="EF80" s="903"/>
      <c r="EG80" s="903"/>
      <c r="EH80" s="903"/>
      <c r="EI80" s="903"/>
      <c r="EJ80" s="903"/>
      <c r="EK80" s="903"/>
      <c r="EL80" s="903"/>
      <c r="EM80" s="903"/>
      <c r="EN80" s="903"/>
    </row>
    <row r="81" spans="1:144" s="887" customFormat="1" ht="13.5">
      <c r="A81" s="546"/>
      <c r="B81" s="891"/>
      <c r="C81" s="892" t="s">
        <v>86</v>
      </c>
      <c r="D81" s="546" t="s">
        <v>13</v>
      </c>
      <c r="E81" s="546">
        <v>52.2</v>
      </c>
      <c r="F81" s="651">
        <f>E81*F80</f>
        <v>2.6935200000000004</v>
      </c>
      <c r="G81" s="651"/>
      <c r="H81" s="651"/>
      <c r="I81" s="651"/>
      <c r="J81" s="651"/>
      <c r="K81" s="651"/>
      <c r="L81" s="651"/>
      <c r="M81" s="651"/>
      <c r="N81" s="902"/>
      <c r="O81" s="902"/>
      <c r="P81" s="902"/>
      <c r="Q81" s="902"/>
      <c r="R81" s="902"/>
      <c r="S81" s="902"/>
      <c r="T81" s="902"/>
      <c r="U81" s="902"/>
      <c r="V81" s="902"/>
      <c r="W81" s="902"/>
      <c r="X81" s="902"/>
      <c r="Y81" s="902"/>
      <c r="Z81" s="902"/>
      <c r="AA81" s="902"/>
      <c r="AB81" s="902"/>
      <c r="AC81" s="902"/>
      <c r="AD81" s="902"/>
      <c r="AE81" s="902"/>
      <c r="AF81" s="902"/>
      <c r="AG81" s="902"/>
      <c r="AH81" s="902"/>
      <c r="AI81" s="902"/>
      <c r="AJ81" s="902"/>
      <c r="AK81" s="902"/>
      <c r="AL81" s="902"/>
      <c r="AM81" s="902"/>
      <c r="AN81" s="902"/>
      <c r="AO81" s="902"/>
      <c r="AP81" s="902"/>
      <c r="AQ81" s="902"/>
      <c r="AR81" s="902"/>
      <c r="AS81" s="902"/>
      <c r="AT81" s="902"/>
      <c r="AU81" s="902"/>
      <c r="AV81" s="902"/>
      <c r="AW81" s="902"/>
      <c r="AX81" s="902"/>
      <c r="AY81" s="902"/>
      <c r="AZ81" s="902"/>
      <c r="BA81" s="902"/>
      <c r="BB81" s="902"/>
      <c r="BC81" s="902"/>
      <c r="BD81" s="902"/>
      <c r="BE81" s="902"/>
      <c r="BF81" s="902"/>
      <c r="BG81" s="902"/>
      <c r="BH81" s="902"/>
      <c r="BI81" s="902"/>
      <c r="BJ81" s="902"/>
      <c r="BK81" s="902"/>
      <c r="BL81" s="902"/>
      <c r="BM81" s="902"/>
      <c r="BN81" s="902"/>
      <c r="BO81" s="902"/>
      <c r="BP81" s="902"/>
      <c r="BQ81" s="902"/>
      <c r="BR81" s="902"/>
      <c r="BS81" s="902"/>
      <c r="BT81" s="902"/>
      <c r="BU81" s="902"/>
      <c r="BV81" s="902"/>
      <c r="BW81" s="902"/>
      <c r="BX81" s="902"/>
      <c r="BY81" s="902"/>
      <c r="BZ81" s="902"/>
      <c r="CA81" s="902"/>
      <c r="CB81" s="902"/>
      <c r="CC81" s="902"/>
      <c r="CD81" s="902"/>
      <c r="CE81" s="902"/>
      <c r="CF81" s="902"/>
      <c r="CG81" s="902"/>
      <c r="CH81" s="902"/>
      <c r="CI81" s="902"/>
      <c r="CJ81" s="902"/>
      <c r="CK81" s="902"/>
      <c r="CL81" s="902"/>
      <c r="CM81" s="902"/>
      <c r="CN81" s="902"/>
      <c r="CO81" s="902"/>
      <c r="CP81" s="902"/>
      <c r="CQ81" s="902"/>
      <c r="CR81" s="902"/>
      <c r="CS81" s="902"/>
      <c r="CT81" s="902"/>
      <c r="CU81" s="902"/>
      <c r="CV81" s="902"/>
      <c r="CW81" s="902"/>
      <c r="CX81" s="902"/>
      <c r="CY81" s="902"/>
      <c r="CZ81" s="902"/>
      <c r="DA81" s="902"/>
      <c r="DB81" s="902"/>
      <c r="DC81" s="902"/>
      <c r="DD81" s="902"/>
      <c r="DE81" s="902"/>
      <c r="DF81" s="902"/>
      <c r="DG81" s="902"/>
      <c r="DH81" s="902"/>
      <c r="DI81" s="902"/>
      <c r="DJ81" s="902"/>
      <c r="DK81" s="902"/>
      <c r="DL81" s="902"/>
      <c r="DM81" s="902"/>
      <c r="DN81" s="902"/>
      <c r="DO81" s="902"/>
      <c r="DP81" s="902"/>
      <c r="DQ81" s="902"/>
      <c r="DR81" s="902"/>
      <c r="DS81" s="902"/>
      <c r="DT81" s="902"/>
      <c r="DU81" s="902"/>
      <c r="DV81" s="902"/>
      <c r="DW81" s="902"/>
      <c r="DX81" s="902"/>
      <c r="DY81" s="902"/>
      <c r="DZ81" s="902"/>
      <c r="EA81" s="902"/>
      <c r="EB81" s="902"/>
      <c r="EC81" s="902"/>
      <c r="ED81" s="902"/>
      <c r="EE81" s="902"/>
      <c r="EF81" s="902"/>
      <c r="EG81" s="902"/>
      <c r="EH81" s="902"/>
      <c r="EI81" s="902"/>
      <c r="EJ81" s="902"/>
      <c r="EK81" s="902"/>
      <c r="EL81" s="902"/>
      <c r="EM81" s="902"/>
      <c r="EN81" s="902"/>
    </row>
    <row r="82" spans="1:144" s="887" customFormat="1" ht="13.5">
      <c r="A82" s="908"/>
      <c r="B82" s="909" t="s">
        <v>721</v>
      </c>
      <c r="C82" s="913" t="s">
        <v>180</v>
      </c>
      <c r="D82" s="911" t="s">
        <v>168</v>
      </c>
      <c r="E82" s="911">
        <v>0.74</v>
      </c>
      <c r="F82" s="912">
        <f>E82*F80</f>
        <v>3.8184000000000003E-2</v>
      </c>
      <c r="G82" s="912"/>
      <c r="H82" s="912"/>
      <c r="I82" s="912"/>
      <c r="J82" s="651"/>
      <c r="K82" s="912"/>
      <c r="L82" s="912"/>
      <c r="M82" s="651"/>
      <c r="N82" s="902"/>
      <c r="O82" s="902"/>
      <c r="P82" s="902"/>
      <c r="Q82" s="902"/>
      <c r="R82" s="902"/>
      <c r="S82" s="902"/>
      <c r="T82" s="902"/>
      <c r="U82" s="902"/>
      <c r="V82" s="902"/>
      <c r="W82" s="902"/>
      <c r="X82" s="902"/>
      <c r="Y82" s="902"/>
      <c r="Z82" s="902"/>
      <c r="AA82" s="902"/>
      <c r="AB82" s="902"/>
      <c r="AC82" s="902"/>
      <c r="AD82" s="902"/>
      <c r="AE82" s="902"/>
      <c r="AF82" s="902"/>
      <c r="AG82" s="902"/>
      <c r="AH82" s="902"/>
      <c r="AI82" s="902"/>
      <c r="AJ82" s="902"/>
      <c r="AK82" s="902"/>
      <c r="AL82" s="902"/>
      <c r="AM82" s="902"/>
      <c r="AN82" s="902"/>
      <c r="AO82" s="902"/>
      <c r="AP82" s="902"/>
      <c r="AQ82" s="902"/>
      <c r="AR82" s="902"/>
      <c r="AS82" s="902"/>
      <c r="AT82" s="902"/>
      <c r="AU82" s="902"/>
      <c r="AV82" s="902"/>
      <c r="AW82" s="902"/>
      <c r="AX82" s="902"/>
      <c r="AY82" s="902"/>
      <c r="AZ82" s="902"/>
      <c r="BA82" s="902"/>
      <c r="BB82" s="902"/>
      <c r="BC82" s="902"/>
      <c r="BD82" s="902"/>
      <c r="BE82" s="902"/>
      <c r="BF82" s="902"/>
      <c r="BG82" s="902"/>
      <c r="BH82" s="902"/>
      <c r="BI82" s="902"/>
      <c r="BJ82" s="902"/>
      <c r="BK82" s="902"/>
      <c r="BL82" s="902"/>
      <c r="BM82" s="902"/>
      <c r="BN82" s="902"/>
      <c r="BO82" s="902"/>
      <c r="BP82" s="902"/>
      <c r="BQ82" s="902"/>
      <c r="BR82" s="902"/>
      <c r="BS82" s="902"/>
      <c r="BT82" s="902"/>
      <c r="BU82" s="902"/>
      <c r="BV82" s="902"/>
      <c r="BW82" s="902"/>
      <c r="BX82" s="902"/>
      <c r="BY82" s="902"/>
      <c r="BZ82" s="902"/>
      <c r="CA82" s="902"/>
      <c r="CB82" s="902"/>
      <c r="CC82" s="902"/>
      <c r="CD82" s="902"/>
      <c r="CE82" s="902"/>
      <c r="CF82" s="902"/>
      <c r="CG82" s="902"/>
      <c r="CH82" s="902"/>
      <c r="CI82" s="902"/>
      <c r="CJ82" s="902"/>
      <c r="CK82" s="902"/>
      <c r="CL82" s="902"/>
      <c r="CM82" s="902"/>
      <c r="CN82" s="902"/>
      <c r="CO82" s="902"/>
      <c r="CP82" s="902"/>
      <c r="CQ82" s="902"/>
      <c r="CR82" s="902"/>
      <c r="CS82" s="902"/>
      <c r="CT82" s="902"/>
      <c r="CU82" s="902"/>
      <c r="CV82" s="902"/>
      <c r="CW82" s="902"/>
      <c r="CX82" s="902"/>
      <c r="CY82" s="902"/>
      <c r="CZ82" s="902"/>
      <c r="DA82" s="902"/>
      <c r="DB82" s="902"/>
      <c r="DC82" s="902"/>
      <c r="DD82" s="902"/>
      <c r="DE82" s="902"/>
      <c r="DF82" s="902"/>
      <c r="DG82" s="902"/>
      <c r="DH82" s="902"/>
      <c r="DI82" s="902"/>
      <c r="DJ82" s="902"/>
      <c r="DK82" s="902"/>
      <c r="DL82" s="902"/>
      <c r="DM82" s="902"/>
      <c r="DN82" s="902"/>
      <c r="DO82" s="902"/>
      <c r="DP82" s="902"/>
      <c r="DQ82" s="902"/>
      <c r="DR82" s="902"/>
      <c r="DS82" s="902"/>
      <c r="DT82" s="902"/>
      <c r="DU82" s="902"/>
      <c r="DV82" s="902"/>
      <c r="DW82" s="902"/>
      <c r="DX82" s="902"/>
      <c r="DY82" s="902"/>
      <c r="DZ82" s="902"/>
      <c r="EA82" s="902"/>
      <c r="EB82" s="902"/>
      <c r="EC82" s="902"/>
      <c r="ED82" s="902"/>
      <c r="EE82" s="902"/>
      <c r="EF82" s="902"/>
      <c r="EG82" s="902"/>
      <c r="EH82" s="902"/>
      <c r="EI82" s="902"/>
      <c r="EJ82" s="902"/>
      <c r="EK82" s="902"/>
      <c r="EL82" s="902"/>
      <c r="EM82" s="902"/>
      <c r="EN82" s="902"/>
    </row>
    <row r="83" spans="1:144" ht="13.5">
      <c r="A83" s="546"/>
      <c r="B83" s="896"/>
      <c r="C83" s="892" t="s">
        <v>191</v>
      </c>
      <c r="D83" s="546" t="s">
        <v>109</v>
      </c>
      <c r="E83" s="546">
        <v>8.2899999999999991</v>
      </c>
      <c r="F83" s="651">
        <f>E83*F80</f>
        <v>0.42776399999999998</v>
      </c>
      <c r="G83" s="651"/>
      <c r="H83" s="651"/>
      <c r="I83" s="651"/>
      <c r="J83" s="651"/>
      <c r="K83" s="651"/>
      <c r="L83" s="651"/>
      <c r="M83" s="651"/>
    </row>
    <row r="84" spans="1:144" ht="13.5">
      <c r="A84" s="546"/>
      <c r="B84" s="896" t="s">
        <v>506</v>
      </c>
      <c r="C84" s="893" t="s">
        <v>364</v>
      </c>
      <c r="D84" s="546" t="s">
        <v>103</v>
      </c>
      <c r="E84" s="546"/>
      <c r="F84" s="651">
        <f>F80</f>
        <v>5.16E-2</v>
      </c>
      <c r="G84" s="651"/>
      <c r="H84" s="651"/>
      <c r="I84" s="651"/>
      <c r="J84" s="651"/>
      <c r="K84" s="651"/>
      <c r="L84" s="651"/>
      <c r="M84" s="651"/>
    </row>
    <row r="85" spans="1:144" s="547" customFormat="1" ht="13.5">
      <c r="A85" s="546"/>
      <c r="B85" s="251" t="s">
        <v>507</v>
      </c>
      <c r="C85" s="893" t="s">
        <v>181</v>
      </c>
      <c r="D85" s="546" t="s">
        <v>110</v>
      </c>
      <c r="E85" s="546">
        <v>10.5</v>
      </c>
      <c r="F85" s="651">
        <f>E85*F80</f>
        <v>0.54179999999999995</v>
      </c>
      <c r="G85" s="651"/>
      <c r="H85" s="651"/>
      <c r="I85" s="651"/>
      <c r="J85" s="651"/>
      <c r="K85" s="651"/>
      <c r="L85" s="651"/>
      <c r="M85" s="651"/>
    </row>
    <row r="86" spans="1:144" s="547" customFormat="1" ht="13.5">
      <c r="A86" s="546"/>
      <c r="B86" s="911" t="s">
        <v>661</v>
      </c>
      <c r="C86" s="893" t="s">
        <v>177</v>
      </c>
      <c r="D86" s="546" t="s">
        <v>110</v>
      </c>
      <c r="E86" s="546">
        <v>20.7</v>
      </c>
      <c r="F86" s="651">
        <f>E86*F80</f>
        <v>1.06812</v>
      </c>
      <c r="G86" s="912"/>
      <c r="H86" s="651"/>
      <c r="I86" s="651"/>
      <c r="J86" s="651"/>
      <c r="K86" s="651"/>
      <c r="L86" s="651"/>
      <c r="M86" s="651"/>
    </row>
    <row r="87" spans="1:144" s="650" customFormat="1" ht="13.5">
      <c r="A87" s="546"/>
      <c r="B87" s="896" t="s">
        <v>693</v>
      </c>
      <c r="C87" s="893" t="s">
        <v>172</v>
      </c>
      <c r="D87" s="546" t="s">
        <v>110</v>
      </c>
      <c r="E87" s="546">
        <v>2.5299999999999998</v>
      </c>
      <c r="F87" s="651">
        <f>E87*F80</f>
        <v>0.130548</v>
      </c>
      <c r="G87" s="651"/>
      <c r="H87" s="651"/>
      <c r="I87" s="651"/>
      <c r="J87" s="651"/>
      <c r="K87" s="651"/>
      <c r="L87" s="651"/>
      <c r="M87" s="651"/>
    </row>
    <row r="88" spans="1:144" s="650" customFormat="1" ht="13.5">
      <c r="A88" s="546"/>
      <c r="B88" s="390"/>
      <c r="C88" s="892" t="s">
        <v>104</v>
      </c>
      <c r="D88" s="546" t="s">
        <v>109</v>
      </c>
      <c r="E88" s="546">
        <v>2.78</v>
      </c>
      <c r="F88" s="651">
        <f>E88*F80</f>
        <v>0.14344799999999999</v>
      </c>
      <c r="G88" s="651"/>
      <c r="H88" s="651"/>
      <c r="I88" s="651"/>
      <c r="J88" s="651"/>
      <c r="K88" s="651"/>
      <c r="L88" s="651"/>
      <c r="M88" s="651"/>
    </row>
    <row r="89" spans="1:144" s="918" customFormat="1" ht="13.5">
      <c r="A89" s="664">
        <v>13</v>
      </c>
      <c r="B89" s="666" t="s">
        <v>128</v>
      </c>
      <c r="C89" s="888" t="s">
        <v>365</v>
      </c>
      <c r="D89" s="664" t="s">
        <v>98</v>
      </c>
      <c r="E89" s="664"/>
      <c r="F89" s="894">
        <v>12</v>
      </c>
      <c r="G89" s="894"/>
      <c r="H89" s="894"/>
      <c r="I89" s="894"/>
      <c r="J89" s="894"/>
      <c r="K89" s="894"/>
      <c r="L89" s="894"/>
      <c r="M89" s="894"/>
    </row>
    <row r="90" spans="1:144" ht="13.5">
      <c r="A90" s="546"/>
      <c r="B90" s="891"/>
      <c r="C90" s="892" t="s">
        <v>86</v>
      </c>
      <c r="D90" s="546" t="s">
        <v>13</v>
      </c>
      <c r="E90" s="546">
        <v>0.38900000000000001</v>
      </c>
      <c r="F90" s="651">
        <f>E90*F89</f>
        <v>4.6680000000000001</v>
      </c>
      <c r="G90" s="651"/>
      <c r="H90" s="651"/>
      <c r="I90" s="651"/>
      <c r="J90" s="651"/>
      <c r="K90" s="651"/>
      <c r="L90" s="651"/>
      <c r="M90" s="651"/>
    </row>
    <row r="91" spans="1:144" ht="13.5">
      <c r="A91" s="546"/>
      <c r="B91" s="896"/>
      <c r="C91" s="892" t="s">
        <v>97</v>
      </c>
      <c r="D91" s="546" t="s">
        <v>109</v>
      </c>
      <c r="E91" s="546">
        <v>0.151</v>
      </c>
      <c r="F91" s="651">
        <f>E91*F89</f>
        <v>1.8119999999999998</v>
      </c>
      <c r="G91" s="651"/>
      <c r="H91" s="651"/>
      <c r="I91" s="651"/>
      <c r="J91" s="651"/>
      <c r="K91" s="651"/>
      <c r="L91" s="651"/>
      <c r="M91" s="651"/>
    </row>
    <row r="92" spans="1:144" ht="13.5">
      <c r="A92" s="546"/>
      <c r="B92" s="896" t="s">
        <v>722</v>
      </c>
      <c r="C92" s="919" t="s">
        <v>366</v>
      </c>
      <c r="D92" s="546" t="s">
        <v>98</v>
      </c>
      <c r="E92" s="546">
        <v>1</v>
      </c>
      <c r="F92" s="651">
        <f>E92*F89</f>
        <v>12</v>
      </c>
      <c r="G92" s="651"/>
      <c r="H92" s="651"/>
      <c r="I92" s="651"/>
      <c r="J92" s="651"/>
      <c r="K92" s="651"/>
      <c r="L92" s="651"/>
      <c r="M92" s="651"/>
    </row>
    <row r="93" spans="1:144" ht="13.5">
      <c r="A93" s="546"/>
      <c r="B93" s="390"/>
      <c r="C93" s="892" t="s">
        <v>104</v>
      </c>
      <c r="D93" s="546" t="s">
        <v>109</v>
      </c>
      <c r="E93" s="546">
        <v>2.4E-2</v>
      </c>
      <c r="F93" s="651">
        <f>E93*F89</f>
        <v>0.28800000000000003</v>
      </c>
      <c r="G93" s="651"/>
      <c r="H93" s="651"/>
      <c r="I93" s="651"/>
      <c r="J93" s="651"/>
      <c r="K93" s="651"/>
      <c r="L93" s="651"/>
      <c r="M93" s="651"/>
    </row>
    <row r="94" spans="1:144">
      <c r="A94" s="636"/>
      <c r="B94" s="637"/>
      <c r="C94" s="638" t="s">
        <v>9</v>
      </c>
      <c r="D94" s="639"/>
      <c r="E94" s="707"/>
      <c r="F94" s="707"/>
      <c r="G94" s="707"/>
      <c r="H94" s="707"/>
      <c r="I94" s="707"/>
      <c r="J94" s="707"/>
      <c r="K94" s="707"/>
      <c r="L94" s="707"/>
      <c r="M94" s="707"/>
    </row>
    <row r="95" spans="1:144" s="922" customFormat="1">
      <c r="A95" s="640"/>
      <c r="B95" s="640"/>
      <c r="C95" s="641" t="s">
        <v>206</v>
      </c>
      <c r="D95" s="642" t="s">
        <v>851</v>
      </c>
      <c r="E95" s="920"/>
      <c r="F95" s="921"/>
      <c r="G95" s="921"/>
      <c r="H95" s="921"/>
      <c r="I95" s="921"/>
      <c r="J95" s="921"/>
      <c r="K95" s="921"/>
      <c r="L95" s="921"/>
      <c r="M95" s="920"/>
    </row>
    <row r="96" spans="1:144" s="923" customFormat="1">
      <c r="A96" s="638"/>
      <c r="B96" s="638"/>
      <c r="C96" s="643" t="s">
        <v>9</v>
      </c>
      <c r="D96" s="642"/>
      <c r="E96" s="707"/>
      <c r="F96" s="708"/>
      <c r="G96" s="708"/>
      <c r="H96" s="708"/>
      <c r="I96" s="708"/>
      <c r="J96" s="708"/>
      <c r="K96" s="708"/>
      <c r="L96" s="708"/>
      <c r="M96" s="707"/>
    </row>
    <row r="97" spans="1:243" s="924" customFormat="1">
      <c r="A97" s="640"/>
      <c r="B97" s="644"/>
      <c r="C97" s="645" t="s">
        <v>10</v>
      </c>
      <c r="D97" s="642" t="s">
        <v>851</v>
      </c>
      <c r="E97" s="920"/>
      <c r="F97" s="921"/>
      <c r="G97" s="921"/>
      <c r="H97" s="921"/>
      <c r="I97" s="921"/>
      <c r="J97" s="921"/>
      <c r="K97" s="921"/>
      <c r="L97" s="921"/>
      <c r="M97" s="920"/>
    </row>
    <row r="98" spans="1:243" s="924" customFormat="1">
      <c r="A98" s="638"/>
      <c r="B98" s="646"/>
      <c r="C98" s="643" t="s">
        <v>9</v>
      </c>
      <c r="D98" s="642"/>
      <c r="E98" s="707"/>
      <c r="F98" s="708"/>
      <c r="G98" s="708"/>
      <c r="H98" s="708"/>
      <c r="I98" s="708"/>
      <c r="J98" s="708"/>
      <c r="K98" s="708"/>
      <c r="L98" s="708"/>
      <c r="M98" s="707"/>
    </row>
    <row r="99" spans="1:243" s="924" customFormat="1">
      <c r="A99" s="640"/>
      <c r="B99" s="644"/>
      <c r="C99" s="645" t="s">
        <v>207</v>
      </c>
      <c r="D99" s="642" t="s">
        <v>851</v>
      </c>
      <c r="E99" s="920"/>
      <c r="F99" s="921"/>
      <c r="G99" s="921"/>
      <c r="H99" s="921"/>
      <c r="I99" s="921"/>
      <c r="J99" s="921"/>
      <c r="K99" s="921"/>
      <c r="L99" s="921"/>
      <c r="M99" s="920"/>
    </row>
    <row r="100" spans="1:243" s="924" customFormat="1">
      <c r="A100" s="638"/>
      <c r="B100" s="646"/>
      <c r="C100" s="643" t="s">
        <v>9</v>
      </c>
      <c r="D100" s="642"/>
      <c r="E100" s="707"/>
      <c r="F100" s="708"/>
      <c r="G100" s="708"/>
      <c r="H100" s="708"/>
      <c r="I100" s="708"/>
      <c r="J100" s="708"/>
      <c r="K100" s="708"/>
      <c r="L100" s="708"/>
      <c r="M100" s="707"/>
    </row>
    <row r="101" spans="1:243" s="924" customFormat="1">
      <c r="A101" s="925"/>
      <c r="B101" s="926"/>
      <c r="C101" s="927"/>
      <c r="D101" s="928"/>
      <c r="E101" s="929"/>
      <c r="F101" s="930"/>
      <c r="G101" s="930"/>
      <c r="H101" s="930"/>
      <c r="I101" s="930"/>
      <c r="J101" s="930"/>
      <c r="K101" s="930"/>
      <c r="L101" s="930"/>
      <c r="M101" s="929"/>
    </row>
    <row r="102" spans="1:243" ht="13.5">
      <c r="B102" s="923"/>
      <c r="C102" s="188"/>
      <c r="D102" s="1163"/>
      <c r="E102" s="1163"/>
    </row>
    <row r="103" spans="1:243" ht="13.5">
      <c r="A103" s="547"/>
      <c r="B103" s="547"/>
      <c r="C103" s="188" t="e">
        <f>#REF!</f>
        <v>#REF!</v>
      </c>
      <c r="D103" s="188"/>
      <c r="E103" s="188"/>
      <c r="F103" s="188"/>
      <c r="G103" s="658"/>
      <c r="H103" s="658"/>
      <c r="I103" s="658"/>
      <c r="J103" s="547"/>
      <c r="K103" s="547"/>
      <c r="L103" s="547"/>
      <c r="M103" s="547"/>
      <c r="N103" s="547"/>
      <c r="O103" s="547"/>
      <c r="P103" s="547"/>
      <c r="Q103" s="547"/>
      <c r="R103" s="547"/>
      <c r="S103" s="547"/>
      <c r="T103" s="547"/>
      <c r="U103" s="547"/>
      <c r="V103" s="547"/>
      <c r="W103" s="547"/>
      <c r="X103" s="547"/>
      <c r="Y103" s="547"/>
      <c r="Z103" s="547"/>
      <c r="AA103" s="547"/>
      <c r="AB103" s="547"/>
      <c r="AC103" s="547"/>
      <c r="AD103" s="547"/>
      <c r="AE103" s="547"/>
      <c r="AF103" s="547"/>
      <c r="AG103" s="547"/>
      <c r="AH103" s="547"/>
      <c r="AI103" s="547"/>
      <c r="AJ103" s="547"/>
      <c r="AK103" s="547"/>
      <c r="AL103" s="547"/>
      <c r="AM103" s="547"/>
      <c r="AN103" s="547"/>
      <c r="AO103" s="547"/>
      <c r="AP103" s="547"/>
      <c r="AQ103" s="547"/>
      <c r="AR103" s="547"/>
      <c r="AS103" s="547"/>
      <c r="AT103" s="547"/>
      <c r="AU103" s="547"/>
      <c r="AV103" s="547"/>
      <c r="AW103" s="547"/>
      <c r="AX103" s="547"/>
      <c r="AY103" s="547"/>
      <c r="AZ103" s="547"/>
      <c r="BA103" s="547"/>
      <c r="BB103" s="547"/>
      <c r="BC103" s="547"/>
      <c r="BD103" s="547"/>
      <c r="BE103" s="547"/>
      <c r="BF103" s="547"/>
      <c r="BG103" s="547"/>
      <c r="BH103" s="547"/>
      <c r="BI103" s="547"/>
      <c r="BJ103" s="547"/>
      <c r="BK103" s="547"/>
      <c r="BL103" s="547"/>
      <c r="BM103" s="547"/>
      <c r="BN103" s="547"/>
      <c r="BO103" s="547"/>
      <c r="BP103" s="547"/>
      <c r="BQ103" s="547"/>
      <c r="BR103" s="547"/>
      <c r="BS103" s="547"/>
      <c r="BT103" s="547"/>
      <c r="BU103" s="547"/>
      <c r="BV103" s="547"/>
      <c r="BW103" s="547"/>
      <c r="BX103" s="547"/>
      <c r="BY103" s="547"/>
      <c r="BZ103" s="547"/>
      <c r="CA103" s="547"/>
      <c r="CB103" s="547"/>
      <c r="CC103" s="547"/>
      <c r="CD103" s="547"/>
      <c r="CE103" s="547"/>
      <c r="CF103" s="547"/>
      <c r="CG103" s="547"/>
      <c r="CH103" s="547"/>
      <c r="CI103" s="547"/>
      <c r="CJ103" s="547"/>
      <c r="CK103" s="547"/>
      <c r="CL103" s="547"/>
      <c r="CM103" s="547"/>
      <c r="CN103" s="547"/>
      <c r="CO103" s="547"/>
      <c r="CP103" s="547"/>
      <c r="CQ103" s="547"/>
      <c r="CR103" s="547"/>
      <c r="CS103" s="547"/>
      <c r="CT103" s="547"/>
      <c r="CU103" s="547"/>
      <c r="CV103" s="547"/>
      <c r="CW103" s="547"/>
      <c r="CX103" s="547"/>
      <c r="CY103" s="547"/>
      <c r="CZ103" s="547"/>
      <c r="DA103" s="547"/>
      <c r="DB103" s="547"/>
      <c r="DC103" s="547"/>
      <c r="DD103" s="547"/>
      <c r="DE103" s="547"/>
      <c r="DF103" s="547"/>
      <c r="DG103" s="547"/>
      <c r="DH103" s="547"/>
      <c r="DI103" s="547"/>
      <c r="DJ103" s="547"/>
      <c r="DK103" s="547"/>
      <c r="DL103" s="547"/>
      <c r="DM103" s="547"/>
      <c r="DN103" s="547"/>
      <c r="DO103" s="547"/>
      <c r="DP103" s="547"/>
      <c r="DQ103" s="547"/>
      <c r="DR103" s="547"/>
      <c r="DS103" s="547"/>
      <c r="DT103" s="547"/>
      <c r="DU103" s="547"/>
      <c r="DV103" s="547"/>
      <c r="DW103" s="547"/>
      <c r="DX103" s="547"/>
      <c r="DY103" s="547"/>
      <c r="DZ103" s="547"/>
      <c r="EA103" s="547"/>
      <c r="EB103" s="547"/>
      <c r="EC103" s="547"/>
      <c r="ED103" s="547"/>
      <c r="EE103" s="547"/>
      <c r="EF103" s="547"/>
      <c r="EG103" s="547"/>
      <c r="EH103" s="547"/>
      <c r="EI103" s="547"/>
      <c r="EJ103" s="547"/>
      <c r="EK103" s="547"/>
      <c r="EL103" s="547"/>
      <c r="EM103" s="547"/>
      <c r="EN103" s="547"/>
      <c r="EO103" s="547"/>
      <c r="EP103" s="547"/>
      <c r="EQ103" s="547"/>
      <c r="ER103" s="547"/>
      <c r="ES103" s="547"/>
      <c r="ET103" s="547"/>
      <c r="EU103" s="547"/>
      <c r="EV103" s="547"/>
      <c r="EW103" s="547"/>
      <c r="EX103" s="547"/>
      <c r="EY103" s="547"/>
      <c r="EZ103" s="547"/>
      <c r="FA103" s="547"/>
      <c r="FB103" s="547"/>
      <c r="FC103" s="547"/>
      <c r="FD103" s="547"/>
      <c r="FE103" s="547"/>
      <c r="FF103" s="547"/>
      <c r="FG103" s="547"/>
      <c r="FH103" s="547"/>
      <c r="FI103" s="547"/>
      <c r="FJ103" s="547"/>
      <c r="FK103" s="547"/>
      <c r="FL103" s="547"/>
      <c r="FM103" s="547"/>
      <c r="FN103" s="547"/>
      <c r="FO103" s="547"/>
      <c r="FP103" s="547"/>
      <c r="FQ103" s="547"/>
      <c r="FR103" s="547"/>
      <c r="FS103" s="547"/>
      <c r="FT103" s="547"/>
      <c r="FU103" s="547"/>
      <c r="FV103" s="547"/>
      <c r="FW103" s="547"/>
      <c r="FX103" s="547"/>
      <c r="FY103" s="547"/>
      <c r="FZ103" s="547"/>
      <c r="GA103" s="547"/>
      <c r="GB103" s="547"/>
      <c r="GC103" s="547"/>
      <c r="GD103" s="547"/>
      <c r="GE103" s="547"/>
      <c r="GF103" s="547"/>
      <c r="GG103" s="547"/>
      <c r="GH103" s="547"/>
      <c r="GI103" s="547"/>
      <c r="GJ103" s="547"/>
      <c r="GK103" s="547"/>
      <c r="GL103" s="547"/>
      <c r="GM103" s="547"/>
      <c r="GN103" s="547"/>
      <c r="GO103" s="547"/>
      <c r="GP103" s="547"/>
      <c r="GQ103" s="547"/>
      <c r="GR103" s="547"/>
      <c r="GS103" s="547"/>
      <c r="GT103" s="547"/>
      <c r="GU103" s="547"/>
      <c r="GV103" s="547"/>
      <c r="GW103" s="547"/>
      <c r="GX103" s="547"/>
      <c r="GY103" s="547"/>
      <c r="GZ103" s="547"/>
      <c r="HA103" s="547"/>
      <c r="HB103" s="547"/>
      <c r="HC103" s="547"/>
      <c r="HD103" s="547"/>
      <c r="HE103" s="547"/>
      <c r="HF103" s="547"/>
      <c r="HG103" s="547"/>
      <c r="HH103" s="547"/>
      <c r="HI103" s="547"/>
      <c r="HJ103" s="547"/>
      <c r="HK103" s="547"/>
      <c r="HL103" s="547"/>
      <c r="HM103" s="547"/>
      <c r="HN103" s="547"/>
      <c r="HO103" s="547"/>
      <c r="HP103" s="547"/>
      <c r="HQ103" s="547"/>
      <c r="HR103" s="547"/>
      <c r="HS103" s="547"/>
      <c r="HT103" s="547"/>
      <c r="HU103" s="547"/>
      <c r="HV103" s="547"/>
      <c r="HW103" s="547"/>
      <c r="HX103" s="547"/>
      <c r="HY103" s="547"/>
      <c r="HZ103" s="547"/>
      <c r="IA103" s="547"/>
      <c r="IB103" s="547"/>
      <c r="IC103" s="547"/>
      <c r="ID103" s="547"/>
      <c r="IE103" s="547"/>
      <c r="IF103" s="547"/>
      <c r="IG103" s="547"/>
      <c r="IH103" s="547"/>
      <c r="II103" s="547"/>
    </row>
    <row r="104" spans="1:243" ht="13.5">
      <c r="A104" s="547"/>
      <c r="B104" s="547"/>
      <c r="C104" s="190" t="e">
        <f>#REF!</f>
        <v>#REF!</v>
      </c>
      <c r="D104" s="1177" t="e">
        <f>#REF!</f>
        <v>#REF!</v>
      </c>
      <c r="E104" s="1177"/>
      <c r="F104" s="658"/>
      <c r="G104" s="658"/>
      <c r="H104" s="658"/>
      <c r="I104" s="658"/>
      <c r="J104" s="547"/>
      <c r="K104" s="547"/>
      <c r="L104" s="547"/>
      <c r="M104" s="547"/>
      <c r="N104" s="547"/>
      <c r="O104" s="547"/>
      <c r="P104" s="547"/>
      <c r="Q104" s="547"/>
      <c r="R104" s="547"/>
      <c r="S104" s="547"/>
      <c r="T104" s="547"/>
      <c r="U104" s="547"/>
      <c r="V104" s="547"/>
      <c r="W104" s="547"/>
      <c r="X104" s="547"/>
      <c r="Y104" s="547"/>
      <c r="Z104" s="547"/>
      <c r="AA104" s="547"/>
      <c r="AB104" s="547"/>
      <c r="AC104" s="547"/>
      <c r="AD104" s="547"/>
      <c r="AE104" s="547"/>
      <c r="AF104" s="547"/>
      <c r="AG104" s="547"/>
      <c r="AH104" s="547"/>
      <c r="AI104" s="547"/>
      <c r="AJ104" s="547"/>
      <c r="AK104" s="547"/>
      <c r="AL104" s="547"/>
      <c r="AM104" s="547"/>
      <c r="AN104" s="547"/>
      <c r="AO104" s="547"/>
      <c r="AP104" s="547"/>
      <c r="AQ104" s="547"/>
      <c r="AR104" s="547"/>
      <c r="AS104" s="547"/>
      <c r="AT104" s="547"/>
      <c r="AU104" s="547"/>
      <c r="AV104" s="547"/>
      <c r="AW104" s="547"/>
      <c r="AX104" s="547"/>
      <c r="AY104" s="547"/>
      <c r="AZ104" s="547"/>
      <c r="BA104" s="547"/>
      <c r="BB104" s="547"/>
      <c r="BC104" s="547"/>
      <c r="BD104" s="547"/>
      <c r="BE104" s="547"/>
      <c r="BF104" s="547"/>
      <c r="BG104" s="547"/>
      <c r="BH104" s="547"/>
      <c r="BI104" s="547"/>
      <c r="BJ104" s="547"/>
      <c r="BK104" s="547"/>
      <c r="BL104" s="547"/>
      <c r="BM104" s="547"/>
      <c r="BN104" s="547"/>
      <c r="BO104" s="547"/>
      <c r="BP104" s="547"/>
      <c r="BQ104" s="547"/>
      <c r="BR104" s="547"/>
      <c r="BS104" s="547"/>
      <c r="BT104" s="547"/>
      <c r="BU104" s="547"/>
      <c r="BV104" s="547"/>
      <c r="BW104" s="547"/>
      <c r="BX104" s="547"/>
      <c r="BY104" s="547"/>
      <c r="BZ104" s="547"/>
      <c r="CA104" s="547"/>
      <c r="CB104" s="547"/>
      <c r="CC104" s="547"/>
      <c r="CD104" s="547"/>
      <c r="CE104" s="547"/>
      <c r="CF104" s="547"/>
      <c r="CG104" s="547"/>
      <c r="CH104" s="547"/>
      <c r="CI104" s="547"/>
      <c r="CJ104" s="547"/>
      <c r="CK104" s="547"/>
      <c r="CL104" s="547"/>
      <c r="CM104" s="547"/>
      <c r="CN104" s="547"/>
      <c r="CO104" s="547"/>
      <c r="CP104" s="547"/>
      <c r="CQ104" s="547"/>
      <c r="CR104" s="547"/>
      <c r="CS104" s="547"/>
      <c r="CT104" s="547"/>
      <c r="CU104" s="547"/>
      <c r="CV104" s="547"/>
      <c r="CW104" s="547"/>
      <c r="CX104" s="547"/>
      <c r="CY104" s="547"/>
      <c r="CZ104" s="547"/>
      <c r="DA104" s="547"/>
      <c r="DB104" s="547"/>
      <c r="DC104" s="547"/>
      <c r="DD104" s="547"/>
      <c r="DE104" s="547"/>
      <c r="DF104" s="547"/>
      <c r="DG104" s="547"/>
      <c r="DH104" s="547"/>
      <c r="DI104" s="547"/>
      <c r="DJ104" s="547"/>
      <c r="DK104" s="547"/>
      <c r="DL104" s="547"/>
      <c r="DM104" s="547"/>
      <c r="DN104" s="547"/>
      <c r="DO104" s="547"/>
      <c r="DP104" s="547"/>
      <c r="DQ104" s="547"/>
      <c r="DR104" s="547"/>
      <c r="DS104" s="547"/>
      <c r="DT104" s="547"/>
      <c r="DU104" s="547"/>
      <c r="DV104" s="547"/>
      <c r="DW104" s="547"/>
      <c r="DX104" s="547"/>
      <c r="DY104" s="547"/>
      <c r="DZ104" s="547"/>
      <c r="EA104" s="547"/>
      <c r="EB104" s="547"/>
      <c r="EC104" s="547"/>
      <c r="ED104" s="547"/>
      <c r="EE104" s="547"/>
      <c r="EF104" s="547"/>
      <c r="EG104" s="547"/>
      <c r="EH104" s="547"/>
      <c r="EI104" s="547"/>
      <c r="EJ104" s="547"/>
      <c r="EK104" s="547"/>
      <c r="EL104" s="547"/>
      <c r="EM104" s="547"/>
      <c r="EN104" s="547"/>
      <c r="EO104" s="547"/>
      <c r="EP104" s="547"/>
      <c r="EQ104" s="547"/>
      <c r="ER104" s="547"/>
      <c r="ES104" s="547"/>
      <c r="ET104" s="547"/>
      <c r="EU104" s="547"/>
      <c r="EV104" s="547"/>
      <c r="EW104" s="547"/>
      <c r="EX104" s="547"/>
      <c r="EY104" s="547"/>
      <c r="EZ104" s="547"/>
      <c r="FA104" s="547"/>
      <c r="FB104" s="547"/>
      <c r="FC104" s="547"/>
      <c r="FD104" s="547"/>
      <c r="FE104" s="547"/>
      <c r="FF104" s="547"/>
      <c r="FG104" s="547"/>
      <c r="FH104" s="547"/>
      <c r="FI104" s="547"/>
      <c r="FJ104" s="547"/>
      <c r="FK104" s="547"/>
      <c r="FL104" s="547"/>
      <c r="FM104" s="547"/>
      <c r="FN104" s="547"/>
      <c r="FO104" s="547"/>
      <c r="FP104" s="547"/>
      <c r="FQ104" s="547"/>
      <c r="FR104" s="547"/>
      <c r="FS104" s="547"/>
      <c r="FT104" s="547"/>
      <c r="FU104" s="547"/>
      <c r="FV104" s="547"/>
      <c r="FW104" s="547"/>
      <c r="FX104" s="547"/>
      <c r="FY104" s="547"/>
      <c r="FZ104" s="547"/>
      <c r="GA104" s="547"/>
      <c r="GB104" s="547"/>
      <c r="GC104" s="547"/>
      <c r="GD104" s="547"/>
      <c r="GE104" s="547"/>
      <c r="GF104" s="547"/>
      <c r="GG104" s="547"/>
      <c r="GH104" s="547"/>
      <c r="GI104" s="547"/>
      <c r="GJ104" s="547"/>
      <c r="GK104" s="547"/>
      <c r="GL104" s="547"/>
      <c r="GM104" s="547"/>
      <c r="GN104" s="547"/>
      <c r="GO104" s="547"/>
      <c r="GP104" s="547"/>
      <c r="GQ104" s="547"/>
      <c r="GR104" s="547"/>
      <c r="GS104" s="547"/>
      <c r="GT104" s="547"/>
      <c r="GU104" s="547"/>
      <c r="GV104" s="547"/>
      <c r="GW104" s="547"/>
      <c r="GX104" s="547"/>
      <c r="GY104" s="547"/>
      <c r="GZ104" s="547"/>
      <c r="HA104" s="547"/>
      <c r="HB104" s="547"/>
      <c r="HC104" s="547"/>
      <c r="HD104" s="547"/>
      <c r="HE104" s="547"/>
      <c r="HF104" s="547"/>
      <c r="HG104" s="547"/>
      <c r="HH104" s="547"/>
      <c r="HI104" s="547"/>
      <c r="HJ104" s="547"/>
      <c r="HK104" s="547"/>
      <c r="HL104" s="547"/>
      <c r="HM104" s="547"/>
      <c r="HN104" s="547"/>
      <c r="HO104" s="547"/>
      <c r="HP104" s="547"/>
      <c r="HQ104" s="547"/>
      <c r="HR104" s="547"/>
      <c r="HS104" s="547"/>
      <c r="HT104" s="547"/>
      <c r="HU104" s="547"/>
      <c r="HV104" s="547"/>
      <c r="HW104" s="547"/>
      <c r="HX104" s="547"/>
      <c r="HY104" s="547"/>
      <c r="HZ104" s="547"/>
      <c r="IA104" s="547"/>
      <c r="IB104" s="547"/>
      <c r="IC104" s="547"/>
      <c r="ID104" s="547"/>
      <c r="IE104" s="547"/>
      <c r="IF104" s="547"/>
      <c r="IG104" s="547"/>
      <c r="IH104" s="547"/>
      <c r="II104" s="547"/>
    </row>
  </sheetData>
  <sheetProtection password="CA9C" sheet="1" objects="1" scenarios="1"/>
  <protectedRanges>
    <protectedRange sqref="D94:J100" name="Range2"/>
    <protectedRange sqref="G9:M100" name="Range1"/>
  </protectedRanges>
  <mergeCells count="15">
    <mergeCell ref="D102:E102"/>
    <mergeCell ref="D104:E104"/>
    <mergeCell ref="A1:M1"/>
    <mergeCell ref="A2:C2"/>
    <mergeCell ref="A3:M3"/>
    <mergeCell ref="A4:M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conditionalFormatting sqref="C65:C67 C55 A10:C10 A11:B11 A14:M16 C59:C63 A88:B91 E88:M91 C69:C93 A28:M30 A17:A26 A27:F27 H17:M27 A32:M35 A31 C31:F31 H31:M31 A44:M46 A36:A42 C36:F42 A43:F43 H36:M43 A48:M51 A47 H47:M47 C47:F47 A53:M53 A52 C52:F52 H52:M52 E59:M61 E56:F58 H56:M58 A59:B61 A56:A58 A54:B55 E54:M55 A63:B65 A62 E63:M65 E62:F62 H62:M62 A66 E66:F66 H66:M66 D59:D93 A67:B77 E67:M77 A82:A87 E79:M83 E78:F78 H78:M78 A79:B81 A78 E84:F87 H84:M87 E93:M93 E92:F92 H92:M92 A93:B93 A92 C17:F26">
    <cfRule type="cellIs" dxfId="33" priority="37" stopIfTrue="1" operator="equal">
      <formula>8223.307275</formula>
    </cfRule>
  </conditionalFormatting>
  <conditionalFormatting sqref="D10:M10 M12 H12">
    <cfRule type="cellIs" dxfId="32" priority="36" stopIfTrue="1" operator="equal">
      <formula>8223.307275</formula>
    </cfRule>
  </conditionalFormatting>
  <conditionalFormatting sqref="C11">
    <cfRule type="cellIs" dxfId="31" priority="35" stopIfTrue="1" operator="equal">
      <formula>8223.307275</formula>
    </cfRule>
  </conditionalFormatting>
  <conditionalFormatting sqref="D11:M11">
    <cfRule type="cellIs" dxfId="30" priority="34" stopIfTrue="1" operator="equal">
      <formula>8223.307275</formula>
    </cfRule>
  </conditionalFormatting>
  <conditionalFormatting sqref="C13">
    <cfRule type="cellIs" dxfId="29" priority="33" stopIfTrue="1" operator="equal">
      <formula>8223.307275</formula>
    </cfRule>
  </conditionalFormatting>
  <conditionalFormatting sqref="D13:M13">
    <cfRule type="cellIs" dxfId="28" priority="32" stopIfTrue="1" operator="equal">
      <formula>8223.307275</formula>
    </cfRule>
  </conditionalFormatting>
  <conditionalFormatting sqref="B31">
    <cfRule type="cellIs" dxfId="27" priority="25" stopIfTrue="1" operator="equal">
      <formula>8223.307275</formula>
    </cfRule>
  </conditionalFormatting>
  <conditionalFormatting sqref="B36 B42">
    <cfRule type="cellIs" dxfId="26" priority="29" stopIfTrue="1" operator="equal">
      <formula>8223.307275</formula>
    </cfRule>
  </conditionalFormatting>
  <conditionalFormatting sqref="B17:B26">
    <cfRule type="cellIs" dxfId="25" priority="31" stopIfTrue="1" operator="equal">
      <formula>8223.307275</formula>
    </cfRule>
  </conditionalFormatting>
  <conditionalFormatting sqref="G17:G27">
    <cfRule type="cellIs" dxfId="24" priority="30" stopIfTrue="1" operator="equal">
      <formula>8223.307275</formula>
    </cfRule>
  </conditionalFormatting>
  <conditionalFormatting sqref="G52">
    <cfRule type="cellIs" dxfId="23" priority="22" stopIfTrue="1" operator="equal">
      <formula>8223.307275</formula>
    </cfRule>
  </conditionalFormatting>
  <conditionalFormatting sqref="G36:G43">
    <cfRule type="cellIs" dxfId="22" priority="28" stopIfTrue="1" operator="equal">
      <formula>8223.307275</formula>
    </cfRule>
  </conditionalFormatting>
  <conditionalFormatting sqref="G31">
    <cfRule type="cellIs" dxfId="21" priority="27" stopIfTrue="1" operator="equal">
      <formula>8223.307275</formula>
    </cfRule>
  </conditionalFormatting>
  <conditionalFormatting sqref="G47">
    <cfRule type="cellIs" dxfId="20" priority="26" stopIfTrue="1" operator="equal">
      <formula>8223.307275</formula>
    </cfRule>
  </conditionalFormatting>
  <conditionalFormatting sqref="G56:G58">
    <cfRule type="cellIs" dxfId="19" priority="21" stopIfTrue="1" operator="equal">
      <formula>8223.307275</formula>
    </cfRule>
  </conditionalFormatting>
  <conditionalFormatting sqref="B56:B58">
    <cfRule type="cellIs" dxfId="18" priority="20" stopIfTrue="1" operator="equal">
      <formula>8223.307275</formula>
    </cfRule>
  </conditionalFormatting>
  <conditionalFormatting sqref="B62">
    <cfRule type="cellIs" dxfId="17" priority="19" stopIfTrue="1" operator="equal">
      <formula>8223.307275</formula>
    </cfRule>
  </conditionalFormatting>
  <conditionalFormatting sqref="G62">
    <cfRule type="cellIs" dxfId="16" priority="18" stopIfTrue="1" operator="equal">
      <formula>8223.307275</formula>
    </cfRule>
  </conditionalFormatting>
  <conditionalFormatting sqref="G66">
    <cfRule type="cellIs" dxfId="15" priority="16" stopIfTrue="1" operator="equal">
      <formula>8223.307275</formula>
    </cfRule>
  </conditionalFormatting>
  <conditionalFormatting sqref="B82:B84 B86:B87">
    <cfRule type="cellIs" dxfId="14" priority="15" stopIfTrue="1" operator="equal">
      <formula>8223.307275</formula>
    </cfRule>
  </conditionalFormatting>
  <conditionalFormatting sqref="B85">
    <cfRule type="cellIs" dxfId="13" priority="14" stopIfTrue="1" operator="equal">
      <formula>8223.307275</formula>
    </cfRule>
  </conditionalFormatting>
  <conditionalFormatting sqref="B92">
    <cfRule type="cellIs" dxfId="12" priority="9" stopIfTrue="1" operator="equal">
      <formula>8223.307275</formula>
    </cfRule>
  </conditionalFormatting>
  <conditionalFormatting sqref="B78">
    <cfRule type="cellIs" dxfId="11" priority="13" stopIfTrue="1" operator="equal">
      <formula>8223.307275</formula>
    </cfRule>
  </conditionalFormatting>
  <conditionalFormatting sqref="G78">
    <cfRule type="cellIs" dxfId="10" priority="12" stopIfTrue="1" operator="equal">
      <formula>8223.307275</formula>
    </cfRule>
  </conditionalFormatting>
  <conditionalFormatting sqref="G84 G86:G87">
    <cfRule type="cellIs" dxfId="9" priority="11" stopIfTrue="1" operator="equal">
      <formula>8223.307275</formula>
    </cfRule>
  </conditionalFormatting>
  <conditionalFormatting sqref="G85">
    <cfRule type="cellIs" dxfId="8" priority="10" stopIfTrue="1" operator="equal">
      <formula>8223.307275</formula>
    </cfRule>
  </conditionalFormatting>
  <conditionalFormatting sqref="G92">
    <cfRule type="cellIs" dxfId="7" priority="8" stopIfTrue="1" operator="equal">
      <formula>8223.307275</formula>
    </cfRule>
  </conditionalFormatting>
  <conditionalFormatting sqref="B37">
    <cfRule type="cellIs" dxfId="6" priority="7" stopIfTrue="1" operator="equal">
      <formula>8223.307275</formula>
    </cfRule>
  </conditionalFormatting>
  <conditionalFormatting sqref="B38">
    <cfRule type="cellIs" dxfId="5" priority="6" stopIfTrue="1" operator="equal">
      <formula>8223.307275</formula>
    </cfRule>
  </conditionalFormatting>
  <conditionalFormatting sqref="B39">
    <cfRule type="cellIs" dxfId="4" priority="5" stopIfTrue="1" operator="equal">
      <formula>8223.307275</formula>
    </cfRule>
  </conditionalFormatting>
  <conditionalFormatting sqref="B40">
    <cfRule type="cellIs" dxfId="3" priority="4" stopIfTrue="1" operator="equal">
      <formula>8223.307275</formula>
    </cfRule>
  </conditionalFormatting>
  <conditionalFormatting sqref="B41">
    <cfRule type="cellIs" dxfId="2" priority="3" stopIfTrue="1" operator="equal">
      <formula>8223.307275</formula>
    </cfRule>
  </conditionalFormatting>
  <conditionalFormatting sqref="B47">
    <cfRule type="cellIs" dxfId="1" priority="2" stopIfTrue="1" operator="equal">
      <formula>8223.307275</formula>
    </cfRule>
  </conditionalFormatting>
  <conditionalFormatting sqref="B52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8" orientation="landscape" r:id="rId1"/>
  <rowBreaks count="1" manualBreakCount="1">
    <brk id="53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73"/>
  <sheetViews>
    <sheetView tabSelected="1" view="pageBreakPreview" topLeftCell="C34" zoomScaleNormal="100" zoomScaleSheetLayoutView="100" workbookViewId="0">
      <selection activeCell="D60" sqref="D60:J66"/>
    </sheetView>
  </sheetViews>
  <sheetFormatPr defaultColWidth="7" defaultRowHeight="13.5"/>
  <cols>
    <col min="1" max="1" width="3.85546875" style="883" customWidth="1"/>
    <col min="2" max="2" width="12.5703125" style="884" customWidth="1"/>
    <col min="3" max="3" width="66.5703125" style="884" customWidth="1"/>
    <col min="4" max="4" width="13.28515625" style="885" customWidth="1"/>
    <col min="5" max="5" width="9.140625" style="885" customWidth="1"/>
    <col min="6" max="6" width="9" style="885" customWidth="1"/>
    <col min="7" max="7" width="8.5703125" style="885" customWidth="1"/>
    <col min="8" max="8" width="8.5703125" style="886" customWidth="1"/>
    <col min="9" max="9" width="8.5703125" style="885" customWidth="1"/>
    <col min="10" max="10" width="8.5703125" style="886" customWidth="1"/>
    <col min="11" max="11" width="8.5703125" style="885" customWidth="1"/>
    <col min="12" max="12" width="8.5703125" style="886" customWidth="1"/>
    <col min="13" max="13" width="11.140625" style="886" customWidth="1"/>
    <col min="14" max="123" width="9.140625" style="512" customWidth="1"/>
    <col min="124" max="124" width="2.5703125" style="512" customWidth="1"/>
    <col min="125" max="125" width="9.140625" style="512" customWidth="1"/>
    <col min="126" max="126" width="47.85546875" style="512" customWidth="1"/>
    <col min="127" max="127" width="6.7109375" style="512" customWidth="1"/>
    <col min="128" max="128" width="7.42578125" style="512" customWidth="1"/>
    <col min="129" max="129" width="7" style="512"/>
    <col min="130" max="130" width="8.5703125" style="512" customWidth="1"/>
    <col min="131" max="131" width="12" style="512" customWidth="1"/>
    <col min="132" max="132" width="4.7109375" style="512" customWidth="1"/>
    <col min="133" max="133" width="9.140625" style="512" customWidth="1"/>
    <col min="134" max="134" width="11.7109375" style="512" customWidth="1"/>
    <col min="135" max="246" width="7" style="512"/>
    <col min="247" max="247" width="3.85546875" style="512" customWidth="1"/>
    <col min="248" max="248" width="11.5703125" style="512" customWidth="1"/>
    <col min="249" max="249" width="66.5703125" style="512" customWidth="1"/>
    <col min="250" max="250" width="9.42578125" style="512" customWidth="1"/>
    <col min="251" max="251" width="9.140625" style="512" customWidth="1"/>
    <col min="252" max="252" width="11.140625" style="512" bestFit="1" customWidth="1"/>
    <col min="253" max="253" width="9.140625" style="512" customWidth="1"/>
    <col min="254" max="254" width="10.42578125" style="512" customWidth="1"/>
    <col min="255" max="255" width="9.140625" style="512" customWidth="1"/>
    <col min="256" max="256" width="10.7109375" style="512" customWidth="1"/>
    <col min="257" max="257" width="9.140625" style="512" customWidth="1"/>
    <col min="258" max="258" width="10.140625" style="512" customWidth="1"/>
    <col min="259" max="259" width="11.140625" style="512" customWidth="1"/>
    <col min="260" max="379" width="9.140625" style="512" customWidth="1"/>
    <col min="380" max="380" width="2.5703125" style="512" customWidth="1"/>
    <col min="381" max="381" width="9.140625" style="512" customWidth="1"/>
    <col min="382" max="382" width="47.85546875" style="512" customWidth="1"/>
    <col min="383" max="383" width="6.7109375" style="512" customWidth="1"/>
    <col min="384" max="384" width="7.42578125" style="512" customWidth="1"/>
    <col min="385" max="385" width="7" style="512"/>
    <col min="386" max="386" width="8.5703125" style="512" customWidth="1"/>
    <col min="387" max="387" width="12" style="512" customWidth="1"/>
    <col min="388" max="388" width="4.7109375" style="512" customWidth="1"/>
    <col min="389" max="389" width="9.140625" style="512" customWidth="1"/>
    <col min="390" max="390" width="11.7109375" style="512" customWidth="1"/>
    <col min="391" max="502" width="7" style="512"/>
    <col min="503" max="503" width="3.85546875" style="512" customWidth="1"/>
    <col min="504" max="504" width="11.5703125" style="512" customWidth="1"/>
    <col min="505" max="505" width="66.5703125" style="512" customWidth="1"/>
    <col min="506" max="506" width="9.42578125" style="512" customWidth="1"/>
    <col min="507" max="507" width="9.140625" style="512" customWidth="1"/>
    <col min="508" max="508" width="11.140625" style="512" bestFit="1" customWidth="1"/>
    <col min="509" max="509" width="9.140625" style="512" customWidth="1"/>
    <col min="510" max="510" width="10.42578125" style="512" customWidth="1"/>
    <col min="511" max="511" width="9.140625" style="512" customWidth="1"/>
    <col min="512" max="512" width="10.7109375" style="512" customWidth="1"/>
    <col min="513" max="513" width="9.140625" style="512" customWidth="1"/>
    <col min="514" max="514" width="10.140625" style="512" customWidth="1"/>
    <col min="515" max="515" width="11.140625" style="512" customWidth="1"/>
    <col min="516" max="635" width="9.140625" style="512" customWidth="1"/>
    <col min="636" max="636" width="2.5703125" style="512" customWidth="1"/>
    <col min="637" max="637" width="9.140625" style="512" customWidth="1"/>
    <col min="638" max="638" width="47.85546875" style="512" customWidth="1"/>
    <col min="639" max="639" width="6.7109375" style="512" customWidth="1"/>
    <col min="640" max="640" width="7.42578125" style="512" customWidth="1"/>
    <col min="641" max="641" width="7" style="512"/>
    <col min="642" max="642" width="8.5703125" style="512" customWidth="1"/>
    <col min="643" max="643" width="12" style="512" customWidth="1"/>
    <col min="644" max="644" width="4.7109375" style="512" customWidth="1"/>
    <col min="645" max="645" width="9.140625" style="512" customWidth="1"/>
    <col min="646" max="646" width="11.7109375" style="512" customWidth="1"/>
    <col min="647" max="758" width="7" style="512"/>
    <col min="759" max="759" width="3.85546875" style="512" customWidth="1"/>
    <col min="760" max="760" width="11.5703125" style="512" customWidth="1"/>
    <col min="761" max="761" width="66.5703125" style="512" customWidth="1"/>
    <col min="762" max="762" width="9.42578125" style="512" customWidth="1"/>
    <col min="763" max="763" width="9.140625" style="512" customWidth="1"/>
    <col min="764" max="764" width="11.140625" style="512" bestFit="1" customWidth="1"/>
    <col min="765" max="765" width="9.140625" style="512" customWidth="1"/>
    <col min="766" max="766" width="10.42578125" style="512" customWidth="1"/>
    <col min="767" max="767" width="9.140625" style="512" customWidth="1"/>
    <col min="768" max="768" width="10.7109375" style="512" customWidth="1"/>
    <col min="769" max="769" width="9.140625" style="512" customWidth="1"/>
    <col min="770" max="770" width="10.140625" style="512" customWidth="1"/>
    <col min="771" max="771" width="11.140625" style="512" customWidth="1"/>
    <col min="772" max="891" width="9.140625" style="512" customWidth="1"/>
    <col min="892" max="892" width="2.5703125" style="512" customWidth="1"/>
    <col min="893" max="893" width="9.140625" style="512" customWidth="1"/>
    <col min="894" max="894" width="47.85546875" style="512" customWidth="1"/>
    <col min="895" max="895" width="6.7109375" style="512" customWidth="1"/>
    <col min="896" max="896" width="7.42578125" style="512" customWidth="1"/>
    <col min="897" max="897" width="7" style="512"/>
    <col min="898" max="898" width="8.5703125" style="512" customWidth="1"/>
    <col min="899" max="899" width="12" style="512" customWidth="1"/>
    <col min="900" max="900" width="4.7109375" style="512" customWidth="1"/>
    <col min="901" max="901" width="9.140625" style="512" customWidth="1"/>
    <col min="902" max="902" width="11.7109375" style="512" customWidth="1"/>
    <col min="903" max="1014" width="7" style="512"/>
    <col min="1015" max="1015" width="3.85546875" style="512" customWidth="1"/>
    <col min="1016" max="1016" width="11.5703125" style="512" customWidth="1"/>
    <col min="1017" max="1017" width="66.5703125" style="512" customWidth="1"/>
    <col min="1018" max="1018" width="9.42578125" style="512" customWidth="1"/>
    <col min="1019" max="1019" width="9.140625" style="512" customWidth="1"/>
    <col min="1020" max="1020" width="11.140625" style="512" bestFit="1" customWidth="1"/>
    <col min="1021" max="1021" width="9.140625" style="512" customWidth="1"/>
    <col min="1022" max="1022" width="10.42578125" style="512" customWidth="1"/>
    <col min="1023" max="1023" width="9.140625" style="512" customWidth="1"/>
    <col min="1024" max="1024" width="10.7109375" style="512" customWidth="1"/>
    <col min="1025" max="1025" width="9.140625" style="512" customWidth="1"/>
    <col min="1026" max="1026" width="10.140625" style="512" customWidth="1"/>
    <col min="1027" max="1027" width="11.140625" style="512" customWidth="1"/>
    <col min="1028" max="1147" width="9.140625" style="512" customWidth="1"/>
    <col min="1148" max="1148" width="2.5703125" style="512" customWidth="1"/>
    <col min="1149" max="1149" width="9.140625" style="512" customWidth="1"/>
    <col min="1150" max="1150" width="47.85546875" style="512" customWidth="1"/>
    <col min="1151" max="1151" width="6.7109375" style="512" customWidth="1"/>
    <col min="1152" max="1152" width="7.42578125" style="512" customWidth="1"/>
    <col min="1153" max="1153" width="7" style="512"/>
    <col min="1154" max="1154" width="8.5703125" style="512" customWidth="1"/>
    <col min="1155" max="1155" width="12" style="512" customWidth="1"/>
    <col min="1156" max="1156" width="4.7109375" style="512" customWidth="1"/>
    <col min="1157" max="1157" width="9.140625" style="512" customWidth="1"/>
    <col min="1158" max="1158" width="11.7109375" style="512" customWidth="1"/>
    <col min="1159" max="1270" width="7" style="512"/>
    <col min="1271" max="1271" width="3.85546875" style="512" customWidth="1"/>
    <col min="1272" max="1272" width="11.5703125" style="512" customWidth="1"/>
    <col min="1273" max="1273" width="66.5703125" style="512" customWidth="1"/>
    <col min="1274" max="1274" width="9.42578125" style="512" customWidth="1"/>
    <col min="1275" max="1275" width="9.140625" style="512" customWidth="1"/>
    <col min="1276" max="1276" width="11.140625" style="512" bestFit="1" customWidth="1"/>
    <col min="1277" max="1277" width="9.140625" style="512" customWidth="1"/>
    <col min="1278" max="1278" width="10.42578125" style="512" customWidth="1"/>
    <col min="1279" max="1279" width="9.140625" style="512" customWidth="1"/>
    <col min="1280" max="1280" width="10.7109375" style="512" customWidth="1"/>
    <col min="1281" max="1281" width="9.140625" style="512" customWidth="1"/>
    <col min="1282" max="1282" width="10.140625" style="512" customWidth="1"/>
    <col min="1283" max="1283" width="11.140625" style="512" customWidth="1"/>
    <col min="1284" max="1403" width="9.140625" style="512" customWidth="1"/>
    <col min="1404" max="1404" width="2.5703125" style="512" customWidth="1"/>
    <col min="1405" max="1405" width="9.140625" style="512" customWidth="1"/>
    <col min="1406" max="1406" width="47.85546875" style="512" customWidth="1"/>
    <col min="1407" max="1407" width="6.7109375" style="512" customWidth="1"/>
    <col min="1408" max="1408" width="7.42578125" style="512" customWidth="1"/>
    <col min="1409" max="1409" width="7" style="512"/>
    <col min="1410" max="1410" width="8.5703125" style="512" customWidth="1"/>
    <col min="1411" max="1411" width="12" style="512" customWidth="1"/>
    <col min="1412" max="1412" width="4.7109375" style="512" customWidth="1"/>
    <col min="1413" max="1413" width="9.140625" style="512" customWidth="1"/>
    <col min="1414" max="1414" width="11.7109375" style="512" customWidth="1"/>
    <col min="1415" max="1526" width="7" style="512"/>
    <col min="1527" max="1527" width="3.85546875" style="512" customWidth="1"/>
    <col min="1528" max="1528" width="11.5703125" style="512" customWidth="1"/>
    <col min="1529" max="1529" width="66.5703125" style="512" customWidth="1"/>
    <col min="1530" max="1530" width="9.42578125" style="512" customWidth="1"/>
    <col min="1531" max="1531" width="9.140625" style="512" customWidth="1"/>
    <col min="1532" max="1532" width="11.140625" style="512" bestFit="1" customWidth="1"/>
    <col min="1533" max="1533" width="9.140625" style="512" customWidth="1"/>
    <col min="1534" max="1534" width="10.42578125" style="512" customWidth="1"/>
    <col min="1535" max="1535" width="9.140625" style="512" customWidth="1"/>
    <col min="1536" max="1536" width="10.7109375" style="512" customWidth="1"/>
    <col min="1537" max="1537" width="9.140625" style="512" customWidth="1"/>
    <col min="1538" max="1538" width="10.140625" style="512" customWidth="1"/>
    <col min="1539" max="1539" width="11.140625" style="512" customWidth="1"/>
    <col min="1540" max="1659" width="9.140625" style="512" customWidth="1"/>
    <col min="1660" max="1660" width="2.5703125" style="512" customWidth="1"/>
    <col min="1661" max="1661" width="9.140625" style="512" customWidth="1"/>
    <col min="1662" max="1662" width="47.85546875" style="512" customWidth="1"/>
    <col min="1663" max="1663" width="6.7109375" style="512" customWidth="1"/>
    <col min="1664" max="1664" width="7.42578125" style="512" customWidth="1"/>
    <col min="1665" max="1665" width="7" style="512"/>
    <col min="1666" max="1666" width="8.5703125" style="512" customWidth="1"/>
    <col min="1667" max="1667" width="12" style="512" customWidth="1"/>
    <col min="1668" max="1668" width="4.7109375" style="512" customWidth="1"/>
    <col min="1669" max="1669" width="9.140625" style="512" customWidth="1"/>
    <col min="1670" max="1670" width="11.7109375" style="512" customWidth="1"/>
    <col min="1671" max="1782" width="7" style="512"/>
    <col min="1783" max="1783" width="3.85546875" style="512" customWidth="1"/>
    <col min="1784" max="1784" width="11.5703125" style="512" customWidth="1"/>
    <col min="1785" max="1785" width="66.5703125" style="512" customWidth="1"/>
    <col min="1786" max="1786" width="9.42578125" style="512" customWidth="1"/>
    <col min="1787" max="1787" width="9.140625" style="512" customWidth="1"/>
    <col min="1788" max="1788" width="11.140625" style="512" bestFit="1" customWidth="1"/>
    <col min="1789" max="1789" width="9.140625" style="512" customWidth="1"/>
    <col min="1790" max="1790" width="10.42578125" style="512" customWidth="1"/>
    <col min="1791" max="1791" width="9.140625" style="512" customWidth="1"/>
    <col min="1792" max="1792" width="10.7109375" style="512" customWidth="1"/>
    <col min="1793" max="1793" width="9.140625" style="512" customWidth="1"/>
    <col min="1794" max="1794" width="10.140625" style="512" customWidth="1"/>
    <col min="1795" max="1795" width="11.140625" style="512" customWidth="1"/>
    <col min="1796" max="1915" width="9.140625" style="512" customWidth="1"/>
    <col min="1916" max="1916" width="2.5703125" style="512" customWidth="1"/>
    <col min="1917" max="1917" width="9.140625" style="512" customWidth="1"/>
    <col min="1918" max="1918" width="47.85546875" style="512" customWidth="1"/>
    <col min="1919" max="1919" width="6.7109375" style="512" customWidth="1"/>
    <col min="1920" max="1920" width="7.42578125" style="512" customWidth="1"/>
    <col min="1921" max="1921" width="7" style="512"/>
    <col min="1922" max="1922" width="8.5703125" style="512" customWidth="1"/>
    <col min="1923" max="1923" width="12" style="512" customWidth="1"/>
    <col min="1924" max="1924" width="4.7109375" style="512" customWidth="1"/>
    <col min="1925" max="1925" width="9.140625" style="512" customWidth="1"/>
    <col min="1926" max="1926" width="11.7109375" style="512" customWidth="1"/>
    <col min="1927" max="2038" width="7" style="512"/>
    <col min="2039" max="2039" width="3.85546875" style="512" customWidth="1"/>
    <col min="2040" max="2040" width="11.5703125" style="512" customWidth="1"/>
    <col min="2041" max="2041" width="66.5703125" style="512" customWidth="1"/>
    <col min="2042" max="2042" width="9.42578125" style="512" customWidth="1"/>
    <col min="2043" max="2043" width="9.140625" style="512" customWidth="1"/>
    <col min="2044" max="2044" width="11.140625" style="512" bestFit="1" customWidth="1"/>
    <col min="2045" max="2045" width="9.140625" style="512" customWidth="1"/>
    <col min="2046" max="2046" width="10.42578125" style="512" customWidth="1"/>
    <col min="2047" max="2047" width="9.140625" style="512" customWidth="1"/>
    <col min="2048" max="2048" width="10.7109375" style="512" customWidth="1"/>
    <col min="2049" max="2049" width="9.140625" style="512" customWidth="1"/>
    <col min="2050" max="2050" width="10.140625" style="512" customWidth="1"/>
    <col min="2051" max="2051" width="11.140625" style="512" customWidth="1"/>
    <col min="2052" max="2171" width="9.140625" style="512" customWidth="1"/>
    <col min="2172" max="2172" width="2.5703125" style="512" customWidth="1"/>
    <col min="2173" max="2173" width="9.140625" style="512" customWidth="1"/>
    <col min="2174" max="2174" width="47.85546875" style="512" customWidth="1"/>
    <col min="2175" max="2175" width="6.7109375" style="512" customWidth="1"/>
    <col min="2176" max="2176" width="7.42578125" style="512" customWidth="1"/>
    <col min="2177" max="2177" width="7" style="512"/>
    <col min="2178" max="2178" width="8.5703125" style="512" customWidth="1"/>
    <col min="2179" max="2179" width="12" style="512" customWidth="1"/>
    <col min="2180" max="2180" width="4.7109375" style="512" customWidth="1"/>
    <col min="2181" max="2181" width="9.140625" style="512" customWidth="1"/>
    <col min="2182" max="2182" width="11.7109375" style="512" customWidth="1"/>
    <col min="2183" max="2294" width="7" style="512"/>
    <col min="2295" max="2295" width="3.85546875" style="512" customWidth="1"/>
    <col min="2296" max="2296" width="11.5703125" style="512" customWidth="1"/>
    <col min="2297" max="2297" width="66.5703125" style="512" customWidth="1"/>
    <col min="2298" max="2298" width="9.42578125" style="512" customWidth="1"/>
    <col min="2299" max="2299" width="9.140625" style="512" customWidth="1"/>
    <col min="2300" max="2300" width="11.140625" style="512" bestFit="1" customWidth="1"/>
    <col min="2301" max="2301" width="9.140625" style="512" customWidth="1"/>
    <col min="2302" max="2302" width="10.42578125" style="512" customWidth="1"/>
    <col min="2303" max="2303" width="9.140625" style="512" customWidth="1"/>
    <col min="2304" max="2304" width="10.7109375" style="512" customWidth="1"/>
    <col min="2305" max="2305" width="9.140625" style="512" customWidth="1"/>
    <col min="2306" max="2306" width="10.140625" style="512" customWidth="1"/>
    <col min="2307" max="2307" width="11.140625" style="512" customWidth="1"/>
    <col min="2308" max="2427" width="9.140625" style="512" customWidth="1"/>
    <col min="2428" max="2428" width="2.5703125" style="512" customWidth="1"/>
    <col min="2429" max="2429" width="9.140625" style="512" customWidth="1"/>
    <col min="2430" max="2430" width="47.85546875" style="512" customWidth="1"/>
    <col min="2431" max="2431" width="6.7109375" style="512" customWidth="1"/>
    <col min="2432" max="2432" width="7.42578125" style="512" customWidth="1"/>
    <col min="2433" max="2433" width="7" style="512"/>
    <col min="2434" max="2434" width="8.5703125" style="512" customWidth="1"/>
    <col min="2435" max="2435" width="12" style="512" customWidth="1"/>
    <col min="2436" max="2436" width="4.7109375" style="512" customWidth="1"/>
    <col min="2437" max="2437" width="9.140625" style="512" customWidth="1"/>
    <col min="2438" max="2438" width="11.7109375" style="512" customWidth="1"/>
    <col min="2439" max="2550" width="7" style="512"/>
    <col min="2551" max="2551" width="3.85546875" style="512" customWidth="1"/>
    <col min="2552" max="2552" width="11.5703125" style="512" customWidth="1"/>
    <col min="2553" max="2553" width="66.5703125" style="512" customWidth="1"/>
    <col min="2554" max="2554" width="9.42578125" style="512" customWidth="1"/>
    <col min="2555" max="2555" width="9.140625" style="512" customWidth="1"/>
    <col min="2556" max="2556" width="11.140625" style="512" bestFit="1" customWidth="1"/>
    <col min="2557" max="2557" width="9.140625" style="512" customWidth="1"/>
    <col min="2558" max="2558" width="10.42578125" style="512" customWidth="1"/>
    <col min="2559" max="2559" width="9.140625" style="512" customWidth="1"/>
    <col min="2560" max="2560" width="10.7109375" style="512" customWidth="1"/>
    <col min="2561" max="2561" width="9.140625" style="512" customWidth="1"/>
    <col min="2562" max="2562" width="10.140625" style="512" customWidth="1"/>
    <col min="2563" max="2563" width="11.140625" style="512" customWidth="1"/>
    <col min="2564" max="2683" width="9.140625" style="512" customWidth="1"/>
    <col min="2684" max="2684" width="2.5703125" style="512" customWidth="1"/>
    <col min="2685" max="2685" width="9.140625" style="512" customWidth="1"/>
    <col min="2686" max="2686" width="47.85546875" style="512" customWidth="1"/>
    <col min="2687" max="2687" width="6.7109375" style="512" customWidth="1"/>
    <col min="2688" max="2688" width="7.42578125" style="512" customWidth="1"/>
    <col min="2689" max="2689" width="7" style="512"/>
    <col min="2690" max="2690" width="8.5703125" style="512" customWidth="1"/>
    <col min="2691" max="2691" width="12" style="512" customWidth="1"/>
    <col min="2692" max="2692" width="4.7109375" style="512" customWidth="1"/>
    <col min="2693" max="2693" width="9.140625" style="512" customWidth="1"/>
    <col min="2694" max="2694" width="11.7109375" style="512" customWidth="1"/>
    <col min="2695" max="2806" width="7" style="512"/>
    <col min="2807" max="2807" width="3.85546875" style="512" customWidth="1"/>
    <col min="2808" max="2808" width="11.5703125" style="512" customWidth="1"/>
    <col min="2809" max="2809" width="66.5703125" style="512" customWidth="1"/>
    <col min="2810" max="2810" width="9.42578125" style="512" customWidth="1"/>
    <col min="2811" max="2811" width="9.140625" style="512" customWidth="1"/>
    <col min="2812" max="2812" width="11.140625" style="512" bestFit="1" customWidth="1"/>
    <col min="2813" max="2813" width="9.140625" style="512" customWidth="1"/>
    <col min="2814" max="2814" width="10.42578125" style="512" customWidth="1"/>
    <col min="2815" max="2815" width="9.140625" style="512" customWidth="1"/>
    <col min="2816" max="2816" width="10.7109375" style="512" customWidth="1"/>
    <col min="2817" max="2817" width="9.140625" style="512" customWidth="1"/>
    <col min="2818" max="2818" width="10.140625" style="512" customWidth="1"/>
    <col min="2819" max="2819" width="11.140625" style="512" customWidth="1"/>
    <col min="2820" max="2939" width="9.140625" style="512" customWidth="1"/>
    <col min="2940" max="2940" width="2.5703125" style="512" customWidth="1"/>
    <col min="2941" max="2941" width="9.140625" style="512" customWidth="1"/>
    <col min="2942" max="2942" width="47.85546875" style="512" customWidth="1"/>
    <col min="2943" max="2943" width="6.7109375" style="512" customWidth="1"/>
    <col min="2944" max="2944" width="7.42578125" style="512" customWidth="1"/>
    <col min="2945" max="2945" width="7" style="512"/>
    <col min="2946" max="2946" width="8.5703125" style="512" customWidth="1"/>
    <col min="2947" max="2947" width="12" style="512" customWidth="1"/>
    <col min="2948" max="2948" width="4.7109375" style="512" customWidth="1"/>
    <col min="2949" max="2949" width="9.140625" style="512" customWidth="1"/>
    <col min="2950" max="2950" width="11.7109375" style="512" customWidth="1"/>
    <col min="2951" max="3062" width="7" style="512"/>
    <col min="3063" max="3063" width="3.85546875" style="512" customWidth="1"/>
    <col min="3064" max="3064" width="11.5703125" style="512" customWidth="1"/>
    <col min="3065" max="3065" width="66.5703125" style="512" customWidth="1"/>
    <col min="3066" max="3066" width="9.42578125" style="512" customWidth="1"/>
    <col min="3067" max="3067" width="9.140625" style="512" customWidth="1"/>
    <col min="3068" max="3068" width="11.140625" style="512" bestFit="1" customWidth="1"/>
    <col min="3069" max="3069" width="9.140625" style="512" customWidth="1"/>
    <col min="3070" max="3070" width="10.42578125" style="512" customWidth="1"/>
    <col min="3071" max="3071" width="9.140625" style="512" customWidth="1"/>
    <col min="3072" max="3072" width="10.7109375" style="512" customWidth="1"/>
    <col min="3073" max="3073" width="9.140625" style="512" customWidth="1"/>
    <col min="3074" max="3074" width="10.140625" style="512" customWidth="1"/>
    <col min="3075" max="3075" width="11.140625" style="512" customWidth="1"/>
    <col min="3076" max="3195" width="9.140625" style="512" customWidth="1"/>
    <col min="3196" max="3196" width="2.5703125" style="512" customWidth="1"/>
    <col min="3197" max="3197" width="9.140625" style="512" customWidth="1"/>
    <col min="3198" max="3198" width="47.85546875" style="512" customWidth="1"/>
    <col min="3199" max="3199" width="6.7109375" style="512" customWidth="1"/>
    <col min="3200" max="3200" width="7.42578125" style="512" customWidth="1"/>
    <col min="3201" max="3201" width="7" style="512"/>
    <col min="3202" max="3202" width="8.5703125" style="512" customWidth="1"/>
    <col min="3203" max="3203" width="12" style="512" customWidth="1"/>
    <col min="3204" max="3204" width="4.7109375" style="512" customWidth="1"/>
    <col min="3205" max="3205" width="9.140625" style="512" customWidth="1"/>
    <col min="3206" max="3206" width="11.7109375" style="512" customWidth="1"/>
    <col min="3207" max="3318" width="7" style="512"/>
    <col min="3319" max="3319" width="3.85546875" style="512" customWidth="1"/>
    <col min="3320" max="3320" width="11.5703125" style="512" customWidth="1"/>
    <col min="3321" max="3321" width="66.5703125" style="512" customWidth="1"/>
    <col min="3322" max="3322" width="9.42578125" style="512" customWidth="1"/>
    <col min="3323" max="3323" width="9.140625" style="512" customWidth="1"/>
    <col min="3324" max="3324" width="11.140625" style="512" bestFit="1" customWidth="1"/>
    <col min="3325" max="3325" width="9.140625" style="512" customWidth="1"/>
    <col min="3326" max="3326" width="10.42578125" style="512" customWidth="1"/>
    <col min="3327" max="3327" width="9.140625" style="512" customWidth="1"/>
    <col min="3328" max="3328" width="10.7109375" style="512" customWidth="1"/>
    <col min="3329" max="3329" width="9.140625" style="512" customWidth="1"/>
    <col min="3330" max="3330" width="10.140625" style="512" customWidth="1"/>
    <col min="3331" max="3331" width="11.140625" style="512" customWidth="1"/>
    <col min="3332" max="3451" width="9.140625" style="512" customWidth="1"/>
    <col min="3452" max="3452" width="2.5703125" style="512" customWidth="1"/>
    <col min="3453" max="3453" width="9.140625" style="512" customWidth="1"/>
    <col min="3454" max="3454" width="47.85546875" style="512" customWidth="1"/>
    <col min="3455" max="3455" width="6.7109375" style="512" customWidth="1"/>
    <col min="3456" max="3456" width="7.42578125" style="512" customWidth="1"/>
    <col min="3457" max="3457" width="7" style="512"/>
    <col min="3458" max="3458" width="8.5703125" style="512" customWidth="1"/>
    <col min="3459" max="3459" width="12" style="512" customWidth="1"/>
    <col min="3460" max="3460" width="4.7109375" style="512" customWidth="1"/>
    <col min="3461" max="3461" width="9.140625" style="512" customWidth="1"/>
    <col min="3462" max="3462" width="11.7109375" style="512" customWidth="1"/>
    <col min="3463" max="3574" width="7" style="512"/>
    <col min="3575" max="3575" width="3.85546875" style="512" customWidth="1"/>
    <col min="3576" max="3576" width="11.5703125" style="512" customWidth="1"/>
    <col min="3577" max="3577" width="66.5703125" style="512" customWidth="1"/>
    <col min="3578" max="3578" width="9.42578125" style="512" customWidth="1"/>
    <col min="3579" max="3579" width="9.140625" style="512" customWidth="1"/>
    <col min="3580" max="3580" width="11.140625" style="512" bestFit="1" customWidth="1"/>
    <col min="3581" max="3581" width="9.140625" style="512" customWidth="1"/>
    <col min="3582" max="3582" width="10.42578125" style="512" customWidth="1"/>
    <col min="3583" max="3583" width="9.140625" style="512" customWidth="1"/>
    <col min="3584" max="3584" width="10.7109375" style="512" customWidth="1"/>
    <col min="3585" max="3585" width="9.140625" style="512" customWidth="1"/>
    <col min="3586" max="3586" width="10.140625" style="512" customWidth="1"/>
    <col min="3587" max="3587" width="11.140625" style="512" customWidth="1"/>
    <col min="3588" max="3707" width="9.140625" style="512" customWidth="1"/>
    <col min="3708" max="3708" width="2.5703125" style="512" customWidth="1"/>
    <col min="3709" max="3709" width="9.140625" style="512" customWidth="1"/>
    <col min="3710" max="3710" width="47.85546875" style="512" customWidth="1"/>
    <col min="3711" max="3711" width="6.7109375" style="512" customWidth="1"/>
    <col min="3712" max="3712" width="7.42578125" style="512" customWidth="1"/>
    <col min="3713" max="3713" width="7" style="512"/>
    <col min="3714" max="3714" width="8.5703125" style="512" customWidth="1"/>
    <col min="3715" max="3715" width="12" style="512" customWidth="1"/>
    <col min="3716" max="3716" width="4.7109375" style="512" customWidth="1"/>
    <col min="3717" max="3717" width="9.140625" style="512" customWidth="1"/>
    <col min="3718" max="3718" width="11.7109375" style="512" customWidth="1"/>
    <col min="3719" max="3830" width="7" style="512"/>
    <col min="3831" max="3831" width="3.85546875" style="512" customWidth="1"/>
    <col min="3832" max="3832" width="11.5703125" style="512" customWidth="1"/>
    <col min="3833" max="3833" width="66.5703125" style="512" customWidth="1"/>
    <col min="3834" max="3834" width="9.42578125" style="512" customWidth="1"/>
    <col min="3835" max="3835" width="9.140625" style="512" customWidth="1"/>
    <col min="3836" max="3836" width="11.140625" style="512" bestFit="1" customWidth="1"/>
    <col min="3837" max="3837" width="9.140625" style="512" customWidth="1"/>
    <col min="3838" max="3838" width="10.42578125" style="512" customWidth="1"/>
    <col min="3839" max="3839" width="9.140625" style="512" customWidth="1"/>
    <col min="3840" max="3840" width="10.7109375" style="512" customWidth="1"/>
    <col min="3841" max="3841" width="9.140625" style="512" customWidth="1"/>
    <col min="3842" max="3842" width="10.140625" style="512" customWidth="1"/>
    <col min="3843" max="3843" width="11.140625" style="512" customWidth="1"/>
    <col min="3844" max="3963" width="9.140625" style="512" customWidth="1"/>
    <col min="3964" max="3964" width="2.5703125" style="512" customWidth="1"/>
    <col min="3965" max="3965" width="9.140625" style="512" customWidth="1"/>
    <col min="3966" max="3966" width="47.85546875" style="512" customWidth="1"/>
    <col min="3967" max="3967" width="6.7109375" style="512" customWidth="1"/>
    <col min="3968" max="3968" width="7.42578125" style="512" customWidth="1"/>
    <col min="3969" max="3969" width="7" style="512"/>
    <col min="3970" max="3970" width="8.5703125" style="512" customWidth="1"/>
    <col min="3971" max="3971" width="12" style="512" customWidth="1"/>
    <col min="3972" max="3972" width="4.7109375" style="512" customWidth="1"/>
    <col min="3973" max="3973" width="9.140625" style="512" customWidth="1"/>
    <col min="3974" max="3974" width="11.7109375" style="512" customWidth="1"/>
    <col min="3975" max="4086" width="7" style="512"/>
    <col min="4087" max="4087" width="3.85546875" style="512" customWidth="1"/>
    <col min="4088" max="4088" width="11.5703125" style="512" customWidth="1"/>
    <col min="4089" max="4089" width="66.5703125" style="512" customWidth="1"/>
    <col min="4090" max="4090" width="9.42578125" style="512" customWidth="1"/>
    <col min="4091" max="4091" width="9.140625" style="512" customWidth="1"/>
    <col min="4092" max="4092" width="11.140625" style="512" bestFit="1" customWidth="1"/>
    <col min="4093" max="4093" width="9.140625" style="512" customWidth="1"/>
    <col min="4094" max="4094" width="10.42578125" style="512" customWidth="1"/>
    <col min="4095" max="4095" width="9.140625" style="512" customWidth="1"/>
    <col min="4096" max="4096" width="10.7109375" style="512" customWidth="1"/>
    <col min="4097" max="4097" width="9.140625" style="512" customWidth="1"/>
    <col min="4098" max="4098" width="10.140625" style="512" customWidth="1"/>
    <col min="4099" max="4099" width="11.140625" style="512" customWidth="1"/>
    <col min="4100" max="4219" width="9.140625" style="512" customWidth="1"/>
    <col min="4220" max="4220" width="2.5703125" style="512" customWidth="1"/>
    <col min="4221" max="4221" width="9.140625" style="512" customWidth="1"/>
    <col min="4222" max="4222" width="47.85546875" style="512" customWidth="1"/>
    <col min="4223" max="4223" width="6.7109375" style="512" customWidth="1"/>
    <col min="4224" max="4224" width="7.42578125" style="512" customWidth="1"/>
    <col min="4225" max="4225" width="7" style="512"/>
    <col min="4226" max="4226" width="8.5703125" style="512" customWidth="1"/>
    <col min="4227" max="4227" width="12" style="512" customWidth="1"/>
    <col min="4228" max="4228" width="4.7109375" style="512" customWidth="1"/>
    <col min="4229" max="4229" width="9.140625" style="512" customWidth="1"/>
    <col min="4230" max="4230" width="11.7109375" style="512" customWidth="1"/>
    <col min="4231" max="4342" width="7" style="512"/>
    <col min="4343" max="4343" width="3.85546875" style="512" customWidth="1"/>
    <col min="4344" max="4344" width="11.5703125" style="512" customWidth="1"/>
    <col min="4345" max="4345" width="66.5703125" style="512" customWidth="1"/>
    <col min="4346" max="4346" width="9.42578125" style="512" customWidth="1"/>
    <col min="4347" max="4347" width="9.140625" style="512" customWidth="1"/>
    <col min="4348" max="4348" width="11.140625" style="512" bestFit="1" customWidth="1"/>
    <col min="4349" max="4349" width="9.140625" style="512" customWidth="1"/>
    <col min="4350" max="4350" width="10.42578125" style="512" customWidth="1"/>
    <col min="4351" max="4351" width="9.140625" style="512" customWidth="1"/>
    <col min="4352" max="4352" width="10.7109375" style="512" customWidth="1"/>
    <col min="4353" max="4353" width="9.140625" style="512" customWidth="1"/>
    <col min="4354" max="4354" width="10.140625" style="512" customWidth="1"/>
    <col min="4355" max="4355" width="11.140625" style="512" customWidth="1"/>
    <col min="4356" max="4475" width="9.140625" style="512" customWidth="1"/>
    <col min="4476" max="4476" width="2.5703125" style="512" customWidth="1"/>
    <col min="4477" max="4477" width="9.140625" style="512" customWidth="1"/>
    <col min="4478" max="4478" width="47.85546875" style="512" customWidth="1"/>
    <col min="4479" max="4479" width="6.7109375" style="512" customWidth="1"/>
    <col min="4480" max="4480" width="7.42578125" style="512" customWidth="1"/>
    <col min="4481" max="4481" width="7" style="512"/>
    <col min="4482" max="4482" width="8.5703125" style="512" customWidth="1"/>
    <col min="4483" max="4483" width="12" style="512" customWidth="1"/>
    <col min="4484" max="4484" width="4.7109375" style="512" customWidth="1"/>
    <col min="4485" max="4485" width="9.140625" style="512" customWidth="1"/>
    <col min="4486" max="4486" width="11.7109375" style="512" customWidth="1"/>
    <col min="4487" max="4598" width="7" style="512"/>
    <col min="4599" max="4599" width="3.85546875" style="512" customWidth="1"/>
    <col min="4600" max="4600" width="11.5703125" style="512" customWidth="1"/>
    <col min="4601" max="4601" width="66.5703125" style="512" customWidth="1"/>
    <col min="4602" max="4602" width="9.42578125" style="512" customWidth="1"/>
    <col min="4603" max="4603" width="9.140625" style="512" customWidth="1"/>
    <col min="4604" max="4604" width="11.140625" style="512" bestFit="1" customWidth="1"/>
    <col min="4605" max="4605" width="9.140625" style="512" customWidth="1"/>
    <col min="4606" max="4606" width="10.42578125" style="512" customWidth="1"/>
    <col min="4607" max="4607" width="9.140625" style="512" customWidth="1"/>
    <col min="4608" max="4608" width="10.7109375" style="512" customWidth="1"/>
    <col min="4609" max="4609" width="9.140625" style="512" customWidth="1"/>
    <col min="4610" max="4610" width="10.140625" style="512" customWidth="1"/>
    <col min="4611" max="4611" width="11.140625" style="512" customWidth="1"/>
    <col min="4612" max="4731" width="9.140625" style="512" customWidth="1"/>
    <col min="4732" max="4732" width="2.5703125" style="512" customWidth="1"/>
    <col min="4733" max="4733" width="9.140625" style="512" customWidth="1"/>
    <col min="4734" max="4734" width="47.85546875" style="512" customWidth="1"/>
    <col min="4735" max="4735" width="6.7109375" style="512" customWidth="1"/>
    <col min="4736" max="4736" width="7.42578125" style="512" customWidth="1"/>
    <col min="4737" max="4737" width="7" style="512"/>
    <col min="4738" max="4738" width="8.5703125" style="512" customWidth="1"/>
    <col min="4739" max="4739" width="12" style="512" customWidth="1"/>
    <col min="4740" max="4740" width="4.7109375" style="512" customWidth="1"/>
    <col min="4741" max="4741" width="9.140625" style="512" customWidth="1"/>
    <col min="4742" max="4742" width="11.7109375" style="512" customWidth="1"/>
    <col min="4743" max="4854" width="7" style="512"/>
    <col min="4855" max="4855" width="3.85546875" style="512" customWidth="1"/>
    <col min="4856" max="4856" width="11.5703125" style="512" customWidth="1"/>
    <col min="4857" max="4857" width="66.5703125" style="512" customWidth="1"/>
    <col min="4858" max="4858" width="9.42578125" style="512" customWidth="1"/>
    <col min="4859" max="4859" width="9.140625" style="512" customWidth="1"/>
    <col min="4860" max="4860" width="11.140625" style="512" bestFit="1" customWidth="1"/>
    <col min="4861" max="4861" width="9.140625" style="512" customWidth="1"/>
    <col min="4862" max="4862" width="10.42578125" style="512" customWidth="1"/>
    <col min="4863" max="4863" width="9.140625" style="512" customWidth="1"/>
    <col min="4864" max="4864" width="10.7109375" style="512" customWidth="1"/>
    <col min="4865" max="4865" width="9.140625" style="512" customWidth="1"/>
    <col min="4866" max="4866" width="10.140625" style="512" customWidth="1"/>
    <col min="4867" max="4867" width="11.140625" style="512" customWidth="1"/>
    <col min="4868" max="4987" width="9.140625" style="512" customWidth="1"/>
    <col min="4988" max="4988" width="2.5703125" style="512" customWidth="1"/>
    <col min="4989" max="4989" width="9.140625" style="512" customWidth="1"/>
    <col min="4990" max="4990" width="47.85546875" style="512" customWidth="1"/>
    <col min="4991" max="4991" width="6.7109375" style="512" customWidth="1"/>
    <col min="4992" max="4992" width="7.42578125" style="512" customWidth="1"/>
    <col min="4993" max="4993" width="7" style="512"/>
    <col min="4994" max="4994" width="8.5703125" style="512" customWidth="1"/>
    <col min="4995" max="4995" width="12" style="512" customWidth="1"/>
    <col min="4996" max="4996" width="4.7109375" style="512" customWidth="1"/>
    <col min="4997" max="4997" width="9.140625" style="512" customWidth="1"/>
    <col min="4998" max="4998" width="11.7109375" style="512" customWidth="1"/>
    <col min="4999" max="5110" width="7" style="512"/>
    <col min="5111" max="5111" width="3.85546875" style="512" customWidth="1"/>
    <col min="5112" max="5112" width="11.5703125" style="512" customWidth="1"/>
    <col min="5113" max="5113" width="66.5703125" style="512" customWidth="1"/>
    <col min="5114" max="5114" width="9.42578125" style="512" customWidth="1"/>
    <col min="5115" max="5115" width="9.140625" style="512" customWidth="1"/>
    <col min="5116" max="5116" width="11.140625" style="512" bestFit="1" customWidth="1"/>
    <col min="5117" max="5117" width="9.140625" style="512" customWidth="1"/>
    <col min="5118" max="5118" width="10.42578125" style="512" customWidth="1"/>
    <col min="5119" max="5119" width="9.140625" style="512" customWidth="1"/>
    <col min="5120" max="5120" width="10.7109375" style="512" customWidth="1"/>
    <col min="5121" max="5121" width="9.140625" style="512" customWidth="1"/>
    <col min="5122" max="5122" width="10.140625" style="512" customWidth="1"/>
    <col min="5123" max="5123" width="11.140625" style="512" customWidth="1"/>
    <col min="5124" max="5243" width="9.140625" style="512" customWidth="1"/>
    <col min="5244" max="5244" width="2.5703125" style="512" customWidth="1"/>
    <col min="5245" max="5245" width="9.140625" style="512" customWidth="1"/>
    <col min="5246" max="5246" width="47.85546875" style="512" customWidth="1"/>
    <col min="5247" max="5247" width="6.7109375" style="512" customWidth="1"/>
    <col min="5248" max="5248" width="7.42578125" style="512" customWidth="1"/>
    <col min="5249" max="5249" width="7" style="512"/>
    <col min="5250" max="5250" width="8.5703125" style="512" customWidth="1"/>
    <col min="5251" max="5251" width="12" style="512" customWidth="1"/>
    <col min="5252" max="5252" width="4.7109375" style="512" customWidth="1"/>
    <col min="5253" max="5253" width="9.140625" style="512" customWidth="1"/>
    <col min="5254" max="5254" width="11.7109375" style="512" customWidth="1"/>
    <col min="5255" max="5366" width="7" style="512"/>
    <col min="5367" max="5367" width="3.85546875" style="512" customWidth="1"/>
    <col min="5368" max="5368" width="11.5703125" style="512" customWidth="1"/>
    <col min="5369" max="5369" width="66.5703125" style="512" customWidth="1"/>
    <col min="5370" max="5370" width="9.42578125" style="512" customWidth="1"/>
    <col min="5371" max="5371" width="9.140625" style="512" customWidth="1"/>
    <col min="5372" max="5372" width="11.140625" style="512" bestFit="1" customWidth="1"/>
    <col min="5373" max="5373" width="9.140625" style="512" customWidth="1"/>
    <col min="5374" max="5374" width="10.42578125" style="512" customWidth="1"/>
    <col min="5375" max="5375" width="9.140625" style="512" customWidth="1"/>
    <col min="5376" max="5376" width="10.7109375" style="512" customWidth="1"/>
    <col min="5377" max="5377" width="9.140625" style="512" customWidth="1"/>
    <col min="5378" max="5378" width="10.140625" style="512" customWidth="1"/>
    <col min="5379" max="5379" width="11.140625" style="512" customWidth="1"/>
    <col min="5380" max="5499" width="9.140625" style="512" customWidth="1"/>
    <col min="5500" max="5500" width="2.5703125" style="512" customWidth="1"/>
    <col min="5501" max="5501" width="9.140625" style="512" customWidth="1"/>
    <col min="5502" max="5502" width="47.85546875" style="512" customWidth="1"/>
    <col min="5503" max="5503" width="6.7109375" style="512" customWidth="1"/>
    <col min="5504" max="5504" width="7.42578125" style="512" customWidth="1"/>
    <col min="5505" max="5505" width="7" style="512"/>
    <col min="5506" max="5506" width="8.5703125" style="512" customWidth="1"/>
    <col min="5507" max="5507" width="12" style="512" customWidth="1"/>
    <col min="5508" max="5508" width="4.7109375" style="512" customWidth="1"/>
    <col min="5509" max="5509" width="9.140625" style="512" customWidth="1"/>
    <col min="5510" max="5510" width="11.7109375" style="512" customWidth="1"/>
    <col min="5511" max="5622" width="7" style="512"/>
    <col min="5623" max="5623" width="3.85546875" style="512" customWidth="1"/>
    <col min="5624" max="5624" width="11.5703125" style="512" customWidth="1"/>
    <col min="5625" max="5625" width="66.5703125" style="512" customWidth="1"/>
    <col min="5626" max="5626" width="9.42578125" style="512" customWidth="1"/>
    <col min="5627" max="5627" width="9.140625" style="512" customWidth="1"/>
    <col min="5628" max="5628" width="11.140625" style="512" bestFit="1" customWidth="1"/>
    <col min="5629" max="5629" width="9.140625" style="512" customWidth="1"/>
    <col min="5630" max="5630" width="10.42578125" style="512" customWidth="1"/>
    <col min="5631" max="5631" width="9.140625" style="512" customWidth="1"/>
    <col min="5632" max="5632" width="10.7109375" style="512" customWidth="1"/>
    <col min="5633" max="5633" width="9.140625" style="512" customWidth="1"/>
    <col min="5634" max="5634" width="10.140625" style="512" customWidth="1"/>
    <col min="5635" max="5635" width="11.140625" style="512" customWidth="1"/>
    <col min="5636" max="5755" width="9.140625" style="512" customWidth="1"/>
    <col min="5756" max="5756" width="2.5703125" style="512" customWidth="1"/>
    <col min="5757" max="5757" width="9.140625" style="512" customWidth="1"/>
    <col min="5758" max="5758" width="47.85546875" style="512" customWidth="1"/>
    <col min="5759" max="5759" width="6.7109375" style="512" customWidth="1"/>
    <col min="5760" max="5760" width="7.42578125" style="512" customWidth="1"/>
    <col min="5761" max="5761" width="7" style="512"/>
    <col min="5762" max="5762" width="8.5703125" style="512" customWidth="1"/>
    <col min="5763" max="5763" width="12" style="512" customWidth="1"/>
    <col min="5764" max="5764" width="4.7109375" style="512" customWidth="1"/>
    <col min="5765" max="5765" width="9.140625" style="512" customWidth="1"/>
    <col min="5766" max="5766" width="11.7109375" style="512" customWidth="1"/>
    <col min="5767" max="5878" width="7" style="512"/>
    <col min="5879" max="5879" width="3.85546875" style="512" customWidth="1"/>
    <col min="5880" max="5880" width="11.5703125" style="512" customWidth="1"/>
    <col min="5881" max="5881" width="66.5703125" style="512" customWidth="1"/>
    <col min="5882" max="5882" width="9.42578125" style="512" customWidth="1"/>
    <col min="5883" max="5883" width="9.140625" style="512" customWidth="1"/>
    <col min="5884" max="5884" width="11.140625" style="512" bestFit="1" customWidth="1"/>
    <col min="5885" max="5885" width="9.140625" style="512" customWidth="1"/>
    <col min="5886" max="5886" width="10.42578125" style="512" customWidth="1"/>
    <col min="5887" max="5887" width="9.140625" style="512" customWidth="1"/>
    <col min="5888" max="5888" width="10.7109375" style="512" customWidth="1"/>
    <col min="5889" max="5889" width="9.140625" style="512" customWidth="1"/>
    <col min="5890" max="5890" width="10.140625" style="512" customWidth="1"/>
    <col min="5891" max="5891" width="11.140625" style="512" customWidth="1"/>
    <col min="5892" max="6011" width="9.140625" style="512" customWidth="1"/>
    <col min="6012" max="6012" width="2.5703125" style="512" customWidth="1"/>
    <col min="6013" max="6013" width="9.140625" style="512" customWidth="1"/>
    <col min="6014" max="6014" width="47.85546875" style="512" customWidth="1"/>
    <col min="6015" max="6015" width="6.7109375" style="512" customWidth="1"/>
    <col min="6016" max="6016" width="7.42578125" style="512" customWidth="1"/>
    <col min="6017" max="6017" width="7" style="512"/>
    <col min="6018" max="6018" width="8.5703125" style="512" customWidth="1"/>
    <col min="6019" max="6019" width="12" style="512" customWidth="1"/>
    <col min="6020" max="6020" width="4.7109375" style="512" customWidth="1"/>
    <col min="6021" max="6021" width="9.140625" style="512" customWidth="1"/>
    <col min="6022" max="6022" width="11.7109375" style="512" customWidth="1"/>
    <col min="6023" max="6134" width="7" style="512"/>
    <col min="6135" max="6135" width="3.85546875" style="512" customWidth="1"/>
    <col min="6136" max="6136" width="11.5703125" style="512" customWidth="1"/>
    <col min="6137" max="6137" width="66.5703125" style="512" customWidth="1"/>
    <col min="6138" max="6138" width="9.42578125" style="512" customWidth="1"/>
    <col min="6139" max="6139" width="9.140625" style="512" customWidth="1"/>
    <col min="6140" max="6140" width="11.140625" style="512" bestFit="1" customWidth="1"/>
    <col min="6141" max="6141" width="9.140625" style="512" customWidth="1"/>
    <col min="6142" max="6142" width="10.42578125" style="512" customWidth="1"/>
    <col min="6143" max="6143" width="9.140625" style="512" customWidth="1"/>
    <col min="6144" max="6144" width="10.7109375" style="512" customWidth="1"/>
    <col min="6145" max="6145" width="9.140625" style="512" customWidth="1"/>
    <col min="6146" max="6146" width="10.140625" style="512" customWidth="1"/>
    <col min="6147" max="6147" width="11.140625" style="512" customWidth="1"/>
    <col min="6148" max="6267" width="9.140625" style="512" customWidth="1"/>
    <col min="6268" max="6268" width="2.5703125" style="512" customWidth="1"/>
    <col min="6269" max="6269" width="9.140625" style="512" customWidth="1"/>
    <col min="6270" max="6270" width="47.85546875" style="512" customWidth="1"/>
    <col min="6271" max="6271" width="6.7109375" style="512" customWidth="1"/>
    <col min="6272" max="6272" width="7.42578125" style="512" customWidth="1"/>
    <col min="6273" max="6273" width="7" style="512"/>
    <col min="6274" max="6274" width="8.5703125" style="512" customWidth="1"/>
    <col min="6275" max="6275" width="12" style="512" customWidth="1"/>
    <col min="6276" max="6276" width="4.7109375" style="512" customWidth="1"/>
    <col min="6277" max="6277" width="9.140625" style="512" customWidth="1"/>
    <col min="6278" max="6278" width="11.7109375" style="512" customWidth="1"/>
    <col min="6279" max="6390" width="7" style="512"/>
    <col min="6391" max="6391" width="3.85546875" style="512" customWidth="1"/>
    <col min="6392" max="6392" width="11.5703125" style="512" customWidth="1"/>
    <col min="6393" max="6393" width="66.5703125" style="512" customWidth="1"/>
    <col min="6394" max="6394" width="9.42578125" style="512" customWidth="1"/>
    <col min="6395" max="6395" width="9.140625" style="512" customWidth="1"/>
    <col min="6396" max="6396" width="11.140625" style="512" bestFit="1" customWidth="1"/>
    <col min="6397" max="6397" width="9.140625" style="512" customWidth="1"/>
    <col min="6398" max="6398" width="10.42578125" style="512" customWidth="1"/>
    <col min="6399" max="6399" width="9.140625" style="512" customWidth="1"/>
    <col min="6400" max="6400" width="10.7109375" style="512" customWidth="1"/>
    <col min="6401" max="6401" width="9.140625" style="512" customWidth="1"/>
    <col min="6402" max="6402" width="10.140625" style="512" customWidth="1"/>
    <col min="6403" max="6403" width="11.140625" style="512" customWidth="1"/>
    <col min="6404" max="6523" width="9.140625" style="512" customWidth="1"/>
    <col min="6524" max="6524" width="2.5703125" style="512" customWidth="1"/>
    <col min="6525" max="6525" width="9.140625" style="512" customWidth="1"/>
    <col min="6526" max="6526" width="47.85546875" style="512" customWidth="1"/>
    <col min="6527" max="6527" width="6.7109375" style="512" customWidth="1"/>
    <col min="6528" max="6528" width="7.42578125" style="512" customWidth="1"/>
    <col min="6529" max="6529" width="7" style="512"/>
    <col min="6530" max="6530" width="8.5703125" style="512" customWidth="1"/>
    <col min="6531" max="6531" width="12" style="512" customWidth="1"/>
    <col min="6532" max="6532" width="4.7109375" style="512" customWidth="1"/>
    <col min="6533" max="6533" width="9.140625" style="512" customWidth="1"/>
    <col min="6534" max="6534" width="11.7109375" style="512" customWidth="1"/>
    <col min="6535" max="6646" width="7" style="512"/>
    <col min="6647" max="6647" width="3.85546875" style="512" customWidth="1"/>
    <col min="6648" max="6648" width="11.5703125" style="512" customWidth="1"/>
    <col min="6649" max="6649" width="66.5703125" style="512" customWidth="1"/>
    <col min="6650" max="6650" width="9.42578125" style="512" customWidth="1"/>
    <col min="6651" max="6651" width="9.140625" style="512" customWidth="1"/>
    <col min="6652" max="6652" width="11.140625" style="512" bestFit="1" customWidth="1"/>
    <col min="6653" max="6653" width="9.140625" style="512" customWidth="1"/>
    <col min="6654" max="6654" width="10.42578125" style="512" customWidth="1"/>
    <col min="6655" max="6655" width="9.140625" style="512" customWidth="1"/>
    <col min="6656" max="6656" width="10.7109375" style="512" customWidth="1"/>
    <col min="6657" max="6657" width="9.140625" style="512" customWidth="1"/>
    <col min="6658" max="6658" width="10.140625" style="512" customWidth="1"/>
    <col min="6659" max="6659" width="11.140625" style="512" customWidth="1"/>
    <col min="6660" max="6779" width="9.140625" style="512" customWidth="1"/>
    <col min="6780" max="6780" width="2.5703125" style="512" customWidth="1"/>
    <col min="6781" max="6781" width="9.140625" style="512" customWidth="1"/>
    <col min="6782" max="6782" width="47.85546875" style="512" customWidth="1"/>
    <col min="6783" max="6783" width="6.7109375" style="512" customWidth="1"/>
    <col min="6784" max="6784" width="7.42578125" style="512" customWidth="1"/>
    <col min="6785" max="6785" width="7" style="512"/>
    <col min="6786" max="6786" width="8.5703125" style="512" customWidth="1"/>
    <col min="6787" max="6787" width="12" style="512" customWidth="1"/>
    <col min="6788" max="6788" width="4.7109375" style="512" customWidth="1"/>
    <col min="6789" max="6789" width="9.140625" style="512" customWidth="1"/>
    <col min="6790" max="6790" width="11.7109375" style="512" customWidth="1"/>
    <col min="6791" max="6902" width="7" style="512"/>
    <col min="6903" max="6903" width="3.85546875" style="512" customWidth="1"/>
    <col min="6904" max="6904" width="11.5703125" style="512" customWidth="1"/>
    <col min="6905" max="6905" width="66.5703125" style="512" customWidth="1"/>
    <col min="6906" max="6906" width="9.42578125" style="512" customWidth="1"/>
    <col min="6907" max="6907" width="9.140625" style="512" customWidth="1"/>
    <col min="6908" max="6908" width="11.140625" style="512" bestFit="1" customWidth="1"/>
    <col min="6909" max="6909" width="9.140625" style="512" customWidth="1"/>
    <col min="6910" max="6910" width="10.42578125" style="512" customWidth="1"/>
    <col min="6911" max="6911" width="9.140625" style="512" customWidth="1"/>
    <col min="6912" max="6912" width="10.7109375" style="512" customWidth="1"/>
    <col min="6913" max="6913" width="9.140625" style="512" customWidth="1"/>
    <col min="6914" max="6914" width="10.140625" style="512" customWidth="1"/>
    <col min="6915" max="6915" width="11.140625" style="512" customWidth="1"/>
    <col min="6916" max="7035" width="9.140625" style="512" customWidth="1"/>
    <col min="7036" max="7036" width="2.5703125" style="512" customWidth="1"/>
    <col min="7037" max="7037" width="9.140625" style="512" customWidth="1"/>
    <col min="7038" max="7038" width="47.85546875" style="512" customWidth="1"/>
    <col min="7039" max="7039" width="6.7109375" style="512" customWidth="1"/>
    <col min="7040" max="7040" width="7.42578125" style="512" customWidth="1"/>
    <col min="7041" max="7041" width="7" style="512"/>
    <col min="7042" max="7042" width="8.5703125" style="512" customWidth="1"/>
    <col min="7043" max="7043" width="12" style="512" customWidth="1"/>
    <col min="7044" max="7044" width="4.7109375" style="512" customWidth="1"/>
    <col min="7045" max="7045" width="9.140625" style="512" customWidth="1"/>
    <col min="7046" max="7046" width="11.7109375" style="512" customWidth="1"/>
    <col min="7047" max="7158" width="7" style="512"/>
    <col min="7159" max="7159" width="3.85546875" style="512" customWidth="1"/>
    <col min="7160" max="7160" width="11.5703125" style="512" customWidth="1"/>
    <col min="7161" max="7161" width="66.5703125" style="512" customWidth="1"/>
    <col min="7162" max="7162" width="9.42578125" style="512" customWidth="1"/>
    <col min="7163" max="7163" width="9.140625" style="512" customWidth="1"/>
    <col min="7164" max="7164" width="11.140625" style="512" bestFit="1" customWidth="1"/>
    <col min="7165" max="7165" width="9.140625" style="512" customWidth="1"/>
    <col min="7166" max="7166" width="10.42578125" style="512" customWidth="1"/>
    <col min="7167" max="7167" width="9.140625" style="512" customWidth="1"/>
    <col min="7168" max="7168" width="10.7109375" style="512" customWidth="1"/>
    <col min="7169" max="7169" width="9.140625" style="512" customWidth="1"/>
    <col min="7170" max="7170" width="10.140625" style="512" customWidth="1"/>
    <col min="7171" max="7171" width="11.140625" style="512" customWidth="1"/>
    <col min="7172" max="7291" width="9.140625" style="512" customWidth="1"/>
    <col min="7292" max="7292" width="2.5703125" style="512" customWidth="1"/>
    <col min="7293" max="7293" width="9.140625" style="512" customWidth="1"/>
    <col min="7294" max="7294" width="47.85546875" style="512" customWidth="1"/>
    <col min="7295" max="7295" width="6.7109375" style="512" customWidth="1"/>
    <col min="7296" max="7296" width="7.42578125" style="512" customWidth="1"/>
    <col min="7297" max="7297" width="7" style="512"/>
    <col min="7298" max="7298" width="8.5703125" style="512" customWidth="1"/>
    <col min="7299" max="7299" width="12" style="512" customWidth="1"/>
    <col min="7300" max="7300" width="4.7109375" style="512" customWidth="1"/>
    <col min="7301" max="7301" width="9.140625" style="512" customWidth="1"/>
    <col min="7302" max="7302" width="11.7109375" style="512" customWidth="1"/>
    <col min="7303" max="7414" width="7" style="512"/>
    <col min="7415" max="7415" width="3.85546875" style="512" customWidth="1"/>
    <col min="7416" max="7416" width="11.5703125" style="512" customWidth="1"/>
    <col min="7417" max="7417" width="66.5703125" style="512" customWidth="1"/>
    <col min="7418" max="7418" width="9.42578125" style="512" customWidth="1"/>
    <col min="7419" max="7419" width="9.140625" style="512" customWidth="1"/>
    <col min="7420" max="7420" width="11.140625" style="512" bestFit="1" customWidth="1"/>
    <col min="7421" max="7421" width="9.140625" style="512" customWidth="1"/>
    <col min="7422" max="7422" width="10.42578125" style="512" customWidth="1"/>
    <col min="7423" max="7423" width="9.140625" style="512" customWidth="1"/>
    <col min="7424" max="7424" width="10.7109375" style="512" customWidth="1"/>
    <col min="7425" max="7425" width="9.140625" style="512" customWidth="1"/>
    <col min="7426" max="7426" width="10.140625" style="512" customWidth="1"/>
    <col min="7427" max="7427" width="11.140625" style="512" customWidth="1"/>
    <col min="7428" max="7547" width="9.140625" style="512" customWidth="1"/>
    <col min="7548" max="7548" width="2.5703125" style="512" customWidth="1"/>
    <col min="7549" max="7549" width="9.140625" style="512" customWidth="1"/>
    <col min="7550" max="7550" width="47.85546875" style="512" customWidth="1"/>
    <col min="7551" max="7551" width="6.7109375" style="512" customWidth="1"/>
    <col min="7552" max="7552" width="7.42578125" style="512" customWidth="1"/>
    <col min="7553" max="7553" width="7" style="512"/>
    <col min="7554" max="7554" width="8.5703125" style="512" customWidth="1"/>
    <col min="7555" max="7555" width="12" style="512" customWidth="1"/>
    <col min="7556" max="7556" width="4.7109375" style="512" customWidth="1"/>
    <col min="7557" max="7557" width="9.140625" style="512" customWidth="1"/>
    <col min="7558" max="7558" width="11.7109375" style="512" customWidth="1"/>
    <col min="7559" max="7670" width="7" style="512"/>
    <col min="7671" max="7671" width="3.85546875" style="512" customWidth="1"/>
    <col min="7672" max="7672" width="11.5703125" style="512" customWidth="1"/>
    <col min="7673" max="7673" width="66.5703125" style="512" customWidth="1"/>
    <col min="7674" max="7674" width="9.42578125" style="512" customWidth="1"/>
    <col min="7675" max="7675" width="9.140625" style="512" customWidth="1"/>
    <col min="7676" max="7676" width="11.140625" style="512" bestFit="1" customWidth="1"/>
    <col min="7677" max="7677" width="9.140625" style="512" customWidth="1"/>
    <col min="7678" max="7678" width="10.42578125" style="512" customWidth="1"/>
    <col min="7679" max="7679" width="9.140625" style="512" customWidth="1"/>
    <col min="7680" max="7680" width="10.7109375" style="512" customWidth="1"/>
    <col min="7681" max="7681" width="9.140625" style="512" customWidth="1"/>
    <col min="7682" max="7682" width="10.140625" style="512" customWidth="1"/>
    <col min="7683" max="7683" width="11.140625" style="512" customWidth="1"/>
    <col min="7684" max="7803" width="9.140625" style="512" customWidth="1"/>
    <col min="7804" max="7804" width="2.5703125" style="512" customWidth="1"/>
    <col min="7805" max="7805" width="9.140625" style="512" customWidth="1"/>
    <col min="7806" max="7806" width="47.85546875" style="512" customWidth="1"/>
    <col min="7807" max="7807" width="6.7109375" style="512" customWidth="1"/>
    <col min="7808" max="7808" width="7.42578125" style="512" customWidth="1"/>
    <col min="7809" max="7809" width="7" style="512"/>
    <col min="7810" max="7810" width="8.5703125" style="512" customWidth="1"/>
    <col min="7811" max="7811" width="12" style="512" customWidth="1"/>
    <col min="7812" max="7812" width="4.7109375" style="512" customWidth="1"/>
    <col min="7813" max="7813" width="9.140625" style="512" customWidth="1"/>
    <col min="7814" max="7814" width="11.7109375" style="512" customWidth="1"/>
    <col min="7815" max="7926" width="7" style="512"/>
    <col min="7927" max="7927" width="3.85546875" style="512" customWidth="1"/>
    <col min="7928" max="7928" width="11.5703125" style="512" customWidth="1"/>
    <col min="7929" max="7929" width="66.5703125" style="512" customWidth="1"/>
    <col min="7930" max="7930" width="9.42578125" style="512" customWidth="1"/>
    <col min="7931" max="7931" width="9.140625" style="512" customWidth="1"/>
    <col min="7932" max="7932" width="11.140625" style="512" bestFit="1" customWidth="1"/>
    <col min="7933" max="7933" width="9.140625" style="512" customWidth="1"/>
    <col min="7934" max="7934" width="10.42578125" style="512" customWidth="1"/>
    <col min="7935" max="7935" width="9.140625" style="512" customWidth="1"/>
    <col min="7936" max="7936" width="10.7109375" style="512" customWidth="1"/>
    <col min="7937" max="7937" width="9.140625" style="512" customWidth="1"/>
    <col min="7938" max="7938" width="10.140625" style="512" customWidth="1"/>
    <col min="7939" max="7939" width="11.140625" style="512" customWidth="1"/>
    <col min="7940" max="8059" width="9.140625" style="512" customWidth="1"/>
    <col min="8060" max="8060" width="2.5703125" style="512" customWidth="1"/>
    <col min="8061" max="8061" width="9.140625" style="512" customWidth="1"/>
    <col min="8062" max="8062" width="47.85546875" style="512" customWidth="1"/>
    <col min="8063" max="8063" width="6.7109375" style="512" customWidth="1"/>
    <col min="8064" max="8064" width="7.42578125" style="512" customWidth="1"/>
    <col min="8065" max="8065" width="7" style="512"/>
    <col min="8066" max="8066" width="8.5703125" style="512" customWidth="1"/>
    <col min="8067" max="8067" width="12" style="512" customWidth="1"/>
    <col min="8068" max="8068" width="4.7109375" style="512" customWidth="1"/>
    <col min="8069" max="8069" width="9.140625" style="512" customWidth="1"/>
    <col min="8070" max="8070" width="11.7109375" style="512" customWidth="1"/>
    <col min="8071" max="8182" width="7" style="512"/>
    <col min="8183" max="8183" width="3.85546875" style="512" customWidth="1"/>
    <col min="8184" max="8184" width="11.5703125" style="512" customWidth="1"/>
    <col min="8185" max="8185" width="66.5703125" style="512" customWidth="1"/>
    <col min="8186" max="8186" width="9.42578125" style="512" customWidth="1"/>
    <col min="8187" max="8187" width="9.140625" style="512" customWidth="1"/>
    <col min="8188" max="8188" width="11.140625" style="512" bestFit="1" customWidth="1"/>
    <col min="8189" max="8189" width="9.140625" style="512" customWidth="1"/>
    <col min="8190" max="8190" width="10.42578125" style="512" customWidth="1"/>
    <col min="8191" max="8191" width="9.140625" style="512" customWidth="1"/>
    <col min="8192" max="8192" width="10.7109375" style="512" customWidth="1"/>
    <col min="8193" max="8193" width="9.140625" style="512" customWidth="1"/>
    <col min="8194" max="8194" width="10.140625" style="512" customWidth="1"/>
    <col min="8195" max="8195" width="11.140625" style="512" customWidth="1"/>
    <col min="8196" max="8315" width="9.140625" style="512" customWidth="1"/>
    <col min="8316" max="8316" width="2.5703125" style="512" customWidth="1"/>
    <col min="8317" max="8317" width="9.140625" style="512" customWidth="1"/>
    <col min="8318" max="8318" width="47.85546875" style="512" customWidth="1"/>
    <col min="8319" max="8319" width="6.7109375" style="512" customWidth="1"/>
    <col min="8320" max="8320" width="7.42578125" style="512" customWidth="1"/>
    <col min="8321" max="8321" width="7" style="512"/>
    <col min="8322" max="8322" width="8.5703125" style="512" customWidth="1"/>
    <col min="8323" max="8323" width="12" style="512" customWidth="1"/>
    <col min="8324" max="8324" width="4.7109375" style="512" customWidth="1"/>
    <col min="8325" max="8325" width="9.140625" style="512" customWidth="1"/>
    <col min="8326" max="8326" width="11.7109375" style="512" customWidth="1"/>
    <col min="8327" max="8438" width="7" style="512"/>
    <col min="8439" max="8439" width="3.85546875" style="512" customWidth="1"/>
    <col min="8440" max="8440" width="11.5703125" style="512" customWidth="1"/>
    <col min="8441" max="8441" width="66.5703125" style="512" customWidth="1"/>
    <col min="8442" max="8442" width="9.42578125" style="512" customWidth="1"/>
    <col min="8443" max="8443" width="9.140625" style="512" customWidth="1"/>
    <col min="8444" max="8444" width="11.140625" style="512" bestFit="1" customWidth="1"/>
    <col min="8445" max="8445" width="9.140625" style="512" customWidth="1"/>
    <col min="8446" max="8446" width="10.42578125" style="512" customWidth="1"/>
    <col min="8447" max="8447" width="9.140625" style="512" customWidth="1"/>
    <col min="8448" max="8448" width="10.7109375" style="512" customWidth="1"/>
    <col min="8449" max="8449" width="9.140625" style="512" customWidth="1"/>
    <col min="8450" max="8450" width="10.140625" style="512" customWidth="1"/>
    <col min="8451" max="8451" width="11.140625" style="512" customWidth="1"/>
    <col min="8452" max="8571" width="9.140625" style="512" customWidth="1"/>
    <col min="8572" max="8572" width="2.5703125" style="512" customWidth="1"/>
    <col min="8573" max="8573" width="9.140625" style="512" customWidth="1"/>
    <col min="8574" max="8574" width="47.85546875" style="512" customWidth="1"/>
    <col min="8575" max="8575" width="6.7109375" style="512" customWidth="1"/>
    <col min="8576" max="8576" width="7.42578125" style="512" customWidth="1"/>
    <col min="8577" max="8577" width="7" style="512"/>
    <col min="8578" max="8578" width="8.5703125" style="512" customWidth="1"/>
    <col min="8579" max="8579" width="12" style="512" customWidth="1"/>
    <col min="8580" max="8580" width="4.7109375" style="512" customWidth="1"/>
    <col min="8581" max="8581" width="9.140625" style="512" customWidth="1"/>
    <col min="8582" max="8582" width="11.7109375" style="512" customWidth="1"/>
    <col min="8583" max="8694" width="7" style="512"/>
    <col min="8695" max="8695" width="3.85546875" style="512" customWidth="1"/>
    <col min="8696" max="8696" width="11.5703125" style="512" customWidth="1"/>
    <col min="8697" max="8697" width="66.5703125" style="512" customWidth="1"/>
    <col min="8698" max="8698" width="9.42578125" style="512" customWidth="1"/>
    <col min="8699" max="8699" width="9.140625" style="512" customWidth="1"/>
    <col min="8700" max="8700" width="11.140625" style="512" bestFit="1" customWidth="1"/>
    <col min="8701" max="8701" width="9.140625" style="512" customWidth="1"/>
    <col min="8702" max="8702" width="10.42578125" style="512" customWidth="1"/>
    <col min="8703" max="8703" width="9.140625" style="512" customWidth="1"/>
    <col min="8704" max="8704" width="10.7109375" style="512" customWidth="1"/>
    <col min="8705" max="8705" width="9.140625" style="512" customWidth="1"/>
    <col min="8706" max="8706" width="10.140625" style="512" customWidth="1"/>
    <col min="8707" max="8707" width="11.140625" style="512" customWidth="1"/>
    <col min="8708" max="8827" width="9.140625" style="512" customWidth="1"/>
    <col min="8828" max="8828" width="2.5703125" style="512" customWidth="1"/>
    <col min="8829" max="8829" width="9.140625" style="512" customWidth="1"/>
    <col min="8830" max="8830" width="47.85546875" style="512" customWidth="1"/>
    <col min="8831" max="8831" width="6.7109375" style="512" customWidth="1"/>
    <col min="8832" max="8832" width="7.42578125" style="512" customWidth="1"/>
    <col min="8833" max="8833" width="7" style="512"/>
    <col min="8834" max="8834" width="8.5703125" style="512" customWidth="1"/>
    <col min="8835" max="8835" width="12" style="512" customWidth="1"/>
    <col min="8836" max="8836" width="4.7109375" style="512" customWidth="1"/>
    <col min="8837" max="8837" width="9.140625" style="512" customWidth="1"/>
    <col min="8838" max="8838" width="11.7109375" style="512" customWidth="1"/>
    <col min="8839" max="8950" width="7" style="512"/>
    <col min="8951" max="8951" width="3.85546875" style="512" customWidth="1"/>
    <col min="8952" max="8952" width="11.5703125" style="512" customWidth="1"/>
    <col min="8953" max="8953" width="66.5703125" style="512" customWidth="1"/>
    <col min="8954" max="8954" width="9.42578125" style="512" customWidth="1"/>
    <col min="8955" max="8955" width="9.140625" style="512" customWidth="1"/>
    <col min="8956" max="8956" width="11.140625" style="512" bestFit="1" customWidth="1"/>
    <col min="8957" max="8957" width="9.140625" style="512" customWidth="1"/>
    <col min="8958" max="8958" width="10.42578125" style="512" customWidth="1"/>
    <col min="8959" max="8959" width="9.140625" style="512" customWidth="1"/>
    <col min="8960" max="8960" width="10.7109375" style="512" customWidth="1"/>
    <col min="8961" max="8961" width="9.140625" style="512" customWidth="1"/>
    <col min="8962" max="8962" width="10.140625" style="512" customWidth="1"/>
    <col min="8963" max="8963" width="11.140625" style="512" customWidth="1"/>
    <col min="8964" max="9083" width="9.140625" style="512" customWidth="1"/>
    <col min="9084" max="9084" width="2.5703125" style="512" customWidth="1"/>
    <col min="9085" max="9085" width="9.140625" style="512" customWidth="1"/>
    <col min="9086" max="9086" width="47.85546875" style="512" customWidth="1"/>
    <col min="9087" max="9087" width="6.7109375" style="512" customWidth="1"/>
    <col min="9088" max="9088" width="7.42578125" style="512" customWidth="1"/>
    <col min="9089" max="9089" width="7" style="512"/>
    <col min="9090" max="9090" width="8.5703125" style="512" customWidth="1"/>
    <col min="9091" max="9091" width="12" style="512" customWidth="1"/>
    <col min="9092" max="9092" width="4.7109375" style="512" customWidth="1"/>
    <col min="9093" max="9093" width="9.140625" style="512" customWidth="1"/>
    <col min="9094" max="9094" width="11.7109375" style="512" customWidth="1"/>
    <col min="9095" max="9206" width="7" style="512"/>
    <col min="9207" max="9207" width="3.85546875" style="512" customWidth="1"/>
    <col min="9208" max="9208" width="11.5703125" style="512" customWidth="1"/>
    <col min="9209" max="9209" width="66.5703125" style="512" customWidth="1"/>
    <col min="9210" max="9210" width="9.42578125" style="512" customWidth="1"/>
    <col min="9211" max="9211" width="9.140625" style="512" customWidth="1"/>
    <col min="9212" max="9212" width="11.140625" style="512" bestFit="1" customWidth="1"/>
    <col min="9213" max="9213" width="9.140625" style="512" customWidth="1"/>
    <col min="9214" max="9214" width="10.42578125" style="512" customWidth="1"/>
    <col min="9215" max="9215" width="9.140625" style="512" customWidth="1"/>
    <col min="9216" max="9216" width="10.7109375" style="512" customWidth="1"/>
    <col min="9217" max="9217" width="9.140625" style="512" customWidth="1"/>
    <col min="9218" max="9218" width="10.140625" style="512" customWidth="1"/>
    <col min="9219" max="9219" width="11.140625" style="512" customWidth="1"/>
    <col min="9220" max="9339" width="9.140625" style="512" customWidth="1"/>
    <col min="9340" max="9340" width="2.5703125" style="512" customWidth="1"/>
    <col min="9341" max="9341" width="9.140625" style="512" customWidth="1"/>
    <col min="9342" max="9342" width="47.85546875" style="512" customWidth="1"/>
    <col min="9343" max="9343" width="6.7109375" style="512" customWidth="1"/>
    <col min="9344" max="9344" width="7.42578125" style="512" customWidth="1"/>
    <col min="9345" max="9345" width="7" style="512"/>
    <col min="9346" max="9346" width="8.5703125" style="512" customWidth="1"/>
    <col min="9347" max="9347" width="12" style="512" customWidth="1"/>
    <col min="9348" max="9348" width="4.7109375" style="512" customWidth="1"/>
    <col min="9349" max="9349" width="9.140625" style="512" customWidth="1"/>
    <col min="9350" max="9350" width="11.7109375" style="512" customWidth="1"/>
    <col min="9351" max="9462" width="7" style="512"/>
    <col min="9463" max="9463" width="3.85546875" style="512" customWidth="1"/>
    <col min="9464" max="9464" width="11.5703125" style="512" customWidth="1"/>
    <col min="9465" max="9465" width="66.5703125" style="512" customWidth="1"/>
    <col min="9466" max="9466" width="9.42578125" style="512" customWidth="1"/>
    <col min="9467" max="9467" width="9.140625" style="512" customWidth="1"/>
    <col min="9468" max="9468" width="11.140625" style="512" bestFit="1" customWidth="1"/>
    <col min="9469" max="9469" width="9.140625" style="512" customWidth="1"/>
    <col min="9470" max="9470" width="10.42578125" style="512" customWidth="1"/>
    <col min="9471" max="9471" width="9.140625" style="512" customWidth="1"/>
    <col min="9472" max="9472" width="10.7109375" style="512" customWidth="1"/>
    <col min="9473" max="9473" width="9.140625" style="512" customWidth="1"/>
    <col min="9474" max="9474" width="10.140625" style="512" customWidth="1"/>
    <col min="9475" max="9475" width="11.140625" style="512" customWidth="1"/>
    <col min="9476" max="9595" width="9.140625" style="512" customWidth="1"/>
    <col min="9596" max="9596" width="2.5703125" style="512" customWidth="1"/>
    <col min="9597" max="9597" width="9.140625" style="512" customWidth="1"/>
    <col min="9598" max="9598" width="47.85546875" style="512" customWidth="1"/>
    <col min="9599" max="9599" width="6.7109375" style="512" customWidth="1"/>
    <col min="9600" max="9600" width="7.42578125" style="512" customWidth="1"/>
    <col min="9601" max="9601" width="7" style="512"/>
    <col min="9602" max="9602" width="8.5703125" style="512" customWidth="1"/>
    <col min="9603" max="9603" width="12" style="512" customWidth="1"/>
    <col min="9604" max="9604" width="4.7109375" style="512" customWidth="1"/>
    <col min="9605" max="9605" width="9.140625" style="512" customWidth="1"/>
    <col min="9606" max="9606" width="11.7109375" style="512" customWidth="1"/>
    <col min="9607" max="9718" width="7" style="512"/>
    <col min="9719" max="9719" width="3.85546875" style="512" customWidth="1"/>
    <col min="9720" max="9720" width="11.5703125" style="512" customWidth="1"/>
    <col min="9721" max="9721" width="66.5703125" style="512" customWidth="1"/>
    <col min="9722" max="9722" width="9.42578125" style="512" customWidth="1"/>
    <col min="9723" max="9723" width="9.140625" style="512" customWidth="1"/>
    <col min="9724" max="9724" width="11.140625" style="512" bestFit="1" customWidth="1"/>
    <col min="9725" max="9725" width="9.140625" style="512" customWidth="1"/>
    <col min="9726" max="9726" width="10.42578125" style="512" customWidth="1"/>
    <col min="9727" max="9727" width="9.140625" style="512" customWidth="1"/>
    <col min="9728" max="9728" width="10.7109375" style="512" customWidth="1"/>
    <col min="9729" max="9729" width="9.140625" style="512" customWidth="1"/>
    <col min="9730" max="9730" width="10.140625" style="512" customWidth="1"/>
    <col min="9731" max="9731" width="11.140625" style="512" customWidth="1"/>
    <col min="9732" max="9851" width="9.140625" style="512" customWidth="1"/>
    <col min="9852" max="9852" width="2.5703125" style="512" customWidth="1"/>
    <col min="9853" max="9853" width="9.140625" style="512" customWidth="1"/>
    <col min="9854" max="9854" width="47.85546875" style="512" customWidth="1"/>
    <col min="9855" max="9855" width="6.7109375" style="512" customWidth="1"/>
    <col min="9856" max="9856" width="7.42578125" style="512" customWidth="1"/>
    <col min="9857" max="9857" width="7" style="512"/>
    <col min="9858" max="9858" width="8.5703125" style="512" customWidth="1"/>
    <col min="9859" max="9859" width="12" style="512" customWidth="1"/>
    <col min="9860" max="9860" width="4.7109375" style="512" customWidth="1"/>
    <col min="9861" max="9861" width="9.140625" style="512" customWidth="1"/>
    <col min="9862" max="9862" width="11.7109375" style="512" customWidth="1"/>
    <col min="9863" max="9974" width="7" style="512"/>
    <col min="9975" max="9975" width="3.85546875" style="512" customWidth="1"/>
    <col min="9976" max="9976" width="11.5703125" style="512" customWidth="1"/>
    <col min="9977" max="9977" width="66.5703125" style="512" customWidth="1"/>
    <col min="9978" max="9978" width="9.42578125" style="512" customWidth="1"/>
    <col min="9979" max="9979" width="9.140625" style="512" customWidth="1"/>
    <col min="9980" max="9980" width="11.140625" style="512" bestFit="1" customWidth="1"/>
    <col min="9981" max="9981" width="9.140625" style="512" customWidth="1"/>
    <col min="9982" max="9982" width="10.42578125" style="512" customWidth="1"/>
    <col min="9983" max="9983" width="9.140625" style="512" customWidth="1"/>
    <col min="9984" max="9984" width="10.7109375" style="512" customWidth="1"/>
    <col min="9985" max="9985" width="9.140625" style="512" customWidth="1"/>
    <col min="9986" max="9986" width="10.140625" style="512" customWidth="1"/>
    <col min="9987" max="9987" width="11.140625" style="512" customWidth="1"/>
    <col min="9988" max="10107" width="9.140625" style="512" customWidth="1"/>
    <col min="10108" max="10108" width="2.5703125" style="512" customWidth="1"/>
    <col min="10109" max="10109" width="9.140625" style="512" customWidth="1"/>
    <col min="10110" max="10110" width="47.85546875" style="512" customWidth="1"/>
    <col min="10111" max="10111" width="6.7109375" style="512" customWidth="1"/>
    <col min="10112" max="10112" width="7.42578125" style="512" customWidth="1"/>
    <col min="10113" max="10113" width="7" style="512"/>
    <col min="10114" max="10114" width="8.5703125" style="512" customWidth="1"/>
    <col min="10115" max="10115" width="12" style="512" customWidth="1"/>
    <col min="10116" max="10116" width="4.7109375" style="512" customWidth="1"/>
    <col min="10117" max="10117" width="9.140625" style="512" customWidth="1"/>
    <col min="10118" max="10118" width="11.7109375" style="512" customWidth="1"/>
    <col min="10119" max="10230" width="7" style="512"/>
    <col min="10231" max="10231" width="3.85546875" style="512" customWidth="1"/>
    <col min="10232" max="10232" width="11.5703125" style="512" customWidth="1"/>
    <col min="10233" max="10233" width="66.5703125" style="512" customWidth="1"/>
    <col min="10234" max="10234" width="9.42578125" style="512" customWidth="1"/>
    <col min="10235" max="10235" width="9.140625" style="512" customWidth="1"/>
    <col min="10236" max="10236" width="11.140625" style="512" bestFit="1" customWidth="1"/>
    <col min="10237" max="10237" width="9.140625" style="512" customWidth="1"/>
    <col min="10238" max="10238" width="10.42578125" style="512" customWidth="1"/>
    <col min="10239" max="10239" width="9.140625" style="512" customWidth="1"/>
    <col min="10240" max="10240" width="10.7109375" style="512" customWidth="1"/>
    <col min="10241" max="10241" width="9.140625" style="512" customWidth="1"/>
    <col min="10242" max="10242" width="10.140625" style="512" customWidth="1"/>
    <col min="10243" max="10243" width="11.140625" style="512" customWidth="1"/>
    <col min="10244" max="10363" width="9.140625" style="512" customWidth="1"/>
    <col min="10364" max="10364" width="2.5703125" style="512" customWidth="1"/>
    <col min="10365" max="10365" width="9.140625" style="512" customWidth="1"/>
    <col min="10366" max="10366" width="47.85546875" style="512" customWidth="1"/>
    <col min="10367" max="10367" width="6.7109375" style="512" customWidth="1"/>
    <col min="10368" max="10368" width="7.42578125" style="512" customWidth="1"/>
    <col min="10369" max="10369" width="7" style="512"/>
    <col min="10370" max="10370" width="8.5703125" style="512" customWidth="1"/>
    <col min="10371" max="10371" width="12" style="512" customWidth="1"/>
    <col min="10372" max="10372" width="4.7109375" style="512" customWidth="1"/>
    <col min="10373" max="10373" width="9.140625" style="512" customWidth="1"/>
    <col min="10374" max="10374" width="11.7109375" style="512" customWidth="1"/>
    <col min="10375" max="10486" width="7" style="512"/>
    <col min="10487" max="10487" width="3.85546875" style="512" customWidth="1"/>
    <col min="10488" max="10488" width="11.5703125" style="512" customWidth="1"/>
    <col min="10489" max="10489" width="66.5703125" style="512" customWidth="1"/>
    <col min="10490" max="10490" width="9.42578125" style="512" customWidth="1"/>
    <col min="10491" max="10491" width="9.140625" style="512" customWidth="1"/>
    <col min="10492" max="10492" width="11.140625" style="512" bestFit="1" customWidth="1"/>
    <col min="10493" max="10493" width="9.140625" style="512" customWidth="1"/>
    <col min="10494" max="10494" width="10.42578125" style="512" customWidth="1"/>
    <col min="10495" max="10495" width="9.140625" style="512" customWidth="1"/>
    <col min="10496" max="10496" width="10.7109375" style="512" customWidth="1"/>
    <col min="10497" max="10497" width="9.140625" style="512" customWidth="1"/>
    <col min="10498" max="10498" width="10.140625" style="512" customWidth="1"/>
    <col min="10499" max="10499" width="11.140625" style="512" customWidth="1"/>
    <col min="10500" max="10619" width="9.140625" style="512" customWidth="1"/>
    <col min="10620" max="10620" width="2.5703125" style="512" customWidth="1"/>
    <col min="10621" max="10621" width="9.140625" style="512" customWidth="1"/>
    <col min="10622" max="10622" width="47.85546875" style="512" customWidth="1"/>
    <col min="10623" max="10623" width="6.7109375" style="512" customWidth="1"/>
    <col min="10624" max="10624" width="7.42578125" style="512" customWidth="1"/>
    <col min="10625" max="10625" width="7" style="512"/>
    <col min="10626" max="10626" width="8.5703125" style="512" customWidth="1"/>
    <col min="10627" max="10627" width="12" style="512" customWidth="1"/>
    <col min="10628" max="10628" width="4.7109375" style="512" customWidth="1"/>
    <col min="10629" max="10629" width="9.140625" style="512" customWidth="1"/>
    <col min="10630" max="10630" width="11.7109375" style="512" customWidth="1"/>
    <col min="10631" max="10742" width="7" style="512"/>
    <col min="10743" max="10743" width="3.85546875" style="512" customWidth="1"/>
    <col min="10744" max="10744" width="11.5703125" style="512" customWidth="1"/>
    <col min="10745" max="10745" width="66.5703125" style="512" customWidth="1"/>
    <col min="10746" max="10746" width="9.42578125" style="512" customWidth="1"/>
    <col min="10747" max="10747" width="9.140625" style="512" customWidth="1"/>
    <col min="10748" max="10748" width="11.140625" style="512" bestFit="1" customWidth="1"/>
    <col min="10749" max="10749" width="9.140625" style="512" customWidth="1"/>
    <col min="10750" max="10750" width="10.42578125" style="512" customWidth="1"/>
    <col min="10751" max="10751" width="9.140625" style="512" customWidth="1"/>
    <col min="10752" max="10752" width="10.7109375" style="512" customWidth="1"/>
    <col min="10753" max="10753" width="9.140625" style="512" customWidth="1"/>
    <col min="10754" max="10754" width="10.140625" style="512" customWidth="1"/>
    <col min="10755" max="10755" width="11.140625" style="512" customWidth="1"/>
    <col min="10756" max="10875" width="9.140625" style="512" customWidth="1"/>
    <col min="10876" max="10876" width="2.5703125" style="512" customWidth="1"/>
    <col min="10877" max="10877" width="9.140625" style="512" customWidth="1"/>
    <col min="10878" max="10878" width="47.85546875" style="512" customWidth="1"/>
    <col min="10879" max="10879" width="6.7109375" style="512" customWidth="1"/>
    <col min="10880" max="10880" width="7.42578125" style="512" customWidth="1"/>
    <col min="10881" max="10881" width="7" style="512"/>
    <col min="10882" max="10882" width="8.5703125" style="512" customWidth="1"/>
    <col min="10883" max="10883" width="12" style="512" customWidth="1"/>
    <col min="10884" max="10884" width="4.7109375" style="512" customWidth="1"/>
    <col min="10885" max="10885" width="9.140625" style="512" customWidth="1"/>
    <col min="10886" max="10886" width="11.7109375" style="512" customWidth="1"/>
    <col min="10887" max="10998" width="7" style="512"/>
    <col min="10999" max="10999" width="3.85546875" style="512" customWidth="1"/>
    <col min="11000" max="11000" width="11.5703125" style="512" customWidth="1"/>
    <col min="11001" max="11001" width="66.5703125" style="512" customWidth="1"/>
    <col min="11002" max="11002" width="9.42578125" style="512" customWidth="1"/>
    <col min="11003" max="11003" width="9.140625" style="512" customWidth="1"/>
    <col min="11004" max="11004" width="11.140625" style="512" bestFit="1" customWidth="1"/>
    <col min="11005" max="11005" width="9.140625" style="512" customWidth="1"/>
    <col min="11006" max="11006" width="10.42578125" style="512" customWidth="1"/>
    <col min="11007" max="11007" width="9.140625" style="512" customWidth="1"/>
    <col min="11008" max="11008" width="10.7109375" style="512" customWidth="1"/>
    <col min="11009" max="11009" width="9.140625" style="512" customWidth="1"/>
    <col min="11010" max="11010" width="10.140625" style="512" customWidth="1"/>
    <col min="11011" max="11011" width="11.140625" style="512" customWidth="1"/>
    <col min="11012" max="11131" width="9.140625" style="512" customWidth="1"/>
    <col min="11132" max="11132" width="2.5703125" style="512" customWidth="1"/>
    <col min="11133" max="11133" width="9.140625" style="512" customWidth="1"/>
    <col min="11134" max="11134" width="47.85546875" style="512" customWidth="1"/>
    <col min="11135" max="11135" width="6.7109375" style="512" customWidth="1"/>
    <col min="11136" max="11136" width="7.42578125" style="512" customWidth="1"/>
    <col min="11137" max="11137" width="7" style="512"/>
    <col min="11138" max="11138" width="8.5703125" style="512" customWidth="1"/>
    <col min="11139" max="11139" width="12" style="512" customWidth="1"/>
    <col min="11140" max="11140" width="4.7109375" style="512" customWidth="1"/>
    <col min="11141" max="11141" width="9.140625" style="512" customWidth="1"/>
    <col min="11142" max="11142" width="11.7109375" style="512" customWidth="1"/>
    <col min="11143" max="11254" width="7" style="512"/>
    <col min="11255" max="11255" width="3.85546875" style="512" customWidth="1"/>
    <col min="11256" max="11256" width="11.5703125" style="512" customWidth="1"/>
    <col min="11257" max="11257" width="66.5703125" style="512" customWidth="1"/>
    <col min="11258" max="11258" width="9.42578125" style="512" customWidth="1"/>
    <col min="11259" max="11259" width="9.140625" style="512" customWidth="1"/>
    <col min="11260" max="11260" width="11.140625" style="512" bestFit="1" customWidth="1"/>
    <col min="11261" max="11261" width="9.140625" style="512" customWidth="1"/>
    <col min="11262" max="11262" width="10.42578125" style="512" customWidth="1"/>
    <col min="11263" max="11263" width="9.140625" style="512" customWidth="1"/>
    <col min="11264" max="11264" width="10.7109375" style="512" customWidth="1"/>
    <col min="11265" max="11265" width="9.140625" style="512" customWidth="1"/>
    <col min="11266" max="11266" width="10.140625" style="512" customWidth="1"/>
    <col min="11267" max="11267" width="11.140625" style="512" customWidth="1"/>
    <col min="11268" max="11387" width="9.140625" style="512" customWidth="1"/>
    <col min="11388" max="11388" width="2.5703125" style="512" customWidth="1"/>
    <col min="11389" max="11389" width="9.140625" style="512" customWidth="1"/>
    <col min="11390" max="11390" width="47.85546875" style="512" customWidth="1"/>
    <col min="11391" max="11391" width="6.7109375" style="512" customWidth="1"/>
    <col min="11392" max="11392" width="7.42578125" style="512" customWidth="1"/>
    <col min="11393" max="11393" width="7" style="512"/>
    <col min="11394" max="11394" width="8.5703125" style="512" customWidth="1"/>
    <col min="11395" max="11395" width="12" style="512" customWidth="1"/>
    <col min="11396" max="11396" width="4.7109375" style="512" customWidth="1"/>
    <col min="11397" max="11397" width="9.140625" style="512" customWidth="1"/>
    <col min="11398" max="11398" width="11.7109375" style="512" customWidth="1"/>
    <col min="11399" max="11510" width="7" style="512"/>
    <col min="11511" max="11511" width="3.85546875" style="512" customWidth="1"/>
    <col min="11512" max="11512" width="11.5703125" style="512" customWidth="1"/>
    <col min="11513" max="11513" width="66.5703125" style="512" customWidth="1"/>
    <col min="11514" max="11514" width="9.42578125" style="512" customWidth="1"/>
    <col min="11515" max="11515" width="9.140625" style="512" customWidth="1"/>
    <col min="11516" max="11516" width="11.140625" style="512" bestFit="1" customWidth="1"/>
    <col min="11517" max="11517" width="9.140625" style="512" customWidth="1"/>
    <col min="11518" max="11518" width="10.42578125" style="512" customWidth="1"/>
    <col min="11519" max="11519" width="9.140625" style="512" customWidth="1"/>
    <col min="11520" max="11520" width="10.7109375" style="512" customWidth="1"/>
    <col min="11521" max="11521" width="9.140625" style="512" customWidth="1"/>
    <col min="11522" max="11522" width="10.140625" style="512" customWidth="1"/>
    <col min="11523" max="11523" width="11.140625" style="512" customWidth="1"/>
    <col min="11524" max="11643" width="9.140625" style="512" customWidth="1"/>
    <col min="11644" max="11644" width="2.5703125" style="512" customWidth="1"/>
    <col min="11645" max="11645" width="9.140625" style="512" customWidth="1"/>
    <col min="11646" max="11646" width="47.85546875" style="512" customWidth="1"/>
    <col min="11647" max="11647" width="6.7109375" style="512" customWidth="1"/>
    <col min="11648" max="11648" width="7.42578125" style="512" customWidth="1"/>
    <col min="11649" max="11649" width="7" style="512"/>
    <col min="11650" max="11650" width="8.5703125" style="512" customWidth="1"/>
    <col min="11651" max="11651" width="12" style="512" customWidth="1"/>
    <col min="11652" max="11652" width="4.7109375" style="512" customWidth="1"/>
    <col min="11653" max="11653" width="9.140625" style="512" customWidth="1"/>
    <col min="11654" max="11654" width="11.7109375" style="512" customWidth="1"/>
    <col min="11655" max="11766" width="7" style="512"/>
    <col min="11767" max="11767" width="3.85546875" style="512" customWidth="1"/>
    <col min="11768" max="11768" width="11.5703125" style="512" customWidth="1"/>
    <col min="11769" max="11769" width="66.5703125" style="512" customWidth="1"/>
    <col min="11770" max="11770" width="9.42578125" style="512" customWidth="1"/>
    <col min="11771" max="11771" width="9.140625" style="512" customWidth="1"/>
    <col min="11772" max="11772" width="11.140625" style="512" bestFit="1" customWidth="1"/>
    <col min="11773" max="11773" width="9.140625" style="512" customWidth="1"/>
    <col min="11774" max="11774" width="10.42578125" style="512" customWidth="1"/>
    <col min="11775" max="11775" width="9.140625" style="512" customWidth="1"/>
    <col min="11776" max="11776" width="10.7109375" style="512" customWidth="1"/>
    <col min="11777" max="11777" width="9.140625" style="512" customWidth="1"/>
    <col min="11778" max="11778" width="10.140625" style="512" customWidth="1"/>
    <col min="11779" max="11779" width="11.140625" style="512" customWidth="1"/>
    <col min="11780" max="11899" width="9.140625" style="512" customWidth="1"/>
    <col min="11900" max="11900" width="2.5703125" style="512" customWidth="1"/>
    <col min="11901" max="11901" width="9.140625" style="512" customWidth="1"/>
    <col min="11902" max="11902" width="47.85546875" style="512" customWidth="1"/>
    <col min="11903" max="11903" width="6.7109375" style="512" customWidth="1"/>
    <col min="11904" max="11904" width="7.42578125" style="512" customWidth="1"/>
    <col min="11905" max="11905" width="7" style="512"/>
    <col min="11906" max="11906" width="8.5703125" style="512" customWidth="1"/>
    <col min="11907" max="11907" width="12" style="512" customWidth="1"/>
    <col min="11908" max="11908" width="4.7109375" style="512" customWidth="1"/>
    <col min="11909" max="11909" width="9.140625" style="512" customWidth="1"/>
    <col min="11910" max="11910" width="11.7109375" style="512" customWidth="1"/>
    <col min="11911" max="12022" width="7" style="512"/>
    <col min="12023" max="12023" width="3.85546875" style="512" customWidth="1"/>
    <col min="12024" max="12024" width="11.5703125" style="512" customWidth="1"/>
    <col min="12025" max="12025" width="66.5703125" style="512" customWidth="1"/>
    <col min="12026" max="12026" width="9.42578125" style="512" customWidth="1"/>
    <col min="12027" max="12027" width="9.140625" style="512" customWidth="1"/>
    <col min="12028" max="12028" width="11.140625" style="512" bestFit="1" customWidth="1"/>
    <col min="12029" max="12029" width="9.140625" style="512" customWidth="1"/>
    <col min="12030" max="12030" width="10.42578125" style="512" customWidth="1"/>
    <col min="12031" max="12031" width="9.140625" style="512" customWidth="1"/>
    <col min="12032" max="12032" width="10.7109375" style="512" customWidth="1"/>
    <col min="12033" max="12033" width="9.140625" style="512" customWidth="1"/>
    <col min="12034" max="12034" width="10.140625" style="512" customWidth="1"/>
    <col min="12035" max="12035" width="11.140625" style="512" customWidth="1"/>
    <col min="12036" max="12155" width="9.140625" style="512" customWidth="1"/>
    <col min="12156" max="12156" width="2.5703125" style="512" customWidth="1"/>
    <col min="12157" max="12157" width="9.140625" style="512" customWidth="1"/>
    <col min="12158" max="12158" width="47.85546875" style="512" customWidth="1"/>
    <col min="12159" max="12159" width="6.7109375" style="512" customWidth="1"/>
    <col min="12160" max="12160" width="7.42578125" style="512" customWidth="1"/>
    <col min="12161" max="12161" width="7" style="512"/>
    <col min="12162" max="12162" width="8.5703125" style="512" customWidth="1"/>
    <col min="12163" max="12163" width="12" style="512" customWidth="1"/>
    <col min="12164" max="12164" width="4.7109375" style="512" customWidth="1"/>
    <col min="12165" max="12165" width="9.140625" style="512" customWidth="1"/>
    <col min="12166" max="12166" width="11.7109375" style="512" customWidth="1"/>
    <col min="12167" max="12278" width="7" style="512"/>
    <col min="12279" max="12279" width="3.85546875" style="512" customWidth="1"/>
    <col min="12280" max="12280" width="11.5703125" style="512" customWidth="1"/>
    <col min="12281" max="12281" width="66.5703125" style="512" customWidth="1"/>
    <col min="12282" max="12282" width="9.42578125" style="512" customWidth="1"/>
    <col min="12283" max="12283" width="9.140625" style="512" customWidth="1"/>
    <col min="12284" max="12284" width="11.140625" style="512" bestFit="1" customWidth="1"/>
    <col min="12285" max="12285" width="9.140625" style="512" customWidth="1"/>
    <col min="12286" max="12286" width="10.42578125" style="512" customWidth="1"/>
    <col min="12287" max="12287" width="9.140625" style="512" customWidth="1"/>
    <col min="12288" max="12288" width="10.7109375" style="512" customWidth="1"/>
    <col min="12289" max="12289" width="9.140625" style="512" customWidth="1"/>
    <col min="12290" max="12290" width="10.140625" style="512" customWidth="1"/>
    <col min="12291" max="12291" width="11.140625" style="512" customWidth="1"/>
    <col min="12292" max="12411" width="9.140625" style="512" customWidth="1"/>
    <col min="12412" max="12412" width="2.5703125" style="512" customWidth="1"/>
    <col min="12413" max="12413" width="9.140625" style="512" customWidth="1"/>
    <col min="12414" max="12414" width="47.85546875" style="512" customWidth="1"/>
    <col min="12415" max="12415" width="6.7109375" style="512" customWidth="1"/>
    <col min="12416" max="12416" width="7.42578125" style="512" customWidth="1"/>
    <col min="12417" max="12417" width="7" style="512"/>
    <col min="12418" max="12418" width="8.5703125" style="512" customWidth="1"/>
    <col min="12419" max="12419" width="12" style="512" customWidth="1"/>
    <col min="12420" max="12420" width="4.7109375" style="512" customWidth="1"/>
    <col min="12421" max="12421" width="9.140625" style="512" customWidth="1"/>
    <col min="12422" max="12422" width="11.7109375" style="512" customWidth="1"/>
    <col min="12423" max="12534" width="7" style="512"/>
    <col min="12535" max="12535" width="3.85546875" style="512" customWidth="1"/>
    <col min="12536" max="12536" width="11.5703125" style="512" customWidth="1"/>
    <col min="12537" max="12537" width="66.5703125" style="512" customWidth="1"/>
    <col min="12538" max="12538" width="9.42578125" style="512" customWidth="1"/>
    <col min="12539" max="12539" width="9.140625" style="512" customWidth="1"/>
    <col min="12540" max="12540" width="11.140625" style="512" bestFit="1" customWidth="1"/>
    <col min="12541" max="12541" width="9.140625" style="512" customWidth="1"/>
    <col min="12542" max="12542" width="10.42578125" style="512" customWidth="1"/>
    <col min="12543" max="12543" width="9.140625" style="512" customWidth="1"/>
    <col min="12544" max="12544" width="10.7109375" style="512" customWidth="1"/>
    <col min="12545" max="12545" width="9.140625" style="512" customWidth="1"/>
    <col min="12546" max="12546" width="10.140625" style="512" customWidth="1"/>
    <col min="12547" max="12547" width="11.140625" style="512" customWidth="1"/>
    <col min="12548" max="12667" width="9.140625" style="512" customWidth="1"/>
    <col min="12668" max="12668" width="2.5703125" style="512" customWidth="1"/>
    <col min="12669" max="12669" width="9.140625" style="512" customWidth="1"/>
    <col min="12670" max="12670" width="47.85546875" style="512" customWidth="1"/>
    <col min="12671" max="12671" width="6.7109375" style="512" customWidth="1"/>
    <col min="12672" max="12672" width="7.42578125" style="512" customWidth="1"/>
    <col min="12673" max="12673" width="7" style="512"/>
    <col min="12674" max="12674" width="8.5703125" style="512" customWidth="1"/>
    <col min="12675" max="12675" width="12" style="512" customWidth="1"/>
    <col min="12676" max="12676" width="4.7109375" style="512" customWidth="1"/>
    <col min="12677" max="12677" width="9.140625" style="512" customWidth="1"/>
    <col min="12678" max="12678" width="11.7109375" style="512" customWidth="1"/>
    <col min="12679" max="12790" width="7" style="512"/>
    <col min="12791" max="12791" width="3.85546875" style="512" customWidth="1"/>
    <col min="12792" max="12792" width="11.5703125" style="512" customWidth="1"/>
    <col min="12793" max="12793" width="66.5703125" style="512" customWidth="1"/>
    <col min="12794" max="12794" width="9.42578125" style="512" customWidth="1"/>
    <col min="12795" max="12795" width="9.140625" style="512" customWidth="1"/>
    <col min="12796" max="12796" width="11.140625" style="512" bestFit="1" customWidth="1"/>
    <col min="12797" max="12797" width="9.140625" style="512" customWidth="1"/>
    <col min="12798" max="12798" width="10.42578125" style="512" customWidth="1"/>
    <col min="12799" max="12799" width="9.140625" style="512" customWidth="1"/>
    <col min="12800" max="12800" width="10.7109375" style="512" customWidth="1"/>
    <col min="12801" max="12801" width="9.140625" style="512" customWidth="1"/>
    <col min="12802" max="12802" width="10.140625" style="512" customWidth="1"/>
    <col min="12803" max="12803" width="11.140625" style="512" customWidth="1"/>
    <col min="12804" max="12923" width="9.140625" style="512" customWidth="1"/>
    <col min="12924" max="12924" width="2.5703125" style="512" customWidth="1"/>
    <col min="12925" max="12925" width="9.140625" style="512" customWidth="1"/>
    <col min="12926" max="12926" width="47.85546875" style="512" customWidth="1"/>
    <col min="12927" max="12927" width="6.7109375" style="512" customWidth="1"/>
    <col min="12928" max="12928" width="7.42578125" style="512" customWidth="1"/>
    <col min="12929" max="12929" width="7" style="512"/>
    <col min="12930" max="12930" width="8.5703125" style="512" customWidth="1"/>
    <col min="12931" max="12931" width="12" style="512" customWidth="1"/>
    <col min="12932" max="12932" width="4.7109375" style="512" customWidth="1"/>
    <col min="12933" max="12933" width="9.140625" style="512" customWidth="1"/>
    <col min="12934" max="12934" width="11.7109375" style="512" customWidth="1"/>
    <col min="12935" max="13046" width="7" style="512"/>
    <col min="13047" max="13047" width="3.85546875" style="512" customWidth="1"/>
    <col min="13048" max="13048" width="11.5703125" style="512" customWidth="1"/>
    <col min="13049" max="13049" width="66.5703125" style="512" customWidth="1"/>
    <col min="13050" max="13050" width="9.42578125" style="512" customWidth="1"/>
    <col min="13051" max="13051" width="9.140625" style="512" customWidth="1"/>
    <col min="13052" max="13052" width="11.140625" style="512" bestFit="1" customWidth="1"/>
    <col min="13053" max="13053" width="9.140625" style="512" customWidth="1"/>
    <col min="13054" max="13054" width="10.42578125" style="512" customWidth="1"/>
    <col min="13055" max="13055" width="9.140625" style="512" customWidth="1"/>
    <col min="13056" max="13056" width="10.7109375" style="512" customWidth="1"/>
    <col min="13057" max="13057" width="9.140625" style="512" customWidth="1"/>
    <col min="13058" max="13058" width="10.140625" style="512" customWidth="1"/>
    <col min="13059" max="13059" width="11.140625" style="512" customWidth="1"/>
    <col min="13060" max="13179" width="9.140625" style="512" customWidth="1"/>
    <col min="13180" max="13180" width="2.5703125" style="512" customWidth="1"/>
    <col min="13181" max="13181" width="9.140625" style="512" customWidth="1"/>
    <col min="13182" max="13182" width="47.85546875" style="512" customWidth="1"/>
    <col min="13183" max="13183" width="6.7109375" style="512" customWidth="1"/>
    <col min="13184" max="13184" width="7.42578125" style="512" customWidth="1"/>
    <col min="13185" max="13185" width="7" style="512"/>
    <col min="13186" max="13186" width="8.5703125" style="512" customWidth="1"/>
    <col min="13187" max="13187" width="12" style="512" customWidth="1"/>
    <col min="13188" max="13188" width="4.7109375" style="512" customWidth="1"/>
    <col min="13189" max="13189" width="9.140625" style="512" customWidth="1"/>
    <col min="13190" max="13190" width="11.7109375" style="512" customWidth="1"/>
    <col min="13191" max="13302" width="7" style="512"/>
    <col min="13303" max="13303" width="3.85546875" style="512" customWidth="1"/>
    <col min="13304" max="13304" width="11.5703125" style="512" customWidth="1"/>
    <col min="13305" max="13305" width="66.5703125" style="512" customWidth="1"/>
    <col min="13306" max="13306" width="9.42578125" style="512" customWidth="1"/>
    <col min="13307" max="13307" width="9.140625" style="512" customWidth="1"/>
    <col min="13308" max="13308" width="11.140625" style="512" bestFit="1" customWidth="1"/>
    <col min="13309" max="13309" width="9.140625" style="512" customWidth="1"/>
    <col min="13310" max="13310" width="10.42578125" style="512" customWidth="1"/>
    <col min="13311" max="13311" width="9.140625" style="512" customWidth="1"/>
    <col min="13312" max="13312" width="10.7109375" style="512" customWidth="1"/>
    <col min="13313" max="13313" width="9.140625" style="512" customWidth="1"/>
    <col min="13314" max="13314" width="10.140625" style="512" customWidth="1"/>
    <col min="13315" max="13315" width="11.140625" style="512" customWidth="1"/>
    <col min="13316" max="13435" width="9.140625" style="512" customWidth="1"/>
    <col min="13436" max="13436" width="2.5703125" style="512" customWidth="1"/>
    <col min="13437" max="13437" width="9.140625" style="512" customWidth="1"/>
    <col min="13438" max="13438" width="47.85546875" style="512" customWidth="1"/>
    <col min="13439" max="13439" width="6.7109375" style="512" customWidth="1"/>
    <col min="13440" max="13440" width="7.42578125" style="512" customWidth="1"/>
    <col min="13441" max="13441" width="7" style="512"/>
    <col min="13442" max="13442" width="8.5703125" style="512" customWidth="1"/>
    <col min="13443" max="13443" width="12" style="512" customWidth="1"/>
    <col min="13444" max="13444" width="4.7109375" style="512" customWidth="1"/>
    <col min="13445" max="13445" width="9.140625" style="512" customWidth="1"/>
    <col min="13446" max="13446" width="11.7109375" style="512" customWidth="1"/>
    <col min="13447" max="13558" width="7" style="512"/>
    <col min="13559" max="13559" width="3.85546875" style="512" customWidth="1"/>
    <col min="13560" max="13560" width="11.5703125" style="512" customWidth="1"/>
    <col min="13561" max="13561" width="66.5703125" style="512" customWidth="1"/>
    <col min="13562" max="13562" width="9.42578125" style="512" customWidth="1"/>
    <col min="13563" max="13563" width="9.140625" style="512" customWidth="1"/>
    <col min="13564" max="13564" width="11.140625" style="512" bestFit="1" customWidth="1"/>
    <col min="13565" max="13565" width="9.140625" style="512" customWidth="1"/>
    <col min="13566" max="13566" width="10.42578125" style="512" customWidth="1"/>
    <col min="13567" max="13567" width="9.140625" style="512" customWidth="1"/>
    <col min="13568" max="13568" width="10.7109375" style="512" customWidth="1"/>
    <col min="13569" max="13569" width="9.140625" style="512" customWidth="1"/>
    <col min="13570" max="13570" width="10.140625" style="512" customWidth="1"/>
    <col min="13571" max="13571" width="11.140625" style="512" customWidth="1"/>
    <col min="13572" max="13691" width="9.140625" style="512" customWidth="1"/>
    <col min="13692" max="13692" width="2.5703125" style="512" customWidth="1"/>
    <col min="13693" max="13693" width="9.140625" style="512" customWidth="1"/>
    <col min="13694" max="13694" width="47.85546875" style="512" customWidth="1"/>
    <col min="13695" max="13695" width="6.7109375" style="512" customWidth="1"/>
    <col min="13696" max="13696" width="7.42578125" style="512" customWidth="1"/>
    <col min="13697" max="13697" width="7" style="512"/>
    <col min="13698" max="13698" width="8.5703125" style="512" customWidth="1"/>
    <col min="13699" max="13699" width="12" style="512" customWidth="1"/>
    <col min="13700" max="13700" width="4.7109375" style="512" customWidth="1"/>
    <col min="13701" max="13701" width="9.140625" style="512" customWidth="1"/>
    <col min="13702" max="13702" width="11.7109375" style="512" customWidth="1"/>
    <col min="13703" max="13814" width="7" style="512"/>
    <col min="13815" max="13815" width="3.85546875" style="512" customWidth="1"/>
    <col min="13816" max="13816" width="11.5703125" style="512" customWidth="1"/>
    <col min="13817" max="13817" width="66.5703125" style="512" customWidth="1"/>
    <col min="13818" max="13818" width="9.42578125" style="512" customWidth="1"/>
    <col min="13819" max="13819" width="9.140625" style="512" customWidth="1"/>
    <col min="13820" max="13820" width="11.140625" style="512" bestFit="1" customWidth="1"/>
    <col min="13821" max="13821" width="9.140625" style="512" customWidth="1"/>
    <col min="13822" max="13822" width="10.42578125" style="512" customWidth="1"/>
    <col min="13823" max="13823" width="9.140625" style="512" customWidth="1"/>
    <col min="13824" max="13824" width="10.7109375" style="512" customWidth="1"/>
    <col min="13825" max="13825" width="9.140625" style="512" customWidth="1"/>
    <col min="13826" max="13826" width="10.140625" style="512" customWidth="1"/>
    <col min="13827" max="13827" width="11.140625" style="512" customWidth="1"/>
    <col min="13828" max="13947" width="9.140625" style="512" customWidth="1"/>
    <col min="13948" max="13948" width="2.5703125" style="512" customWidth="1"/>
    <col min="13949" max="13949" width="9.140625" style="512" customWidth="1"/>
    <col min="13950" max="13950" width="47.85546875" style="512" customWidth="1"/>
    <col min="13951" max="13951" width="6.7109375" style="512" customWidth="1"/>
    <col min="13952" max="13952" width="7.42578125" style="512" customWidth="1"/>
    <col min="13953" max="13953" width="7" style="512"/>
    <col min="13954" max="13954" width="8.5703125" style="512" customWidth="1"/>
    <col min="13955" max="13955" width="12" style="512" customWidth="1"/>
    <col min="13956" max="13956" width="4.7109375" style="512" customWidth="1"/>
    <col min="13957" max="13957" width="9.140625" style="512" customWidth="1"/>
    <col min="13958" max="13958" width="11.7109375" style="512" customWidth="1"/>
    <col min="13959" max="14070" width="7" style="512"/>
    <col min="14071" max="14071" width="3.85546875" style="512" customWidth="1"/>
    <col min="14072" max="14072" width="11.5703125" style="512" customWidth="1"/>
    <col min="14073" max="14073" width="66.5703125" style="512" customWidth="1"/>
    <col min="14074" max="14074" width="9.42578125" style="512" customWidth="1"/>
    <col min="14075" max="14075" width="9.140625" style="512" customWidth="1"/>
    <col min="14076" max="14076" width="11.140625" style="512" bestFit="1" customWidth="1"/>
    <col min="14077" max="14077" width="9.140625" style="512" customWidth="1"/>
    <col min="14078" max="14078" width="10.42578125" style="512" customWidth="1"/>
    <col min="14079" max="14079" width="9.140625" style="512" customWidth="1"/>
    <col min="14080" max="14080" width="10.7109375" style="512" customWidth="1"/>
    <col min="14081" max="14081" width="9.140625" style="512" customWidth="1"/>
    <col min="14082" max="14082" width="10.140625" style="512" customWidth="1"/>
    <col min="14083" max="14083" width="11.140625" style="512" customWidth="1"/>
    <col min="14084" max="14203" width="9.140625" style="512" customWidth="1"/>
    <col min="14204" max="14204" width="2.5703125" style="512" customWidth="1"/>
    <col min="14205" max="14205" width="9.140625" style="512" customWidth="1"/>
    <col min="14206" max="14206" width="47.85546875" style="512" customWidth="1"/>
    <col min="14207" max="14207" width="6.7109375" style="512" customWidth="1"/>
    <col min="14208" max="14208" width="7.42578125" style="512" customWidth="1"/>
    <col min="14209" max="14209" width="7" style="512"/>
    <col min="14210" max="14210" width="8.5703125" style="512" customWidth="1"/>
    <col min="14211" max="14211" width="12" style="512" customWidth="1"/>
    <col min="14212" max="14212" width="4.7109375" style="512" customWidth="1"/>
    <col min="14213" max="14213" width="9.140625" style="512" customWidth="1"/>
    <col min="14214" max="14214" width="11.7109375" style="512" customWidth="1"/>
    <col min="14215" max="14326" width="7" style="512"/>
    <col min="14327" max="14327" width="3.85546875" style="512" customWidth="1"/>
    <col min="14328" max="14328" width="11.5703125" style="512" customWidth="1"/>
    <col min="14329" max="14329" width="66.5703125" style="512" customWidth="1"/>
    <col min="14330" max="14330" width="9.42578125" style="512" customWidth="1"/>
    <col min="14331" max="14331" width="9.140625" style="512" customWidth="1"/>
    <col min="14332" max="14332" width="11.140625" style="512" bestFit="1" customWidth="1"/>
    <col min="14333" max="14333" width="9.140625" style="512" customWidth="1"/>
    <col min="14334" max="14334" width="10.42578125" style="512" customWidth="1"/>
    <col min="14335" max="14335" width="9.140625" style="512" customWidth="1"/>
    <col min="14336" max="14336" width="10.7109375" style="512" customWidth="1"/>
    <col min="14337" max="14337" width="9.140625" style="512" customWidth="1"/>
    <col min="14338" max="14338" width="10.140625" style="512" customWidth="1"/>
    <col min="14339" max="14339" width="11.140625" style="512" customWidth="1"/>
    <col min="14340" max="14459" width="9.140625" style="512" customWidth="1"/>
    <col min="14460" max="14460" width="2.5703125" style="512" customWidth="1"/>
    <col min="14461" max="14461" width="9.140625" style="512" customWidth="1"/>
    <col min="14462" max="14462" width="47.85546875" style="512" customWidth="1"/>
    <col min="14463" max="14463" width="6.7109375" style="512" customWidth="1"/>
    <col min="14464" max="14464" width="7.42578125" style="512" customWidth="1"/>
    <col min="14465" max="14465" width="7" style="512"/>
    <col min="14466" max="14466" width="8.5703125" style="512" customWidth="1"/>
    <col min="14467" max="14467" width="12" style="512" customWidth="1"/>
    <col min="14468" max="14468" width="4.7109375" style="512" customWidth="1"/>
    <col min="14469" max="14469" width="9.140625" style="512" customWidth="1"/>
    <col min="14470" max="14470" width="11.7109375" style="512" customWidth="1"/>
    <col min="14471" max="14582" width="7" style="512"/>
    <col min="14583" max="14583" width="3.85546875" style="512" customWidth="1"/>
    <col min="14584" max="14584" width="11.5703125" style="512" customWidth="1"/>
    <col min="14585" max="14585" width="66.5703125" style="512" customWidth="1"/>
    <col min="14586" max="14586" width="9.42578125" style="512" customWidth="1"/>
    <col min="14587" max="14587" width="9.140625" style="512" customWidth="1"/>
    <col min="14588" max="14588" width="11.140625" style="512" bestFit="1" customWidth="1"/>
    <col min="14589" max="14589" width="9.140625" style="512" customWidth="1"/>
    <col min="14590" max="14590" width="10.42578125" style="512" customWidth="1"/>
    <col min="14591" max="14591" width="9.140625" style="512" customWidth="1"/>
    <col min="14592" max="14592" width="10.7109375" style="512" customWidth="1"/>
    <col min="14593" max="14593" width="9.140625" style="512" customWidth="1"/>
    <col min="14594" max="14594" width="10.140625" style="512" customWidth="1"/>
    <col min="14595" max="14595" width="11.140625" style="512" customWidth="1"/>
    <col min="14596" max="14715" width="9.140625" style="512" customWidth="1"/>
    <col min="14716" max="14716" width="2.5703125" style="512" customWidth="1"/>
    <col min="14717" max="14717" width="9.140625" style="512" customWidth="1"/>
    <col min="14718" max="14718" width="47.85546875" style="512" customWidth="1"/>
    <col min="14719" max="14719" width="6.7109375" style="512" customWidth="1"/>
    <col min="14720" max="14720" width="7.42578125" style="512" customWidth="1"/>
    <col min="14721" max="14721" width="7" style="512"/>
    <col min="14722" max="14722" width="8.5703125" style="512" customWidth="1"/>
    <col min="14723" max="14723" width="12" style="512" customWidth="1"/>
    <col min="14724" max="14724" width="4.7109375" style="512" customWidth="1"/>
    <col min="14725" max="14725" width="9.140625" style="512" customWidth="1"/>
    <col min="14726" max="14726" width="11.7109375" style="512" customWidth="1"/>
    <col min="14727" max="14838" width="7" style="512"/>
    <col min="14839" max="14839" width="3.85546875" style="512" customWidth="1"/>
    <col min="14840" max="14840" width="11.5703125" style="512" customWidth="1"/>
    <col min="14841" max="14841" width="66.5703125" style="512" customWidth="1"/>
    <col min="14842" max="14842" width="9.42578125" style="512" customWidth="1"/>
    <col min="14843" max="14843" width="9.140625" style="512" customWidth="1"/>
    <col min="14844" max="14844" width="11.140625" style="512" bestFit="1" customWidth="1"/>
    <col min="14845" max="14845" width="9.140625" style="512" customWidth="1"/>
    <col min="14846" max="14846" width="10.42578125" style="512" customWidth="1"/>
    <col min="14847" max="14847" width="9.140625" style="512" customWidth="1"/>
    <col min="14848" max="14848" width="10.7109375" style="512" customWidth="1"/>
    <col min="14849" max="14849" width="9.140625" style="512" customWidth="1"/>
    <col min="14850" max="14850" width="10.140625" style="512" customWidth="1"/>
    <col min="14851" max="14851" width="11.140625" style="512" customWidth="1"/>
    <col min="14852" max="14971" width="9.140625" style="512" customWidth="1"/>
    <col min="14972" max="14972" width="2.5703125" style="512" customWidth="1"/>
    <col min="14973" max="14973" width="9.140625" style="512" customWidth="1"/>
    <col min="14974" max="14974" width="47.85546875" style="512" customWidth="1"/>
    <col min="14975" max="14975" width="6.7109375" style="512" customWidth="1"/>
    <col min="14976" max="14976" width="7.42578125" style="512" customWidth="1"/>
    <col min="14977" max="14977" width="7" style="512"/>
    <col min="14978" max="14978" width="8.5703125" style="512" customWidth="1"/>
    <col min="14979" max="14979" width="12" style="512" customWidth="1"/>
    <col min="14980" max="14980" width="4.7109375" style="512" customWidth="1"/>
    <col min="14981" max="14981" width="9.140625" style="512" customWidth="1"/>
    <col min="14982" max="14982" width="11.7109375" style="512" customWidth="1"/>
    <col min="14983" max="15094" width="7" style="512"/>
    <col min="15095" max="15095" width="3.85546875" style="512" customWidth="1"/>
    <col min="15096" max="15096" width="11.5703125" style="512" customWidth="1"/>
    <col min="15097" max="15097" width="66.5703125" style="512" customWidth="1"/>
    <col min="15098" max="15098" width="9.42578125" style="512" customWidth="1"/>
    <col min="15099" max="15099" width="9.140625" style="512" customWidth="1"/>
    <col min="15100" max="15100" width="11.140625" style="512" bestFit="1" customWidth="1"/>
    <col min="15101" max="15101" width="9.140625" style="512" customWidth="1"/>
    <col min="15102" max="15102" width="10.42578125" style="512" customWidth="1"/>
    <col min="15103" max="15103" width="9.140625" style="512" customWidth="1"/>
    <col min="15104" max="15104" width="10.7109375" style="512" customWidth="1"/>
    <col min="15105" max="15105" width="9.140625" style="512" customWidth="1"/>
    <col min="15106" max="15106" width="10.140625" style="512" customWidth="1"/>
    <col min="15107" max="15107" width="11.140625" style="512" customWidth="1"/>
    <col min="15108" max="15227" width="9.140625" style="512" customWidth="1"/>
    <col min="15228" max="15228" width="2.5703125" style="512" customWidth="1"/>
    <col min="15229" max="15229" width="9.140625" style="512" customWidth="1"/>
    <col min="15230" max="15230" width="47.85546875" style="512" customWidth="1"/>
    <col min="15231" max="15231" width="6.7109375" style="512" customWidth="1"/>
    <col min="15232" max="15232" width="7.42578125" style="512" customWidth="1"/>
    <col min="15233" max="15233" width="7" style="512"/>
    <col min="15234" max="15234" width="8.5703125" style="512" customWidth="1"/>
    <col min="15235" max="15235" width="12" style="512" customWidth="1"/>
    <col min="15236" max="15236" width="4.7109375" style="512" customWidth="1"/>
    <col min="15237" max="15237" width="9.140625" style="512" customWidth="1"/>
    <col min="15238" max="15238" width="11.7109375" style="512" customWidth="1"/>
    <col min="15239" max="15350" width="7" style="512"/>
    <col min="15351" max="15351" width="3.85546875" style="512" customWidth="1"/>
    <col min="15352" max="15352" width="11.5703125" style="512" customWidth="1"/>
    <col min="15353" max="15353" width="66.5703125" style="512" customWidth="1"/>
    <col min="15354" max="15354" width="9.42578125" style="512" customWidth="1"/>
    <col min="15355" max="15355" width="9.140625" style="512" customWidth="1"/>
    <col min="15356" max="15356" width="11.140625" style="512" bestFit="1" customWidth="1"/>
    <col min="15357" max="15357" width="9.140625" style="512" customWidth="1"/>
    <col min="15358" max="15358" width="10.42578125" style="512" customWidth="1"/>
    <col min="15359" max="15359" width="9.140625" style="512" customWidth="1"/>
    <col min="15360" max="15360" width="10.7109375" style="512" customWidth="1"/>
    <col min="15361" max="15361" width="9.140625" style="512" customWidth="1"/>
    <col min="15362" max="15362" width="10.140625" style="512" customWidth="1"/>
    <col min="15363" max="15363" width="11.140625" style="512" customWidth="1"/>
    <col min="15364" max="15483" width="9.140625" style="512" customWidth="1"/>
    <col min="15484" max="15484" width="2.5703125" style="512" customWidth="1"/>
    <col min="15485" max="15485" width="9.140625" style="512" customWidth="1"/>
    <col min="15486" max="15486" width="47.85546875" style="512" customWidth="1"/>
    <col min="15487" max="15487" width="6.7109375" style="512" customWidth="1"/>
    <col min="15488" max="15488" width="7.42578125" style="512" customWidth="1"/>
    <col min="15489" max="15489" width="7" style="512"/>
    <col min="15490" max="15490" width="8.5703125" style="512" customWidth="1"/>
    <col min="15491" max="15491" width="12" style="512" customWidth="1"/>
    <col min="15492" max="15492" width="4.7109375" style="512" customWidth="1"/>
    <col min="15493" max="15493" width="9.140625" style="512" customWidth="1"/>
    <col min="15494" max="15494" width="11.7109375" style="512" customWidth="1"/>
    <col min="15495" max="15606" width="7" style="512"/>
    <col min="15607" max="15607" width="3.85546875" style="512" customWidth="1"/>
    <col min="15608" max="15608" width="11.5703125" style="512" customWidth="1"/>
    <col min="15609" max="15609" width="66.5703125" style="512" customWidth="1"/>
    <col min="15610" max="15610" width="9.42578125" style="512" customWidth="1"/>
    <col min="15611" max="15611" width="9.140625" style="512" customWidth="1"/>
    <col min="15612" max="15612" width="11.140625" style="512" bestFit="1" customWidth="1"/>
    <col min="15613" max="15613" width="9.140625" style="512" customWidth="1"/>
    <col min="15614" max="15614" width="10.42578125" style="512" customWidth="1"/>
    <col min="15615" max="15615" width="9.140625" style="512" customWidth="1"/>
    <col min="15616" max="15616" width="10.7109375" style="512" customWidth="1"/>
    <col min="15617" max="15617" width="9.140625" style="512" customWidth="1"/>
    <col min="15618" max="15618" width="10.140625" style="512" customWidth="1"/>
    <col min="15619" max="15619" width="11.140625" style="512" customWidth="1"/>
    <col min="15620" max="15739" width="9.140625" style="512" customWidth="1"/>
    <col min="15740" max="15740" width="2.5703125" style="512" customWidth="1"/>
    <col min="15741" max="15741" width="9.140625" style="512" customWidth="1"/>
    <col min="15742" max="15742" width="47.85546875" style="512" customWidth="1"/>
    <col min="15743" max="15743" width="6.7109375" style="512" customWidth="1"/>
    <col min="15744" max="15744" width="7.42578125" style="512" customWidth="1"/>
    <col min="15745" max="15745" width="7" style="512"/>
    <col min="15746" max="15746" width="8.5703125" style="512" customWidth="1"/>
    <col min="15747" max="15747" width="12" style="512" customWidth="1"/>
    <col min="15748" max="15748" width="4.7109375" style="512" customWidth="1"/>
    <col min="15749" max="15749" width="9.140625" style="512" customWidth="1"/>
    <col min="15750" max="15750" width="11.7109375" style="512" customWidth="1"/>
    <col min="15751" max="15862" width="7" style="512"/>
    <col min="15863" max="15863" width="3.85546875" style="512" customWidth="1"/>
    <col min="15864" max="15864" width="11.5703125" style="512" customWidth="1"/>
    <col min="15865" max="15865" width="66.5703125" style="512" customWidth="1"/>
    <col min="15866" max="15866" width="9.42578125" style="512" customWidth="1"/>
    <col min="15867" max="15867" width="9.140625" style="512" customWidth="1"/>
    <col min="15868" max="15868" width="11.140625" style="512" bestFit="1" customWidth="1"/>
    <col min="15869" max="15869" width="9.140625" style="512" customWidth="1"/>
    <col min="15870" max="15870" width="10.42578125" style="512" customWidth="1"/>
    <col min="15871" max="15871" width="9.140625" style="512" customWidth="1"/>
    <col min="15872" max="15872" width="10.7109375" style="512" customWidth="1"/>
    <col min="15873" max="15873" width="9.140625" style="512" customWidth="1"/>
    <col min="15874" max="15874" width="10.140625" style="512" customWidth="1"/>
    <col min="15875" max="15875" width="11.140625" style="512" customWidth="1"/>
    <col min="15876" max="15995" width="9.140625" style="512" customWidth="1"/>
    <col min="15996" max="15996" width="2.5703125" style="512" customWidth="1"/>
    <col min="15997" max="15997" width="9.140625" style="512" customWidth="1"/>
    <col min="15998" max="15998" width="47.85546875" style="512" customWidth="1"/>
    <col min="15999" max="15999" width="6.7109375" style="512" customWidth="1"/>
    <col min="16000" max="16000" width="7.42578125" style="512" customWidth="1"/>
    <col min="16001" max="16001" width="7" style="512"/>
    <col min="16002" max="16002" width="8.5703125" style="512" customWidth="1"/>
    <col min="16003" max="16003" width="12" style="512" customWidth="1"/>
    <col min="16004" max="16004" width="4.7109375" style="512" customWidth="1"/>
    <col min="16005" max="16005" width="9.140625" style="512" customWidth="1"/>
    <col min="16006" max="16006" width="11.7109375" style="512" customWidth="1"/>
    <col min="16007" max="16118" width="7" style="512"/>
    <col min="16119" max="16119" width="3.85546875" style="512" customWidth="1"/>
    <col min="16120" max="16120" width="11.5703125" style="512" customWidth="1"/>
    <col min="16121" max="16121" width="66.5703125" style="512" customWidth="1"/>
    <col min="16122" max="16122" width="9.42578125" style="512" customWidth="1"/>
    <col min="16123" max="16123" width="9.140625" style="512" customWidth="1"/>
    <col min="16124" max="16124" width="11.140625" style="512" bestFit="1" customWidth="1"/>
    <col min="16125" max="16125" width="9.140625" style="512" customWidth="1"/>
    <col min="16126" max="16126" width="10.42578125" style="512" customWidth="1"/>
    <col min="16127" max="16127" width="9.140625" style="512" customWidth="1"/>
    <col min="16128" max="16128" width="10.7109375" style="512" customWidth="1"/>
    <col min="16129" max="16129" width="9.140625" style="512" customWidth="1"/>
    <col min="16130" max="16130" width="10.140625" style="512" customWidth="1"/>
    <col min="16131" max="16131" width="11.140625" style="512" customWidth="1"/>
    <col min="16132" max="16251" width="9.140625" style="512" customWidth="1"/>
    <col min="16252" max="16252" width="2.5703125" style="512" customWidth="1"/>
    <col min="16253" max="16253" width="9.140625" style="512" customWidth="1"/>
    <col min="16254" max="16254" width="47.85546875" style="512" customWidth="1"/>
    <col min="16255" max="16255" width="6.7109375" style="512" customWidth="1"/>
    <col min="16256" max="16256" width="7.42578125" style="512" customWidth="1"/>
    <col min="16257" max="16257" width="7" style="512"/>
    <col min="16258" max="16258" width="8.5703125" style="512" customWidth="1"/>
    <col min="16259" max="16259" width="12" style="512" customWidth="1"/>
    <col min="16260" max="16260" width="4.7109375" style="512" customWidth="1"/>
    <col min="16261" max="16261" width="9.140625" style="512" customWidth="1"/>
    <col min="16262" max="16262" width="11.7109375" style="512" customWidth="1"/>
    <col min="16263" max="16384" width="7" style="512"/>
  </cols>
  <sheetData>
    <row r="1" spans="1:13" s="658" customFormat="1" ht="16.5">
      <c r="A1" s="1182" t="e">
        <f>#REF!</f>
        <v>#REF!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</row>
    <row r="2" spans="1:13" s="658" customFormat="1" ht="16.5">
      <c r="A2" s="1183" t="s">
        <v>7</v>
      </c>
      <c r="B2" s="1183"/>
      <c r="C2" s="1183"/>
      <c r="D2" s="623" t="str">
        <f>'B-4'!B12</f>
        <v>B-4.3</v>
      </c>
      <c r="E2" s="623"/>
      <c r="F2" s="623"/>
      <c r="G2" s="623"/>
      <c r="H2" s="624"/>
      <c r="I2" s="624"/>
      <c r="J2" s="624"/>
      <c r="K2" s="624"/>
      <c r="L2" s="624"/>
      <c r="M2" s="624"/>
    </row>
    <row r="3" spans="1:13" s="658" customFormat="1" ht="16.5">
      <c r="A3" s="1184" t="str">
        <f>'B-4'!C12</f>
        <v>საქლორატოროს შენობის შიდა ელ. მომარაგება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</row>
    <row r="4" spans="1:13" s="658" customFormat="1">
      <c r="A4" s="1185"/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</row>
    <row r="5" spans="1:13" s="658" customFormat="1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</row>
    <row r="6" spans="1:13" s="658" customFormat="1">
      <c r="A6" s="1178" t="s">
        <v>147</v>
      </c>
      <c r="B6" s="1178" t="s">
        <v>148</v>
      </c>
      <c r="C6" s="1187" t="s">
        <v>149</v>
      </c>
      <c r="D6" s="1178" t="s">
        <v>150</v>
      </c>
      <c r="E6" s="1178" t="s">
        <v>151</v>
      </c>
      <c r="F6" s="1178" t="s">
        <v>152</v>
      </c>
      <c r="G6" s="1179" t="s">
        <v>153</v>
      </c>
      <c r="H6" s="1179"/>
      <c r="I6" s="1179" t="s">
        <v>154</v>
      </c>
      <c r="J6" s="1179"/>
      <c r="K6" s="1178" t="s">
        <v>155</v>
      </c>
      <c r="L6" s="1178"/>
      <c r="M6" s="546" t="s">
        <v>156</v>
      </c>
    </row>
    <row r="7" spans="1:13" s="658" customFormat="1">
      <c r="A7" s="1178"/>
      <c r="B7" s="1178"/>
      <c r="C7" s="1188"/>
      <c r="D7" s="1178"/>
      <c r="E7" s="1178"/>
      <c r="F7" s="1178"/>
      <c r="G7" s="546" t="s">
        <v>157</v>
      </c>
      <c r="H7" s="546" t="s">
        <v>158</v>
      </c>
      <c r="I7" s="546" t="s">
        <v>157</v>
      </c>
      <c r="J7" s="546" t="s">
        <v>158</v>
      </c>
      <c r="K7" s="546" t="s">
        <v>157</v>
      </c>
      <c r="L7" s="546" t="s">
        <v>159</v>
      </c>
      <c r="M7" s="546" t="s">
        <v>160</v>
      </c>
    </row>
    <row r="8" spans="1:13" s="717" customFormat="1">
      <c r="A8" s="390">
        <v>1</v>
      </c>
      <c r="B8" s="390">
        <v>3</v>
      </c>
      <c r="C8" s="390">
        <v>2</v>
      </c>
      <c r="D8" s="390">
        <v>4</v>
      </c>
      <c r="E8" s="390">
        <v>5</v>
      </c>
      <c r="F8" s="390">
        <v>6</v>
      </c>
      <c r="G8" s="546">
        <v>7</v>
      </c>
      <c r="H8" s="546">
        <v>8</v>
      </c>
      <c r="I8" s="546">
        <v>9</v>
      </c>
      <c r="J8" s="546">
        <v>10</v>
      </c>
      <c r="K8" s="546">
        <v>11</v>
      </c>
      <c r="L8" s="546">
        <v>12</v>
      </c>
      <c r="M8" s="546">
        <v>13</v>
      </c>
    </row>
    <row r="9" spans="1:13" s="717" customFormat="1">
      <c r="A9" s="718"/>
      <c r="B9" s="718"/>
      <c r="C9" s="718" t="s">
        <v>209</v>
      </c>
      <c r="D9" s="718"/>
      <c r="E9" s="719"/>
      <c r="F9" s="719"/>
      <c r="G9" s="719"/>
      <c r="H9" s="719"/>
      <c r="I9" s="719"/>
      <c r="J9" s="719"/>
      <c r="K9" s="719"/>
      <c r="L9" s="719"/>
      <c r="M9" s="719"/>
    </row>
    <row r="10" spans="1:13" s="937" customFormat="1">
      <c r="A10" s="934"/>
      <c r="B10" s="935"/>
      <c r="C10" s="934" t="s">
        <v>210</v>
      </c>
      <c r="D10" s="934"/>
      <c r="E10" s="936"/>
      <c r="F10" s="936"/>
      <c r="G10" s="936"/>
      <c r="H10" s="719"/>
      <c r="I10" s="719"/>
      <c r="J10" s="719"/>
      <c r="K10" s="719"/>
      <c r="L10" s="719"/>
      <c r="M10" s="719"/>
    </row>
    <row r="11" spans="1:13" s="548" customFormat="1">
      <c r="A11" s="509">
        <v>1</v>
      </c>
      <c r="B11" s="563" t="s">
        <v>211</v>
      </c>
      <c r="C11" s="528" t="s">
        <v>367</v>
      </c>
      <c r="D11" s="492" t="s">
        <v>131</v>
      </c>
      <c r="E11" s="721"/>
      <c r="F11" s="721">
        <v>1</v>
      </c>
      <c r="G11" s="721"/>
      <c r="H11" s="721"/>
      <c r="I11" s="721"/>
      <c r="J11" s="721"/>
      <c r="K11" s="721"/>
      <c r="L11" s="721"/>
      <c r="M11" s="721"/>
    </row>
    <row r="12" spans="1:13" s="548" customFormat="1">
      <c r="A12" s="742"/>
      <c r="B12" s="743"/>
      <c r="C12" s="938" t="s">
        <v>197</v>
      </c>
      <c r="D12" s="742" t="s">
        <v>63</v>
      </c>
      <c r="E12" s="722">
        <v>3</v>
      </c>
      <c r="F12" s="722">
        <f>F11*E12</f>
        <v>3</v>
      </c>
      <c r="G12" s="748"/>
      <c r="H12" s="748"/>
      <c r="I12" s="748"/>
      <c r="J12" s="722"/>
      <c r="K12" s="722"/>
      <c r="L12" s="722"/>
      <c r="M12" s="722"/>
    </row>
    <row r="13" spans="1:13" s="548" customFormat="1">
      <c r="A13" s="742"/>
      <c r="B13" s="743"/>
      <c r="C13" s="773" t="s">
        <v>31</v>
      </c>
      <c r="D13" s="494" t="s">
        <v>46</v>
      </c>
      <c r="E13" s="722">
        <v>0.12</v>
      </c>
      <c r="F13" s="722">
        <f>F11*E13</f>
        <v>0.12</v>
      </c>
      <c r="G13" s="722"/>
      <c r="H13" s="722"/>
      <c r="I13" s="722"/>
      <c r="J13" s="722"/>
      <c r="K13" s="722"/>
      <c r="L13" s="722"/>
      <c r="M13" s="722"/>
    </row>
    <row r="14" spans="1:13" s="548" customFormat="1">
      <c r="A14" s="382"/>
      <c r="B14" s="494" t="s">
        <v>723</v>
      </c>
      <c r="C14" s="541" t="s">
        <v>368</v>
      </c>
      <c r="D14" s="494" t="s">
        <v>131</v>
      </c>
      <c r="E14" s="722">
        <v>1</v>
      </c>
      <c r="F14" s="722">
        <f>F11*E14</f>
        <v>1</v>
      </c>
      <c r="G14" s="722"/>
      <c r="H14" s="722"/>
      <c r="I14" s="722"/>
      <c r="J14" s="722"/>
      <c r="K14" s="722"/>
      <c r="L14" s="722"/>
      <c r="M14" s="722"/>
    </row>
    <row r="15" spans="1:13" s="548" customFormat="1">
      <c r="A15" s="742"/>
      <c r="B15" s="743"/>
      <c r="C15" s="773" t="s">
        <v>161</v>
      </c>
      <c r="D15" s="494" t="s">
        <v>46</v>
      </c>
      <c r="E15" s="722">
        <v>2.5499999999999998</v>
      </c>
      <c r="F15" s="722">
        <f>F11*E15</f>
        <v>2.5499999999999998</v>
      </c>
      <c r="G15" s="722"/>
      <c r="H15" s="722"/>
      <c r="I15" s="722"/>
      <c r="J15" s="722"/>
      <c r="K15" s="722"/>
      <c r="L15" s="722"/>
      <c r="M15" s="722"/>
    </row>
    <row r="16" spans="1:13" s="548" customFormat="1">
      <c r="A16" s="939">
        <v>2</v>
      </c>
      <c r="B16" s="940" t="s">
        <v>407</v>
      </c>
      <c r="C16" s="941" t="s">
        <v>369</v>
      </c>
      <c r="D16" s="939" t="s">
        <v>131</v>
      </c>
      <c r="E16" s="721"/>
      <c r="F16" s="721">
        <v>1</v>
      </c>
      <c r="G16" s="776"/>
      <c r="H16" s="776"/>
      <c r="I16" s="776"/>
      <c r="J16" s="721"/>
      <c r="K16" s="721"/>
      <c r="L16" s="721"/>
      <c r="M16" s="721"/>
    </row>
    <row r="17" spans="1:147" s="548" customFormat="1">
      <c r="A17" s="742"/>
      <c r="B17" s="743"/>
      <c r="C17" s="938" t="s">
        <v>197</v>
      </c>
      <c r="D17" s="742" t="s">
        <v>63</v>
      </c>
      <c r="E17" s="722">
        <v>1</v>
      </c>
      <c r="F17" s="722">
        <f>F16*E17</f>
        <v>1</v>
      </c>
      <c r="G17" s="748"/>
      <c r="H17" s="748"/>
      <c r="I17" s="748"/>
      <c r="J17" s="722"/>
      <c r="K17" s="722"/>
      <c r="L17" s="722"/>
      <c r="M17" s="722"/>
    </row>
    <row r="18" spans="1:147" s="548" customFormat="1">
      <c r="A18" s="742"/>
      <c r="B18" s="743"/>
      <c r="C18" s="773" t="s">
        <v>31</v>
      </c>
      <c r="D18" s="494" t="s">
        <v>46</v>
      </c>
      <c r="E18" s="722">
        <v>0.05</v>
      </c>
      <c r="F18" s="722">
        <f>F16*E18</f>
        <v>0.05</v>
      </c>
      <c r="G18" s="722"/>
      <c r="H18" s="722"/>
      <c r="I18" s="722"/>
      <c r="J18" s="722"/>
      <c r="K18" s="722"/>
      <c r="L18" s="722"/>
      <c r="M18" s="722"/>
    </row>
    <row r="19" spans="1:147" s="548" customFormat="1">
      <c r="A19" s="382"/>
      <c r="B19" s="494" t="s">
        <v>724</v>
      </c>
      <c r="C19" s="757" t="s">
        <v>212</v>
      </c>
      <c r="D19" s="494" t="s">
        <v>98</v>
      </c>
      <c r="E19" s="722" t="s">
        <v>205</v>
      </c>
      <c r="F19" s="722">
        <f>F16</f>
        <v>1</v>
      </c>
      <c r="G19" s="722"/>
      <c r="H19" s="722"/>
      <c r="I19" s="722"/>
      <c r="J19" s="722"/>
      <c r="K19" s="722"/>
      <c r="L19" s="722"/>
      <c r="M19" s="722"/>
    </row>
    <row r="20" spans="1:147" s="548" customFormat="1">
      <c r="A20" s="742"/>
      <c r="B20" s="743"/>
      <c r="C20" s="773" t="s">
        <v>161</v>
      </c>
      <c r="D20" s="494" t="s">
        <v>46</v>
      </c>
      <c r="E20" s="722">
        <v>1.07</v>
      </c>
      <c r="F20" s="722">
        <f>F16*E20</f>
        <v>1.07</v>
      </c>
      <c r="G20" s="722"/>
      <c r="H20" s="722"/>
      <c r="I20" s="722"/>
      <c r="J20" s="722"/>
      <c r="K20" s="722"/>
      <c r="L20" s="722"/>
      <c r="M20" s="722"/>
    </row>
    <row r="21" spans="1:147" s="548" customFormat="1">
      <c r="A21" s="939">
        <v>3</v>
      </c>
      <c r="B21" s="940" t="s">
        <v>407</v>
      </c>
      <c r="C21" s="941" t="s">
        <v>213</v>
      </c>
      <c r="D21" s="939" t="s">
        <v>131</v>
      </c>
      <c r="E21" s="721"/>
      <c r="F21" s="721">
        <v>4</v>
      </c>
      <c r="G21" s="776"/>
      <c r="H21" s="776"/>
      <c r="I21" s="776"/>
      <c r="J21" s="721"/>
      <c r="K21" s="721"/>
      <c r="L21" s="721"/>
      <c r="M21" s="721"/>
    </row>
    <row r="22" spans="1:147" s="548" customFormat="1">
      <c r="A22" s="742"/>
      <c r="B22" s="743"/>
      <c r="C22" s="938" t="s">
        <v>197</v>
      </c>
      <c r="D22" s="742" t="s">
        <v>63</v>
      </c>
      <c r="E22" s="722">
        <v>1</v>
      </c>
      <c r="F22" s="722">
        <f>F21*E22</f>
        <v>4</v>
      </c>
      <c r="G22" s="748"/>
      <c r="H22" s="748"/>
      <c r="I22" s="748"/>
      <c r="J22" s="722"/>
      <c r="K22" s="722"/>
      <c r="L22" s="722"/>
      <c r="M22" s="722"/>
    </row>
    <row r="23" spans="1:147" s="548" customFormat="1">
      <c r="A23" s="742"/>
      <c r="B23" s="743"/>
      <c r="C23" s="773" t="s">
        <v>31</v>
      </c>
      <c r="D23" s="494" t="s">
        <v>46</v>
      </c>
      <c r="E23" s="722">
        <v>0.05</v>
      </c>
      <c r="F23" s="722">
        <f>F21*E23</f>
        <v>0.2</v>
      </c>
      <c r="G23" s="722"/>
      <c r="H23" s="722"/>
      <c r="I23" s="722"/>
      <c r="J23" s="722"/>
      <c r="K23" s="722"/>
      <c r="L23" s="722"/>
      <c r="M23" s="722"/>
    </row>
    <row r="24" spans="1:147" s="548" customFormat="1">
      <c r="A24" s="382"/>
      <c r="B24" s="494" t="s">
        <v>725</v>
      </c>
      <c r="C24" s="757" t="s">
        <v>214</v>
      </c>
      <c r="D24" s="494" t="s">
        <v>131</v>
      </c>
      <c r="E24" s="722" t="s">
        <v>205</v>
      </c>
      <c r="F24" s="722">
        <f>F21</f>
        <v>4</v>
      </c>
      <c r="G24" s="722"/>
      <c r="H24" s="722"/>
      <c r="I24" s="722"/>
      <c r="J24" s="722"/>
      <c r="K24" s="722"/>
      <c r="L24" s="722"/>
      <c r="M24" s="722"/>
    </row>
    <row r="25" spans="1:147" s="548" customFormat="1">
      <c r="A25" s="742"/>
      <c r="B25" s="743"/>
      <c r="C25" s="773" t="s">
        <v>161</v>
      </c>
      <c r="D25" s="494" t="s">
        <v>46</v>
      </c>
      <c r="E25" s="722">
        <v>1.07</v>
      </c>
      <c r="F25" s="722">
        <f>F21*E25</f>
        <v>4.28</v>
      </c>
      <c r="G25" s="722"/>
      <c r="H25" s="722"/>
      <c r="I25" s="722"/>
      <c r="J25" s="722"/>
      <c r="K25" s="722"/>
      <c r="L25" s="722"/>
      <c r="M25" s="722"/>
    </row>
    <row r="26" spans="1:147" s="548" customFormat="1">
      <c r="A26" s="492">
        <v>4</v>
      </c>
      <c r="B26" s="627" t="s">
        <v>215</v>
      </c>
      <c r="C26" s="787" t="s">
        <v>216</v>
      </c>
      <c r="D26" s="492" t="s">
        <v>131</v>
      </c>
      <c r="E26" s="721"/>
      <c r="F26" s="721">
        <v>1</v>
      </c>
      <c r="G26" s="721"/>
      <c r="H26" s="721"/>
      <c r="I26" s="721"/>
      <c r="J26" s="721"/>
      <c r="K26" s="721"/>
      <c r="L26" s="721"/>
      <c r="M26" s="721"/>
    </row>
    <row r="27" spans="1:147" s="717" customFormat="1">
      <c r="A27" s="742"/>
      <c r="B27" s="743"/>
      <c r="C27" s="938" t="s">
        <v>197</v>
      </c>
      <c r="D27" s="742" t="s">
        <v>63</v>
      </c>
      <c r="E27" s="722">
        <f>22/100</f>
        <v>0.22</v>
      </c>
      <c r="F27" s="722">
        <f>E27*F26</f>
        <v>0.22</v>
      </c>
      <c r="G27" s="748"/>
      <c r="H27" s="748"/>
      <c r="I27" s="748"/>
      <c r="J27" s="722"/>
      <c r="K27" s="722"/>
      <c r="L27" s="722"/>
      <c r="M27" s="722"/>
      <c r="N27" s="732"/>
      <c r="O27" s="732"/>
      <c r="P27" s="732"/>
      <c r="Q27" s="732"/>
      <c r="R27" s="732"/>
      <c r="S27" s="732"/>
      <c r="T27" s="732"/>
      <c r="U27" s="732"/>
      <c r="V27" s="732"/>
      <c r="W27" s="732"/>
      <c r="X27" s="732"/>
      <c r="Y27" s="732"/>
      <c r="Z27" s="732"/>
      <c r="AA27" s="732"/>
      <c r="AB27" s="732"/>
      <c r="AC27" s="732"/>
      <c r="AD27" s="732"/>
      <c r="AE27" s="732"/>
      <c r="AF27" s="732"/>
      <c r="AG27" s="732"/>
      <c r="AH27" s="732"/>
      <c r="AI27" s="732"/>
      <c r="AJ27" s="732"/>
      <c r="AK27" s="732"/>
      <c r="AL27" s="732"/>
      <c r="AM27" s="732"/>
      <c r="AN27" s="732"/>
      <c r="AO27" s="732"/>
      <c r="AP27" s="732"/>
      <c r="AQ27" s="732"/>
      <c r="AR27" s="732"/>
      <c r="AS27" s="732"/>
      <c r="AT27" s="732"/>
      <c r="AU27" s="732"/>
      <c r="AV27" s="732"/>
      <c r="AW27" s="732"/>
      <c r="AX27" s="732"/>
      <c r="AY27" s="732"/>
      <c r="AZ27" s="732"/>
      <c r="BA27" s="732"/>
      <c r="BB27" s="732"/>
      <c r="BC27" s="732"/>
      <c r="BD27" s="732"/>
      <c r="BE27" s="732"/>
      <c r="BF27" s="732"/>
      <c r="BG27" s="732"/>
      <c r="BH27" s="732"/>
      <c r="BI27" s="732"/>
      <c r="BJ27" s="732"/>
      <c r="BK27" s="732"/>
      <c r="BL27" s="732"/>
      <c r="BM27" s="732"/>
      <c r="BN27" s="732"/>
      <c r="BO27" s="732"/>
      <c r="BP27" s="732"/>
      <c r="BQ27" s="732"/>
      <c r="BR27" s="732"/>
      <c r="BS27" s="732"/>
      <c r="BT27" s="732"/>
      <c r="BU27" s="732"/>
      <c r="BV27" s="732"/>
      <c r="BW27" s="732"/>
      <c r="BX27" s="732"/>
      <c r="BY27" s="732"/>
      <c r="BZ27" s="732"/>
      <c r="CA27" s="732"/>
      <c r="CB27" s="732"/>
      <c r="CC27" s="732"/>
      <c r="CD27" s="732"/>
      <c r="CE27" s="732"/>
      <c r="CF27" s="732"/>
      <c r="CG27" s="732"/>
      <c r="CH27" s="732"/>
      <c r="CI27" s="732"/>
      <c r="CJ27" s="732"/>
      <c r="CK27" s="732"/>
      <c r="CL27" s="732"/>
      <c r="CM27" s="732"/>
      <c r="CN27" s="732"/>
      <c r="CO27" s="732"/>
      <c r="CP27" s="732"/>
      <c r="CQ27" s="732"/>
      <c r="CR27" s="732"/>
      <c r="CS27" s="732"/>
      <c r="CT27" s="732"/>
      <c r="CU27" s="732"/>
      <c r="CV27" s="732"/>
      <c r="CW27" s="732"/>
      <c r="CX27" s="732"/>
      <c r="CY27" s="732"/>
      <c r="CZ27" s="732"/>
      <c r="DA27" s="732"/>
      <c r="DB27" s="732"/>
      <c r="DC27" s="732"/>
      <c r="DD27" s="732"/>
      <c r="DE27" s="732"/>
      <c r="DF27" s="732"/>
      <c r="DG27" s="732"/>
      <c r="DH27" s="732"/>
      <c r="DI27" s="732"/>
      <c r="DJ27" s="732"/>
      <c r="DK27" s="732"/>
      <c r="DL27" s="732"/>
      <c r="DM27" s="732"/>
      <c r="DN27" s="732"/>
      <c r="DO27" s="732"/>
      <c r="DP27" s="732"/>
      <c r="DQ27" s="732"/>
      <c r="DR27" s="732"/>
      <c r="DS27" s="732"/>
      <c r="DT27" s="732"/>
      <c r="DU27" s="732"/>
      <c r="DV27" s="732"/>
      <c r="DW27" s="732"/>
      <c r="DX27" s="732"/>
      <c r="DY27" s="732"/>
      <c r="DZ27" s="732"/>
      <c r="EA27" s="732"/>
      <c r="EB27" s="732"/>
      <c r="EC27" s="732"/>
      <c r="ED27" s="732"/>
      <c r="EE27" s="732"/>
      <c r="EF27" s="732"/>
      <c r="EG27" s="732"/>
      <c r="EH27" s="732"/>
      <c r="EI27" s="732"/>
      <c r="EJ27" s="732"/>
      <c r="EK27" s="732"/>
      <c r="EL27" s="732"/>
      <c r="EM27" s="732"/>
      <c r="EN27" s="732"/>
      <c r="EO27" s="732"/>
      <c r="EP27" s="732"/>
      <c r="EQ27" s="732"/>
    </row>
    <row r="28" spans="1:147" s="717" customFormat="1">
      <c r="A28" s="494"/>
      <c r="B28" s="635"/>
      <c r="C28" s="754" t="s">
        <v>31</v>
      </c>
      <c r="D28" s="494" t="s">
        <v>46</v>
      </c>
      <c r="E28" s="727">
        <f>0.2/100</f>
        <v>2E-3</v>
      </c>
      <c r="F28" s="722">
        <f>E28*F26</f>
        <v>2E-3</v>
      </c>
      <c r="G28" s="392"/>
      <c r="H28" s="722"/>
      <c r="I28" s="722"/>
      <c r="J28" s="722"/>
      <c r="K28" s="748"/>
      <c r="L28" s="722"/>
      <c r="M28" s="72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  <c r="AM28" s="732"/>
      <c r="AN28" s="732"/>
      <c r="AO28" s="732"/>
      <c r="AP28" s="732"/>
      <c r="AQ28" s="732"/>
      <c r="AR28" s="732"/>
      <c r="AS28" s="732"/>
      <c r="AT28" s="732"/>
      <c r="AU28" s="732"/>
      <c r="AV28" s="732"/>
      <c r="AW28" s="732"/>
      <c r="AX28" s="732"/>
      <c r="AY28" s="732"/>
      <c r="AZ28" s="732"/>
      <c r="BA28" s="732"/>
      <c r="BB28" s="732"/>
      <c r="BC28" s="732"/>
      <c r="BD28" s="732"/>
      <c r="BE28" s="732"/>
      <c r="BF28" s="732"/>
      <c r="BG28" s="732"/>
      <c r="BH28" s="732"/>
      <c r="BI28" s="732"/>
      <c r="BJ28" s="732"/>
      <c r="BK28" s="732"/>
      <c r="BL28" s="732"/>
      <c r="BM28" s="732"/>
      <c r="BN28" s="732"/>
      <c r="BO28" s="732"/>
      <c r="BP28" s="732"/>
      <c r="BQ28" s="732"/>
      <c r="BR28" s="732"/>
      <c r="BS28" s="732"/>
      <c r="BT28" s="732"/>
      <c r="BU28" s="732"/>
      <c r="BV28" s="732"/>
      <c r="BW28" s="732"/>
      <c r="BX28" s="732"/>
      <c r="BY28" s="732"/>
      <c r="BZ28" s="732"/>
      <c r="CA28" s="732"/>
      <c r="CB28" s="732"/>
      <c r="CC28" s="732"/>
      <c r="CD28" s="732"/>
      <c r="CE28" s="732"/>
      <c r="CF28" s="732"/>
      <c r="CG28" s="732"/>
      <c r="CH28" s="732"/>
      <c r="CI28" s="732"/>
      <c r="CJ28" s="732"/>
      <c r="CK28" s="732"/>
      <c r="CL28" s="732"/>
      <c r="CM28" s="732"/>
      <c r="CN28" s="732"/>
      <c r="CO28" s="732"/>
      <c r="CP28" s="732"/>
      <c r="CQ28" s="732"/>
      <c r="CR28" s="732"/>
      <c r="CS28" s="732"/>
      <c r="CT28" s="732"/>
      <c r="CU28" s="732"/>
      <c r="CV28" s="732"/>
      <c r="CW28" s="732"/>
      <c r="CX28" s="732"/>
      <c r="CY28" s="732"/>
      <c r="CZ28" s="732"/>
      <c r="DA28" s="732"/>
      <c r="DB28" s="732"/>
      <c r="DC28" s="732"/>
      <c r="DD28" s="732"/>
      <c r="DE28" s="732"/>
      <c r="DF28" s="732"/>
      <c r="DG28" s="732"/>
      <c r="DH28" s="732"/>
      <c r="DI28" s="732"/>
      <c r="DJ28" s="732"/>
      <c r="DK28" s="732"/>
      <c r="DL28" s="732"/>
      <c r="DM28" s="732"/>
      <c r="DN28" s="732"/>
      <c r="DO28" s="732"/>
      <c r="DP28" s="732"/>
      <c r="DQ28" s="732"/>
      <c r="DR28" s="732"/>
      <c r="DS28" s="732"/>
      <c r="DT28" s="732"/>
      <c r="DU28" s="732"/>
      <c r="DV28" s="732"/>
      <c r="DW28" s="732"/>
      <c r="DX28" s="732"/>
      <c r="DY28" s="732"/>
      <c r="DZ28" s="732"/>
      <c r="EA28" s="732"/>
      <c r="EB28" s="732"/>
      <c r="EC28" s="732"/>
      <c r="ED28" s="732"/>
      <c r="EE28" s="732"/>
      <c r="EF28" s="732"/>
      <c r="EG28" s="732"/>
      <c r="EH28" s="732"/>
      <c r="EI28" s="732"/>
      <c r="EJ28" s="732"/>
      <c r="EK28" s="732"/>
      <c r="EL28" s="732"/>
      <c r="EM28" s="732"/>
      <c r="EN28" s="732"/>
      <c r="EO28" s="732"/>
      <c r="EP28" s="732"/>
      <c r="EQ28" s="732"/>
    </row>
    <row r="29" spans="1:147" s="717" customFormat="1">
      <c r="A29" s="382"/>
      <c r="B29" s="494" t="s">
        <v>726</v>
      </c>
      <c r="C29" s="687" t="s">
        <v>217</v>
      </c>
      <c r="D29" s="494" t="s">
        <v>131</v>
      </c>
      <c r="E29" s="722">
        <f>100/100</f>
        <v>1</v>
      </c>
      <c r="F29" s="722">
        <f>E29*F26</f>
        <v>1</v>
      </c>
      <c r="G29" s="722"/>
      <c r="H29" s="722"/>
      <c r="I29" s="722"/>
      <c r="J29" s="722"/>
      <c r="K29" s="722"/>
      <c r="L29" s="722"/>
      <c r="M29" s="722"/>
      <c r="N29" s="732"/>
      <c r="O29" s="732"/>
      <c r="P29" s="732"/>
      <c r="Q29" s="732"/>
      <c r="R29" s="732"/>
      <c r="S29" s="732"/>
      <c r="T29" s="732"/>
      <c r="U29" s="732"/>
      <c r="V29" s="732"/>
      <c r="W29" s="732"/>
      <c r="X29" s="732"/>
      <c r="Y29" s="732"/>
      <c r="Z29" s="732"/>
      <c r="AA29" s="732"/>
      <c r="AB29" s="732"/>
      <c r="AC29" s="732"/>
      <c r="AD29" s="732"/>
      <c r="AE29" s="732"/>
      <c r="AF29" s="732"/>
      <c r="AG29" s="732"/>
      <c r="AH29" s="732"/>
      <c r="AI29" s="732"/>
      <c r="AJ29" s="732"/>
      <c r="AK29" s="732"/>
      <c r="AL29" s="732"/>
      <c r="AM29" s="732"/>
      <c r="AN29" s="732"/>
      <c r="AO29" s="732"/>
      <c r="AP29" s="732"/>
      <c r="AQ29" s="732"/>
      <c r="AR29" s="732"/>
      <c r="AS29" s="732"/>
      <c r="AT29" s="732"/>
      <c r="AU29" s="732"/>
      <c r="AV29" s="732"/>
      <c r="AW29" s="732"/>
      <c r="AX29" s="732"/>
      <c r="AY29" s="732"/>
      <c r="AZ29" s="732"/>
      <c r="BA29" s="732"/>
      <c r="BB29" s="732"/>
      <c r="BC29" s="732"/>
      <c r="BD29" s="732"/>
      <c r="BE29" s="732"/>
      <c r="BF29" s="732"/>
      <c r="BG29" s="732"/>
      <c r="BH29" s="732"/>
      <c r="BI29" s="732"/>
      <c r="BJ29" s="732"/>
      <c r="BK29" s="732"/>
      <c r="BL29" s="732"/>
      <c r="BM29" s="732"/>
      <c r="BN29" s="732"/>
      <c r="BO29" s="732"/>
      <c r="BP29" s="732"/>
      <c r="BQ29" s="732"/>
      <c r="BR29" s="732"/>
      <c r="BS29" s="732"/>
      <c r="BT29" s="732"/>
      <c r="BU29" s="732"/>
      <c r="BV29" s="732"/>
      <c r="BW29" s="732"/>
      <c r="BX29" s="732"/>
      <c r="BY29" s="732"/>
      <c r="BZ29" s="732"/>
      <c r="CA29" s="732"/>
      <c r="CB29" s="732"/>
      <c r="CC29" s="732"/>
      <c r="CD29" s="732"/>
      <c r="CE29" s="732"/>
      <c r="CF29" s="732"/>
      <c r="CG29" s="732"/>
      <c r="CH29" s="732"/>
      <c r="CI29" s="732"/>
      <c r="CJ29" s="732"/>
      <c r="CK29" s="732"/>
      <c r="CL29" s="732"/>
      <c r="CM29" s="732"/>
      <c r="CN29" s="732"/>
      <c r="CO29" s="732"/>
      <c r="CP29" s="732"/>
      <c r="CQ29" s="732"/>
      <c r="CR29" s="732"/>
      <c r="CS29" s="732"/>
      <c r="CT29" s="732"/>
      <c r="CU29" s="732"/>
      <c r="CV29" s="732"/>
      <c r="CW29" s="732"/>
      <c r="CX29" s="732"/>
      <c r="CY29" s="732"/>
      <c r="CZ29" s="732"/>
      <c r="DA29" s="732"/>
      <c r="DB29" s="732"/>
      <c r="DC29" s="732"/>
      <c r="DD29" s="732"/>
      <c r="DE29" s="732"/>
      <c r="DF29" s="732"/>
      <c r="DG29" s="732"/>
      <c r="DH29" s="732"/>
      <c r="DI29" s="732"/>
      <c r="DJ29" s="732"/>
      <c r="DK29" s="732"/>
      <c r="DL29" s="732"/>
      <c r="DM29" s="732"/>
      <c r="DN29" s="732"/>
      <c r="DO29" s="732"/>
      <c r="DP29" s="732"/>
      <c r="DQ29" s="732"/>
      <c r="DR29" s="732"/>
      <c r="DS29" s="732"/>
      <c r="DT29" s="732"/>
      <c r="DU29" s="732"/>
      <c r="DV29" s="732"/>
      <c r="DW29" s="732"/>
      <c r="DX29" s="732"/>
      <c r="DY29" s="732"/>
      <c r="DZ29" s="732"/>
      <c r="EA29" s="732"/>
      <c r="EB29" s="732"/>
      <c r="EC29" s="732"/>
      <c r="ED29" s="732"/>
      <c r="EE29" s="732"/>
      <c r="EF29" s="732"/>
      <c r="EG29" s="732"/>
      <c r="EH29" s="732"/>
      <c r="EI29" s="732"/>
      <c r="EJ29" s="732"/>
      <c r="EK29" s="732"/>
      <c r="EL29" s="732"/>
      <c r="EM29" s="732"/>
      <c r="EN29" s="732"/>
      <c r="EO29" s="732"/>
      <c r="EP29" s="732"/>
      <c r="EQ29" s="732"/>
    </row>
    <row r="30" spans="1:147" s="717" customFormat="1">
      <c r="A30" s="494"/>
      <c r="B30" s="635"/>
      <c r="C30" s="726" t="s">
        <v>201</v>
      </c>
      <c r="D30" s="494" t="s">
        <v>46</v>
      </c>
      <c r="E30" s="727">
        <f>8.28/100</f>
        <v>8.2799999999999999E-2</v>
      </c>
      <c r="F30" s="722">
        <f>E30*F26</f>
        <v>8.2799999999999999E-2</v>
      </c>
      <c r="G30" s="392"/>
      <c r="H30" s="722"/>
      <c r="I30" s="722"/>
      <c r="J30" s="722"/>
      <c r="K30" s="722"/>
      <c r="L30" s="722"/>
      <c r="M30" s="722"/>
      <c r="N30" s="732"/>
      <c r="O30" s="732"/>
      <c r="P30" s="732"/>
      <c r="Q30" s="732"/>
      <c r="R30" s="732"/>
      <c r="S30" s="732"/>
      <c r="T30" s="732"/>
      <c r="U30" s="732"/>
      <c r="V30" s="732"/>
      <c r="W30" s="732"/>
      <c r="X30" s="732"/>
      <c r="Y30" s="732"/>
      <c r="Z30" s="732"/>
      <c r="AA30" s="732"/>
      <c r="AB30" s="732"/>
      <c r="AC30" s="732"/>
      <c r="AD30" s="732"/>
      <c r="AE30" s="732"/>
      <c r="AF30" s="732"/>
      <c r="AG30" s="732"/>
      <c r="AH30" s="732"/>
      <c r="AI30" s="732"/>
      <c r="AJ30" s="732"/>
      <c r="AK30" s="732"/>
      <c r="AL30" s="732"/>
      <c r="AM30" s="732"/>
      <c r="AN30" s="732"/>
      <c r="AO30" s="732"/>
      <c r="AP30" s="732"/>
      <c r="AQ30" s="732"/>
      <c r="AR30" s="732"/>
      <c r="AS30" s="732"/>
      <c r="AT30" s="732"/>
      <c r="AU30" s="732"/>
      <c r="AV30" s="732"/>
      <c r="AW30" s="732"/>
      <c r="AX30" s="732"/>
      <c r="AY30" s="732"/>
      <c r="AZ30" s="732"/>
      <c r="BA30" s="732"/>
      <c r="BB30" s="732"/>
      <c r="BC30" s="732"/>
      <c r="BD30" s="732"/>
      <c r="BE30" s="732"/>
      <c r="BF30" s="732"/>
      <c r="BG30" s="732"/>
      <c r="BH30" s="732"/>
      <c r="BI30" s="732"/>
      <c r="BJ30" s="732"/>
      <c r="BK30" s="732"/>
      <c r="BL30" s="732"/>
      <c r="BM30" s="732"/>
      <c r="BN30" s="732"/>
      <c r="BO30" s="732"/>
      <c r="BP30" s="732"/>
      <c r="BQ30" s="732"/>
      <c r="BR30" s="732"/>
      <c r="BS30" s="732"/>
      <c r="BT30" s="732"/>
      <c r="BU30" s="732"/>
      <c r="BV30" s="732"/>
      <c r="BW30" s="732"/>
      <c r="BX30" s="732"/>
      <c r="BY30" s="732"/>
      <c r="BZ30" s="732"/>
      <c r="CA30" s="732"/>
      <c r="CB30" s="732"/>
      <c r="CC30" s="732"/>
      <c r="CD30" s="732"/>
      <c r="CE30" s="732"/>
      <c r="CF30" s="732"/>
      <c r="CG30" s="732"/>
      <c r="CH30" s="732"/>
      <c r="CI30" s="732"/>
      <c r="CJ30" s="732"/>
      <c r="CK30" s="732"/>
      <c r="CL30" s="732"/>
      <c r="CM30" s="732"/>
      <c r="CN30" s="732"/>
      <c r="CO30" s="732"/>
      <c r="CP30" s="732"/>
      <c r="CQ30" s="732"/>
      <c r="CR30" s="732"/>
      <c r="CS30" s="732"/>
      <c r="CT30" s="732"/>
      <c r="CU30" s="732"/>
      <c r="CV30" s="732"/>
      <c r="CW30" s="732"/>
      <c r="CX30" s="732"/>
      <c r="CY30" s="732"/>
      <c r="CZ30" s="732"/>
      <c r="DA30" s="732"/>
      <c r="DB30" s="732"/>
      <c r="DC30" s="732"/>
      <c r="DD30" s="732"/>
      <c r="DE30" s="732"/>
      <c r="DF30" s="732"/>
      <c r="DG30" s="732"/>
      <c r="DH30" s="732"/>
      <c r="DI30" s="732"/>
      <c r="DJ30" s="732"/>
      <c r="DK30" s="732"/>
      <c r="DL30" s="732"/>
      <c r="DM30" s="732"/>
      <c r="DN30" s="732"/>
      <c r="DO30" s="732"/>
      <c r="DP30" s="732"/>
      <c r="DQ30" s="732"/>
      <c r="DR30" s="732"/>
      <c r="DS30" s="732"/>
      <c r="DT30" s="732"/>
      <c r="DU30" s="732"/>
      <c r="DV30" s="732"/>
      <c r="DW30" s="732"/>
      <c r="DX30" s="732"/>
      <c r="DY30" s="732"/>
      <c r="DZ30" s="732"/>
      <c r="EA30" s="732"/>
      <c r="EB30" s="732"/>
      <c r="EC30" s="732"/>
      <c r="ED30" s="732"/>
      <c r="EE30" s="732"/>
      <c r="EF30" s="732"/>
      <c r="EG30" s="732"/>
      <c r="EH30" s="732"/>
      <c r="EI30" s="732"/>
      <c r="EJ30" s="732"/>
      <c r="EK30" s="732"/>
      <c r="EL30" s="732"/>
      <c r="EM30" s="732"/>
      <c r="EN30" s="732"/>
      <c r="EO30" s="732"/>
      <c r="EP30" s="732"/>
      <c r="EQ30" s="732"/>
    </row>
    <row r="31" spans="1:147" s="717" customFormat="1">
      <c r="A31" s="509">
        <v>5</v>
      </c>
      <c r="B31" s="563" t="s">
        <v>203</v>
      </c>
      <c r="C31" s="528" t="s">
        <v>218</v>
      </c>
      <c r="D31" s="492" t="s">
        <v>131</v>
      </c>
      <c r="E31" s="721"/>
      <c r="F31" s="721">
        <v>1</v>
      </c>
      <c r="G31" s="721"/>
      <c r="H31" s="721"/>
      <c r="I31" s="721"/>
      <c r="J31" s="721"/>
      <c r="K31" s="721"/>
      <c r="L31" s="721"/>
      <c r="M31" s="721"/>
      <c r="N31" s="732"/>
      <c r="O31" s="732"/>
      <c r="P31" s="732"/>
      <c r="Q31" s="732"/>
      <c r="R31" s="732"/>
      <c r="S31" s="732"/>
      <c r="T31" s="732"/>
      <c r="U31" s="732"/>
      <c r="V31" s="732"/>
      <c r="W31" s="732"/>
      <c r="X31" s="732"/>
      <c r="Y31" s="732"/>
      <c r="Z31" s="732"/>
      <c r="AA31" s="732"/>
      <c r="AB31" s="732"/>
      <c r="AC31" s="732"/>
      <c r="AD31" s="732"/>
      <c r="AE31" s="732"/>
      <c r="AF31" s="732"/>
      <c r="AG31" s="732"/>
      <c r="AH31" s="732"/>
      <c r="AI31" s="732"/>
      <c r="AJ31" s="732"/>
      <c r="AK31" s="732"/>
      <c r="AL31" s="732"/>
      <c r="AM31" s="732"/>
      <c r="AN31" s="732"/>
      <c r="AO31" s="732"/>
      <c r="AP31" s="732"/>
      <c r="AQ31" s="732"/>
      <c r="AR31" s="732"/>
      <c r="AS31" s="732"/>
      <c r="AT31" s="732"/>
      <c r="AU31" s="732"/>
      <c r="AV31" s="732"/>
      <c r="AW31" s="732"/>
      <c r="AX31" s="732"/>
      <c r="AY31" s="732"/>
      <c r="AZ31" s="732"/>
      <c r="BA31" s="732"/>
      <c r="BB31" s="732"/>
      <c r="BC31" s="732"/>
      <c r="BD31" s="732"/>
      <c r="BE31" s="732"/>
      <c r="BF31" s="732"/>
      <c r="BG31" s="732"/>
      <c r="BH31" s="732"/>
      <c r="BI31" s="732"/>
      <c r="BJ31" s="732"/>
      <c r="BK31" s="732"/>
      <c r="BL31" s="732"/>
      <c r="BM31" s="732"/>
      <c r="BN31" s="732"/>
      <c r="BO31" s="732"/>
      <c r="BP31" s="732"/>
      <c r="BQ31" s="732"/>
      <c r="BR31" s="732"/>
      <c r="BS31" s="732"/>
      <c r="BT31" s="732"/>
      <c r="BU31" s="732"/>
      <c r="BV31" s="732"/>
      <c r="BW31" s="732"/>
      <c r="BX31" s="732"/>
      <c r="BY31" s="732"/>
      <c r="BZ31" s="732"/>
      <c r="CA31" s="732"/>
      <c r="CB31" s="732"/>
      <c r="CC31" s="732"/>
      <c r="CD31" s="732"/>
      <c r="CE31" s="732"/>
      <c r="CF31" s="732"/>
      <c r="CG31" s="732"/>
      <c r="CH31" s="732"/>
      <c r="CI31" s="732"/>
      <c r="CJ31" s="732"/>
      <c r="CK31" s="732"/>
      <c r="CL31" s="732"/>
      <c r="CM31" s="732"/>
      <c r="CN31" s="732"/>
      <c r="CO31" s="732"/>
      <c r="CP31" s="732"/>
      <c r="CQ31" s="732"/>
      <c r="CR31" s="732"/>
      <c r="CS31" s="732"/>
      <c r="CT31" s="732"/>
      <c r="CU31" s="732"/>
      <c r="CV31" s="732"/>
      <c r="CW31" s="732"/>
      <c r="CX31" s="732"/>
      <c r="CY31" s="732"/>
      <c r="CZ31" s="732"/>
      <c r="DA31" s="732"/>
      <c r="DB31" s="732"/>
      <c r="DC31" s="732"/>
      <c r="DD31" s="732"/>
      <c r="DE31" s="732"/>
      <c r="DF31" s="732"/>
      <c r="DG31" s="732"/>
      <c r="DH31" s="732"/>
      <c r="DI31" s="732"/>
      <c r="DJ31" s="732"/>
      <c r="DK31" s="732"/>
      <c r="DL31" s="732"/>
      <c r="DM31" s="732"/>
      <c r="DN31" s="732"/>
      <c r="DO31" s="732"/>
      <c r="DP31" s="732"/>
      <c r="DQ31" s="732"/>
      <c r="DR31" s="732"/>
      <c r="DS31" s="732"/>
      <c r="DT31" s="732"/>
      <c r="DU31" s="732"/>
      <c r="DV31" s="732"/>
      <c r="DW31" s="732"/>
      <c r="DX31" s="732"/>
      <c r="DY31" s="732"/>
      <c r="DZ31" s="732"/>
      <c r="EA31" s="732"/>
      <c r="EB31" s="732"/>
      <c r="EC31" s="732"/>
      <c r="ED31" s="732"/>
      <c r="EE31" s="732"/>
      <c r="EF31" s="732"/>
      <c r="EG31" s="732"/>
      <c r="EH31" s="732"/>
      <c r="EI31" s="732"/>
      <c r="EJ31" s="732"/>
      <c r="EK31" s="732"/>
      <c r="EL31" s="732"/>
      <c r="EM31" s="732"/>
      <c r="EN31" s="732"/>
      <c r="EO31" s="732"/>
      <c r="EP31" s="732"/>
      <c r="EQ31" s="732"/>
    </row>
    <row r="32" spans="1:147" s="717" customFormat="1">
      <c r="A32" s="742"/>
      <c r="B32" s="743"/>
      <c r="C32" s="938" t="s">
        <v>197</v>
      </c>
      <c r="D32" s="742" t="s">
        <v>63</v>
      </c>
      <c r="E32" s="722">
        <f>20/100</f>
        <v>0.2</v>
      </c>
      <c r="F32" s="722">
        <f>E32*F31</f>
        <v>0.2</v>
      </c>
      <c r="G32" s="722"/>
      <c r="H32" s="722"/>
      <c r="I32" s="722"/>
      <c r="J32" s="722"/>
      <c r="K32" s="722"/>
      <c r="L32" s="722"/>
      <c r="M32" s="722"/>
      <c r="N32" s="732"/>
      <c r="O32" s="732"/>
      <c r="P32" s="732"/>
      <c r="Q32" s="732"/>
      <c r="R32" s="732"/>
      <c r="S32" s="732"/>
      <c r="T32" s="732"/>
      <c r="U32" s="732"/>
      <c r="V32" s="732"/>
      <c r="W32" s="732"/>
      <c r="X32" s="732"/>
      <c r="Y32" s="732"/>
      <c r="Z32" s="732"/>
      <c r="AA32" s="732"/>
      <c r="AB32" s="732"/>
      <c r="AC32" s="732"/>
      <c r="AD32" s="732"/>
      <c r="AE32" s="732"/>
      <c r="AF32" s="732"/>
      <c r="AG32" s="732"/>
      <c r="AH32" s="732"/>
      <c r="AI32" s="732"/>
      <c r="AJ32" s="732"/>
      <c r="AK32" s="732"/>
      <c r="AL32" s="732"/>
      <c r="AM32" s="732"/>
      <c r="AN32" s="732"/>
      <c r="AO32" s="732"/>
      <c r="AP32" s="732"/>
      <c r="AQ32" s="732"/>
      <c r="AR32" s="732"/>
      <c r="AS32" s="732"/>
      <c r="AT32" s="732"/>
      <c r="AU32" s="732"/>
      <c r="AV32" s="732"/>
      <c r="AW32" s="732"/>
      <c r="AX32" s="732"/>
      <c r="AY32" s="732"/>
      <c r="AZ32" s="732"/>
      <c r="BA32" s="732"/>
      <c r="BB32" s="732"/>
      <c r="BC32" s="732"/>
      <c r="BD32" s="732"/>
      <c r="BE32" s="732"/>
      <c r="BF32" s="732"/>
      <c r="BG32" s="732"/>
      <c r="BH32" s="732"/>
      <c r="BI32" s="732"/>
      <c r="BJ32" s="732"/>
      <c r="BK32" s="732"/>
      <c r="BL32" s="732"/>
      <c r="BM32" s="732"/>
      <c r="BN32" s="732"/>
      <c r="BO32" s="732"/>
      <c r="BP32" s="732"/>
      <c r="BQ32" s="732"/>
      <c r="BR32" s="732"/>
      <c r="BS32" s="732"/>
      <c r="BT32" s="732"/>
      <c r="BU32" s="732"/>
      <c r="BV32" s="732"/>
      <c r="BW32" s="732"/>
      <c r="BX32" s="732"/>
      <c r="BY32" s="732"/>
      <c r="BZ32" s="732"/>
      <c r="CA32" s="732"/>
      <c r="CB32" s="732"/>
      <c r="CC32" s="732"/>
      <c r="CD32" s="732"/>
      <c r="CE32" s="732"/>
      <c r="CF32" s="732"/>
      <c r="CG32" s="732"/>
      <c r="CH32" s="732"/>
      <c r="CI32" s="732"/>
      <c r="CJ32" s="732"/>
      <c r="CK32" s="732"/>
      <c r="CL32" s="732"/>
      <c r="CM32" s="732"/>
      <c r="CN32" s="732"/>
      <c r="CO32" s="732"/>
      <c r="CP32" s="732"/>
      <c r="CQ32" s="732"/>
      <c r="CR32" s="732"/>
      <c r="CS32" s="732"/>
      <c r="CT32" s="732"/>
      <c r="CU32" s="732"/>
      <c r="CV32" s="732"/>
      <c r="CW32" s="732"/>
      <c r="CX32" s="732"/>
      <c r="CY32" s="732"/>
      <c r="CZ32" s="732"/>
      <c r="DA32" s="732"/>
      <c r="DB32" s="732"/>
      <c r="DC32" s="732"/>
      <c r="DD32" s="732"/>
      <c r="DE32" s="732"/>
      <c r="DF32" s="732"/>
      <c r="DG32" s="732"/>
      <c r="DH32" s="732"/>
      <c r="DI32" s="732"/>
      <c r="DJ32" s="732"/>
      <c r="DK32" s="732"/>
      <c r="DL32" s="732"/>
      <c r="DM32" s="732"/>
      <c r="DN32" s="732"/>
      <c r="DO32" s="732"/>
      <c r="DP32" s="732"/>
      <c r="DQ32" s="732"/>
      <c r="DR32" s="732"/>
      <c r="DS32" s="732"/>
      <c r="DT32" s="732"/>
      <c r="DU32" s="732"/>
      <c r="DV32" s="732"/>
      <c r="DW32" s="732"/>
      <c r="DX32" s="732"/>
      <c r="DY32" s="732"/>
      <c r="DZ32" s="732"/>
      <c r="EA32" s="732"/>
      <c r="EB32" s="732"/>
      <c r="EC32" s="732"/>
      <c r="ED32" s="732"/>
      <c r="EE32" s="732"/>
      <c r="EF32" s="732"/>
      <c r="EG32" s="732"/>
      <c r="EH32" s="732"/>
      <c r="EI32" s="732"/>
      <c r="EJ32" s="732"/>
      <c r="EK32" s="732"/>
      <c r="EL32" s="732"/>
      <c r="EM32" s="732"/>
      <c r="EN32" s="732"/>
      <c r="EO32" s="732"/>
      <c r="EP32" s="732"/>
      <c r="EQ32" s="732"/>
    </row>
    <row r="33" spans="1:147" s="717" customFormat="1">
      <c r="A33" s="494"/>
      <c r="B33" s="635"/>
      <c r="C33" s="754" t="s">
        <v>31</v>
      </c>
      <c r="D33" s="494" t="s">
        <v>46</v>
      </c>
      <c r="E33" s="727">
        <f>0.5/100</f>
        <v>5.0000000000000001E-3</v>
      </c>
      <c r="F33" s="722">
        <f>E33*F31</f>
        <v>5.0000000000000001E-3</v>
      </c>
      <c r="G33" s="392"/>
      <c r="H33" s="722"/>
      <c r="I33" s="722"/>
      <c r="J33" s="722"/>
      <c r="K33" s="748"/>
      <c r="L33" s="722"/>
      <c r="M33" s="722"/>
      <c r="N33" s="732"/>
      <c r="O33" s="732"/>
      <c r="P33" s="732"/>
      <c r="Q33" s="732"/>
      <c r="R33" s="732"/>
      <c r="S33" s="732"/>
      <c r="T33" s="732"/>
      <c r="U33" s="732"/>
      <c r="V33" s="732"/>
      <c r="W33" s="732"/>
      <c r="X33" s="732"/>
      <c r="Y33" s="732"/>
      <c r="Z33" s="732"/>
      <c r="AA33" s="732"/>
      <c r="AB33" s="732"/>
      <c r="AC33" s="732"/>
      <c r="AD33" s="732"/>
      <c r="AE33" s="732"/>
      <c r="AF33" s="732"/>
      <c r="AG33" s="732"/>
      <c r="AH33" s="732"/>
      <c r="AI33" s="732"/>
      <c r="AJ33" s="732"/>
      <c r="AK33" s="732"/>
      <c r="AL33" s="732"/>
      <c r="AM33" s="732"/>
      <c r="AN33" s="732"/>
      <c r="AO33" s="732"/>
      <c r="AP33" s="732"/>
      <c r="AQ33" s="732"/>
      <c r="AR33" s="732"/>
      <c r="AS33" s="732"/>
      <c r="AT33" s="732"/>
      <c r="AU33" s="732"/>
      <c r="AV33" s="732"/>
      <c r="AW33" s="732"/>
      <c r="AX33" s="732"/>
      <c r="AY33" s="732"/>
      <c r="AZ33" s="732"/>
      <c r="BA33" s="732"/>
      <c r="BB33" s="732"/>
      <c r="BC33" s="732"/>
      <c r="BD33" s="732"/>
      <c r="BE33" s="732"/>
      <c r="BF33" s="732"/>
      <c r="BG33" s="732"/>
      <c r="BH33" s="732"/>
      <c r="BI33" s="732"/>
      <c r="BJ33" s="732"/>
      <c r="BK33" s="732"/>
      <c r="BL33" s="732"/>
      <c r="BM33" s="732"/>
      <c r="BN33" s="732"/>
      <c r="BO33" s="732"/>
      <c r="BP33" s="732"/>
      <c r="BQ33" s="732"/>
      <c r="BR33" s="732"/>
      <c r="BS33" s="732"/>
      <c r="BT33" s="732"/>
      <c r="BU33" s="732"/>
      <c r="BV33" s="732"/>
      <c r="BW33" s="732"/>
      <c r="BX33" s="732"/>
      <c r="BY33" s="732"/>
      <c r="BZ33" s="732"/>
      <c r="CA33" s="732"/>
      <c r="CB33" s="732"/>
      <c r="CC33" s="732"/>
      <c r="CD33" s="732"/>
      <c r="CE33" s="732"/>
      <c r="CF33" s="732"/>
      <c r="CG33" s="732"/>
      <c r="CH33" s="732"/>
      <c r="CI33" s="732"/>
      <c r="CJ33" s="732"/>
      <c r="CK33" s="732"/>
      <c r="CL33" s="732"/>
      <c r="CM33" s="732"/>
      <c r="CN33" s="732"/>
      <c r="CO33" s="732"/>
      <c r="CP33" s="732"/>
      <c r="CQ33" s="732"/>
      <c r="CR33" s="732"/>
      <c r="CS33" s="732"/>
      <c r="CT33" s="732"/>
      <c r="CU33" s="732"/>
      <c r="CV33" s="732"/>
      <c r="CW33" s="732"/>
      <c r="CX33" s="732"/>
      <c r="CY33" s="732"/>
      <c r="CZ33" s="732"/>
      <c r="DA33" s="732"/>
      <c r="DB33" s="732"/>
      <c r="DC33" s="732"/>
      <c r="DD33" s="732"/>
      <c r="DE33" s="732"/>
      <c r="DF33" s="732"/>
      <c r="DG33" s="732"/>
      <c r="DH33" s="732"/>
      <c r="DI33" s="732"/>
      <c r="DJ33" s="732"/>
      <c r="DK33" s="732"/>
      <c r="DL33" s="732"/>
      <c r="DM33" s="732"/>
      <c r="DN33" s="732"/>
      <c r="DO33" s="732"/>
      <c r="DP33" s="732"/>
      <c r="DQ33" s="732"/>
      <c r="DR33" s="732"/>
      <c r="DS33" s="732"/>
      <c r="DT33" s="732"/>
      <c r="DU33" s="732"/>
      <c r="DV33" s="732"/>
      <c r="DW33" s="732"/>
      <c r="DX33" s="732"/>
      <c r="DY33" s="732"/>
      <c r="DZ33" s="732"/>
      <c r="EA33" s="732"/>
      <c r="EB33" s="732"/>
      <c r="EC33" s="732"/>
      <c r="ED33" s="732"/>
      <c r="EE33" s="732"/>
      <c r="EF33" s="732"/>
      <c r="EG33" s="732"/>
      <c r="EH33" s="732"/>
      <c r="EI33" s="732"/>
      <c r="EJ33" s="732"/>
      <c r="EK33" s="732"/>
      <c r="EL33" s="732"/>
      <c r="EM33" s="732"/>
      <c r="EN33" s="732"/>
      <c r="EO33" s="732"/>
      <c r="EP33" s="732"/>
      <c r="EQ33" s="732"/>
    </row>
    <row r="34" spans="1:147" s="717" customFormat="1">
      <c r="A34" s="382"/>
      <c r="B34" s="494" t="s">
        <v>727</v>
      </c>
      <c r="C34" s="541" t="s">
        <v>219</v>
      </c>
      <c r="D34" s="494" t="s">
        <v>131</v>
      </c>
      <c r="E34" s="722">
        <f>100/100</f>
        <v>1</v>
      </c>
      <c r="F34" s="722">
        <f>E34*F31</f>
        <v>1</v>
      </c>
      <c r="G34" s="722"/>
      <c r="H34" s="722"/>
      <c r="I34" s="722"/>
      <c r="J34" s="722"/>
      <c r="K34" s="722"/>
      <c r="L34" s="722"/>
      <c r="M34" s="722"/>
      <c r="N34" s="732"/>
      <c r="O34" s="732"/>
      <c r="P34" s="732"/>
      <c r="Q34" s="732"/>
      <c r="R34" s="732"/>
      <c r="S34" s="732"/>
      <c r="T34" s="732"/>
      <c r="U34" s="732"/>
      <c r="V34" s="732"/>
      <c r="W34" s="732"/>
      <c r="X34" s="732"/>
      <c r="Y34" s="732"/>
      <c r="Z34" s="732"/>
      <c r="AA34" s="732"/>
      <c r="AB34" s="732"/>
      <c r="AC34" s="732"/>
      <c r="AD34" s="732"/>
      <c r="AE34" s="732"/>
      <c r="AF34" s="732"/>
      <c r="AG34" s="732"/>
      <c r="AH34" s="732"/>
      <c r="AI34" s="732"/>
      <c r="AJ34" s="732"/>
      <c r="AK34" s="732"/>
      <c r="AL34" s="732"/>
      <c r="AM34" s="732"/>
      <c r="AN34" s="732"/>
      <c r="AO34" s="732"/>
      <c r="AP34" s="732"/>
      <c r="AQ34" s="732"/>
      <c r="AR34" s="732"/>
      <c r="AS34" s="732"/>
      <c r="AT34" s="732"/>
      <c r="AU34" s="732"/>
      <c r="AV34" s="732"/>
      <c r="AW34" s="732"/>
      <c r="AX34" s="732"/>
      <c r="AY34" s="732"/>
      <c r="AZ34" s="732"/>
      <c r="BA34" s="732"/>
      <c r="BB34" s="732"/>
      <c r="BC34" s="732"/>
      <c r="BD34" s="732"/>
      <c r="BE34" s="732"/>
      <c r="BF34" s="732"/>
      <c r="BG34" s="732"/>
      <c r="BH34" s="732"/>
      <c r="BI34" s="732"/>
      <c r="BJ34" s="732"/>
      <c r="BK34" s="732"/>
      <c r="BL34" s="732"/>
      <c r="BM34" s="732"/>
      <c r="BN34" s="732"/>
      <c r="BO34" s="732"/>
      <c r="BP34" s="732"/>
      <c r="BQ34" s="732"/>
      <c r="BR34" s="732"/>
      <c r="BS34" s="732"/>
      <c r="BT34" s="732"/>
      <c r="BU34" s="732"/>
      <c r="BV34" s="732"/>
      <c r="BW34" s="732"/>
      <c r="BX34" s="732"/>
      <c r="BY34" s="732"/>
      <c r="BZ34" s="732"/>
      <c r="CA34" s="732"/>
      <c r="CB34" s="732"/>
      <c r="CC34" s="732"/>
      <c r="CD34" s="732"/>
      <c r="CE34" s="732"/>
      <c r="CF34" s="732"/>
      <c r="CG34" s="732"/>
      <c r="CH34" s="732"/>
      <c r="CI34" s="732"/>
      <c r="CJ34" s="732"/>
      <c r="CK34" s="732"/>
      <c r="CL34" s="732"/>
      <c r="CM34" s="732"/>
      <c r="CN34" s="732"/>
      <c r="CO34" s="732"/>
      <c r="CP34" s="732"/>
      <c r="CQ34" s="732"/>
      <c r="CR34" s="732"/>
      <c r="CS34" s="732"/>
      <c r="CT34" s="732"/>
      <c r="CU34" s="732"/>
      <c r="CV34" s="732"/>
      <c r="CW34" s="732"/>
      <c r="CX34" s="732"/>
      <c r="CY34" s="732"/>
      <c r="CZ34" s="732"/>
      <c r="DA34" s="732"/>
      <c r="DB34" s="732"/>
      <c r="DC34" s="732"/>
      <c r="DD34" s="732"/>
      <c r="DE34" s="732"/>
      <c r="DF34" s="732"/>
      <c r="DG34" s="732"/>
      <c r="DH34" s="732"/>
      <c r="DI34" s="732"/>
      <c r="DJ34" s="732"/>
      <c r="DK34" s="732"/>
      <c r="DL34" s="732"/>
      <c r="DM34" s="732"/>
      <c r="DN34" s="732"/>
      <c r="DO34" s="732"/>
      <c r="DP34" s="732"/>
      <c r="DQ34" s="732"/>
      <c r="DR34" s="732"/>
      <c r="DS34" s="732"/>
      <c r="DT34" s="732"/>
      <c r="DU34" s="732"/>
      <c r="DV34" s="732"/>
      <c r="DW34" s="732"/>
      <c r="DX34" s="732"/>
      <c r="DY34" s="732"/>
      <c r="DZ34" s="732"/>
      <c r="EA34" s="732"/>
      <c r="EB34" s="732"/>
      <c r="EC34" s="732"/>
      <c r="ED34" s="732"/>
      <c r="EE34" s="732"/>
      <c r="EF34" s="732"/>
      <c r="EG34" s="732"/>
      <c r="EH34" s="732"/>
      <c r="EI34" s="732"/>
      <c r="EJ34" s="732"/>
      <c r="EK34" s="732"/>
      <c r="EL34" s="732"/>
      <c r="EM34" s="732"/>
      <c r="EN34" s="732"/>
      <c r="EO34" s="732"/>
      <c r="EP34" s="732"/>
      <c r="EQ34" s="732"/>
    </row>
    <row r="35" spans="1:147" s="717" customFormat="1">
      <c r="A35" s="494"/>
      <c r="B35" s="635"/>
      <c r="C35" s="726" t="s">
        <v>201</v>
      </c>
      <c r="D35" s="494" t="s">
        <v>46</v>
      </c>
      <c r="E35" s="727">
        <f>8.25/100</f>
        <v>8.2500000000000004E-2</v>
      </c>
      <c r="F35" s="722">
        <f>E35*F31</f>
        <v>8.2500000000000004E-2</v>
      </c>
      <c r="G35" s="392"/>
      <c r="H35" s="722"/>
      <c r="I35" s="722"/>
      <c r="J35" s="722"/>
      <c r="K35" s="722"/>
      <c r="L35" s="722"/>
      <c r="M35" s="722"/>
      <c r="N35" s="732"/>
      <c r="O35" s="732"/>
      <c r="P35" s="732"/>
      <c r="Q35" s="732"/>
      <c r="R35" s="732"/>
      <c r="S35" s="732"/>
      <c r="T35" s="732"/>
      <c r="U35" s="732"/>
      <c r="V35" s="732"/>
      <c r="W35" s="732"/>
      <c r="X35" s="732"/>
      <c r="Y35" s="732"/>
      <c r="Z35" s="732"/>
      <c r="AA35" s="732"/>
      <c r="AB35" s="732"/>
      <c r="AC35" s="732"/>
      <c r="AD35" s="732"/>
      <c r="AE35" s="732"/>
      <c r="AF35" s="732"/>
      <c r="AG35" s="732"/>
      <c r="AH35" s="732"/>
      <c r="AI35" s="732"/>
      <c r="AJ35" s="732"/>
      <c r="AK35" s="732"/>
      <c r="AL35" s="732"/>
      <c r="AM35" s="732"/>
      <c r="AN35" s="732"/>
      <c r="AO35" s="732"/>
      <c r="AP35" s="732"/>
      <c r="AQ35" s="732"/>
      <c r="AR35" s="732"/>
      <c r="AS35" s="732"/>
      <c r="AT35" s="732"/>
      <c r="AU35" s="732"/>
      <c r="AV35" s="732"/>
      <c r="AW35" s="732"/>
      <c r="AX35" s="732"/>
      <c r="AY35" s="732"/>
      <c r="AZ35" s="732"/>
      <c r="BA35" s="732"/>
      <c r="BB35" s="732"/>
      <c r="BC35" s="732"/>
      <c r="BD35" s="732"/>
      <c r="BE35" s="732"/>
      <c r="BF35" s="732"/>
      <c r="BG35" s="732"/>
      <c r="BH35" s="732"/>
      <c r="BI35" s="732"/>
      <c r="BJ35" s="732"/>
      <c r="BK35" s="732"/>
      <c r="BL35" s="732"/>
      <c r="BM35" s="732"/>
      <c r="BN35" s="732"/>
      <c r="BO35" s="732"/>
      <c r="BP35" s="732"/>
      <c r="BQ35" s="732"/>
      <c r="BR35" s="732"/>
      <c r="BS35" s="732"/>
      <c r="BT35" s="732"/>
      <c r="BU35" s="732"/>
      <c r="BV35" s="732"/>
      <c r="BW35" s="732"/>
      <c r="BX35" s="732"/>
      <c r="BY35" s="732"/>
      <c r="BZ35" s="732"/>
      <c r="CA35" s="732"/>
      <c r="CB35" s="732"/>
      <c r="CC35" s="732"/>
      <c r="CD35" s="732"/>
      <c r="CE35" s="732"/>
      <c r="CF35" s="732"/>
      <c r="CG35" s="732"/>
      <c r="CH35" s="732"/>
      <c r="CI35" s="732"/>
      <c r="CJ35" s="732"/>
      <c r="CK35" s="732"/>
      <c r="CL35" s="732"/>
      <c r="CM35" s="732"/>
      <c r="CN35" s="732"/>
      <c r="CO35" s="732"/>
      <c r="CP35" s="732"/>
      <c r="CQ35" s="732"/>
      <c r="CR35" s="732"/>
      <c r="CS35" s="732"/>
      <c r="CT35" s="732"/>
      <c r="CU35" s="732"/>
      <c r="CV35" s="732"/>
      <c r="CW35" s="732"/>
      <c r="CX35" s="732"/>
      <c r="CY35" s="732"/>
      <c r="CZ35" s="732"/>
      <c r="DA35" s="732"/>
      <c r="DB35" s="732"/>
      <c r="DC35" s="732"/>
      <c r="DD35" s="732"/>
      <c r="DE35" s="732"/>
      <c r="DF35" s="732"/>
      <c r="DG35" s="732"/>
      <c r="DH35" s="732"/>
      <c r="DI35" s="732"/>
      <c r="DJ35" s="732"/>
      <c r="DK35" s="732"/>
      <c r="DL35" s="732"/>
      <c r="DM35" s="732"/>
      <c r="DN35" s="732"/>
      <c r="DO35" s="732"/>
      <c r="DP35" s="732"/>
      <c r="DQ35" s="732"/>
      <c r="DR35" s="732"/>
      <c r="DS35" s="732"/>
      <c r="DT35" s="732"/>
      <c r="DU35" s="732"/>
      <c r="DV35" s="732"/>
      <c r="DW35" s="732"/>
      <c r="DX35" s="732"/>
      <c r="DY35" s="732"/>
      <c r="DZ35" s="732"/>
      <c r="EA35" s="732"/>
      <c r="EB35" s="732"/>
      <c r="EC35" s="732"/>
      <c r="ED35" s="732"/>
      <c r="EE35" s="732"/>
      <c r="EF35" s="732"/>
      <c r="EG35" s="732"/>
      <c r="EH35" s="732"/>
      <c r="EI35" s="732"/>
      <c r="EJ35" s="732"/>
      <c r="EK35" s="732"/>
      <c r="EL35" s="732"/>
      <c r="EM35" s="732"/>
      <c r="EN35" s="732"/>
      <c r="EO35" s="732"/>
      <c r="EP35" s="732"/>
      <c r="EQ35" s="732"/>
    </row>
    <row r="36" spans="1:147" s="717" customFormat="1">
      <c r="A36" s="509">
        <v>6</v>
      </c>
      <c r="B36" s="563" t="s">
        <v>220</v>
      </c>
      <c r="C36" s="528" t="s">
        <v>221</v>
      </c>
      <c r="D36" s="492" t="s">
        <v>131</v>
      </c>
      <c r="E36" s="721"/>
      <c r="F36" s="721">
        <v>1</v>
      </c>
      <c r="G36" s="721"/>
      <c r="H36" s="721"/>
      <c r="I36" s="721"/>
      <c r="J36" s="721"/>
      <c r="K36" s="721"/>
      <c r="L36" s="721"/>
      <c r="M36" s="721"/>
      <c r="N36" s="732"/>
      <c r="O36" s="732"/>
      <c r="P36" s="732"/>
      <c r="Q36" s="732"/>
      <c r="R36" s="732"/>
      <c r="S36" s="732"/>
      <c r="T36" s="732"/>
      <c r="U36" s="732"/>
      <c r="V36" s="732"/>
      <c r="W36" s="732"/>
      <c r="X36" s="732"/>
      <c r="Y36" s="732"/>
      <c r="Z36" s="732"/>
      <c r="AA36" s="732"/>
      <c r="AB36" s="732"/>
      <c r="AC36" s="732"/>
      <c r="AD36" s="732"/>
      <c r="AE36" s="732"/>
      <c r="AF36" s="732"/>
      <c r="AG36" s="732"/>
      <c r="AH36" s="732"/>
      <c r="AI36" s="732"/>
      <c r="AJ36" s="732"/>
      <c r="AK36" s="732"/>
      <c r="AL36" s="732"/>
      <c r="AM36" s="732"/>
      <c r="AN36" s="732"/>
      <c r="AO36" s="732"/>
      <c r="AP36" s="732"/>
      <c r="AQ36" s="732"/>
      <c r="AR36" s="732"/>
      <c r="AS36" s="732"/>
      <c r="AT36" s="732"/>
      <c r="AU36" s="732"/>
      <c r="AV36" s="732"/>
      <c r="AW36" s="732"/>
      <c r="AX36" s="732"/>
      <c r="AY36" s="732"/>
      <c r="AZ36" s="732"/>
      <c r="BA36" s="732"/>
      <c r="BB36" s="732"/>
      <c r="BC36" s="732"/>
      <c r="BD36" s="732"/>
      <c r="BE36" s="732"/>
      <c r="BF36" s="732"/>
      <c r="BG36" s="732"/>
      <c r="BH36" s="732"/>
      <c r="BI36" s="732"/>
      <c r="BJ36" s="732"/>
      <c r="BK36" s="732"/>
      <c r="BL36" s="732"/>
      <c r="BM36" s="732"/>
      <c r="BN36" s="732"/>
      <c r="BO36" s="732"/>
      <c r="BP36" s="732"/>
      <c r="BQ36" s="732"/>
      <c r="BR36" s="732"/>
      <c r="BS36" s="732"/>
      <c r="BT36" s="732"/>
      <c r="BU36" s="732"/>
      <c r="BV36" s="732"/>
      <c r="BW36" s="732"/>
      <c r="BX36" s="732"/>
      <c r="BY36" s="732"/>
      <c r="BZ36" s="732"/>
      <c r="CA36" s="732"/>
      <c r="CB36" s="732"/>
      <c r="CC36" s="732"/>
      <c r="CD36" s="732"/>
      <c r="CE36" s="732"/>
      <c r="CF36" s="732"/>
      <c r="CG36" s="732"/>
      <c r="CH36" s="732"/>
      <c r="CI36" s="732"/>
      <c r="CJ36" s="732"/>
      <c r="CK36" s="732"/>
      <c r="CL36" s="732"/>
      <c r="CM36" s="732"/>
      <c r="CN36" s="732"/>
      <c r="CO36" s="732"/>
      <c r="CP36" s="732"/>
      <c r="CQ36" s="732"/>
      <c r="CR36" s="732"/>
      <c r="CS36" s="732"/>
      <c r="CT36" s="732"/>
      <c r="CU36" s="732"/>
      <c r="CV36" s="732"/>
      <c r="CW36" s="732"/>
      <c r="CX36" s="732"/>
      <c r="CY36" s="732"/>
      <c r="CZ36" s="732"/>
      <c r="DA36" s="732"/>
      <c r="DB36" s="732"/>
      <c r="DC36" s="732"/>
      <c r="DD36" s="732"/>
      <c r="DE36" s="732"/>
      <c r="DF36" s="732"/>
      <c r="DG36" s="732"/>
      <c r="DH36" s="732"/>
      <c r="DI36" s="732"/>
      <c r="DJ36" s="732"/>
      <c r="DK36" s="732"/>
      <c r="DL36" s="732"/>
      <c r="DM36" s="732"/>
      <c r="DN36" s="732"/>
      <c r="DO36" s="732"/>
      <c r="DP36" s="732"/>
      <c r="DQ36" s="732"/>
      <c r="DR36" s="732"/>
      <c r="DS36" s="732"/>
      <c r="DT36" s="732"/>
      <c r="DU36" s="732"/>
      <c r="DV36" s="732"/>
      <c r="DW36" s="732"/>
      <c r="DX36" s="732"/>
      <c r="DY36" s="732"/>
      <c r="DZ36" s="732"/>
      <c r="EA36" s="732"/>
      <c r="EB36" s="732"/>
      <c r="EC36" s="732"/>
      <c r="ED36" s="732"/>
      <c r="EE36" s="732"/>
      <c r="EF36" s="732"/>
      <c r="EG36" s="732"/>
      <c r="EH36" s="732"/>
      <c r="EI36" s="732"/>
      <c r="EJ36" s="732"/>
      <c r="EK36" s="732"/>
      <c r="EL36" s="732"/>
      <c r="EM36" s="732"/>
      <c r="EN36" s="732"/>
      <c r="EO36" s="732"/>
      <c r="EP36" s="732"/>
      <c r="EQ36" s="732"/>
    </row>
    <row r="37" spans="1:147" s="717" customFormat="1">
      <c r="A37" s="742"/>
      <c r="B37" s="743"/>
      <c r="C37" s="938" t="s">
        <v>197</v>
      </c>
      <c r="D37" s="742" t="s">
        <v>63</v>
      </c>
      <c r="E37" s="722">
        <v>1.04</v>
      </c>
      <c r="F37" s="722">
        <f>E37*F36</f>
        <v>1.04</v>
      </c>
      <c r="G37" s="748"/>
      <c r="H37" s="748"/>
      <c r="I37" s="748"/>
      <c r="J37" s="722"/>
      <c r="K37" s="722"/>
      <c r="L37" s="722"/>
      <c r="M37" s="722"/>
      <c r="N37" s="732"/>
      <c r="O37" s="732"/>
      <c r="P37" s="732"/>
      <c r="Q37" s="732"/>
      <c r="R37" s="732"/>
      <c r="S37" s="732"/>
      <c r="T37" s="732"/>
      <c r="U37" s="732"/>
      <c r="V37" s="732"/>
      <c r="W37" s="732"/>
      <c r="X37" s="732"/>
      <c r="Y37" s="732"/>
      <c r="Z37" s="732"/>
      <c r="AA37" s="732"/>
      <c r="AB37" s="732"/>
      <c r="AC37" s="732"/>
      <c r="AD37" s="732"/>
      <c r="AE37" s="732"/>
      <c r="AF37" s="732"/>
      <c r="AG37" s="732"/>
      <c r="AH37" s="732"/>
      <c r="AI37" s="732"/>
      <c r="AJ37" s="732"/>
      <c r="AK37" s="732"/>
      <c r="AL37" s="732"/>
      <c r="AM37" s="732"/>
      <c r="AN37" s="732"/>
      <c r="AO37" s="732"/>
      <c r="AP37" s="732"/>
      <c r="AQ37" s="732"/>
      <c r="AR37" s="732"/>
      <c r="AS37" s="732"/>
      <c r="AT37" s="732"/>
      <c r="AU37" s="732"/>
      <c r="AV37" s="732"/>
      <c r="AW37" s="732"/>
      <c r="AX37" s="732"/>
      <c r="AY37" s="732"/>
      <c r="AZ37" s="732"/>
      <c r="BA37" s="732"/>
      <c r="BB37" s="732"/>
      <c r="BC37" s="732"/>
      <c r="BD37" s="732"/>
      <c r="BE37" s="732"/>
      <c r="BF37" s="732"/>
      <c r="BG37" s="732"/>
      <c r="BH37" s="732"/>
      <c r="BI37" s="732"/>
      <c r="BJ37" s="732"/>
      <c r="BK37" s="732"/>
      <c r="BL37" s="732"/>
      <c r="BM37" s="732"/>
      <c r="BN37" s="732"/>
      <c r="BO37" s="732"/>
      <c r="BP37" s="732"/>
      <c r="BQ37" s="732"/>
      <c r="BR37" s="732"/>
      <c r="BS37" s="732"/>
      <c r="BT37" s="732"/>
      <c r="BU37" s="732"/>
      <c r="BV37" s="732"/>
      <c r="BW37" s="732"/>
      <c r="BX37" s="732"/>
      <c r="BY37" s="732"/>
      <c r="BZ37" s="732"/>
      <c r="CA37" s="732"/>
      <c r="CB37" s="732"/>
      <c r="CC37" s="732"/>
      <c r="CD37" s="732"/>
      <c r="CE37" s="732"/>
      <c r="CF37" s="732"/>
      <c r="CG37" s="732"/>
      <c r="CH37" s="732"/>
      <c r="CI37" s="732"/>
      <c r="CJ37" s="732"/>
      <c r="CK37" s="732"/>
      <c r="CL37" s="732"/>
      <c r="CM37" s="732"/>
      <c r="CN37" s="732"/>
      <c r="CO37" s="732"/>
      <c r="CP37" s="732"/>
      <c r="CQ37" s="732"/>
      <c r="CR37" s="732"/>
      <c r="CS37" s="732"/>
      <c r="CT37" s="732"/>
      <c r="CU37" s="732"/>
      <c r="CV37" s="732"/>
      <c r="CW37" s="732"/>
      <c r="CX37" s="732"/>
      <c r="CY37" s="732"/>
      <c r="CZ37" s="732"/>
      <c r="DA37" s="732"/>
      <c r="DB37" s="732"/>
      <c r="DC37" s="732"/>
      <c r="DD37" s="732"/>
      <c r="DE37" s="732"/>
      <c r="DF37" s="732"/>
      <c r="DG37" s="732"/>
      <c r="DH37" s="732"/>
      <c r="DI37" s="732"/>
      <c r="DJ37" s="732"/>
      <c r="DK37" s="732"/>
      <c r="DL37" s="732"/>
      <c r="DM37" s="732"/>
      <c r="DN37" s="732"/>
      <c r="DO37" s="732"/>
      <c r="DP37" s="732"/>
      <c r="DQ37" s="732"/>
      <c r="DR37" s="732"/>
      <c r="DS37" s="732"/>
      <c r="DT37" s="732"/>
      <c r="DU37" s="732"/>
      <c r="DV37" s="732"/>
      <c r="DW37" s="732"/>
      <c r="DX37" s="732"/>
      <c r="DY37" s="732"/>
      <c r="DZ37" s="732"/>
      <c r="EA37" s="732"/>
      <c r="EB37" s="732"/>
      <c r="EC37" s="732"/>
      <c r="ED37" s="732"/>
      <c r="EE37" s="732"/>
      <c r="EF37" s="732"/>
      <c r="EG37" s="732"/>
      <c r="EH37" s="732"/>
      <c r="EI37" s="732"/>
      <c r="EJ37" s="732"/>
      <c r="EK37" s="732"/>
      <c r="EL37" s="732"/>
      <c r="EM37" s="732"/>
      <c r="EN37" s="732"/>
      <c r="EO37" s="732"/>
      <c r="EP37" s="732"/>
      <c r="EQ37" s="732"/>
    </row>
    <row r="38" spans="1:147" s="717" customFormat="1">
      <c r="A38" s="494"/>
      <c r="B38" s="635"/>
      <c r="C38" s="754" t="s">
        <v>31</v>
      </c>
      <c r="D38" s="494" t="s">
        <v>46</v>
      </c>
      <c r="E38" s="722">
        <v>1.07</v>
      </c>
      <c r="F38" s="722">
        <f>E38*F36</f>
        <v>1.07</v>
      </c>
      <c r="G38" s="392"/>
      <c r="H38" s="722"/>
      <c r="I38" s="722"/>
      <c r="J38" s="722"/>
      <c r="K38" s="748"/>
      <c r="L38" s="722"/>
      <c r="M38" s="722"/>
      <c r="N38" s="732"/>
      <c r="O38" s="732"/>
      <c r="P38" s="732"/>
      <c r="Q38" s="732"/>
      <c r="R38" s="732"/>
      <c r="S38" s="732"/>
      <c r="T38" s="732"/>
      <c r="U38" s="732"/>
      <c r="V38" s="732"/>
      <c r="W38" s="732"/>
      <c r="X38" s="732"/>
      <c r="Y38" s="732"/>
      <c r="Z38" s="732"/>
      <c r="AA38" s="732"/>
      <c r="AB38" s="732"/>
      <c r="AC38" s="732"/>
      <c r="AD38" s="732"/>
      <c r="AE38" s="732"/>
      <c r="AF38" s="732"/>
      <c r="AG38" s="732"/>
      <c r="AH38" s="732"/>
      <c r="AI38" s="732"/>
      <c r="AJ38" s="732"/>
      <c r="AK38" s="732"/>
      <c r="AL38" s="732"/>
      <c r="AM38" s="732"/>
      <c r="AN38" s="732"/>
      <c r="AO38" s="732"/>
      <c r="AP38" s="732"/>
      <c r="AQ38" s="732"/>
      <c r="AR38" s="732"/>
      <c r="AS38" s="732"/>
      <c r="AT38" s="732"/>
      <c r="AU38" s="732"/>
      <c r="AV38" s="732"/>
      <c r="AW38" s="732"/>
      <c r="AX38" s="732"/>
      <c r="AY38" s="732"/>
      <c r="AZ38" s="732"/>
      <c r="BA38" s="732"/>
      <c r="BB38" s="732"/>
      <c r="BC38" s="732"/>
      <c r="BD38" s="732"/>
      <c r="BE38" s="732"/>
      <c r="BF38" s="732"/>
      <c r="BG38" s="732"/>
      <c r="BH38" s="732"/>
      <c r="BI38" s="732"/>
      <c r="BJ38" s="732"/>
      <c r="BK38" s="732"/>
      <c r="BL38" s="732"/>
      <c r="BM38" s="732"/>
      <c r="BN38" s="732"/>
      <c r="BO38" s="732"/>
      <c r="BP38" s="732"/>
      <c r="BQ38" s="732"/>
      <c r="BR38" s="732"/>
      <c r="BS38" s="732"/>
      <c r="BT38" s="732"/>
      <c r="BU38" s="732"/>
      <c r="BV38" s="732"/>
      <c r="BW38" s="732"/>
      <c r="BX38" s="732"/>
      <c r="BY38" s="732"/>
      <c r="BZ38" s="732"/>
      <c r="CA38" s="732"/>
      <c r="CB38" s="732"/>
      <c r="CC38" s="732"/>
      <c r="CD38" s="732"/>
      <c r="CE38" s="732"/>
      <c r="CF38" s="732"/>
      <c r="CG38" s="732"/>
      <c r="CH38" s="732"/>
      <c r="CI38" s="732"/>
      <c r="CJ38" s="732"/>
      <c r="CK38" s="732"/>
      <c r="CL38" s="732"/>
      <c r="CM38" s="732"/>
      <c r="CN38" s="732"/>
      <c r="CO38" s="732"/>
      <c r="CP38" s="732"/>
      <c r="CQ38" s="732"/>
      <c r="CR38" s="732"/>
      <c r="CS38" s="732"/>
      <c r="CT38" s="732"/>
      <c r="CU38" s="732"/>
      <c r="CV38" s="732"/>
      <c r="CW38" s="732"/>
      <c r="CX38" s="732"/>
      <c r="CY38" s="732"/>
      <c r="CZ38" s="732"/>
      <c r="DA38" s="732"/>
      <c r="DB38" s="732"/>
      <c r="DC38" s="732"/>
      <c r="DD38" s="732"/>
      <c r="DE38" s="732"/>
      <c r="DF38" s="732"/>
      <c r="DG38" s="732"/>
      <c r="DH38" s="732"/>
      <c r="DI38" s="732"/>
      <c r="DJ38" s="732"/>
      <c r="DK38" s="732"/>
      <c r="DL38" s="732"/>
      <c r="DM38" s="732"/>
      <c r="DN38" s="732"/>
      <c r="DO38" s="732"/>
      <c r="DP38" s="732"/>
      <c r="DQ38" s="732"/>
      <c r="DR38" s="732"/>
      <c r="DS38" s="732"/>
      <c r="DT38" s="732"/>
      <c r="DU38" s="732"/>
      <c r="DV38" s="732"/>
      <c r="DW38" s="732"/>
      <c r="DX38" s="732"/>
      <c r="DY38" s="732"/>
      <c r="DZ38" s="732"/>
      <c r="EA38" s="732"/>
      <c r="EB38" s="732"/>
      <c r="EC38" s="732"/>
      <c r="ED38" s="732"/>
      <c r="EE38" s="732"/>
      <c r="EF38" s="732"/>
      <c r="EG38" s="732"/>
      <c r="EH38" s="732"/>
      <c r="EI38" s="732"/>
      <c r="EJ38" s="732"/>
      <c r="EK38" s="732"/>
      <c r="EL38" s="732"/>
      <c r="EM38" s="732"/>
      <c r="EN38" s="732"/>
      <c r="EO38" s="732"/>
      <c r="EP38" s="732"/>
      <c r="EQ38" s="732"/>
    </row>
    <row r="39" spans="1:147" s="717" customFormat="1">
      <c r="A39" s="382"/>
      <c r="B39" s="494" t="s">
        <v>728</v>
      </c>
      <c r="C39" s="383" t="s">
        <v>222</v>
      </c>
      <c r="D39" s="494" t="s">
        <v>131</v>
      </c>
      <c r="E39" s="722" t="s">
        <v>205</v>
      </c>
      <c r="F39" s="722">
        <f>F36</f>
        <v>1</v>
      </c>
      <c r="G39" s="722"/>
      <c r="H39" s="722"/>
      <c r="I39" s="722"/>
      <c r="J39" s="722"/>
      <c r="K39" s="722"/>
      <c r="L39" s="722"/>
      <c r="M39" s="722"/>
      <c r="N39" s="732"/>
      <c r="O39" s="732"/>
      <c r="P39" s="732"/>
      <c r="Q39" s="732"/>
      <c r="R39" s="732"/>
      <c r="S39" s="732"/>
      <c r="T39" s="732"/>
      <c r="U39" s="732"/>
      <c r="V39" s="732"/>
      <c r="W39" s="732"/>
      <c r="X39" s="732"/>
      <c r="Y39" s="732"/>
      <c r="Z39" s="732"/>
      <c r="AA39" s="732"/>
      <c r="AB39" s="732"/>
      <c r="AC39" s="732"/>
      <c r="AD39" s="732"/>
      <c r="AE39" s="732"/>
      <c r="AF39" s="732"/>
      <c r="AG39" s="732"/>
      <c r="AH39" s="732"/>
      <c r="AI39" s="732"/>
      <c r="AJ39" s="732"/>
      <c r="AK39" s="732"/>
      <c r="AL39" s="732"/>
      <c r="AM39" s="732"/>
      <c r="AN39" s="732"/>
      <c r="AO39" s="732"/>
      <c r="AP39" s="732"/>
      <c r="AQ39" s="732"/>
      <c r="AR39" s="732"/>
      <c r="AS39" s="732"/>
      <c r="AT39" s="732"/>
      <c r="AU39" s="732"/>
      <c r="AV39" s="732"/>
      <c r="AW39" s="732"/>
      <c r="AX39" s="732"/>
      <c r="AY39" s="732"/>
      <c r="AZ39" s="732"/>
      <c r="BA39" s="732"/>
      <c r="BB39" s="732"/>
      <c r="BC39" s="732"/>
      <c r="BD39" s="732"/>
      <c r="BE39" s="732"/>
      <c r="BF39" s="732"/>
      <c r="BG39" s="732"/>
      <c r="BH39" s="732"/>
      <c r="BI39" s="732"/>
      <c r="BJ39" s="732"/>
      <c r="BK39" s="732"/>
      <c r="BL39" s="732"/>
      <c r="BM39" s="732"/>
      <c r="BN39" s="732"/>
      <c r="BO39" s="732"/>
      <c r="BP39" s="732"/>
      <c r="BQ39" s="732"/>
      <c r="BR39" s="732"/>
      <c r="BS39" s="732"/>
      <c r="BT39" s="732"/>
      <c r="BU39" s="732"/>
      <c r="BV39" s="732"/>
      <c r="BW39" s="732"/>
      <c r="BX39" s="732"/>
      <c r="BY39" s="732"/>
      <c r="BZ39" s="732"/>
      <c r="CA39" s="732"/>
      <c r="CB39" s="732"/>
      <c r="CC39" s="732"/>
      <c r="CD39" s="732"/>
      <c r="CE39" s="732"/>
      <c r="CF39" s="732"/>
      <c r="CG39" s="732"/>
      <c r="CH39" s="732"/>
      <c r="CI39" s="732"/>
      <c r="CJ39" s="732"/>
      <c r="CK39" s="732"/>
      <c r="CL39" s="732"/>
      <c r="CM39" s="732"/>
      <c r="CN39" s="732"/>
      <c r="CO39" s="732"/>
      <c r="CP39" s="732"/>
      <c r="CQ39" s="732"/>
      <c r="CR39" s="732"/>
      <c r="CS39" s="732"/>
      <c r="CT39" s="732"/>
      <c r="CU39" s="732"/>
      <c r="CV39" s="732"/>
      <c r="CW39" s="732"/>
      <c r="CX39" s="732"/>
      <c r="CY39" s="732"/>
      <c r="CZ39" s="732"/>
      <c r="DA39" s="732"/>
      <c r="DB39" s="732"/>
      <c r="DC39" s="732"/>
      <c r="DD39" s="732"/>
      <c r="DE39" s="732"/>
      <c r="DF39" s="732"/>
      <c r="DG39" s="732"/>
      <c r="DH39" s="732"/>
      <c r="DI39" s="732"/>
      <c r="DJ39" s="732"/>
      <c r="DK39" s="732"/>
      <c r="DL39" s="732"/>
      <c r="DM39" s="732"/>
      <c r="DN39" s="732"/>
      <c r="DO39" s="732"/>
      <c r="DP39" s="732"/>
      <c r="DQ39" s="732"/>
      <c r="DR39" s="732"/>
      <c r="DS39" s="732"/>
      <c r="DT39" s="732"/>
      <c r="DU39" s="732"/>
      <c r="DV39" s="732"/>
      <c r="DW39" s="732"/>
      <c r="DX39" s="732"/>
      <c r="DY39" s="732"/>
      <c r="DZ39" s="732"/>
      <c r="EA39" s="732"/>
      <c r="EB39" s="732"/>
      <c r="EC39" s="732"/>
      <c r="ED39" s="732"/>
      <c r="EE39" s="732"/>
      <c r="EF39" s="732"/>
      <c r="EG39" s="732"/>
      <c r="EH39" s="732"/>
      <c r="EI39" s="732"/>
      <c r="EJ39" s="732"/>
      <c r="EK39" s="732"/>
      <c r="EL39" s="732"/>
      <c r="EM39" s="732"/>
      <c r="EN39" s="732"/>
      <c r="EO39" s="732"/>
      <c r="EP39" s="732"/>
      <c r="EQ39" s="732"/>
    </row>
    <row r="40" spans="1:147" s="717" customFormat="1">
      <c r="A40" s="494"/>
      <c r="B40" s="635"/>
      <c r="C40" s="726" t="s">
        <v>201</v>
      </c>
      <c r="D40" s="494" t="s">
        <v>46</v>
      </c>
      <c r="E40" s="722">
        <v>3.94</v>
      </c>
      <c r="F40" s="722">
        <f>E40*F36</f>
        <v>3.94</v>
      </c>
      <c r="G40" s="392"/>
      <c r="H40" s="722"/>
      <c r="I40" s="722"/>
      <c r="J40" s="722"/>
      <c r="K40" s="722"/>
      <c r="L40" s="722"/>
      <c r="M40" s="722"/>
      <c r="N40" s="732"/>
      <c r="O40" s="732"/>
      <c r="P40" s="732"/>
      <c r="Q40" s="732"/>
      <c r="R40" s="732"/>
      <c r="S40" s="732"/>
      <c r="T40" s="732"/>
      <c r="U40" s="732"/>
      <c r="V40" s="732"/>
      <c r="W40" s="732"/>
      <c r="X40" s="732"/>
      <c r="Y40" s="732"/>
      <c r="Z40" s="732"/>
      <c r="AA40" s="732"/>
      <c r="AB40" s="732"/>
      <c r="AC40" s="732"/>
      <c r="AD40" s="732"/>
      <c r="AE40" s="732"/>
      <c r="AF40" s="732"/>
      <c r="AG40" s="732"/>
      <c r="AH40" s="732"/>
      <c r="AI40" s="732"/>
      <c r="AJ40" s="732"/>
      <c r="AK40" s="732"/>
      <c r="AL40" s="732"/>
      <c r="AM40" s="732"/>
      <c r="AN40" s="732"/>
      <c r="AO40" s="732"/>
      <c r="AP40" s="732"/>
      <c r="AQ40" s="732"/>
      <c r="AR40" s="732"/>
      <c r="AS40" s="732"/>
      <c r="AT40" s="732"/>
      <c r="AU40" s="732"/>
      <c r="AV40" s="732"/>
      <c r="AW40" s="732"/>
      <c r="AX40" s="732"/>
      <c r="AY40" s="732"/>
      <c r="AZ40" s="732"/>
      <c r="BA40" s="732"/>
      <c r="BB40" s="732"/>
      <c r="BC40" s="732"/>
      <c r="BD40" s="732"/>
      <c r="BE40" s="732"/>
      <c r="BF40" s="732"/>
      <c r="BG40" s="732"/>
      <c r="BH40" s="732"/>
      <c r="BI40" s="732"/>
      <c r="BJ40" s="732"/>
      <c r="BK40" s="732"/>
      <c r="BL40" s="732"/>
      <c r="BM40" s="732"/>
      <c r="BN40" s="732"/>
      <c r="BO40" s="732"/>
      <c r="BP40" s="732"/>
      <c r="BQ40" s="732"/>
      <c r="BR40" s="732"/>
      <c r="BS40" s="732"/>
      <c r="BT40" s="732"/>
      <c r="BU40" s="732"/>
      <c r="BV40" s="732"/>
      <c r="BW40" s="732"/>
      <c r="BX40" s="732"/>
      <c r="BY40" s="732"/>
      <c r="BZ40" s="732"/>
      <c r="CA40" s="732"/>
      <c r="CB40" s="732"/>
      <c r="CC40" s="732"/>
      <c r="CD40" s="732"/>
      <c r="CE40" s="732"/>
      <c r="CF40" s="732"/>
      <c r="CG40" s="732"/>
      <c r="CH40" s="732"/>
      <c r="CI40" s="732"/>
      <c r="CJ40" s="732"/>
      <c r="CK40" s="732"/>
      <c r="CL40" s="732"/>
      <c r="CM40" s="732"/>
      <c r="CN40" s="732"/>
      <c r="CO40" s="732"/>
      <c r="CP40" s="732"/>
      <c r="CQ40" s="732"/>
      <c r="CR40" s="732"/>
      <c r="CS40" s="732"/>
      <c r="CT40" s="732"/>
      <c r="CU40" s="732"/>
      <c r="CV40" s="732"/>
      <c r="CW40" s="732"/>
      <c r="CX40" s="732"/>
      <c r="CY40" s="732"/>
      <c r="CZ40" s="732"/>
      <c r="DA40" s="732"/>
      <c r="DB40" s="732"/>
      <c r="DC40" s="732"/>
      <c r="DD40" s="732"/>
      <c r="DE40" s="732"/>
      <c r="DF40" s="732"/>
      <c r="DG40" s="732"/>
      <c r="DH40" s="732"/>
      <c r="DI40" s="732"/>
      <c r="DJ40" s="732"/>
      <c r="DK40" s="732"/>
      <c r="DL40" s="732"/>
      <c r="DM40" s="732"/>
      <c r="DN40" s="732"/>
      <c r="DO40" s="732"/>
      <c r="DP40" s="732"/>
      <c r="DQ40" s="732"/>
      <c r="DR40" s="732"/>
      <c r="DS40" s="732"/>
      <c r="DT40" s="732"/>
      <c r="DU40" s="732"/>
      <c r="DV40" s="732"/>
      <c r="DW40" s="732"/>
      <c r="DX40" s="732"/>
      <c r="DY40" s="732"/>
      <c r="DZ40" s="732"/>
      <c r="EA40" s="732"/>
      <c r="EB40" s="732"/>
      <c r="EC40" s="732"/>
      <c r="ED40" s="732"/>
      <c r="EE40" s="732"/>
      <c r="EF40" s="732"/>
      <c r="EG40" s="732"/>
      <c r="EH40" s="732"/>
      <c r="EI40" s="732"/>
      <c r="EJ40" s="732"/>
      <c r="EK40" s="732"/>
      <c r="EL40" s="732"/>
      <c r="EM40" s="732"/>
      <c r="EN40" s="732"/>
      <c r="EO40" s="732"/>
      <c r="EP40" s="732"/>
      <c r="EQ40" s="732"/>
    </row>
    <row r="41" spans="1:147" s="717" customFormat="1">
      <c r="A41" s="509">
        <v>7</v>
      </c>
      <c r="B41" s="627" t="s">
        <v>208</v>
      </c>
      <c r="C41" s="941" t="s">
        <v>508</v>
      </c>
      <c r="D41" s="509" t="s">
        <v>91</v>
      </c>
      <c r="E41" s="555"/>
      <c r="F41" s="721">
        <v>20</v>
      </c>
      <c r="G41" s="509"/>
      <c r="H41" s="647"/>
      <c r="I41" s="647"/>
      <c r="J41" s="647"/>
      <c r="K41" s="509"/>
      <c r="L41" s="509"/>
      <c r="M41" s="94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2"/>
      <c r="AJ41" s="732"/>
      <c r="AK41" s="732"/>
      <c r="AL41" s="732"/>
      <c r="AM41" s="732"/>
      <c r="AN41" s="732"/>
      <c r="AO41" s="732"/>
      <c r="AP41" s="732"/>
      <c r="AQ41" s="732"/>
      <c r="AR41" s="732"/>
      <c r="AS41" s="732"/>
      <c r="AT41" s="732"/>
      <c r="AU41" s="732"/>
      <c r="AV41" s="732"/>
      <c r="AW41" s="732"/>
      <c r="AX41" s="732"/>
      <c r="AY41" s="732"/>
      <c r="AZ41" s="732"/>
      <c r="BA41" s="732"/>
      <c r="BB41" s="732"/>
      <c r="BC41" s="732"/>
      <c r="BD41" s="732"/>
      <c r="BE41" s="732"/>
      <c r="BF41" s="732"/>
      <c r="BG41" s="732"/>
      <c r="BH41" s="732"/>
      <c r="BI41" s="732"/>
      <c r="BJ41" s="732"/>
      <c r="BK41" s="732"/>
      <c r="BL41" s="732"/>
      <c r="BM41" s="732"/>
      <c r="BN41" s="732"/>
      <c r="BO41" s="732"/>
      <c r="BP41" s="732"/>
      <c r="BQ41" s="732"/>
      <c r="BR41" s="732"/>
      <c r="BS41" s="732"/>
      <c r="BT41" s="732"/>
      <c r="BU41" s="732"/>
      <c r="BV41" s="732"/>
      <c r="BW41" s="732"/>
      <c r="BX41" s="732"/>
      <c r="BY41" s="732"/>
      <c r="BZ41" s="732"/>
      <c r="CA41" s="732"/>
      <c r="CB41" s="732"/>
      <c r="CC41" s="732"/>
      <c r="CD41" s="732"/>
      <c r="CE41" s="732"/>
      <c r="CF41" s="732"/>
      <c r="CG41" s="732"/>
      <c r="CH41" s="732"/>
      <c r="CI41" s="732"/>
      <c r="CJ41" s="732"/>
      <c r="CK41" s="732"/>
      <c r="CL41" s="732"/>
      <c r="CM41" s="732"/>
      <c r="CN41" s="732"/>
      <c r="CO41" s="732"/>
      <c r="CP41" s="732"/>
      <c r="CQ41" s="732"/>
      <c r="CR41" s="732"/>
      <c r="CS41" s="732"/>
      <c r="CT41" s="732"/>
      <c r="CU41" s="732"/>
      <c r="CV41" s="732"/>
      <c r="CW41" s="732"/>
      <c r="CX41" s="732"/>
      <c r="CY41" s="732"/>
      <c r="CZ41" s="732"/>
      <c r="DA41" s="732"/>
      <c r="DB41" s="732"/>
      <c r="DC41" s="732"/>
      <c r="DD41" s="732"/>
      <c r="DE41" s="732"/>
      <c r="DF41" s="732"/>
      <c r="DG41" s="732"/>
      <c r="DH41" s="732"/>
      <c r="DI41" s="732"/>
      <c r="DJ41" s="732"/>
      <c r="DK41" s="732"/>
      <c r="DL41" s="732"/>
      <c r="DM41" s="732"/>
      <c r="DN41" s="732"/>
      <c r="DO41" s="732"/>
      <c r="DP41" s="732"/>
      <c r="DQ41" s="732"/>
      <c r="DR41" s="732"/>
      <c r="DS41" s="732"/>
      <c r="DT41" s="732"/>
      <c r="DU41" s="732"/>
      <c r="DV41" s="732"/>
      <c r="DW41" s="732"/>
      <c r="DX41" s="732"/>
      <c r="DY41" s="732"/>
      <c r="DZ41" s="732"/>
      <c r="EA41" s="732"/>
      <c r="EB41" s="732"/>
      <c r="EC41" s="732"/>
      <c r="ED41" s="732"/>
      <c r="EE41" s="732"/>
      <c r="EF41" s="732"/>
      <c r="EG41" s="732"/>
      <c r="EH41" s="732"/>
      <c r="EI41" s="732"/>
      <c r="EJ41" s="732"/>
      <c r="EK41" s="732"/>
      <c r="EL41" s="732"/>
      <c r="EM41" s="732"/>
      <c r="EN41" s="732"/>
      <c r="EO41" s="732"/>
      <c r="EP41" s="732"/>
      <c r="EQ41" s="732"/>
    </row>
    <row r="42" spans="1:147" s="717" customFormat="1">
      <c r="A42" s="509"/>
      <c r="B42" s="563"/>
      <c r="C42" s="938" t="s">
        <v>197</v>
      </c>
      <c r="D42" s="742" t="s">
        <v>63</v>
      </c>
      <c r="E42" s="722">
        <f>13/100</f>
        <v>0.13</v>
      </c>
      <c r="F42" s="722">
        <f>E42*F41</f>
        <v>2.6</v>
      </c>
      <c r="G42" s="496"/>
      <c r="H42" s="496"/>
      <c r="I42" s="748"/>
      <c r="J42" s="722"/>
      <c r="K42" s="722"/>
      <c r="L42" s="722"/>
      <c r="M42" s="722"/>
      <c r="N42" s="732"/>
      <c r="O42" s="732"/>
      <c r="P42" s="732"/>
      <c r="Q42" s="732"/>
      <c r="R42" s="732"/>
      <c r="S42" s="732"/>
      <c r="T42" s="732"/>
      <c r="U42" s="732"/>
      <c r="V42" s="732"/>
      <c r="W42" s="732"/>
      <c r="X42" s="732"/>
      <c r="Y42" s="732"/>
      <c r="Z42" s="732"/>
      <c r="AA42" s="732"/>
      <c r="AB42" s="732"/>
      <c r="AC42" s="732"/>
      <c r="AD42" s="732"/>
      <c r="AE42" s="732"/>
      <c r="AF42" s="732"/>
      <c r="AG42" s="732"/>
      <c r="AH42" s="732"/>
      <c r="AI42" s="732"/>
      <c r="AJ42" s="732"/>
      <c r="AK42" s="732"/>
      <c r="AL42" s="732"/>
      <c r="AM42" s="732"/>
      <c r="AN42" s="732"/>
      <c r="AO42" s="732"/>
      <c r="AP42" s="732"/>
      <c r="AQ42" s="732"/>
      <c r="AR42" s="732"/>
      <c r="AS42" s="732"/>
      <c r="AT42" s="732"/>
      <c r="AU42" s="732"/>
      <c r="AV42" s="732"/>
      <c r="AW42" s="732"/>
      <c r="AX42" s="732"/>
      <c r="AY42" s="732"/>
      <c r="AZ42" s="732"/>
      <c r="BA42" s="732"/>
      <c r="BB42" s="732"/>
      <c r="BC42" s="732"/>
      <c r="BD42" s="732"/>
      <c r="BE42" s="732"/>
      <c r="BF42" s="732"/>
      <c r="BG42" s="732"/>
      <c r="BH42" s="732"/>
      <c r="BI42" s="732"/>
      <c r="BJ42" s="732"/>
      <c r="BK42" s="732"/>
      <c r="BL42" s="732"/>
      <c r="BM42" s="732"/>
      <c r="BN42" s="732"/>
      <c r="BO42" s="732"/>
      <c r="BP42" s="732"/>
      <c r="BQ42" s="732"/>
      <c r="BR42" s="732"/>
      <c r="BS42" s="732"/>
      <c r="BT42" s="732"/>
      <c r="BU42" s="732"/>
      <c r="BV42" s="732"/>
      <c r="BW42" s="732"/>
      <c r="BX42" s="732"/>
      <c r="BY42" s="732"/>
      <c r="BZ42" s="732"/>
      <c r="CA42" s="732"/>
      <c r="CB42" s="732"/>
      <c r="CC42" s="732"/>
      <c r="CD42" s="732"/>
      <c r="CE42" s="732"/>
      <c r="CF42" s="732"/>
      <c r="CG42" s="732"/>
      <c r="CH42" s="732"/>
      <c r="CI42" s="732"/>
      <c r="CJ42" s="732"/>
      <c r="CK42" s="732"/>
      <c r="CL42" s="732"/>
      <c r="CM42" s="732"/>
      <c r="CN42" s="732"/>
      <c r="CO42" s="732"/>
      <c r="CP42" s="732"/>
      <c r="CQ42" s="732"/>
      <c r="CR42" s="732"/>
      <c r="CS42" s="732"/>
      <c r="CT42" s="732"/>
      <c r="CU42" s="732"/>
      <c r="CV42" s="732"/>
      <c r="CW42" s="732"/>
      <c r="CX42" s="732"/>
      <c r="CY42" s="732"/>
      <c r="CZ42" s="732"/>
      <c r="DA42" s="732"/>
      <c r="DB42" s="732"/>
      <c r="DC42" s="732"/>
      <c r="DD42" s="732"/>
      <c r="DE42" s="732"/>
      <c r="DF42" s="732"/>
      <c r="DG42" s="732"/>
      <c r="DH42" s="732"/>
      <c r="DI42" s="732"/>
      <c r="DJ42" s="732"/>
      <c r="DK42" s="732"/>
      <c r="DL42" s="732"/>
      <c r="DM42" s="732"/>
      <c r="DN42" s="732"/>
      <c r="DO42" s="732"/>
      <c r="DP42" s="732"/>
      <c r="DQ42" s="732"/>
      <c r="DR42" s="732"/>
      <c r="DS42" s="732"/>
      <c r="DT42" s="732"/>
      <c r="DU42" s="732"/>
      <c r="DV42" s="732"/>
      <c r="DW42" s="732"/>
      <c r="DX42" s="732"/>
      <c r="DY42" s="732"/>
      <c r="DZ42" s="732"/>
      <c r="EA42" s="732"/>
      <c r="EB42" s="732"/>
      <c r="EC42" s="732"/>
      <c r="ED42" s="732"/>
      <c r="EE42" s="732"/>
      <c r="EF42" s="732"/>
      <c r="EG42" s="732"/>
      <c r="EH42" s="732"/>
      <c r="EI42" s="732"/>
      <c r="EJ42" s="732"/>
      <c r="EK42" s="732"/>
      <c r="EL42" s="732"/>
      <c r="EM42" s="732"/>
      <c r="EN42" s="732"/>
      <c r="EO42" s="732"/>
      <c r="EP42" s="732"/>
      <c r="EQ42" s="732"/>
    </row>
    <row r="43" spans="1:147" s="717" customFormat="1">
      <c r="A43" s="509"/>
      <c r="B43" s="563" t="s">
        <v>729</v>
      </c>
      <c r="C43" s="938" t="s">
        <v>509</v>
      </c>
      <c r="D43" s="494" t="s">
        <v>199</v>
      </c>
      <c r="E43" s="722" t="s">
        <v>205</v>
      </c>
      <c r="F43" s="722">
        <f>F41</f>
        <v>20</v>
      </c>
      <c r="G43" s="722"/>
      <c r="H43" s="722"/>
      <c r="I43" s="722"/>
      <c r="J43" s="722"/>
      <c r="K43" s="722"/>
      <c r="L43" s="722"/>
      <c r="M43" s="722"/>
      <c r="N43" s="732"/>
      <c r="O43" s="732"/>
      <c r="P43" s="732"/>
      <c r="Q43" s="732"/>
      <c r="R43" s="732"/>
      <c r="S43" s="732"/>
      <c r="T43" s="732"/>
      <c r="U43" s="732"/>
      <c r="V43" s="732"/>
      <c r="W43" s="732"/>
      <c r="X43" s="732"/>
      <c r="Y43" s="732"/>
      <c r="Z43" s="732"/>
      <c r="AA43" s="732"/>
      <c r="AB43" s="732"/>
      <c r="AC43" s="732"/>
      <c r="AD43" s="732"/>
      <c r="AE43" s="732"/>
      <c r="AF43" s="732"/>
      <c r="AG43" s="732"/>
      <c r="AH43" s="732"/>
      <c r="AI43" s="732"/>
      <c r="AJ43" s="732"/>
      <c r="AK43" s="732"/>
      <c r="AL43" s="732"/>
      <c r="AM43" s="732"/>
      <c r="AN43" s="732"/>
      <c r="AO43" s="732"/>
      <c r="AP43" s="732"/>
      <c r="AQ43" s="732"/>
      <c r="AR43" s="732"/>
      <c r="AS43" s="732"/>
      <c r="AT43" s="732"/>
      <c r="AU43" s="732"/>
      <c r="AV43" s="732"/>
      <c r="AW43" s="732"/>
      <c r="AX43" s="732"/>
      <c r="AY43" s="732"/>
      <c r="AZ43" s="732"/>
      <c r="BA43" s="732"/>
      <c r="BB43" s="732"/>
      <c r="BC43" s="732"/>
      <c r="BD43" s="732"/>
      <c r="BE43" s="732"/>
      <c r="BF43" s="732"/>
      <c r="BG43" s="732"/>
      <c r="BH43" s="732"/>
      <c r="BI43" s="732"/>
      <c r="BJ43" s="732"/>
      <c r="BK43" s="732"/>
      <c r="BL43" s="732"/>
      <c r="BM43" s="732"/>
      <c r="BN43" s="732"/>
      <c r="BO43" s="732"/>
      <c r="BP43" s="732"/>
      <c r="BQ43" s="732"/>
      <c r="BR43" s="732"/>
      <c r="BS43" s="732"/>
      <c r="BT43" s="732"/>
      <c r="BU43" s="732"/>
      <c r="BV43" s="732"/>
      <c r="BW43" s="732"/>
      <c r="BX43" s="732"/>
      <c r="BY43" s="732"/>
      <c r="BZ43" s="732"/>
      <c r="CA43" s="732"/>
      <c r="CB43" s="732"/>
      <c r="CC43" s="732"/>
      <c r="CD43" s="732"/>
      <c r="CE43" s="732"/>
      <c r="CF43" s="732"/>
      <c r="CG43" s="732"/>
      <c r="CH43" s="732"/>
      <c r="CI43" s="732"/>
      <c r="CJ43" s="732"/>
      <c r="CK43" s="732"/>
      <c r="CL43" s="732"/>
      <c r="CM43" s="732"/>
      <c r="CN43" s="732"/>
      <c r="CO43" s="732"/>
      <c r="CP43" s="732"/>
      <c r="CQ43" s="732"/>
      <c r="CR43" s="732"/>
      <c r="CS43" s="732"/>
      <c r="CT43" s="732"/>
      <c r="CU43" s="732"/>
      <c r="CV43" s="732"/>
      <c r="CW43" s="732"/>
      <c r="CX43" s="732"/>
      <c r="CY43" s="732"/>
      <c r="CZ43" s="732"/>
      <c r="DA43" s="732"/>
      <c r="DB43" s="732"/>
      <c r="DC43" s="732"/>
      <c r="DD43" s="732"/>
      <c r="DE43" s="732"/>
      <c r="DF43" s="732"/>
      <c r="DG43" s="732"/>
      <c r="DH43" s="732"/>
      <c r="DI43" s="732"/>
      <c r="DJ43" s="732"/>
      <c r="DK43" s="732"/>
      <c r="DL43" s="732"/>
      <c r="DM43" s="732"/>
      <c r="DN43" s="732"/>
      <c r="DO43" s="732"/>
      <c r="DP43" s="732"/>
      <c r="DQ43" s="732"/>
      <c r="DR43" s="732"/>
      <c r="DS43" s="732"/>
      <c r="DT43" s="732"/>
      <c r="DU43" s="732"/>
      <c r="DV43" s="732"/>
      <c r="DW43" s="732"/>
      <c r="DX43" s="732"/>
      <c r="DY43" s="732"/>
      <c r="DZ43" s="732"/>
      <c r="EA43" s="732"/>
      <c r="EB43" s="732"/>
      <c r="EC43" s="732"/>
      <c r="ED43" s="732"/>
      <c r="EE43" s="732"/>
      <c r="EF43" s="732"/>
      <c r="EG43" s="732"/>
      <c r="EH43" s="732"/>
      <c r="EI43" s="732"/>
      <c r="EJ43" s="732"/>
      <c r="EK43" s="732"/>
      <c r="EL43" s="732"/>
      <c r="EM43" s="732"/>
      <c r="EN43" s="732"/>
      <c r="EO43" s="732"/>
      <c r="EP43" s="732"/>
      <c r="EQ43" s="732"/>
    </row>
    <row r="44" spans="1:147" s="717" customFormat="1">
      <c r="A44" s="509"/>
      <c r="B44" s="563"/>
      <c r="C44" s="726" t="s">
        <v>201</v>
      </c>
      <c r="D44" s="494" t="s">
        <v>46</v>
      </c>
      <c r="E44" s="722">
        <v>0.12</v>
      </c>
      <c r="F44" s="722">
        <f>E44*F41</f>
        <v>2.4</v>
      </c>
      <c r="G44" s="392"/>
      <c r="H44" s="722"/>
      <c r="I44" s="722"/>
      <c r="J44" s="722"/>
      <c r="K44" s="722"/>
      <c r="L44" s="722"/>
      <c r="M44" s="722"/>
      <c r="N44" s="732"/>
      <c r="O44" s="732"/>
      <c r="P44" s="732"/>
      <c r="Q44" s="732"/>
      <c r="R44" s="732"/>
      <c r="S44" s="732"/>
      <c r="T44" s="732"/>
      <c r="U44" s="732"/>
      <c r="V44" s="732"/>
      <c r="W44" s="732"/>
      <c r="X44" s="732"/>
      <c r="Y44" s="732"/>
      <c r="Z44" s="732"/>
      <c r="AA44" s="732"/>
      <c r="AB44" s="732"/>
      <c r="AC44" s="732"/>
      <c r="AD44" s="732"/>
      <c r="AE44" s="732"/>
      <c r="AF44" s="732"/>
      <c r="AG44" s="732"/>
      <c r="AH44" s="732"/>
      <c r="AI44" s="732"/>
      <c r="AJ44" s="732"/>
      <c r="AK44" s="732"/>
      <c r="AL44" s="732"/>
      <c r="AM44" s="732"/>
      <c r="AN44" s="732"/>
      <c r="AO44" s="732"/>
      <c r="AP44" s="732"/>
      <c r="AQ44" s="732"/>
      <c r="AR44" s="732"/>
      <c r="AS44" s="732"/>
      <c r="AT44" s="732"/>
      <c r="AU44" s="732"/>
      <c r="AV44" s="732"/>
      <c r="AW44" s="732"/>
      <c r="AX44" s="732"/>
      <c r="AY44" s="732"/>
      <c r="AZ44" s="732"/>
      <c r="BA44" s="732"/>
      <c r="BB44" s="732"/>
      <c r="BC44" s="732"/>
      <c r="BD44" s="732"/>
      <c r="BE44" s="732"/>
      <c r="BF44" s="732"/>
      <c r="BG44" s="732"/>
      <c r="BH44" s="732"/>
      <c r="BI44" s="732"/>
      <c r="BJ44" s="732"/>
      <c r="BK44" s="732"/>
      <c r="BL44" s="732"/>
      <c r="BM44" s="732"/>
      <c r="BN44" s="732"/>
      <c r="BO44" s="732"/>
      <c r="BP44" s="732"/>
      <c r="BQ44" s="732"/>
      <c r="BR44" s="732"/>
      <c r="BS44" s="732"/>
      <c r="BT44" s="732"/>
      <c r="BU44" s="732"/>
      <c r="BV44" s="732"/>
      <c r="BW44" s="732"/>
      <c r="BX44" s="732"/>
      <c r="BY44" s="732"/>
      <c r="BZ44" s="732"/>
      <c r="CA44" s="732"/>
      <c r="CB44" s="732"/>
      <c r="CC44" s="732"/>
      <c r="CD44" s="732"/>
      <c r="CE44" s="732"/>
      <c r="CF44" s="732"/>
      <c r="CG44" s="732"/>
      <c r="CH44" s="732"/>
      <c r="CI44" s="732"/>
      <c r="CJ44" s="732"/>
      <c r="CK44" s="732"/>
      <c r="CL44" s="732"/>
      <c r="CM44" s="732"/>
      <c r="CN44" s="732"/>
      <c r="CO44" s="732"/>
      <c r="CP44" s="732"/>
      <c r="CQ44" s="732"/>
      <c r="CR44" s="732"/>
      <c r="CS44" s="732"/>
      <c r="CT44" s="732"/>
      <c r="CU44" s="732"/>
      <c r="CV44" s="732"/>
      <c r="CW44" s="732"/>
      <c r="CX44" s="732"/>
      <c r="CY44" s="732"/>
      <c r="CZ44" s="732"/>
      <c r="DA44" s="732"/>
      <c r="DB44" s="732"/>
      <c r="DC44" s="732"/>
      <c r="DD44" s="732"/>
      <c r="DE44" s="732"/>
      <c r="DF44" s="732"/>
      <c r="DG44" s="732"/>
      <c r="DH44" s="732"/>
      <c r="DI44" s="732"/>
      <c r="DJ44" s="732"/>
      <c r="DK44" s="732"/>
      <c r="DL44" s="732"/>
      <c r="DM44" s="732"/>
      <c r="DN44" s="732"/>
      <c r="DO44" s="732"/>
      <c r="DP44" s="732"/>
      <c r="DQ44" s="732"/>
      <c r="DR44" s="732"/>
      <c r="DS44" s="732"/>
      <c r="DT44" s="732"/>
      <c r="DU44" s="732"/>
      <c r="DV44" s="732"/>
      <c r="DW44" s="732"/>
      <c r="DX44" s="732"/>
      <c r="DY44" s="732"/>
      <c r="DZ44" s="732"/>
      <c r="EA44" s="732"/>
      <c r="EB44" s="732"/>
      <c r="EC44" s="732"/>
      <c r="ED44" s="732"/>
      <c r="EE44" s="732"/>
      <c r="EF44" s="732"/>
      <c r="EG44" s="732"/>
      <c r="EH44" s="732"/>
      <c r="EI44" s="732"/>
      <c r="EJ44" s="732"/>
      <c r="EK44" s="732"/>
      <c r="EL44" s="732"/>
      <c r="EM44" s="732"/>
      <c r="EN44" s="732"/>
      <c r="EO44" s="732"/>
      <c r="EP44" s="732"/>
      <c r="EQ44" s="732"/>
    </row>
    <row r="45" spans="1:147" s="717" customFormat="1">
      <c r="A45" s="509">
        <v>8</v>
      </c>
      <c r="B45" s="627" t="s">
        <v>208</v>
      </c>
      <c r="C45" s="528" t="s">
        <v>223</v>
      </c>
      <c r="D45" s="509" t="s">
        <v>91</v>
      </c>
      <c r="E45" s="555"/>
      <c r="F45" s="721">
        <f>F48+F49</f>
        <v>51</v>
      </c>
      <c r="G45" s="509"/>
      <c r="H45" s="647"/>
      <c r="I45" s="647"/>
      <c r="J45" s="647"/>
      <c r="K45" s="509"/>
      <c r="L45" s="509"/>
      <c r="M45" s="942"/>
      <c r="N45" s="732"/>
      <c r="O45" s="732"/>
      <c r="P45" s="732"/>
      <c r="Q45" s="732"/>
      <c r="R45" s="732"/>
      <c r="S45" s="732"/>
      <c r="T45" s="732"/>
      <c r="U45" s="732"/>
      <c r="V45" s="732"/>
      <c r="W45" s="732"/>
      <c r="X45" s="732"/>
      <c r="Y45" s="732"/>
      <c r="Z45" s="732"/>
      <c r="AA45" s="732"/>
      <c r="AB45" s="732"/>
      <c r="AC45" s="732"/>
      <c r="AD45" s="732"/>
      <c r="AE45" s="732"/>
      <c r="AF45" s="732"/>
      <c r="AG45" s="732"/>
      <c r="AH45" s="732"/>
      <c r="AI45" s="732"/>
      <c r="AJ45" s="732"/>
      <c r="AK45" s="732"/>
      <c r="AL45" s="732"/>
      <c r="AM45" s="732"/>
      <c r="AN45" s="732"/>
      <c r="AO45" s="732"/>
      <c r="AP45" s="732"/>
      <c r="AQ45" s="732"/>
      <c r="AR45" s="732"/>
      <c r="AS45" s="732"/>
      <c r="AT45" s="732"/>
      <c r="AU45" s="732"/>
      <c r="AV45" s="732"/>
      <c r="AW45" s="732"/>
      <c r="AX45" s="732"/>
      <c r="AY45" s="732"/>
      <c r="AZ45" s="732"/>
      <c r="BA45" s="732"/>
      <c r="BB45" s="732"/>
      <c r="BC45" s="732"/>
      <c r="BD45" s="732"/>
      <c r="BE45" s="732"/>
      <c r="BF45" s="732"/>
      <c r="BG45" s="732"/>
      <c r="BH45" s="732"/>
      <c r="BI45" s="732"/>
      <c r="BJ45" s="732"/>
      <c r="BK45" s="732"/>
      <c r="BL45" s="732"/>
      <c r="BM45" s="732"/>
      <c r="BN45" s="732"/>
      <c r="BO45" s="732"/>
      <c r="BP45" s="732"/>
      <c r="BQ45" s="732"/>
      <c r="BR45" s="732"/>
      <c r="BS45" s="732"/>
      <c r="BT45" s="732"/>
      <c r="BU45" s="732"/>
      <c r="BV45" s="732"/>
      <c r="BW45" s="732"/>
      <c r="BX45" s="732"/>
      <c r="BY45" s="732"/>
      <c r="BZ45" s="732"/>
      <c r="CA45" s="732"/>
      <c r="CB45" s="732"/>
      <c r="CC45" s="732"/>
      <c r="CD45" s="732"/>
      <c r="CE45" s="732"/>
      <c r="CF45" s="732"/>
      <c r="CG45" s="732"/>
      <c r="CH45" s="732"/>
      <c r="CI45" s="732"/>
      <c r="CJ45" s="732"/>
      <c r="CK45" s="732"/>
      <c r="CL45" s="732"/>
      <c r="CM45" s="732"/>
      <c r="CN45" s="732"/>
      <c r="CO45" s="732"/>
      <c r="CP45" s="732"/>
      <c r="CQ45" s="732"/>
      <c r="CR45" s="732"/>
      <c r="CS45" s="732"/>
      <c r="CT45" s="732"/>
      <c r="CU45" s="732"/>
      <c r="CV45" s="732"/>
      <c r="CW45" s="732"/>
      <c r="CX45" s="732"/>
      <c r="CY45" s="732"/>
      <c r="CZ45" s="732"/>
      <c r="DA45" s="732"/>
      <c r="DB45" s="732"/>
      <c r="DC45" s="732"/>
      <c r="DD45" s="732"/>
      <c r="DE45" s="732"/>
      <c r="DF45" s="732"/>
      <c r="DG45" s="732"/>
      <c r="DH45" s="732"/>
      <c r="DI45" s="732"/>
      <c r="DJ45" s="732"/>
      <c r="DK45" s="732"/>
      <c r="DL45" s="732"/>
      <c r="DM45" s="732"/>
      <c r="DN45" s="732"/>
      <c r="DO45" s="732"/>
      <c r="DP45" s="732"/>
      <c r="DQ45" s="732"/>
      <c r="DR45" s="732"/>
      <c r="DS45" s="732"/>
      <c r="DT45" s="732"/>
      <c r="DU45" s="732"/>
      <c r="DV45" s="732"/>
      <c r="DW45" s="732"/>
      <c r="DX45" s="732"/>
      <c r="DY45" s="732"/>
      <c r="DZ45" s="732"/>
      <c r="EA45" s="732"/>
      <c r="EB45" s="732"/>
      <c r="EC45" s="732"/>
      <c r="ED45" s="732"/>
      <c r="EE45" s="732"/>
      <c r="EF45" s="732"/>
      <c r="EG45" s="732"/>
      <c r="EH45" s="732"/>
      <c r="EI45" s="732"/>
      <c r="EJ45" s="732"/>
      <c r="EK45" s="732"/>
      <c r="EL45" s="732"/>
      <c r="EM45" s="732"/>
      <c r="EN45" s="732"/>
      <c r="EO45" s="732"/>
      <c r="EP45" s="732"/>
      <c r="EQ45" s="732"/>
    </row>
    <row r="46" spans="1:147" s="717" customFormat="1">
      <c r="A46" s="509"/>
      <c r="B46" s="563"/>
      <c r="C46" s="938" t="s">
        <v>197</v>
      </c>
      <c r="D46" s="742" t="s">
        <v>63</v>
      </c>
      <c r="E46" s="722">
        <f>13/100</f>
        <v>0.13</v>
      </c>
      <c r="F46" s="722">
        <f>E46*F45</f>
        <v>6.63</v>
      </c>
      <c r="G46" s="496"/>
      <c r="H46" s="496"/>
      <c r="I46" s="748"/>
      <c r="J46" s="722"/>
      <c r="K46" s="722"/>
      <c r="L46" s="722"/>
      <c r="M46" s="722"/>
      <c r="N46" s="732"/>
      <c r="O46" s="732"/>
      <c r="P46" s="732"/>
      <c r="Q46" s="732"/>
      <c r="R46" s="732"/>
      <c r="S46" s="732"/>
      <c r="T46" s="732"/>
      <c r="U46" s="732"/>
      <c r="V46" s="732"/>
      <c r="W46" s="732"/>
      <c r="X46" s="732"/>
      <c r="Y46" s="732"/>
      <c r="Z46" s="732"/>
      <c r="AA46" s="732"/>
      <c r="AB46" s="732"/>
      <c r="AC46" s="732"/>
      <c r="AD46" s="732"/>
      <c r="AE46" s="732"/>
      <c r="AF46" s="732"/>
      <c r="AG46" s="732"/>
      <c r="AH46" s="732"/>
      <c r="AI46" s="732"/>
      <c r="AJ46" s="732"/>
      <c r="AK46" s="732"/>
      <c r="AL46" s="732"/>
      <c r="AM46" s="732"/>
      <c r="AN46" s="732"/>
      <c r="AO46" s="732"/>
      <c r="AP46" s="732"/>
      <c r="AQ46" s="732"/>
      <c r="AR46" s="732"/>
      <c r="AS46" s="732"/>
      <c r="AT46" s="732"/>
      <c r="AU46" s="732"/>
      <c r="AV46" s="732"/>
      <c r="AW46" s="732"/>
      <c r="AX46" s="732"/>
      <c r="AY46" s="732"/>
      <c r="AZ46" s="732"/>
      <c r="BA46" s="732"/>
      <c r="BB46" s="732"/>
      <c r="BC46" s="732"/>
      <c r="BD46" s="732"/>
      <c r="BE46" s="732"/>
      <c r="BF46" s="732"/>
      <c r="BG46" s="732"/>
      <c r="BH46" s="732"/>
      <c r="BI46" s="732"/>
      <c r="BJ46" s="732"/>
      <c r="BK46" s="732"/>
      <c r="BL46" s="732"/>
      <c r="BM46" s="732"/>
      <c r="BN46" s="732"/>
      <c r="BO46" s="732"/>
      <c r="BP46" s="732"/>
      <c r="BQ46" s="732"/>
      <c r="BR46" s="732"/>
      <c r="BS46" s="732"/>
      <c r="BT46" s="732"/>
      <c r="BU46" s="732"/>
      <c r="BV46" s="732"/>
      <c r="BW46" s="732"/>
      <c r="BX46" s="732"/>
      <c r="BY46" s="732"/>
      <c r="BZ46" s="732"/>
      <c r="CA46" s="732"/>
      <c r="CB46" s="732"/>
      <c r="CC46" s="732"/>
      <c r="CD46" s="732"/>
      <c r="CE46" s="732"/>
      <c r="CF46" s="732"/>
      <c r="CG46" s="732"/>
      <c r="CH46" s="732"/>
      <c r="CI46" s="732"/>
      <c r="CJ46" s="732"/>
      <c r="CK46" s="732"/>
      <c r="CL46" s="732"/>
      <c r="CM46" s="732"/>
      <c r="CN46" s="732"/>
      <c r="CO46" s="732"/>
      <c r="CP46" s="732"/>
      <c r="CQ46" s="732"/>
      <c r="CR46" s="732"/>
      <c r="CS46" s="732"/>
      <c r="CT46" s="732"/>
      <c r="CU46" s="732"/>
      <c r="CV46" s="732"/>
      <c r="CW46" s="732"/>
      <c r="CX46" s="732"/>
      <c r="CY46" s="732"/>
      <c r="CZ46" s="732"/>
      <c r="DA46" s="732"/>
      <c r="DB46" s="732"/>
      <c r="DC46" s="732"/>
      <c r="DD46" s="732"/>
      <c r="DE46" s="732"/>
      <c r="DF46" s="732"/>
      <c r="DG46" s="732"/>
      <c r="DH46" s="732"/>
      <c r="DI46" s="732"/>
      <c r="DJ46" s="732"/>
      <c r="DK46" s="732"/>
      <c r="DL46" s="732"/>
      <c r="DM46" s="732"/>
      <c r="DN46" s="732"/>
      <c r="DO46" s="732"/>
      <c r="DP46" s="732"/>
      <c r="DQ46" s="732"/>
      <c r="DR46" s="732"/>
      <c r="DS46" s="732"/>
      <c r="DT46" s="732"/>
      <c r="DU46" s="732"/>
      <c r="DV46" s="732"/>
      <c r="DW46" s="732"/>
      <c r="DX46" s="732"/>
      <c r="DY46" s="732"/>
      <c r="DZ46" s="732"/>
      <c r="EA46" s="732"/>
      <c r="EB46" s="732"/>
      <c r="EC46" s="732"/>
      <c r="ED46" s="732"/>
      <c r="EE46" s="732"/>
      <c r="EF46" s="732"/>
      <c r="EG46" s="732"/>
      <c r="EH46" s="732"/>
      <c r="EI46" s="732"/>
      <c r="EJ46" s="732"/>
      <c r="EK46" s="732"/>
      <c r="EL46" s="732"/>
      <c r="EM46" s="732"/>
      <c r="EN46" s="732"/>
      <c r="EO46" s="732"/>
      <c r="EP46" s="732"/>
      <c r="EQ46" s="732"/>
    </row>
    <row r="47" spans="1:147" s="717" customFormat="1">
      <c r="A47" s="509"/>
      <c r="B47" s="563"/>
      <c r="C47" s="754" t="s">
        <v>31</v>
      </c>
      <c r="D47" s="494" t="s">
        <v>46</v>
      </c>
      <c r="E47" s="727">
        <v>3.7100000000000001E-2</v>
      </c>
      <c r="F47" s="722">
        <f>E47*F45</f>
        <v>1.8921000000000001</v>
      </c>
      <c r="G47" s="392"/>
      <c r="H47" s="722"/>
      <c r="I47" s="722"/>
      <c r="J47" s="722"/>
      <c r="K47" s="748"/>
      <c r="L47" s="722"/>
      <c r="M47" s="722"/>
      <c r="N47" s="732"/>
      <c r="O47" s="732"/>
      <c r="P47" s="732"/>
      <c r="Q47" s="732"/>
      <c r="R47" s="732"/>
      <c r="S47" s="732"/>
      <c r="T47" s="732"/>
      <c r="U47" s="732"/>
      <c r="V47" s="732"/>
      <c r="W47" s="732"/>
      <c r="X47" s="732"/>
      <c r="Y47" s="732"/>
      <c r="Z47" s="732"/>
      <c r="AA47" s="732"/>
      <c r="AB47" s="732"/>
      <c r="AC47" s="732"/>
      <c r="AD47" s="732"/>
      <c r="AE47" s="732"/>
      <c r="AF47" s="732"/>
      <c r="AG47" s="732"/>
      <c r="AH47" s="732"/>
      <c r="AI47" s="732"/>
      <c r="AJ47" s="732"/>
      <c r="AK47" s="732"/>
      <c r="AL47" s="732"/>
      <c r="AM47" s="732"/>
      <c r="AN47" s="732"/>
      <c r="AO47" s="732"/>
      <c r="AP47" s="732"/>
      <c r="AQ47" s="732"/>
      <c r="AR47" s="732"/>
      <c r="AS47" s="732"/>
      <c r="AT47" s="732"/>
      <c r="AU47" s="732"/>
      <c r="AV47" s="732"/>
      <c r="AW47" s="732"/>
      <c r="AX47" s="732"/>
      <c r="AY47" s="732"/>
      <c r="AZ47" s="732"/>
      <c r="BA47" s="732"/>
      <c r="BB47" s="732"/>
      <c r="BC47" s="732"/>
      <c r="BD47" s="732"/>
      <c r="BE47" s="732"/>
      <c r="BF47" s="732"/>
      <c r="BG47" s="732"/>
      <c r="BH47" s="732"/>
      <c r="BI47" s="732"/>
      <c r="BJ47" s="732"/>
      <c r="BK47" s="732"/>
      <c r="BL47" s="732"/>
      <c r="BM47" s="732"/>
      <c r="BN47" s="732"/>
      <c r="BO47" s="732"/>
      <c r="BP47" s="732"/>
      <c r="BQ47" s="732"/>
      <c r="BR47" s="732"/>
      <c r="BS47" s="732"/>
      <c r="BT47" s="732"/>
      <c r="BU47" s="732"/>
      <c r="BV47" s="732"/>
      <c r="BW47" s="732"/>
      <c r="BX47" s="732"/>
      <c r="BY47" s="732"/>
      <c r="BZ47" s="732"/>
      <c r="CA47" s="732"/>
      <c r="CB47" s="732"/>
      <c r="CC47" s="732"/>
      <c r="CD47" s="732"/>
      <c r="CE47" s="732"/>
      <c r="CF47" s="732"/>
      <c r="CG47" s="732"/>
      <c r="CH47" s="732"/>
      <c r="CI47" s="732"/>
      <c r="CJ47" s="732"/>
      <c r="CK47" s="732"/>
      <c r="CL47" s="732"/>
      <c r="CM47" s="732"/>
      <c r="CN47" s="732"/>
      <c r="CO47" s="732"/>
      <c r="CP47" s="732"/>
      <c r="CQ47" s="732"/>
      <c r="CR47" s="732"/>
      <c r="CS47" s="732"/>
      <c r="CT47" s="732"/>
      <c r="CU47" s="732"/>
      <c r="CV47" s="732"/>
      <c r="CW47" s="732"/>
      <c r="CX47" s="732"/>
      <c r="CY47" s="732"/>
      <c r="CZ47" s="732"/>
      <c r="DA47" s="732"/>
      <c r="DB47" s="732"/>
      <c r="DC47" s="732"/>
      <c r="DD47" s="732"/>
      <c r="DE47" s="732"/>
      <c r="DF47" s="732"/>
      <c r="DG47" s="732"/>
      <c r="DH47" s="732"/>
      <c r="DI47" s="732"/>
      <c r="DJ47" s="732"/>
      <c r="DK47" s="732"/>
      <c r="DL47" s="732"/>
      <c r="DM47" s="732"/>
      <c r="DN47" s="732"/>
      <c r="DO47" s="732"/>
      <c r="DP47" s="732"/>
      <c r="DQ47" s="732"/>
      <c r="DR47" s="732"/>
      <c r="DS47" s="732"/>
      <c r="DT47" s="732"/>
      <c r="DU47" s="732"/>
      <c r="DV47" s="732"/>
      <c r="DW47" s="732"/>
      <c r="DX47" s="732"/>
      <c r="DY47" s="732"/>
      <c r="DZ47" s="732"/>
      <c r="EA47" s="732"/>
      <c r="EB47" s="732"/>
      <c r="EC47" s="732"/>
      <c r="ED47" s="732"/>
      <c r="EE47" s="732"/>
      <c r="EF47" s="732"/>
      <c r="EG47" s="732"/>
      <c r="EH47" s="732"/>
      <c r="EI47" s="732"/>
      <c r="EJ47" s="732"/>
      <c r="EK47" s="732"/>
      <c r="EL47" s="732"/>
      <c r="EM47" s="732"/>
      <c r="EN47" s="732"/>
      <c r="EO47" s="732"/>
      <c r="EP47" s="732"/>
      <c r="EQ47" s="732"/>
    </row>
    <row r="48" spans="1:147" s="717" customFormat="1" ht="15.75">
      <c r="A48" s="509"/>
      <c r="B48" s="563" t="s">
        <v>730</v>
      </c>
      <c r="C48" s="938" t="s">
        <v>510</v>
      </c>
      <c r="D48" s="494" t="s">
        <v>199</v>
      </c>
      <c r="E48" s="722" t="s">
        <v>205</v>
      </c>
      <c r="F48" s="722">
        <v>20</v>
      </c>
      <c r="G48" s="722"/>
      <c r="H48" s="722"/>
      <c r="I48" s="722"/>
      <c r="J48" s="722"/>
      <c r="K48" s="722"/>
      <c r="L48" s="722"/>
      <c r="M48" s="722"/>
      <c r="N48" s="732"/>
      <c r="O48" s="732"/>
      <c r="P48" s="732"/>
      <c r="Q48" s="732"/>
      <c r="R48" s="732"/>
      <c r="S48" s="732"/>
      <c r="T48" s="732"/>
      <c r="U48" s="732"/>
      <c r="V48" s="732"/>
      <c r="W48" s="732"/>
      <c r="X48" s="732"/>
      <c r="Y48" s="732"/>
      <c r="Z48" s="732"/>
      <c r="AA48" s="732"/>
      <c r="AB48" s="732"/>
      <c r="AC48" s="732"/>
      <c r="AD48" s="732"/>
      <c r="AE48" s="732"/>
      <c r="AF48" s="732"/>
      <c r="AG48" s="732"/>
      <c r="AH48" s="732"/>
      <c r="AI48" s="732"/>
      <c r="AJ48" s="732"/>
      <c r="AK48" s="732"/>
      <c r="AL48" s="732"/>
      <c r="AM48" s="732"/>
      <c r="AN48" s="732"/>
      <c r="AO48" s="732"/>
      <c r="AP48" s="732"/>
      <c r="AQ48" s="732"/>
      <c r="AR48" s="732"/>
      <c r="AS48" s="732"/>
      <c r="AT48" s="732"/>
      <c r="AU48" s="732"/>
      <c r="AV48" s="732"/>
      <c r="AW48" s="732"/>
      <c r="AX48" s="732"/>
      <c r="AY48" s="732"/>
      <c r="AZ48" s="732"/>
      <c r="BA48" s="732"/>
      <c r="BB48" s="732"/>
      <c r="BC48" s="732"/>
      <c r="BD48" s="732"/>
      <c r="BE48" s="732"/>
      <c r="BF48" s="732"/>
      <c r="BG48" s="732"/>
      <c r="BH48" s="732"/>
      <c r="BI48" s="732"/>
      <c r="BJ48" s="732"/>
      <c r="BK48" s="732"/>
      <c r="BL48" s="732"/>
      <c r="BM48" s="732"/>
      <c r="BN48" s="732"/>
      <c r="BO48" s="732"/>
      <c r="BP48" s="732"/>
      <c r="BQ48" s="732"/>
      <c r="BR48" s="732"/>
      <c r="BS48" s="732"/>
      <c r="BT48" s="732"/>
      <c r="BU48" s="732"/>
      <c r="BV48" s="732"/>
      <c r="BW48" s="732"/>
      <c r="BX48" s="732"/>
      <c r="BY48" s="732"/>
      <c r="BZ48" s="732"/>
      <c r="CA48" s="732"/>
      <c r="CB48" s="732"/>
      <c r="CC48" s="732"/>
      <c r="CD48" s="732"/>
      <c r="CE48" s="732"/>
      <c r="CF48" s="732"/>
      <c r="CG48" s="732"/>
      <c r="CH48" s="732"/>
      <c r="CI48" s="732"/>
      <c r="CJ48" s="732"/>
      <c r="CK48" s="732"/>
      <c r="CL48" s="732"/>
      <c r="CM48" s="732"/>
      <c r="CN48" s="732"/>
      <c r="CO48" s="732"/>
      <c r="CP48" s="732"/>
      <c r="CQ48" s="732"/>
      <c r="CR48" s="732"/>
      <c r="CS48" s="732"/>
      <c r="CT48" s="732"/>
      <c r="CU48" s="732"/>
      <c r="CV48" s="732"/>
      <c r="CW48" s="732"/>
      <c r="CX48" s="732"/>
      <c r="CY48" s="732"/>
      <c r="CZ48" s="732"/>
      <c r="DA48" s="732"/>
      <c r="DB48" s="732"/>
      <c r="DC48" s="732"/>
      <c r="DD48" s="732"/>
      <c r="DE48" s="732"/>
      <c r="DF48" s="732"/>
      <c r="DG48" s="732"/>
      <c r="DH48" s="732"/>
      <c r="DI48" s="732"/>
      <c r="DJ48" s="732"/>
      <c r="DK48" s="732"/>
      <c r="DL48" s="732"/>
      <c r="DM48" s="732"/>
      <c r="DN48" s="732"/>
      <c r="DO48" s="732"/>
      <c r="DP48" s="732"/>
      <c r="DQ48" s="732"/>
      <c r="DR48" s="732"/>
      <c r="DS48" s="732"/>
      <c r="DT48" s="732"/>
      <c r="DU48" s="732"/>
      <c r="DV48" s="732"/>
      <c r="DW48" s="732"/>
      <c r="DX48" s="732"/>
      <c r="DY48" s="732"/>
      <c r="DZ48" s="732"/>
      <c r="EA48" s="732"/>
      <c r="EB48" s="732"/>
      <c r="EC48" s="732"/>
      <c r="ED48" s="732"/>
      <c r="EE48" s="732"/>
      <c r="EF48" s="732"/>
      <c r="EG48" s="732"/>
      <c r="EH48" s="732"/>
      <c r="EI48" s="732"/>
      <c r="EJ48" s="732"/>
      <c r="EK48" s="732"/>
      <c r="EL48" s="732"/>
      <c r="EM48" s="732"/>
      <c r="EN48" s="732"/>
      <c r="EO48" s="732"/>
      <c r="EP48" s="732"/>
      <c r="EQ48" s="732"/>
    </row>
    <row r="49" spans="1:147" s="717" customFormat="1">
      <c r="A49" s="509"/>
      <c r="B49" s="563" t="s">
        <v>731</v>
      </c>
      <c r="C49" s="938" t="s">
        <v>511</v>
      </c>
      <c r="D49" s="494" t="s">
        <v>199</v>
      </c>
      <c r="E49" s="722" t="s">
        <v>205</v>
      </c>
      <c r="F49" s="722">
        <v>31</v>
      </c>
      <c r="G49" s="722"/>
      <c r="H49" s="722"/>
      <c r="I49" s="722"/>
      <c r="J49" s="722"/>
      <c r="K49" s="722"/>
      <c r="L49" s="722"/>
      <c r="M49" s="722"/>
      <c r="N49" s="732"/>
      <c r="O49" s="732"/>
      <c r="P49" s="732"/>
      <c r="Q49" s="732"/>
      <c r="R49" s="732"/>
      <c r="S49" s="732"/>
      <c r="T49" s="732"/>
      <c r="U49" s="732"/>
      <c r="V49" s="732"/>
      <c r="W49" s="732"/>
      <c r="X49" s="732"/>
      <c r="Y49" s="732"/>
      <c r="Z49" s="732"/>
      <c r="AA49" s="732"/>
      <c r="AB49" s="732"/>
      <c r="AC49" s="732"/>
      <c r="AD49" s="732"/>
      <c r="AE49" s="732"/>
      <c r="AF49" s="732"/>
      <c r="AG49" s="732"/>
      <c r="AH49" s="732"/>
      <c r="AI49" s="732"/>
      <c r="AJ49" s="732"/>
      <c r="AK49" s="732"/>
      <c r="AL49" s="732"/>
      <c r="AM49" s="732"/>
      <c r="AN49" s="732"/>
      <c r="AO49" s="732"/>
      <c r="AP49" s="732"/>
      <c r="AQ49" s="732"/>
      <c r="AR49" s="732"/>
      <c r="AS49" s="732"/>
      <c r="AT49" s="732"/>
      <c r="AU49" s="732"/>
      <c r="AV49" s="732"/>
      <c r="AW49" s="732"/>
      <c r="AX49" s="732"/>
      <c r="AY49" s="732"/>
      <c r="AZ49" s="732"/>
      <c r="BA49" s="732"/>
      <c r="BB49" s="732"/>
      <c r="BC49" s="732"/>
      <c r="BD49" s="732"/>
      <c r="BE49" s="732"/>
      <c r="BF49" s="732"/>
      <c r="BG49" s="732"/>
      <c r="BH49" s="732"/>
      <c r="BI49" s="732"/>
      <c r="BJ49" s="732"/>
      <c r="BK49" s="732"/>
      <c r="BL49" s="732"/>
      <c r="BM49" s="732"/>
      <c r="BN49" s="732"/>
      <c r="BO49" s="732"/>
      <c r="BP49" s="732"/>
      <c r="BQ49" s="732"/>
      <c r="BR49" s="732"/>
      <c r="BS49" s="732"/>
      <c r="BT49" s="732"/>
      <c r="BU49" s="732"/>
      <c r="BV49" s="732"/>
      <c r="BW49" s="732"/>
      <c r="BX49" s="732"/>
      <c r="BY49" s="732"/>
      <c r="BZ49" s="732"/>
      <c r="CA49" s="732"/>
      <c r="CB49" s="732"/>
      <c r="CC49" s="732"/>
      <c r="CD49" s="732"/>
      <c r="CE49" s="732"/>
      <c r="CF49" s="732"/>
      <c r="CG49" s="732"/>
      <c r="CH49" s="732"/>
      <c r="CI49" s="732"/>
      <c r="CJ49" s="732"/>
      <c r="CK49" s="732"/>
      <c r="CL49" s="732"/>
      <c r="CM49" s="732"/>
      <c r="CN49" s="732"/>
      <c r="CO49" s="732"/>
      <c r="CP49" s="732"/>
      <c r="CQ49" s="732"/>
      <c r="CR49" s="732"/>
      <c r="CS49" s="732"/>
      <c r="CT49" s="732"/>
      <c r="CU49" s="732"/>
      <c r="CV49" s="732"/>
      <c r="CW49" s="732"/>
      <c r="CX49" s="732"/>
      <c r="CY49" s="732"/>
      <c r="CZ49" s="732"/>
      <c r="DA49" s="732"/>
      <c r="DB49" s="732"/>
      <c r="DC49" s="732"/>
      <c r="DD49" s="732"/>
      <c r="DE49" s="732"/>
      <c r="DF49" s="732"/>
      <c r="DG49" s="732"/>
      <c r="DH49" s="732"/>
      <c r="DI49" s="732"/>
      <c r="DJ49" s="732"/>
      <c r="DK49" s="732"/>
      <c r="DL49" s="732"/>
      <c r="DM49" s="732"/>
      <c r="DN49" s="732"/>
      <c r="DO49" s="732"/>
      <c r="DP49" s="732"/>
      <c r="DQ49" s="732"/>
      <c r="DR49" s="732"/>
      <c r="DS49" s="732"/>
      <c r="DT49" s="732"/>
      <c r="DU49" s="732"/>
      <c r="DV49" s="732"/>
      <c r="DW49" s="732"/>
      <c r="DX49" s="732"/>
      <c r="DY49" s="732"/>
      <c r="DZ49" s="732"/>
      <c r="EA49" s="732"/>
      <c r="EB49" s="732"/>
      <c r="EC49" s="732"/>
      <c r="ED49" s="732"/>
      <c r="EE49" s="732"/>
      <c r="EF49" s="732"/>
      <c r="EG49" s="732"/>
      <c r="EH49" s="732"/>
      <c r="EI49" s="732"/>
      <c r="EJ49" s="732"/>
      <c r="EK49" s="732"/>
      <c r="EL49" s="732"/>
      <c r="EM49" s="732"/>
      <c r="EN49" s="732"/>
      <c r="EO49" s="732"/>
      <c r="EP49" s="732"/>
      <c r="EQ49" s="732"/>
    </row>
    <row r="50" spans="1:147" s="717" customFormat="1">
      <c r="A50" s="509"/>
      <c r="B50" s="563"/>
      <c r="C50" s="726" t="s">
        <v>201</v>
      </c>
      <c r="D50" s="494" t="s">
        <v>46</v>
      </c>
      <c r="E50" s="727">
        <v>1.44E-2</v>
      </c>
      <c r="F50" s="722">
        <f>E50*F49</f>
        <v>0.44639999999999996</v>
      </c>
      <c r="G50" s="392"/>
      <c r="H50" s="722"/>
      <c r="I50" s="722"/>
      <c r="J50" s="722"/>
      <c r="K50" s="722"/>
      <c r="L50" s="722"/>
      <c r="M50" s="722"/>
      <c r="N50" s="732"/>
      <c r="O50" s="732"/>
      <c r="P50" s="732"/>
      <c r="Q50" s="732"/>
      <c r="R50" s="732"/>
      <c r="S50" s="732"/>
      <c r="T50" s="732"/>
      <c r="U50" s="732"/>
      <c r="V50" s="732"/>
      <c r="W50" s="732"/>
      <c r="X50" s="732"/>
      <c r="Y50" s="732"/>
      <c r="Z50" s="732"/>
      <c r="AA50" s="732"/>
      <c r="AB50" s="732"/>
      <c r="AC50" s="732"/>
      <c r="AD50" s="732"/>
      <c r="AE50" s="732"/>
      <c r="AF50" s="732"/>
      <c r="AG50" s="732"/>
      <c r="AH50" s="732"/>
      <c r="AI50" s="732"/>
      <c r="AJ50" s="732"/>
      <c r="AK50" s="732"/>
      <c r="AL50" s="732"/>
      <c r="AM50" s="732"/>
      <c r="AN50" s="732"/>
      <c r="AO50" s="732"/>
      <c r="AP50" s="732"/>
      <c r="AQ50" s="732"/>
      <c r="AR50" s="732"/>
      <c r="AS50" s="732"/>
      <c r="AT50" s="732"/>
      <c r="AU50" s="732"/>
      <c r="AV50" s="732"/>
      <c r="AW50" s="732"/>
      <c r="AX50" s="732"/>
      <c r="AY50" s="732"/>
      <c r="AZ50" s="732"/>
      <c r="BA50" s="732"/>
      <c r="BB50" s="732"/>
      <c r="BC50" s="732"/>
      <c r="BD50" s="732"/>
      <c r="BE50" s="732"/>
      <c r="BF50" s="732"/>
      <c r="BG50" s="732"/>
      <c r="BH50" s="732"/>
      <c r="BI50" s="732"/>
      <c r="BJ50" s="732"/>
      <c r="BK50" s="732"/>
      <c r="BL50" s="732"/>
      <c r="BM50" s="732"/>
      <c r="BN50" s="732"/>
      <c r="BO50" s="732"/>
      <c r="BP50" s="732"/>
      <c r="BQ50" s="732"/>
      <c r="BR50" s="732"/>
      <c r="BS50" s="732"/>
      <c r="BT50" s="732"/>
      <c r="BU50" s="732"/>
      <c r="BV50" s="732"/>
      <c r="BW50" s="732"/>
      <c r="BX50" s="732"/>
      <c r="BY50" s="732"/>
      <c r="BZ50" s="732"/>
      <c r="CA50" s="732"/>
      <c r="CB50" s="732"/>
      <c r="CC50" s="732"/>
      <c r="CD50" s="732"/>
      <c r="CE50" s="732"/>
      <c r="CF50" s="732"/>
      <c r="CG50" s="732"/>
      <c r="CH50" s="732"/>
      <c r="CI50" s="732"/>
      <c r="CJ50" s="732"/>
      <c r="CK50" s="732"/>
      <c r="CL50" s="732"/>
      <c r="CM50" s="732"/>
      <c r="CN50" s="732"/>
      <c r="CO50" s="732"/>
      <c r="CP50" s="732"/>
      <c r="CQ50" s="732"/>
      <c r="CR50" s="732"/>
      <c r="CS50" s="732"/>
      <c r="CT50" s="732"/>
      <c r="CU50" s="732"/>
      <c r="CV50" s="732"/>
      <c r="CW50" s="732"/>
      <c r="CX50" s="732"/>
      <c r="CY50" s="732"/>
      <c r="CZ50" s="732"/>
      <c r="DA50" s="732"/>
      <c r="DB50" s="732"/>
      <c r="DC50" s="732"/>
      <c r="DD50" s="732"/>
      <c r="DE50" s="732"/>
      <c r="DF50" s="732"/>
      <c r="DG50" s="732"/>
      <c r="DH50" s="732"/>
      <c r="DI50" s="732"/>
      <c r="DJ50" s="732"/>
      <c r="DK50" s="732"/>
      <c r="DL50" s="732"/>
      <c r="DM50" s="732"/>
      <c r="DN50" s="732"/>
      <c r="DO50" s="732"/>
      <c r="DP50" s="732"/>
      <c r="DQ50" s="732"/>
      <c r="DR50" s="732"/>
      <c r="DS50" s="732"/>
      <c r="DT50" s="732"/>
      <c r="DU50" s="732"/>
      <c r="DV50" s="732"/>
      <c r="DW50" s="732"/>
      <c r="DX50" s="732"/>
      <c r="DY50" s="732"/>
      <c r="DZ50" s="732"/>
      <c r="EA50" s="732"/>
      <c r="EB50" s="732"/>
      <c r="EC50" s="732"/>
      <c r="ED50" s="732"/>
      <c r="EE50" s="732"/>
      <c r="EF50" s="732"/>
      <c r="EG50" s="732"/>
      <c r="EH50" s="732"/>
      <c r="EI50" s="732"/>
      <c r="EJ50" s="732"/>
      <c r="EK50" s="732"/>
      <c r="EL50" s="732"/>
      <c r="EM50" s="732"/>
      <c r="EN50" s="732"/>
      <c r="EO50" s="732"/>
      <c r="EP50" s="732"/>
      <c r="EQ50" s="732"/>
    </row>
    <row r="51" spans="1:147" s="717" customFormat="1">
      <c r="A51" s="494"/>
      <c r="B51" s="635"/>
      <c r="C51" s="943" t="s">
        <v>224</v>
      </c>
      <c r="D51" s="494"/>
      <c r="E51" s="722"/>
      <c r="F51" s="722"/>
      <c r="G51" s="392"/>
      <c r="H51" s="722"/>
      <c r="I51" s="722"/>
      <c r="J51" s="722"/>
      <c r="K51" s="722"/>
      <c r="L51" s="722"/>
      <c r="M51" s="722"/>
      <c r="N51" s="732"/>
      <c r="O51" s="732"/>
      <c r="P51" s="732"/>
      <c r="Q51" s="732"/>
      <c r="R51" s="732"/>
      <c r="S51" s="732"/>
      <c r="T51" s="732"/>
      <c r="U51" s="732"/>
      <c r="V51" s="732"/>
      <c r="W51" s="732"/>
      <c r="X51" s="732"/>
      <c r="Y51" s="732"/>
      <c r="Z51" s="732"/>
      <c r="AA51" s="732"/>
      <c r="AB51" s="732"/>
      <c r="AC51" s="732"/>
      <c r="AD51" s="732"/>
      <c r="AE51" s="732"/>
      <c r="AF51" s="732"/>
      <c r="AG51" s="732"/>
      <c r="AH51" s="732"/>
      <c r="AI51" s="732"/>
      <c r="AJ51" s="732"/>
      <c r="AK51" s="732"/>
      <c r="AL51" s="732"/>
      <c r="AM51" s="732"/>
      <c r="AN51" s="732"/>
      <c r="AO51" s="732"/>
      <c r="AP51" s="732"/>
      <c r="AQ51" s="732"/>
      <c r="AR51" s="732"/>
      <c r="AS51" s="732"/>
      <c r="AT51" s="732"/>
      <c r="AU51" s="732"/>
      <c r="AV51" s="732"/>
      <c r="AW51" s="732"/>
      <c r="AX51" s="732"/>
      <c r="AY51" s="732"/>
      <c r="AZ51" s="732"/>
      <c r="BA51" s="732"/>
      <c r="BB51" s="732"/>
      <c r="BC51" s="732"/>
      <c r="BD51" s="732"/>
      <c r="BE51" s="732"/>
      <c r="BF51" s="732"/>
      <c r="BG51" s="732"/>
      <c r="BH51" s="732"/>
      <c r="BI51" s="732"/>
      <c r="BJ51" s="732"/>
      <c r="BK51" s="732"/>
      <c r="BL51" s="732"/>
      <c r="BM51" s="732"/>
      <c r="BN51" s="732"/>
      <c r="BO51" s="732"/>
      <c r="BP51" s="732"/>
      <c r="BQ51" s="732"/>
      <c r="BR51" s="732"/>
      <c r="BS51" s="732"/>
      <c r="BT51" s="732"/>
      <c r="BU51" s="732"/>
      <c r="BV51" s="732"/>
      <c r="BW51" s="732"/>
      <c r="BX51" s="732"/>
      <c r="BY51" s="732"/>
      <c r="BZ51" s="732"/>
      <c r="CA51" s="732"/>
      <c r="CB51" s="732"/>
      <c r="CC51" s="732"/>
      <c r="CD51" s="732"/>
      <c r="CE51" s="732"/>
      <c r="CF51" s="732"/>
      <c r="CG51" s="732"/>
      <c r="CH51" s="732"/>
      <c r="CI51" s="732"/>
      <c r="CJ51" s="732"/>
      <c r="CK51" s="732"/>
      <c r="CL51" s="732"/>
      <c r="CM51" s="732"/>
      <c r="CN51" s="732"/>
      <c r="CO51" s="732"/>
      <c r="CP51" s="732"/>
      <c r="CQ51" s="732"/>
      <c r="CR51" s="732"/>
      <c r="CS51" s="732"/>
      <c r="CT51" s="732"/>
      <c r="CU51" s="732"/>
      <c r="CV51" s="732"/>
      <c r="CW51" s="732"/>
      <c r="CX51" s="732"/>
      <c r="CY51" s="732"/>
      <c r="CZ51" s="732"/>
      <c r="DA51" s="732"/>
      <c r="DB51" s="732"/>
      <c r="DC51" s="732"/>
      <c r="DD51" s="732"/>
      <c r="DE51" s="732"/>
      <c r="DF51" s="732"/>
      <c r="DG51" s="732"/>
      <c r="DH51" s="732"/>
      <c r="DI51" s="732"/>
      <c r="DJ51" s="732"/>
      <c r="DK51" s="732"/>
      <c r="DL51" s="732"/>
      <c r="DM51" s="732"/>
      <c r="DN51" s="732"/>
      <c r="DO51" s="732"/>
      <c r="DP51" s="732"/>
      <c r="DQ51" s="732"/>
      <c r="DR51" s="732"/>
      <c r="DS51" s="732"/>
      <c r="DT51" s="732"/>
      <c r="DU51" s="732"/>
      <c r="DV51" s="732"/>
      <c r="DW51" s="732"/>
      <c r="DX51" s="732"/>
      <c r="DY51" s="732"/>
      <c r="DZ51" s="732"/>
      <c r="EA51" s="732"/>
      <c r="EB51" s="732"/>
      <c r="EC51" s="732"/>
      <c r="ED51" s="732"/>
      <c r="EE51" s="732"/>
      <c r="EF51" s="732"/>
      <c r="EG51" s="732"/>
      <c r="EH51" s="732"/>
      <c r="EI51" s="732"/>
      <c r="EJ51" s="732"/>
      <c r="EK51" s="732"/>
      <c r="EL51" s="732"/>
      <c r="EM51" s="732"/>
      <c r="EN51" s="732"/>
      <c r="EO51" s="732"/>
      <c r="EP51" s="732"/>
      <c r="EQ51" s="732"/>
    </row>
    <row r="52" spans="1:147" s="717" customFormat="1">
      <c r="A52" s="492">
        <v>9</v>
      </c>
      <c r="B52" s="627" t="s">
        <v>225</v>
      </c>
      <c r="C52" s="528" t="s">
        <v>226</v>
      </c>
      <c r="D52" s="492" t="s">
        <v>199</v>
      </c>
      <c r="E52" s="721"/>
      <c r="F52" s="721">
        <v>10</v>
      </c>
      <c r="G52" s="944"/>
      <c r="H52" s="721"/>
      <c r="I52" s="721"/>
      <c r="J52" s="721"/>
      <c r="K52" s="721"/>
      <c r="L52" s="721"/>
      <c r="M52" s="721"/>
      <c r="N52" s="732"/>
      <c r="O52" s="732"/>
      <c r="P52" s="732"/>
      <c r="Q52" s="732"/>
      <c r="R52" s="732"/>
      <c r="S52" s="732"/>
      <c r="T52" s="732"/>
      <c r="U52" s="732"/>
      <c r="V52" s="732"/>
      <c r="W52" s="732"/>
      <c r="X52" s="732"/>
      <c r="Y52" s="732"/>
      <c r="Z52" s="732"/>
      <c r="AA52" s="732"/>
      <c r="AB52" s="732"/>
      <c r="AC52" s="732"/>
      <c r="AD52" s="732"/>
      <c r="AE52" s="732"/>
      <c r="AF52" s="732"/>
      <c r="AG52" s="732"/>
      <c r="AH52" s="732"/>
      <c r="AI52" s="732"/>
      <c r="AJ52" s="732"/>
      <c r="AK52" s="732"/>
      <c r="AL52" s="732"/>
      <c r="AM52" s="732"/>
      <c r="AN52" s="732"/>
      <c r="AO52" s="732"/>
      <c r="AP52" s="732"/>
      <c r="AQ52" s="732"/>
      <c r="AR52" s="732"/>
      <c r="AS52" s="732"/>
      <c r="AT52" s="732"/>
      <c r="AU52" s="732"/>
      <c r="AV52" s="732"/>
      <c r="AW52" s="732"/>
      <c r="AX52" s="732"/>
      <c r="AY52" s="732"/>
      <c r="AZ52" s="732"/>
      <c r="BA52" s="732"/>
      <c r="BB52" s="732"/>
      <c r="BC52" s="732"/>
      <c r="BD52" s="732"/>
      <c r="BE52" s="732"/>
      <c r="BF52" s="732"/>
      <c r="BG52" s="732"/>
      <c r="BH52" s="732"/>
      <c r="BI52" s="732"/>
      <c r="BJ52" s="732"/>
      <c r="BK52" s="732"/>
      <c r="BL52" s="732"/>
      <c r="BM52" s="732"/>
      <c r="BN52" s="732"/>
      <c r="BO52" s="732"/>
      <c r="BP52" s="732"/>
      <c r="BQ52" s="732"/>
      <c r="BR52" s="732"/>
      <c r="BS52" s="732"/>
      <c r="BT52" s="732"/>
      <c r="BU52" s="732"/>
      <c r="BV52" s="732"/>
      <c r="BW52" s="732"/>
      <c r="BX52" s="732"/>
      <c r="BY52" s="732"/>
      <c r="BZ52" s="732"/>
      <c r="CA52" s="732"/>
      <c r="CB52" s="732"/>
      <c r="CC52" s="732"/>
      <c r="CD52" s="732"/>
      <c r="CE52" s="732"/>
      <c r="CF52" s="732"/>
      <c r="CG52" s="732"/>
      <c r="CH52" s="732"/>
      <c r="CI52" s="732"/>
      <c r="CJ52" s="732"/>
      <c r="CK52" s="732"/>
      <c r="CL52" s="732"/>
      <c r="CM52" s="732"/>
      <c r="CN52" s="732"/>
      <c r="CO52" s="732"/>
      <c r="CP52" s="732"/>
      <c r="CQ52" s="732"/>
      <c r="CR52" s="732"/>
      <c r="CS52" s="732"/>
      <c r="CT52" s="732"/>
      <c r="CU52" s="732"/>
      <c r="CV52" s="732"/>
      <c r="CW52" s="732"/>
      <c r="CX52" s="732"/>
      <c r="CY52" s="732"/>
      <c r="CZ52" s="732"/>
      <c r="DA52" s="732"/>
      <c r="DB52" s="732"/>
      <c r="DC52" s="732"/>
      <c r="DD52" s="732"/>
      <c r="DE52" s="732"/>
      <c r="DF52" s="732"/>
      <c r="DG52" s="732"/>
      <c r="DH52" s="732"/>
      <c r="DI52" s="732"/>
      <c r="DJ52" s="732"/>
      <c r="DK52" s="732"/>
      <c r="DL52" s="732"/>
      <c r="DM52" s="732"/>
      <c r="DN52" s="732"/>
      <c r="DO52" s="732"/>
      <c r="DP52" s="732"/>
      <c r="DQ52" s="732"/>
      <c r="DR52" s="732"/>
      <c r="DS52" s="732"/>
      <c r="DT52" s="732"/>
      <c r="DU52" s="732"/>
      <c r="DV52" s="732"/>
      <c r="DW52" s="732"/>
      <c r="DX52" s="732"/>
      <c r="DY52" s="732"/>
      <c r="DZ52" s="732"/>
      <c r="EA52" s="732"/>
      <c r="EB52" s="732"/>
      <c r="EC52" s="732"/>
      <c r="ED52" s="732"/>
      <c r="EE52" s="732"/>
      <c r="EF52" s="732"/>
      <c r="EG52" s="732"/>
      <c r="EH52" s="732"/>
      <c r="EI52" s="732"/>
      <c r="EJ52" s="732"/>
      <c r="EK52" s="732"/>
      <c r="EL52" s="732"/>
      <c r="EM52" s="732"/>
      <c r="EN52" s="732"/>
      <c r="EO52" s="732"/>
      <c r="EP52" s="732"/>
      <c r="EQ52" s="732"/>
    </row>
    <row r="53" spans="1:147" s="717" customFormat="1">
      <c r="A53" s="808"/>
      <c r="B53" s="743"/>
      <c r="C53" s="938" t="s">
        <v>197</v>
      </c>
      <c r="D53" s="742" t="s">
        <v>63</v>
      </c>
      <c r="E53" s="722">
        <f>12/100</f>
        <v>0.12</v>
      </c>
      <c r="F53" s="722">
        <f>E53*F52</f>
        <v>1.2</v>
      </c>
      <c r="G53" s="748"/>
      <c r="H53" s="748"/>
      <c r="I53" s="748"/>
      <c r="J53" s="722"/>
      <c r="K53" s="722"/>
      <c r="L53" s="722"/>
      <c r="M53" s="722"/>
      <c r="N53" s="732"/>
      <c r="O53" s="732"/>
      <c r="P53" s="732"/>
      <c r="Q53" s="732"/>
      <c r="R53" s="732"/>
      <c r="S53" s="732"/>
      <c r="T53" s="732"/>
      <c r="U53" s="732"/>
      <c r="V53" s="732"/>
      <c r="W53" s="732"/>
      <c r="X53" s="732"/>
      <c r="Y53" s="732"/>
      <c r="Z53" s="732"/>
      <c r="AA53" s="732"/>
      <c r="AB53" s="732"/>
      <c r="AC53" s="732"/>
      <c r="AD53" s="732"/>
      <c r="AE53" s="732"/>
      <c r="AF53" s="732"/>
      <c r="AG53" s="732"/>
      <c r="AH53" s="732"/>
      <c r="AI53" s="732"/>
      <c r="AJ53" s="732"/>
      <c r="AK53" s="732"/>
      <c r="AL53" s="732"/>
      <c r="AM53" s="732"/>
      <c r="AN53" s="732"/>
      <c r="AO53" s="732"/>
      <c r="AP53" s="732"/>
      <c r="AQ53" s="732"/>
      <c r="AR53" s="732"/>
      <c r="AS53" s="732"/>
      <c r="AT53" s="732"/>
      <c r="AU53" s="732"/>
      <c r="AV53" s="732"/>
      <c r="AW53" s="732"/>
      <c r="AX53" s="732"/>
      <c r="AY53" s="732"/>
      <c r="AZ53" s="732"/>
      <c r="BA53" s="732"/>
      <c r="BB53" s="732"/>
      <c r="BC53" s="732"/>
      <c r="BD53" s="732"/>
      <c r="BE53" s="732"/>
      <c r="BF53" s="732"/>
      <c r="BG53" s="732"/>
      <c r="BH53" s="732"/>
      <c r="BI53" s="732"/>
      <c r="BJ53" s="732"/>
      <c r="BK53" s="732"/>
      <c r="BL53" s="732"/>
      <c r="BM53" s="732"/>
      <c r="BN53" s="732"/>
      <c r="BO53" s="732"/>
      <c r="BP53" s="732"/>
      <c r="BQ53" s="732"/>
      <c r="BR53" s="732"/>
      <c r="BS53" s="732"/>
      <c r="BT53" s="732"/>
      <c r="BU53" s="732"/>
      <c r="BV53" s="732"/>
      <c r="BW53" s="732"/>
      <c r="BX53" s="732"/>
      <c r="BY53" s="732"/>
      <c r="BZ53" s="732"/>
      <c r="CA53" s="732"/>
      <c r="CB53" s="732"/>
      <c r="CC53" s="732"/>
      <c r="CD53" s="732"/>
      <c r="CE53" s="732"/>
      <c r="CF53" s="732"/>
      <c r="CG53" s="732"/>
      <c r="CH53" s="732"/>
      <c r="CI53" s="732"/>
      <c r="CJ53" s="732"/>
      <c r="CK53" s="732"/>
      <c r="CL53" s="732"/>
      <c r="CM53" s="732"/>
      <c r="CN53" s="732"/>
      <c r="CO53" s="732"/>
      <c r="CP53" s="732"/>
      <c r="CQ53" s="732"/>
      <c r="CR53" s="732"/>
      <c r="CS53" s="732"/>
      <c r="CT53" s="732"/>
      <c r="CU53" s="732"/>
      <c r="CV53" s="732"/>
      <c r="CW53" s="732"/>
      <c r="CX53" s="732"/>
      <c r="CY53" s="732"/>
      <c r="CZ53" s="732"/>
      <c r="DA53" s="732"/>
      <c r="DB53" s="732"/>
      <c r="DC53" s="732"/>
      <c r="DD53" s="732"/>
      <c r="DE53" s="732"/>
      <c r="DF53" s="732"/>
      <c r="DG53" s="732"/>
      <c r="DH53" s="732"/>
      <c r="DI53" s="732"/>
      <c r="DJ53" s="732"/>
      <c r="DK53" s="732"/>
      <c r="DL53" s="732"/>
      <c r="DM53" s="732"/>
      <c r="DN53" s="732"/>
      <c r="DO53" s="732"/>
      <c r="DP53" s="732"/>
      <c r="DQ53" s="732"/>
      <c r="DR53" s="732"/>
      <c r="DS53" s="732"/>
      <c r="DT53" s="732"/>
      <c r="DU53" s="732"/>
      <c r="DV53" s="732"/>
      <c r="DW53" s="732"/>
      <c r="DX53" s="732"/>
      <c r="DY53" s="732"/>
      <c r="DZ53" s="732"/>
      <c r="EA53" s="732"/>
      <c r="EB53" s="732"/>
      <c r="EC53" s="732"/>
      <c r="ED53" s="732"/>
      <c r="EE53" s="732"/>
      <c r="EF53" s="732"/>
      <c r="EG53" s="732"/>
      <c r="EH53" s="732"/>
      <c r="EI53" s="732"/>
      <c r="EJ53" s="732"/>
      <c r="EK53" s="732"/>
      <c r="EL53" s="732"/>
      <c r="EM53" s="732"/>
      <c r="EN53" s="732"/>
      <c r="EO53" s="732"/>
      <c r="EP53" s="732"/>
      <c r="EQ53" s="732"/>
    </row>
    <row r="54" spans="1:147" s="717" customFormat="1">
      <c r="A54" s="808"/>
      <c r="B54" s="635"/>
      <c r="C54" s="754" t="s">
        <v>31</v>
      </c>
      <c r="D54" s="494" t="s">
        <v>46</v>
      </c>
      <c r="E54" s="722">
        <f>0.9/100</f>
        <v>9.0000000000000011E-3</v>
      </c>
      <c r="F54" s="722">
        <f>E54*F52</f>
        <v>9.0000000000000011E-2</v>
      </c>
      <c r="G54" s="392"/>
      <c r="H54" s="722"/>
      <c r="I54" s="722"/>
      <c r="J54" s="722"/>
      <c r="K54" s="748"/>
      <c r="L54" s="722"/>
      <c r="M54" s="722"/>
      <c r="N54" s="732"/>
      <c r="O54" s="732"/>
      <c r="P54" s="732"/>
      <c r="Q54" s="732"/>
      <c r="R54" s="732"/>
      <c r="S54" s="732"/>
      <c r="T54" s="732"/>
      <c r="U54" s="732"/>
      <c r="V54" s="732"/>
      <c r="W54" s="732"/>
      <c r="X54" s="732"/>
      <c r="Y54" s="732"/>
      <c r="Z54" s="732"/>
      <c r="AA54" s="732"/>
      <c r="AB54" s="732"/>
      <c r="AC54" s="732"/>
      <c r="AD54" s="732"/>
      <c r="AE54" s="732"/>
      <c r="AF54" s="732"/>
      <c r="AG54" s="732"/>
      <c r="AH54" s="732"/>
      <c r="AI54" s="732"/>
      <c r="AJ54" s="732"/>
      <c r="AK54" s="732"/>
      <c r="AL54" s="732"/>
      <c r="AM54" s="732"/>
      <c r="AN54" s="732"/>
      <c r="AO54" s="732"/>
      <c r="AP54" s="732"/>
      <c r="AQ54" s="732"/>
      <c r="AR54" s="732"/>
      <c r="AS54" s="732"/>
      <c r="AT54" s="732"/>
      <c r="AU54" s="732"/>
      <c r="AV54" s="732"/>
      <c r="AW54" s="732"/>
      <c r="AX54" s="732"/>
      <c r="AY54" s="732"/>
      <c r="AZ54" s="732"/>
      <c r="BA54" s="732"/>
      <c r="BB54" s="732"/>
      <c r="BC54" s="732"/>
      <c r="BD54" s="732"/>
      <c r="BE54" s="732"/>
      <c r="BF54" s="732"/>
      <c r="BG54" s="732"/>
      <c r="BH54" s="732"/>
      <c r="BI54" s="732"/>
      <c r="BJ54" s="732"/>
      <c r="BK54" s="732"/>
      <c r="BL54" s="732"/>
      <c r="BM54" s="732"/>
      <c r="BN54" s="732"/>
      <c r="BO54" s="732"/>
      <c r="BP54" s="732"/>
      <c r="BQ54" s="732"/>
      <c r="BR54" s="732"/>
      <c r="BS54" s="732"/>
      <c r="BT54" s="732"/>
      <c r="BU54" s="732"/>
      <c r="BV54" s="732"/>
      <c r="BW54" s="732"/>
      <c r="BX54" s="732"/>
      <c r="BY54" s="732"/>
      <c r="BZ54" s="732"/>
      <c r="CA54" s="732"/>
      <c r="CB54" s="732"/>
      <c r="CC54" s="732"/>
      <c r="CD54" s="732"/>
      <c r="CE54" s="732"/>
      <c r="CF54" s="732"/>
      <c r="CG54" s="732"/>
      <c r="CH54" s="732"/>
      <c r="CI54" s="732"/>
      <c r="CJ54" s="732"/>
      <c r="CK54" s="732"/>
      <c r="CL54" s="732"/>
      <c r="CM54" s="732"/>
      <c r="CN54" s="732"/>
      <c r="CO54" s="732"/>
      <c r="CP54" s="732"/>
      <c r="CQ54" s="732"/>
      <c r="CR54" s="732"/>
      <c r="CS54" s="732"/>
      <c r="CT54" s="732"/>
      <c r="CU54" s="732"/>
      <c r="CV54" s="732"/>
      <c r="CW54" s="732"/>
      <c r="CX54" s="732"/>
      <c r="CY54" s="732"/>
      <c r="CZ54" s="732"/>
      <c r="DA54" s="732"/>
      <c r="DB54" s="732"/>
      <c r="DC54" s="732"/>
      <c r="DD54" s="732"/>
      <c r="DE54" s="732"/>
      <c r="DF54" s="732"/>
      <c r="DG54" s="732"/>
      <c r="DH54" s="732"/>
      <c r="DI54" s="732"/>
      <c r="DJ54" s="732"/>
      <c r="DK54" s="732"/>
      <c r="DL54" s="732"/>
      <c r="DM54" s="732"/>
      <c r="DN54" s="732"/>
      <c r="DO54" s="732"/>
      <c r="DP54" s="732"/>
      <c r="DQ54" s="732"/>
      <c r="DR54" s="732"/>
      <c r="DS54" s="732"/>
      <c r="DT54" s="732"/>
      <c r="DU54" s="732"/>
      <c r="DV54" s="732"/>
      <c r="DW54" s="732"/>
      <c r="DX54" s="732"/>
      <c r="DY54" s="732"/>
      <c r="DZ54" s="732"/>
      <c r="EA54" s="732"/>
      <c r="EB54" s="732"/>
      <c r="EC54" s="732"/>
      <c r="ED54" s="732"/>
      <c r="EE54" s="732"/>
      <c r="EF54" s="732"/>
      <c r="EG54" s="732"/>
      <c r="EH54" s="732"/>
      <c r="EI54" s="732"/>
      <c r="EJ54" s="732"/>
      <c r="EK54" s="732"/>
      <c r="EL54" s="732"/>
      <c r="EM54" s="732"/>
      <c r="EN54" s="732"/>
      <c r="EO54" s="732"/>
      <c r="EP54" s="732"/>
      <c r="EQ54" s="732"/>
    </row>
    <row r="55" spans="1:147" s="717" customFormat="1">
      <c r="A55" s="808"/>
      <c r="B55" s="494" t="s">
        <v>732</v>
      </c>
      <c r="C55" s="726" t="s">
        <v>227</v>
      </c>
      <c r="D55" s="494" t="s">
        <v>199</v>
      </c>
      <c r="E55" s="722" t="s">
        <v>205</v>
      </c>
      <c r="F55" s="722">
        <v>10</v>
      </c>
      <c r="G55" s="722"/>
      <c r="H55" s="722"/>
      <c r="I55" s="722"/>
      <c r="J55" s="722"/>
      <c r="K55" s="722"/>
      <c r="L55" s="722"/>
      <c r="M55" s="722"/>
      <c r="N55" s="732"/>
      <c r="O55" s="732"/>
      <c r="P55" s="732"/>
      <c r="Q55" s="732"/>
      <c r="R55" s="732"/>
      <c r="S55" s="732"/>
      <c r="T55" s="732"/>
      <c r="U55" s="732"/>
      <c r="V55" s="732"/>
      <c r="W55" s="732"/>
      <c r="X55" s="732"/>
      <c r="Y55" s="732"/>
      <c r="Z55" s="732"/>
      <c r="AA55" s="732"/>
      <c r="AB55" s="732"/>
      <c r="AC55" s="732"/>
      <c r="AD55" s="732"/>
      <c r="AE55" s="732"/>
      <c r="AF55" s="732"/>
      <c r="AG55" s="732"/>
      <c r="AH55" s="732"/>
      <c r="AI55" s="732"/>
      <c r="AJ55" s="732"/>
      <c r="AK55" s="732"/>
      <c r="AL55" s="732"/>
      <c r="AM55" s="732"/>
      <c r="AN55" s="732"/>
      <c r="AO55" s="732"/>
      <c r="AP55" s="732"/>
      <c r="AQ55" s="732"/>
      <c r="AR55" s="732"/>
      <c r="AS55" s="732"/>
      <c r="AT55" s="732"/>
      <c r="AU55" s="732"/>
      <c r="AV55" s="732"/>
      <c r="AW55" s="732"/>
      <c r="AX55" s="732"/>
      <c r="AY55" s="732"/>
      <c r="AZ55" s="732"/>
      <c r="BA55" s="732"/>
      <c r="BB55" s="732"/>
      <c r="BC55" s="732"/>
      <c r="BD55" s="732"/>
      <c r="BE55" s="732"/>
      <c r="BF55" s="732"/>
      <c r="BG55" s="732"/>
      <c r="BH55" s="732"/>
      <c r="BI55" s="732"/>
      <c r="BJ55" s="732"/>
      <c r="BK55" s="732"/>
      <c r="BL55" s="732"/>
      <c r="BM55" s="732"/>
      <c r="BN55" s="732"/>
      <c r="BO55" s="732"/>
      <c r="BP55" s="732"/>
      <c r="BQ55" s="732"/>
      <c r="BR55" s="732"/>
      <c r="BS55" s="732"/>
      <c r="BT55" s="732"/>
      <c r="BU55" s="732"/>
      <c r="BV55" s="732"/>
      <c r="BW55" s="732"/>
      <c r="BX55" s="732"/>
      <c r="BY55" s="732"/>
      <c r="BZ55" s="732"/>
      <c r="CA55" s="732"/>
      <c r="CB55" s="732"/>
      <c r="CC55" s="732"/>
      <c r="CD55" s="732"/>
      <c r="CE55" s="732"/>
      <c r="CF55" s="732"/>
      <c r="CG55" s="732"/>
      <c r="CH55" s="732"/>
      <c r="CI55" s="732"/>
      <c r="CJ55" s="732"/>
      <c r="CK55" s="732"/>
      <c r="CL55" s="732"/>
      <c r="CM55" s="732"/>
      <c r="CN55" s="732"/>
      <c r="CO55" s="732"/>
      <c r="CP55" s="732"/>
      <c r="CQ55" s="732"/>
      <c r="CR55" s="732"/>
      <c r="CS55" s="732"/>
      <c r="CT55" s="732"/>
      <c r="CU55" s="732"/>
      <c r="CV55" s="732"/>
      <c r="CW55" s="732"/>
      <c r="CX55" s="732"/>
      <c r="CY55" s="732"/>
      <c r="CZ55" s="732"/>
      <c r="DA55" s="732"/>
      <c r="DB55" s="732"/>
      <c r="DC55" s="732"/>
      <c r="DD55" s="732"/>
      <c r="DE55" s="732"/>
      <c r="DF55" s="732"/>
      <c r="DG55" s="732"/>
      <c r="DH55" s="732"/>
      <c r="DI55" s="732"/>
      <c r="DJ55" s="732"/>
      <c r="DK55" s="732"/>
      <c r="DL55" s="732"/>
      <c r="DM55" s="732"/>
      <c r="DN55" s="732"/>
      <c r="DO55" s="732"/>
      <c r="DP55" s="732"/>
      <c r="DQ55" s="732"/>
      <c r="DR55" s="732"/>
      <c r="DS55" s="732"/>
      <c r="DT55" s="732"/>
      <c r="DU55" s="732"/>
      <c r="DV55" s="732"/>
      <c r="DW55" s="732"/>
      <c r="DX55" s="732"/>
      <c r="DY55" s="732"/>
      <c r="DZ55" s="732"/>
      <c r="EA55" s="732"/>
      <c r="EB55" s="732"/>
      <c r="EC55" s="732"/>
      <c r="ED55" s="732"/>
      <c r="EE55" s="732"/>
      <c r="EF55" s="732"/>
      <c r="EG55" s="732"/>
      <c r="EH55" s="732"/>
      <c r="EI55" s="732"/>
      <c r="EJ55" s="732"/>
      <c r="EK55" s="732"/>
      <c r="EL55" s="732"/>
      <c r="EM55" s="732"/>
      <c r="EN55" s="732"/>
      <c r="EO55" s="732"/>
      <c r="EP55" s="732"/>
      <c r="EQ55" s="732"/>
    </row>
    <row r="56" spans="1:147" s="717" customFormat="1">
      <c r="A56" s="808"/>
      <c r="B56" s="494" t="s">
        <v>733</v>
      </c>
      <c r="C56" s="726" t="s">
        <v>228</v>
      </c>
      <c r="D56" s="494" t="s">
        <v>198</v>
      </c>
      <c r="E56" s="722" t="s">
        <v>205</v>
      </c>
      <c r="F56" s="722">
        <v>3</v>
      </c>
      <c r="G56" s="722"/>
      <c r="H56" s="722"/>
      <c r="I56" s="722"/>
      <c r="J56" s="722"/>
      <c r="K56" s="722"/>
      <c r="L56" s="722"/>
      <c r="M56" s="722"/>
      <c r="N56" s="732"/>
      <c r="O56" s="732"/>
      <c r="P56" s="732"/>
      <c r="Q56" s="732"/>
      <c r="R56" s="732"/>
      <c r="S56" s="732"/>
      <c r="T56" s="732"/>
      <c r="U56" s="732"/>
      <c r="V56" s="732"/>
      <c r="W56" s="732"/>
      <c r="X56" s="732"/>
      <c r="Y56" s="732"/>
      <c r="Z56" s="732"/>
      <c r="AA56" s="732"/>
      <c r="AB56" s="732"/>
      <c r="AC56" s="732"/>
      <c r="AD56" s="732"/>
      <c r="AE56" s="732"/>
      <c r="AF56" s="732"/>
      <c r="AG56" s="732"/>
      <c r="AH56" s="732"/>
      <c r="AI56" s="732"/>
      <c r="AJ56" s="732"/>
      <c r="AK56" s="732"/>
      <c r="AL56" s="732"/>
      <c r="AM56" s="732"/>
      <c r="AN56" s="732"/>
      <c r="AO56" s="732"/>
      <c r="AP56" s="732"/>
      <c r="AQ56" s="732"/>
      <c r="AR56" s="732"/>
      <c r="AS56" s="732"/>
      <c r="AT56" s="732"/>
      <c r="AU56" s="732"/>
      <c r="AV56" s="732"/>
      <c r="AW56" s="732"/>
      <c r="AX56" s="732"/>
      <c r="AY56" s="732"/>
      <c r="AZ56" s="732"/>
      <c r="BA56" s="732"/>
      <c r="BB56" s="732"/>
      <c r="BC56" s="732"/>
      <c r="BD56" s="732"/>
      <c r="BE56" s="732"/>
      <c r="BF56" s="732"/>
      <c r="BG56" s="732"/>
      <c r="BH56" s="732"/>
      <c r="BI56" s="732"/>
      <c r="BJ56" s="732"/>
      <c r="BK56" s="732"/>
      <c r="BL56" s="732"/>
      <c r="BM56" s="732"/>
      <c r="BN56" s="732"/>
      <c r="BO56" s="732"/>
      <c r="BP56" s="732"/>
      <c r="BQ56" s="732"/>
      <c r="BR56" s="732"/>
      <c r="BS56" s="732"/>
      <c r="BT56" s="732"/>
      <c r="BU56" s="732"/>
      <c r="BV56" s="732"/>
      <c r="BW56" s="732"/>
      <c r="BX56" s="732"/>
      <c r="BY56" s="732"/>
      <c r="BZ56" s="732"/>
      <c r="CA56" s="732"/>
      <c r="CB56" s="732"/>
      <c r="CC56" s="732"/>
      <c r="CD56" s="732"/>
      <c r="CE56" s="732"/>
      <c r="CF56" s="732"/>
      <c r="CG56" s="732"/>
      <c r="CH56" s="732"/>
      <c r="CI56" s="732"/>
      <c r="CJ56" s="732"/>
      <c r="CK56" s="732"/>
      <c r="CL56" s="732"/>
      <c r="CM56" s="732"/>
      <c r="CN56" s="732"/>
      <c r="CO56" s="732"/>
      <c r="CP56" s="732"/>
      <c r="CQ56" s="732"/>
      <c r="CR56" s="732"/>
      <c r="CS56" s="732"/>
      <c r="CT56" s="732"/>
      <c r="CU56" s="732"/>
      <c r="CV56" s="732"/>
      <c r="CW56" s="732"/>
      <c r="CX56" s="732"/>
      <c r="CY56" s="732"/>
      <c r="CZ56" s="732"/>
      <c r="DA56" s="732"/>
      <c r="DB56" s="732"/>
      <c r="DC56" s="732"/>
      <c r="DD56" s="732"/>
      <c r="DE56" s="732"/>
      <c r="DF56" s="732"/>
      <c r="DG56" s="732"/>
      <c r="DH56" s="732"/>
      <c r="DI56" s="732"/>
      <c r="DJ56" s="732"/>
      <c r="DK56" s="732"/>
      <c r="DL56" s="732"/>
      <c r="DM56" s="732"/>
      <c r="DN56" s="732"/>
      <c r="DO56" s="732"/>
      <c r="DP56" s="732"/>
      <c r="DQ56" s="732"/>
      <c r="DR56" s="732"/>
      <c r="DS56" s="732"/>
      <c r="DT56" s="732"/>
      <c r="DU56" s="732"/>
      <c r="DV56" s="732"/>
      <c r="DW56" s="732"/>
      <c r="DX56" s="732"/>
      <c r="DY56" s="732"/>
      <c r="DZ56" s="732"/>
      <c r="EA56" s="732"/>
      <c r="EB56" s="732"/>
      <c r="EC56" s="732"/>
      <c r="ED56" s="732"/>
      <c r="EE56" s="732"/>
      <c r="EF56" s="732"/>
      <c r="EG56" s="732"/>
      <c r="EH56" s="732"/>
      <c r="EI56" s="732"/>
      <c r="EJ56" s="732"/>
      <c r="EK56" s="732"/>
      <c r="EL56" s="732"/>
      <c r="EM56" s="732"/>
      <c r="EN56" s="732"/>
      <c r="EO56" s="732"/>
      <c r="EP56" s="732"/>
      <c r="EQ56" s="732"/>
    </row>
    <row r="57" spans="1:147" s="717" customFormat="1">
      <c r="A57" s="808"/>
      <c r="B57" s="494" t="s">
        <v>734</v>
      </c>
      <c r="C57" s="757" t="s">
        <v>370</v>
      </c>
      <c r="D57" s="494" t="s">
        <v>131</v>
      </c>
      <c r="E57" s="722" t="s">
        <v>205</v>
      </c>
      <c r="F57" s="722">
        <v>3</v>
      </c>
      <c r="G57" s="722"/>
      <c r="H57" s="722"/>
      <c r="I57" s="722"/>
      <c r="J57" s="722"/>
      <c r="K57" s="722"/>
      <c r="L57" s="722"/>
      <c r="M57" s="722"/>
      <c r="N57" s="732"/>
      <c r="O57" s="732"/>
      <c r="P57" s="732"/>
      <c r="Q57" s="732"/>
      <c r="R57" s="732"/>
      <c r="S57" s="732"/>
      <c r="T57" s="732"/>
      <c r="U57" s="732"/>
      <c r="V57" s="732"/>
      <c r="W57" s="732"/>
      <c r="X57" s="732"/>
      <c r="Y57" s="732"/>
      <c r="Z57" s="732"/>
      <c r="AA57" s="732"/>
      <c r="AB57" s="732"/>
      <c r="AC57" s="732"/>
      <c r="AD57" s="732"/>
      <c r="AE57" s="732"/>
      <c r="AF57" s="732"/>
      <c r="AG57" s="732"/>
      <c r="AH57" s="732"/>
      <c r="AI57" s="732"/>
      <c r="AJ57" s="732"/>
      <c r="AK57" s="732"/>
      <c r="AL57" s="732"/>
      <c r="AM57" s="732"/>
      <c r="AN57" s="732"/>
      <c r="AO57" s="732"/>
      <c r="AP57" s="732"/>
      <c r="AQ57" s="732"/>
      <c r="AR57" s="732"/>
      <c r="AS57" s="732"/>
      <c r="AT57" s="732"/>
      <c r="AU57" s="732"/>
      <c r="AV57" s="732"/>
      <c r="AW57" s="732"/>
      <c r="AX57" s="732"/>
      <c r="AY57" s="732"/>
      <c r="AZ57" s="732"/>
      <c r="BA57" s="732"/>
      <c r="BB57" s="732"/>
      <c r="BC57" s="732"/>
      <c r="BD57" s="732"/>
      <c r="BE57" s="732"/>
      <c r="BF57" s="732"/>
      <c r="BG57" s="732"/>
      <c r="BH57" s="732"/>
      <c r="BI57" s="732"/>
      <c r="BJ57" s="732"/>
      <c r="BK57" s="732"/>
      <c r="BL57" s="732"/>
      <c r="BM57" s="732"/>
      <c r="BN57" s="732"/>
      <c r="BO57" s="732"/>
      <c r="BP57" s="732"/>
      <c r="BQ57" s="732"/>
      <c r="BR57" s="732"/>
      <c r="BS57" s="732"/>
      <c r="BT57" s="732"/>
      <c r="BU57" s="732"/>
      <c r="BV57" s="732"/>
      <c r="BW57" s="732"/>
      <c r="BX57" s="732"/>
      <c r="BY57" s="732"/>
      <c r="BZ57" s="732"/>
      <c r="CA57" s="732"/>
      <c r="CB57" s="732"/>
      <c r="CC57" s="732"/>
      <c r="CD57" s="732"/>
      <c r="CE57" s="732"/>
      <c r="CF57" s="732"/>
      <c r="CG57" s="732"/>
      <c r="CH57" s="732"/>
      <c r="CI57" s="732"/>
      <c r="CJ57" s="732"/>
      <c r="CK57" s="732"/>
      <c r="CL57" s="732"/>
      <c r="CM57" s="732"/>
      <c r="CN57" s="732"/>
      <c r="CO57" s="732"/>
      <c r="CP57" s="732"/>
      <c r="CQ57" s="732"/>
      <c r="CR57" s="732"/>
      <c r="CS57" s="732"/>
      <c r="CT57" s="732"/>
      <c r="CU57" s="732"/>
      <c r="CV57" s="732"/>
      <c r="CW57" s="732"/>
      <c r="CX57" s="732"/>
      <c r="CY57" s="732"/>
      <c r="CZ57" s="732"/>
      <c r="DA57" s="732"/>
      <c r="DB57" s="732"/>
      <c r="DC57" s="732"/>
      <c r="DD57" s="732"/>
      <c r="DE57" s="732"/>
      <c r="DF57" s="732"/>
      <c r="DG57" s="732"/>
      <c r="DH57" s="732"/>
      <c r="DI57" s="732"/>
      <c r="DJ57" s="732"/>
      <c r="DK57" s="732"/>
      <c r="DL57" s="732"/>
      <c r="DM57" s="732"/>
      <c r="DN57" s="732"/>
      <c r="DO57" s="732"/>
      <c r="DP57" s="732"/>
      <c r="DQ57" s="732"/>
      <c r="DR57" s="732"/>
      <c r="DS57" s="732"/>
      <c r="DT57" s="732"/>
      <c r="DU57" s="732"/>
      <c r="DV57" s="732"/>
      <c r="DW57" s="732"/>
      <c r="DX57" s="732"/>
      <c r="DY57" s="732"/>
      <c r="DZ57" s="732"/>
      <c r="EA57" s="732"/>
      <c r="EB57" s="732"/>
      <c r="EC57" s="732"/>
      <c r="ED57" s="732"/>
      <c r="EE57" s="732"/>
      <c r="EF57" s="732"/>
      <c r="EG57" s="732"/>
      <c r="EH57" s="732"/>
      <c r="EI57" s="732"/>
      <c r="EJ57" s="732"/>
      <c r="EK57" s="732"/>
      <c r="EL57" s="732"/>
      <c r="EM57" s="732"/>
      <c r="EN57" s="732"/>
      <c r="EO57" s="732"/>
      <c r="EP57" s="732"/>
      <c r="EQ57" s="732"/>
    </row>
    <row r="58" spans="1:147" s="717" customFormat="1" ht="15.75">
      <c r="A58" s="808"/>
      <c r="B58" s="494" t="s">
        <v>735</v>
      </c>
      <c r="C58" s="938" t="s">
        <v>512</v>
      </c>
      <c r="D58" s="494" t="s">
        <v>199</v>
      </c>
      <c r="E58" s="722" t="s">
        <v>205</v>
      </c>
      <c r="F58" s="722">
        <v>10</v>
      </c>
      <c r="G58" s="722"/>
      <c r="H58" s="722"/>
      <c r="I58" s="722"/>
      <c r="J58" s="722"/>
      <c r="K58" s="722"/>
      <c r="L58" s="722"/>
      <c r="M58" s="722"/>
      <c r="N58" s="732"/>
      <c r="O58" s="732"/>
      <c r="P58" s="732"/>
      <c r="Q58" s="732"/>
      <c r="R58" s="732"/>
      <c r="S58" s="732"/>
      <c r="T58" s="732"/>
      <c r="U58" s="732"/>
      <c r="V58" s="732"/>
      <c r="W58" s="732"/>
      <c r="X58" s="732"/>
      <c r="Y58" s="732"/>
      <c r="Z58" s="732"/>
      <c r="AA58" s="732"/>
      <c r="AB58" s="732"/>
      <c r="AC58" s="732"/>
      <c r="AD58" s="732"/>
      <c r="AE58" s="732"/>
      <c r="AF58" s="732"/>
      <c r="AG58" s="732"/>
      <c r="AH58" s="732"/>
      <c r="AI58" s="732"/>
      <c r="AJ58" s="732"/>
      <c r="AK58" s="732"/>
      <c r="AL58" s="732"/>
      <c r="AM58" s="732"/>
      <c r="AN58" s="732"/>
      <c r="AO58" s="732"/>
      <c r="AP58" s="732"/>
      <c r="AQ58" s="732"/>
      <c r="AR58" s="732"/>
      <c r="AS58" s="732"/>
      <c r="AT58" s="732"/>
      <c r="AU58" s="732"/>
      <c r="AV58" s="732"/>
      <c r="AW58" s="732"/>
      <c r="AX58" s="732"/>
      <c r="AY58" s="732"/>
      <c r="AZ58" s="732"/>
      <c r="BA58" s="732"/>
      <c r="BB58" s="732"/>
      <c r="BC58" s="732"/>
      <c r="BD58" s="732"/>
      <c r="BE58" s="732"/>
      <c r="BF58" s="732"/>
      <c r="BG58" s="732"/>
      <c r="BH58" s="732"/>
      <c r="BI58" s="732"/>
      <c r="BJ58" s="732"/>
      <c r="BK58" s="732"/>
      <c r="BL58" s="732"/>
      <c r="BM58" s="732"/>
      <c r="BN58" s="732"/>
      <c r="BO58" s="732"/>
      <c r="BP58" s="732"/>
      <c r="BQ58" s="732"/>
      <c r="BR58" s="732"/>
      <c r="BS58" s="732"/>
      <c r="BT58" s="732"/>
      <c r="BU58" s="732"/>
      <c r="BV58" s="732"/>
      <c r="BW58" s="732"/>
      <c r="BX58" s="732"/>
      <c r="BY58" s="732"/>
      <c r="BZ58" s="732"/>
      <c r="CA58" s="732"/>
      <c r="CB58" s="732"/>
      <c r="CC58" s="732"/>
      <c r="CD58" s="732"/>
      <c r="CE58" s="732"/>
      <c r="CF58" s="732"/>
      <c r="CG58" s="732"/>
      <c r="CH58" s="732"/>
      <c r="CI58" s="732"/>
      <c r="CJ58" s="732"/>
      <c r="CK58" s="732"/>
      <c r="CL58" s="732"/>
      <c r="CM58" s="732"/>
      <c r="CN58" s="732"/>
      <c r="CO58" s="732"/>
      <c r="CP58" s="732"/>
      <c r="CQ58" s="732"/>
      <c r="CR58" s="732"/>
      <c r="CS58" s="732"/>
      <c r="CT58" s="732"/>
      <c r="CU58" s="732"/>
      <c r="CV58" s="732"/>
      <c r="CW58" s="732"/>
      <c r="CX58" s="732"/>
      <c r="CY58" s="732"/>
      <c r="CZ58" s="732"/>
      <c r="DA58" s="732"/>
      <c r="DB58" s="732"/>
      <c r="DC58" s="732"/>
      <c r="DD58" s="732"/>
      <c r="DE58" s="732"/>
      <c r="DF58" s="732"/>
      <c r="DG58" s="732"/>
      <c r="DH58" s="732"/>
      <c r="DI58" s="732"/>
      <c r="DJ58" s="732"/>
      <c r="DK58" s="732"/>
      <c r="DL58" s="732"/>
      <c r="DM58" s="732"/>
      <c r="DN58" s="732"/>
      <c r="DO58" s="732"/>
      <c r="DP58" s="732"/>
      <c r="DQ58" s="732"/>
      <c r="DR58" s="732"/>
      <c r="DS58" s="732"/>
      <c r="DT58" s="732"/>
      <c r="DU58" s="732"/>
      <c r="DV58" s="732"/>
      <c r="DW58" s="732"/>
      <c r="DX58" s="732"/>
      <c r="DY58" s="732"/>
      <c r="DZ58" s="732"/>
      <c r="EA58" s="732"/>
      <c r="EB58" s="732"/>
      <c r="EC58" s="732"/>
      <c r="ED58" s="732"/>
      <c r="EE58" s="732"/>
      <c r="EF58" s="732"/>
      <c r="EG58" s="732"/>
      <c r="EH58" s="732"/>
      <c r="EI58" s="732"/>
      <c r="EJ58" s="732"/>
      <c r="EK58" s="732"/>
      <c r="EL58" s="732"/>
      <c r="EM58" s="732"/>
      <c r="EN58" s="732"/>
      <c r="EO58" s="732"/>
      <c r="EP58" s="732"/>
      <c r="EQ58" s="732"/>
    </row>
    <row r="59" spans="1:147" s="717" customFormat="1">
      <c r="A59" s="808"/>
      <c r="B59" s="635"/>
      <c r="C59" s="726" t="s">
        <v>201</v>
      </c>
      <c r="D59" s="494" t="s">
        <v>46</v>
      </c>
      <c r="E59" s="753">
        <f>19.3/100</f>
        <v>0.193</v>
      </c>
      <c r="F59" s="722">
        <f>E59*F52</f>
        <v>1.9300000000000002</v>
      </c>
      <c r="G59" s="392"/>
      <c r="H59" s="722"/>
      <c r="I59" s="722"/>
      <c r="J59" s="722"/>
      <c r="K59" s="722"/>
      <c r="L59" s="722"/>
      <c r="M59" s="722"/>
      <c r="N59" s="732"/>
      <c r="O59" s="732"/>
      <c r="P59" s="732"/>
      <c r="Q59" s="732"/>
      <c r="R59" s="732"/>
      <c r="S59" s="732"/>
      <c r="T59" s="732"/>
      <c r="U59" s="732"/>
      <c r="V59" s="732"/>
      <c r="W59" s="732"/>
      <c r="X59" s="732"/>
      <c r="Y59" s="732"/>
      <c r="Z59" s="732"/>
      <c r="AA59" s="732"/>
      <c r="AB59" s="732"/>
      <c r="AC59" s="732"/>
      <c r="AD59" s="732"/>
      <c r="AE59" s="732"/>
      <c r="AF59" s="732"/>
      <c r="AG59" s="732"/>
      <c r="AH59" s="732"/>
      <c r="AI59" s="732"/>
      <c r="AJ59" s="732"/>
      <c r="AK59" s="732"/>
      <c r="AL59" s="732"/>
      <c r="AM59" s="732"/>
      <c r="AN59" s="732"/>
      <c r="AO59" s="732"/>
      <c r="AP59" s="732"/>
      <c r="AQ59" s="732"/>
      <c r="AR59" s="732"/>
      <c r="AS59" s="732"/>
      <c r="AT59" s="732"/>
      <c r="AU59" s="732"/>
      <c r="AV59" s="732"/>
      <c r="AW59" s="732"/>
      <c r="AX59" s="732"/>
      <c r="AY59" s="732"/>
      <c r="AZ59" s="732"/>
      <c r="BA59" s="732"/>
      <c r="BB59" s="732"/>
      <c r="BC59" s="732"/>
      <c r="BD59" s="732"/>
      <c r="BE59" s="732"/>
      <c r="BF59" s="732"/>
      <c r="BG59" s="732"/>
      <c r="BH59" s="732"/>
      <c r="BI59" s="732"/>
      <c r="BJ59" s="732"/>
      <c r="BK59" s="732"/>
      <c r="BL59" s="732"/>
      <c r="BM59" s="732"/>
      <c r="BN59" s="732"/>
      <c r="BO59" s="732"/>
      <c r="BP59" s="732"/>
      <c r="BQ59" s="732"/>
      <c r="BR59" s="732"/>
      <c r="BS59" s="732"/>
      <c r="BT59" s="732"/>
      <c r="BU59" s="732"/>
      <c r="BV59" s="732"/>
      <c r="BW59" s="732"/>
      <c r="BX59" s="732"/>
      <c r="BY59" s="732"/>
      <c r="BZ59" s="732"/>
      <c r="CA59" s="732"/>
      <c r="CB59" s="732"/>
      <c r="CC59" s="732"/>
      <c r="CD59" s="732"/>
      <c r="CE59" s="732"/>
      <c r="CF59" s="732"/>
      <c r="CG59" s="732"/>
      <c r="CH59" s="732"/>
      <c r="CI59" s="732"/>
      <c r="CJ59" s="732"/>
      <c r="CK59" s="732"/>
      <c r="CL59" s="732"/>
      <c r="CM59" s="732"/>
      <c r="CN59" s="732"/>
      <c r="CO59" s="732"/>
      <c r="CP59" s="732"/>
      <c r="CQ59" s="732"/>
      <c r="CR59" s="732"/>
      <c r="CS59" s="732"/>
      <c r="CT59" s="732"/>
      <c r="CU59" s="732"/>
      <c r="CV59" s="732"/>
      <c r="CW59" s="732"/>
      <c r="CX59" s="732"/>
      <c r="CY59" s="732"/>
      <c r="CZ59" s="732"/>
      <c r="DA59" s="732"/>
      <c r="DB59" s="732"/>
      <c r="DC59" s="732"/>
      <c r="DD59" s="732"/>
      <c r="DE59" s="732"/>
      <c r="DF59" s="732"/>
      <c r="DG59" s="732"/>
      <c r="DH59" s="732"/>
      <c r="DI59" s="732"/>
      <c r="DJ59" s="732"/>
      <c r="DK59" s="732"/>
      <c r="DL59" s="732"/>
      <c r="DM59" s="732"/>
      <c r="DN59" s="732"/>
      <c r="DO59" s="732"/>
      <c r="DP59" s="732"/>
      <c r="DQ59" s="732"/>
      <c r="DR59" s="732"/>
      <c r="DS59" s="732"/>
      <c r="DT59" s="732"/>
      <c r="DU59" s="732"/>
      <c r="DV59" s="732"/>
      <c r="DW59" s="732"/>
      <c r="DX59" s="732"/>
      <c r="DY59" s="732"/>
      <c r="DZ59" s="732"/>
      <c r="EA59" s="732"/>
      <c r="EB59" s="732"/>
      <c r="EC59" s="732"/>
      <c r="ED59" s="732"/>
      <c r="EE59" s="732"/>
      <c r="EF59" s="732"/>
      <c r="EG59" s="732"/>
      <c r="EH59" s="732"/>
      <c r="EI59" s="732"/>
      <c r="EJ59" s="732"/>
      <c r="EK59" s="732"/>
      <c r="EL59" s="732"/>
      <c r="EM59" s="732"/>
      <c r="EN59" s="732"/>
      <c r="EO59" s="732"/>
      <c r="EP59" s="732"/>
      <c r="EQ59" s="732"/>
    </row>
    <row r="60" spans="1:147" s="717" customFormat="1">
      <c r="A60" s="945"/>
      <c r="B60" s="945"/>
      <c r="C60" s="946" t="s">
        <v>9</v>
      </c>
      <c r="D60" s="947"/>
      <c r="E60" s="721"/>
      <c r="F60" s="721"/>
      <c r="G60" s="721"/>
      <c r="H60" s="721"/>
      <c r="I60" s="721"/>
      <c r="J60" s="721"/>
      <c r="K60" s="721"/>
      <c r="L60" s="721"/>
      <c r="M60" s="721"/>
      <c r="N60" s="732"/>
      <c r="O60" s="732"/>
      <c r="P60" s="732"/>
      <c r="Q60" s="732"/>
      <c r="R60" s="732"/>
      <c r="S60" s="732"/>
      <c r="T60" s="732"/>
      <c r="U60" s="732"/>
      <c r="V60" s="732"/>
      <c r="W60" s="732"/>
      <c r="X60" s="732"/>
      <c r="Y60" s="732"/>
      <c r="Z60" s="732"/>
      <c r="AA60" s="732"/>
      <c r="AB60" s="732"/>
      <c r="AC60" s="732"/>
      <c r="AD60" s="732"/>
      <c r="AE60" s="732"/>
      <c r="AF60" s="732"/>
      <c r="AG60" s="732"/>
      <c r="AH60" s="732"/>
      <c r="AI60" s="732"/>
      <c r="AJ60" s="732"/>
      <c r="AK60" s="732"/>
      <c r="AL60" s="732"/>
      <c r="AM60" s="732"/>
      <c r="AN60" s="732"/>
      <c r="AO60" s="732"/>
      <c r="AP60" s="732"/>
      <c r="AQ60" s="732"/>
      <c r="AR60" s="732"/>
      <c r="AS60" s="732"/>
      <c r="AT60" s="732"/>
      <c r="AU60" s="732"/>
      <c r="AV60" s="732"/>
      <c r="AW60" s="732"/>
      <c r="AX60" s="732"/>
      <c r="AY60" s="732"/>
      <c r="AZ60" s="732"/>
      <c r="BA60" s="732"/>
      <c r="BB60" s="732"/>
      <c r="BC60" s="732"/>
      <c r="BD60" s="732"/>
      <c r="BE60" s="732"/>
      <c r="BF60" s="732"/>
      <c r="BG60" s="732"/>
      <c r="BH60" s="732"/>
      <c r="BI60" s="732"/>
      <c r="BJ60" s="732"/>
      <c r="BK60" s="732"/>
      <c r="BL60" s="732"/>
      <c r="BM60" s="732"/>
      <c r="BN60" s="732"/>
      <c r="BO60" s="732"/>
      <c r="BP60" s="732"/>
      <c r="BQ60" s="732"/>
      <c r="BR60" s="732"/>
      <c r="BS60" s="732"/>
      <c r="BT60" s="732"/>
      <c r="BU60" s="732"/>
      <c r="BV60" s="732"/>
      <c r="BW60" s="732"/>
      <c r="BX60" s="732"/>
      <c r="BY60" s="732"/>
      <c r="BZ60" s="732"/>
      <c r="CA60" s="732"/>
      <c r="CB60" s="732"/>
      <c r="CC60" s="732"/>
      <c r="CD60" s="732"/>
      <c r="CE60" s="732"/>
      <c r="CF60" s="732"/>
      <c r="CG60" s="732"/>
      <c r="CH60" s="732"/>
      <c r="CI60" s="732"/>
      <c r="CJ60" s="732"/>
      <c r="CK60" s="732"/>
      <c r="CL60" s="732"/>
      <c r="CM60" s="732"/>
      <c r="CN60" s="732"/>
      <c r="CO60" s="732"/>
      <c r="CP60" s="732"/>
      <c r="CQ60" s="732"/>
      <c r="CR60" s="732"/>
      <c r="CS60" s="732"/>
      <c r="CT60" s="732"/>
      <c r="CU60" s="732"/>
      <c r="CV60" s="732"/>
      <c r="CW60" s="732"/>
      <c r="CX60" s="732"/>
      <c r="CY60" s="732"/>
      <c r="CZ60" s="732"/>
      <c r="DA60" s="732"/>
      <c r="DB60" s="732"/>
      <c r="DC60" s="732"/>
      <c r="DD60" s="732"/>
      <c r="DE60" s="732"/>
      <c r="DF60" s="732"/>
      <c r="DG60" s="732"/>
      <c r="DH60" s="732"/>
      <c r="DI60" s="732"/>
      <c r="DJ60" s="732"/>
      <c r="DK60" s="732"/>
      <c r="DL60" s="732"/>
      <c r="DM60" s="732"/>
      <c r="DN60" s="732"/>
      <c r="DO60" s="732"/>
      <c r="DP60" s="732"/>
      <c r="DQ60" s="732"/>
      <c r="DR60" s="732"/>
      <c r="DS60" s="732"/>
      <c r="DT60" s="732"/>
      <c r="DU60" s="732"/>
      <c r="DV60" s="732"/>
      <c r="DW60" s="732"/>
      <c r="DX60" s="732"/>
      <c r="DY60" s="732"/>
      <c r="DZ60" s="732"/>
      <c r="EA60" s="732"/>
      <c r="EB60" s="732"/>
      <c r="EC60" s="732"/>
      <c r="ED60" s="732"/>
      <c r="EE60" s="732"/>
      <c r="EF60" s="732"/>
      <c r="EG60" s="732"/>
      <c r="EH60" s="732"/>
      <c r="EI60" s="732"/>
      <c r="EJ60" s="732"/>
      <c r="EK60" s="732"/>
      <c r="EL60" s="732"/>
      <c r="EM60" s="732"/>
      <c r="EN60" s="732"/>
      <c r="EO60" s="732"/>
      <c r="EP60" s="732"/>
      <c r="EQ60" s="732"/>
    </row>
    <row r="61" spans="1:147" s="717" customFormat="1">
      <c r="A61" s="692"/>
      <c r="B61" s="692"/>
      <c r="C61" s="726" t="s">
        <v>229</v>
      </c>
      <c r="D61" s="529" t="s">
        <v>851</v>
      </c>
      <c r="E61" s="722"/>
      <c r="F61" s="722"/>
      <c r="G61" s="722"/>
      <c r="H61" s="722"/>
      <c r="I61" s="722"/>
      <c r="J61" s="722"/>
      <c r="K61" s="722"/>
      <c r="L61" s="722"/>
      <c r="M61" s="722"/>
      <c r="N61" s="732"/>
      <c r="O61" s="732"/>
      <c r="P61" s="732"/>
      <c r="Q61" s="732"/>
      <c r="R61" s="732"/>
      <c r="S61" s="732"/>
      <c r="T61" s="732"/>
      <c r="U61" s="732"/>
      <c r="V61" s="732"/>
      <c r="W61" s="732"/>
      <c r="X61" s="732"/>
      <c r="Y61" s="732"/>
      <c r="Z61" s="732"/>
      <c r="AA61" s="732"/>
      <c r="AB61" s="732"/>
      <c r="AC61" s="732"/>
      <c r="AD61" s="732"/>
      <c r="AE61" s="732"/>
      <c r="AF61" s="732"/>
      <c r="AG61" s="732"/>
      <c r="AH61" s="732"/>
      <c r="AI61" s="732"/>
      <c r="AJ61" s="732"/>
      <c r="AK61" s="732"/>
      <c r="AL61" s="732"/>
      <c r="AM61" s="732"/>
      <c r="AN61" s="732"/>
      <c r="AO61" s="732"/>
      <c r="AP61" s="732"/>
      <c r="AQ61" s="732"/>
      <c r="AR61" s="732"/>
      <c r="AS61" s="732"/>
      <c r="AT61" s="732"/>
      <c r="AU61" s="732"/>
      <c r="AV61" s="732"/>
      <c r="AW61" s="732"/>
      <c r="AX61" s="732"/>
      <c r="AY61" s="732"/>
      <c r="AZ61" s="732"/>
      <c r="BA61" s="732"/>
      <c r="BB61" s="732"/>
      <c r="BC61" s="732"/>
      <c r="BD61" s="732"/>
      <c r="BE61" s="732"/>
      <c r="BF61" s="732"/>
      <c r="BG61" s="732"/>
      <c r="BH61" s="732"/>
      <c r="BI61" s="732"/>
      <c r="BJ61" s="732"/>
      <c r="BK61" s="732"/>
      <c r="BL61" s="732"/>
      <c r="BM61" s="732"/>
      <c r="BN61" s="732"/>
      <c r="BO61" s="732"/>
      <c r="BP61" s="732"/>
      <c r="BQ61" s="732"/>
      <c r="BR61" s="732"/>
      <c r="BS61" s="732"/>
      <c r="BT61" s="732"/>
      <c r="BU61" s="732"/>
      <c r="BV61" s="732"/>
      <c r="BW61" s="732"/>
      <c r="BX61" s="732"/>
      <c r="BY61" s="732"/>
      <c r="BZ61" s="732"/>
      <c r="CA61" s="732"/>
      <c r="CB61" s="732"/>
      <c r="CC61" s="732"/>
      <c r="CD61" s="732"/>
      <c r="CE61" s="732"/>
      <c r="CF61" s="732"/>
      <c r="CG61" s="732"/>
      <c r="CH61" s="732"/>
      <c r="CI61" s="732"/>
      <c r="CJ61" s="732"/>
      <c r="CK61" s="732"/>
      <c r="CL61" s="732"/>
      <c r="CM61" s="732"/>
      <c r="CN61" s="732"/>
      <c r="CO61" s="732"/>
      <c r="CP61" s="732"/>
      <c r="CQ61" s="732"/>
      <c r="CR61" s="732"/>
      <c r="CS61" s="732"/>
      <c r="CT61" s="732"/>
      <c r="CU61" s="732"/>
      <c r="CV61" s="732"/>
      <c r="CW61" s="732"/>
      <c r="CX61" s="732"/>
      <c r="CY61" s="732"/>
      <c r="CZ61" s="732"/>
      <c r="DA61" s="732"/>
      <c r="DB61" s="732"/>
      <c r="DC61" s="732"/>
      <c r="DD61" s="732"/>
      <c r="DE61" s="732"/>
      <c r="DF61" s="732"/>
      <c r="DG61" s="732"/>
      <c r="DH61" s="732"/>
      <c r="DI61" s="732"/>
      <c r="DJ61" s="732"/>
      <c r="DK61" s="732"/>
      <c r="DL61" s="732"/>
      <c r="DM61" s="732"/>
      <c r="DN61" s="732"/>
      <c r="DO61" s="732"/>
      <c r="DP61" s="732"/>
      <c r="DQ61" s="732"/>
      <c r="DR61" s="732"/>
      <c r="DS61" s="732"/>
      <c r="DT61" s="732"/>
      <c r="DU61" s="732"/>
      <c r="DV61" s="732"/>
      <c r="DW61" s="732"/>
      <c r="DX61" s="732"/>
      <c r="DY61" s="732"/>
      <c r="DZ61" s="732"/>
      <c r="EA61" s="732"/>
      <c r="EB61" s="732"/>
      <c r="EC61" s="732"/>
      <c r="ED61" s="732"/>
      <c r="EE61" s="732"/>
      <c r="EF61" s="732"/>
      <c r="EG61" s="732"/>
      <c r="EH61" s="732"/>
      <c r="EI61" s="732"/>
      <c r="EJ61" s="732"/>
      <c r="EK61" s="732"/>
      <c r="EL61" s="732"/>
      <c r="EM61" s="732"/>
      <c r="EN61" s="732"/>
      <c r="EO61" s="732"/>
      <c r="EP61" s="732"/>
      <c r="EQ61" s="732"/>
    </row>
    <row r="62" spans="1:147" s="717" customFormat="1">
      <c r="A62" s="945"/>
      <c r="B62" s="945"/>
      <c r="C62" s="948" t="s">
        <v>9</v>
      </c>
      <c r="D62" s="529"/>
      <c r="E62" s="721"/>
      <c r="F62" s="721"/>
      <c r="G62" s="721"/>
      <c r="H62" s="721"/>
      <c r="I62" s="721"/>
      <c r="J62" s="721"/>
      <c r="K62" s="721"/>
      <c r="L62" s="721"/>
      <c r="M62" s="721"/>
      <c r="N62" s="732"/>
      <c r="O62" s="732"/>
      <c r="P62" s="732"/>
      <c r="Q62" s="732"/>
      <c r="R62" s="732"/>
      <c r="S62" s="732"/>
      <c r="T62" s="732"/>
      <c r="U62" s="732"/>
      <c r="V62" s="732"/>
      <c r="W62" s="732"/>
      <c r="X62" s="732"/>
      <c r="Y62" s="732"/>
      <c r="Z62" s="732"/>
      <c r="AA62" s="732"/>
      <c r="AB62" s="732"/>
      <c r="AC62" s="732"/>
      <c r="AD62" s="732"/>
      <c r="AE62" s="732"/>
      <c r="AF62" s="732"/>
      <c r="AG62" s="732"/>
      <c r="AH62" s="732"/>
      <c r="AI62" s="732"/>
      <c r="AJ62" s="732"/>
      <c r="AK62" s="732"/>
      <c r="AL62" s="732"/>
      <c r="AM62" s="732"/>
      <c r="AN62" s="732"/>
      <c r="AO62" s="732"/>
      <c r="AP62" s="732"/>
      <c r="AQ62" s="732"/>
      <c r="AR62" s="732"/>
      <c r="AS62" s="732"/>
      <c r="AT62" s="732"/>
      <c r="AU62" s="732"/>
      <c r="AV62" s="732"/>
      <c r="AW62" s="732"/>
      <c r="AX62" s="732"/>
      <c r="AY62" s="732"/>
      <c r="AZ62" s="732"/>
      <c r="BA62" s="732"/>
      <c r="BB62" s="732"/>
      <c r="BC62" s="732"/>
      <c r="BD62" s="732"/>
      <c r="BE62" s="732"/>
      <c r="BF62" s="732"/>
      <c r="BG62" s="732"/>
      <c r="BH62" s="732"/>
      <c r="BI62" s="732"/>
      <c r="BJ62" s="732"/>
      <c r="BK62" s="732"/>
      <c r="BL62" s="732"/>
      <c r="BM62" s="732"/>
      <c r="BN62" s="732"/>
      <c r="BO62" s="732"/>
      <c r="BP62" s="732"/>
      <c r="BQ62" s="732"/>
      <c r="BR62" s="732"/>
      <c r="BS62" s="732"/>
      <c r="BT62" s="732"/>
      <c r="BU62" s="732"/>
      <c r="BV62" s="732"/>
      <c r="BW62" s="732"/>
      <c r="BX62" s="732"/>
      <c r="BY62" s="732"/>
      <c r="BZ62" s="732"/>
      <c r="CA62" s="732"/>
      <c r="CB62" s="732"/>
      <c r="CC62" s="732"/>
      <c r="CD62" s="732"/>
      <c r="CE62" s="732"/>
      <c r="CF62" s="732"/>
      <c r="CG62" s="732"/>
      <c r="CH62" s="732"/>
      <c r="CI62" s="732"/>
      <c r="CJ62" s="732"/>
      <c r="CK62" s="732"/>
      <c r="CL62" s="732"/>
      <c r="CM62" s="732"/>
      <c r="CN62" s="732"/>
      <c r="CO62" s="732"/>
      <c r="CP62" s="732"/>
      <c r="CQ62" s="732"/>
      <c r="CR62" s="732"/>
      <c r="CS62" s="732"/>
      <c r="CT62" s="732"/>
      <c r="CU62" s="732"/>
      <c r="CV62" s="732"/>
      <c r="CW62" s="732"/>
      <c r="CX62" s="732"/>
      <c r="CY62" s="732"/>
      <c r="CZ62" s="732"/>
      <c r="DA62" s="732"/>
      <c r="DB62" s="732"/>
      <c r="DC62" s="732"/>
      <c r="DD62" s="732"/>
      <c r="DE62" s="732"/>
      <c r="DF62" s="732"/>
      <c r="DG62" s="732"/>
      <c r="DH62" s="732"/>
      <c r="DI62" s="732"/>
      <c r="DJ62" s="732"/>
      <c r="DK62" s="732"/>
      <c r="DL62" s="732"/>
      <c r="DM62" s="732"/>
      <c r="DN62" s="732"/>
      <c r="DO62" s="732"/>
      <c r="DP62" s="732"/>
      <c r="DQ62" s="732"/>
      <c r="DR62" s="732"/>
      <c r="DS62" s="732"/>
      <c r="DT62" s="732"/>
      <c r="DU62" s="732"/>
      <c r="DV62" s="732"/>
      <c r="DW62" s="732"/>
      <c r="DX62" s="732"/>
      <c r="DY62" s="732"/>
      <c r="DZ62" s="732"/>
      <c r="EA62" s="732"/>
      <c r="EB62" s="732"/>
      <c r="EC62" s="732"/>
      <c r="ED62" s="732"/>
      <c r="EE62" s="732"/>
      <c r="EF62" s="732"/>
      <c r="EG62" s="732"/>
      <c r="EH62" s="732"/>
      <c r="EI62" s="732"/>
      <c r="EJ62" s="732"/>
      <c r="EK62" s="732"/>
      <c r="EL62" s="732"/>
      <c r="EM62" s="732"/>
      <c r="EN62" s="732"/>
      <c r="EO62" s="732"/>
      <c r="EP62" s="732"/>
      <c r="EQ62" s="732"/>
    </row>
    <row r="63" spans="1:147" s="717" customFormat="1">
      <c r="A63" s="544"/>
      <c r="B63" s="544"/>
      <c r="C63" s="949" t="s">
        <v>408</v>
      </c>
      <c r="D63" s="529" t="s">
        <v>851</v>
      </c>
      <c r="E63" s="722"/>
      <c r="F63" s="722"/>
      <c r="G63" s="722"/>
      <c r="H63" s="722"/>
      <c r="I63" s="722"/>
      <c r="J63" s="722"/>
      <c r="K63" s="722"/>
      <c r="L63" s="722"/>
      <c r="M63" s="722"/>
      <c r="N63" s="732"/>
      <c r="O63" s="732"/>
      <c r="P63" s="732"/>
      <c r="Q63" s="732"/>
      <c r="R63" s="732"/>
      <c r="S63" s="732"/>
      <c r="T63" s="732"/>
      <c r="U63" s="732"/>
      <c r="V63" s="732"/>
      <c r="W63" s="732"/>
      <c r="X63" s="732"/>
      <c r="Y63" s="732"/>
      <c r="Z63" s="732"/>
      <c r="AA63" s="732"/>
      <c r="AB63" s="732"/>
      <c r="AC63" s="732"/>
      <c r="AD63" s="732"/>
      <c r="AE63" s="732"/>
      <c r="AF63" s="732"/>
      <c r="AG63" s="732"/>
      <c r="AH63" s="732"/>
      <c r="AI63" s="732"/>
      <c r="AJ63" s="732"/>
      <c r="AK63" s="732"/>
      <c r="AL63" s="732"/>
      <c r="AM63" s="732"/>
      <c r="AN63" s="732"/>
      <c r="AO63" s="732"/>
      <c r="AP63" s="732"/>
      <c r="AQ63" s="732"/>
      <c r="AR63" s="732"/>
      <c r="AS63" s="732"/>
      <c r="AT63" s="732"/>
      <c r="AU63" s="732"/>
      <c r="AV63" s="732"/>
      <c r="AW63" s="732"/>
      <c r="AX63" s="732"/>
      <c r="AY63" s="732"/>
      <c r="AZ63" s="732"/>
      <c r="BA63" s="732"/>
      <c r="BB63" s="732"/>
      <c r="BC63" s="732"/>
      <c r="BD63" s="732"/>
      <c r="BE63" s="732"/>
      <c r="BF63" s="732"/>
      <c r="BG63" s="732"/>
      <c r="BH63" s="732"/>
      <c r="BI63" s="732"/>
      <c r="BJ63" s="732"/>
      <c r="BK63" s="732"/>
      <c r="BL63" s="732"/>
      <c r="BM63" s="732"/>
      <c r="BN63" s="732"/>
      <c r="BO63" s="732"/>
      <c r="BP63" s="732"/>
      <c r="BQ63" s="732"/>
      <c r="BR63" s="732"/>
      <c r="BS63" s="732"/>
      <c r="BT63" s="732"/>
      <c r="BU63" s="732"/>
      <c r="BV63" s="732"/>
      <c r="BW63" s="732"/>
      <c r="BX63" s="732"/>
      <c r="BY63" s="732"/>
      <c r="BZ63" s="732"/>
      <c r="CA63" s="732"/>
      <c r="CB63" s="732"/>
      <c r="CC63" s="732"/>
      <c r="CD63" s="732"/>
      <c r="CE63" s="732"/>
      <c r="CF63" s="732"/>
      <c r="CG63" s="732"/>
      <c r="CH63" s="732"/>
      <c r="CI63" s="732"/>
      <c r="CJ63" s="732"/>
      <c r="CK63" s="732"/>
      <c r="CL63" s="732"/>
      <c r="CM63" s="732"/>
      <c r="CN63" s="732"/>
      <c r="CO63" s="732"/>
      <c r="CP63" s="732"/>
      <c r="CQ63" s="732"/>
      <c r="CR63" s="732"/>
      <c r="CS63" s="732"/>
      <c r="CT63" s="732"/>
      <c r="CU63" s="732"/>
      <c r="CV63" s="732"/>
      <c r="CW63" s="732"/>
      <c r="CX63" s="732"/>
      <c r="CY63" s="732"/>
      <c r="CZ63" s="732"/>
      <c r="DA63" s="732"/>
      <c r="DB63" s="732"/>
      <c r="DC63" s="732"/>
      <c r="DD63" s="732"/>
      <c r="DE63" s="732"/>
      <c r="DF63" s="732"/>
      <c r="DG63" s="732"/>
      <c r="DH63" s="732"/>
      <c r="DI63" s="732"/>
      <c r="DJ63" s="732"/>
      <c r="DK63" s="732"/>
      <c r="DL63" s="732"/>
      <c r="DM63" s="732"/>
      <c r="DN63" s="732"/>
      <c r="DO63" s="732"/>
      <c r="DP63" s="732"/>
      <c r="DQ63" s="732"/>
      <c r="DR63" s="732"/>
      <c r="DS63" s="732"/>
      <c r="DT63" s="732"/>
      <c r="DU63" s="732"/>
      <c r="DV63" s="732"/>
      <c r="DW63" s="732"/>
      <c r="DX63" s="732"/>
      <c r="DY63" s="732"/>
      <c r="DZ63" s="732"/>
      <c r="EA63" s="732"/>
      <c r="EB63" s="732"/>
      <c r="EC63" s="732"/>
      <c r="ED63" s="732"/>
      <c r="EE63" s="732"/>
      <c r="EF63" s="732"/>
      <c r="EG63" s="732"/>
      <c r="EH63" s="732"/>
      <c r="EI63" s="732"/>
      <c r="EJ63" s="732"/>
      <c r="EK63" s="732"/>
      <c r="EL63" s="732"/>
      <c r="EM63" s="732"/>
      <c r="EN63" s="732"/>
      <c r="EO63" s="732"/>
      <c r="EP63" s="732"/>
      <c r="EQ63" s="732"/>
    </row>
    <row r="64" spans="1:147" s="717" customFormat="1">
      <c r="A64" s="947"/>
      <c r="B64" s="947"/>
      <c r="C64" s="948" t="s">
        <v>9</v>
      </c>
      <c r="D64" s="529"/>
      <c r="E64" s="721"/>
      <c r="F64" s="721"/>
      <c r="G64" s="721"/>
      <c r="H64" s="721"/>
      <c r="I64" s="721"/>
      <c r="J64" s="721"/>
      <c r="K64" s="721"/>
      <c r="L64" s="721"/>
      <c r="M64" s="721"/>
      <c r="N64" s="732"/>
      <c r="O64" s="732"/>
      <c r="P64" s="732"/>
      <c r="Q64" s="732"/>
      <c r="R64" s="732"/>
      <c r="S64" s="732"/>
      <c r="T64" s="732"/>
      <c r="U64" s="732"/>
      <c r="V64" s="732"/>
      <c r="W64" s="732"/>
      <c r="X64" s="732"/>
      <c r="Y64" s="732"/>
      <c r="Z64" s="732"/>
      <c r="AA64" s="732"/>
      <c r="AB64" s="732"/>
      <c r="AC64" s="732"/>
      <c r="AD64" s="732"/>
      <c r="AE64" s="732"/>
      <c r="AF64" s="732"/>
      <c r="AG64" s="732"/>
      <c r="AH64" s="732"/>
      <c r="AI64" s="732"/>
      <c r="AJ64" s="732"/>
      <c r="AK64" s="732"/>
      <c r="AL64" s="732"/>
      <c r="AM64" s="732"/>
      <c r="AN64" s="732"/>
      <c r="AO64" s="732"/>
      <c r="AP64" s="732"/>
      <c r="AQ64" s="732"/>
      <c r="AR64" s="732"/>
      <c r="AS64" s="732"/>
      <c r="AT64" s="732"/>
      <c r="AU64" s="732"/>
      <c r="AV64" s="732"/>
      <c r="AW64" s="732"/>
      <c r="AX64" s="732"/>
      <c r="AY64" s="732"/>
      <c r="AZ64" s="732"/>
      <c r="BA64" s="732"/>
      <c r="BB64" s="732"/>
      <c r="BC64" s="732"/>
      <c r="BD64" s="732"/>
      <c r="BE64" s="732"/>
      <c r="BF64" s="732"/>
      <c r="BG64" s="732"/>
      <c r="BH64" s="732"/>
      <c r="BI64" s="732"/>
      <c r="BJ64" s="732"/>
      <c r="BK64" s="732"/>
      <c r="BL64" s="732"/>
      <c r="BM64" s="732"/>
      <c r="BN64" s="732"/>
      <c r="BO64" s="732"/>
      <c r="BP64" s="732"/>
      <c r="BQ64" s="732"/>
      <c r="BR64" s="732"/>
      <c r="BS64" s="732"/>
      <c r="BT64" s="732"/>
      <c r="BU64" s="732"/>
      <c r="BV64" s="732"/>
      <c r="BW64" s="732"/>
      <c r="BX64" s="732"/>
      <c r="BY64" s="732"/>
      <c r="BZ64" s="732"/>
      <c r="CA64" s="732"/>
      <c r="CB64" s="732"/>
      <c r="CC64" s="732"/>
      <c r="CD64" s="732"/>
      <c r="CE64" s="732"/>
      <c r="CF64" s="732"/>
      <c r="CG64" s="732"/>
      <c r="CH64" s="732"/>
      <c r="CI64" s="732"/>
      <c r="CJ64" s="732"/>
      <c r="CK64" s="732"/>
      <c r="CL64" s="732"/>
      <c r="CM64" s="732"/>
      <c r="CN64" s="732"/>
      <c r="CO64" s="732"/>
      <c r="CP64" s="732"/>
      <c r="CQ64" s="732"/>
      <c r="CR64" s="732"/>
      <c r="CS64" s="732"/>
      <c r="CT64" s="732"/>
      <c r="CU64" s="732"/>
      <c r="CV64" s="732"/>
      <c r="CW64" s="732"/>
      <c r="CX64" s="732"/>
      <c r="CY64" s="732"/>
      <c r="CZ64" s="732"/>
      <c r="DA64" s="732"/>
      <c r="DB64" s="732"/>
      <c r="DC64" s="732"/>
      <c r="DD64" s="732"/>
      <c r="DE64" s="732"/>
      <c r="DF64" s="732"/>
      <c r="DG64" s="732"/>
      <c r="DH64" s="732"/>
      <c r="DI64" s="732"/>
      <c r="DJ64" s="732"/>
      <c r="DK64" s="732"/>
      <c r="DL64" s="732"/>
      <c r="DM64" s="732"/>
      <c r="DN64" s="732"/>
      <c r="DO64" s="732"/>
      <c r="DP64" s="732"/>
      <c r="DQ64" s="732"/>
      <c r="DR64" s="732"/>
      <c r="DS64" s="732"/>
      <c r="DT64" s="732"/>
      <c r="DU64" s="732"/>
      <c r="DV64" s="732"/>
      <c r="DW64" s="732"/>
      <c r="DX64" s="732"/>
      <c r="DY64" s="732"/>
      <c r="DZ64" s="732"/>
      <c r="EA64" s="732"/>
      <c r="EB64" s="732"/>
      <c r="EC64" s="732"/>
      <c r="ED64" s="732"/>
      <c r="EE64" s="732"/>
      <c r="EF64" s="732"/>
      <c r="EG64" s="732"/>
      <c r="EH64" s="732"/>
      <c r="EI64" s="732"/>
      <c r="EJ64" s="732"/>
      <c r="EK64" s="732"/>
      <c r="EL64" s="732"/>
      <c r="EM64" s="732"/>
      <c r="EN64" s="732"/>
      <c r="EO64" s="732"/>
      <c r="EP64" s="732"/>
      <c r="EQ64" s="732"/>
    </row>
    <row r="65" spans="1:147" s="717" customFormat="1">
      <c r="A65" s="692"/>
      <c r="B65" s="692"/>
      <c r="C65" s="950" t="s">
        <v>207</v>
      </c>
      <c r="D65" s="529" t="s">
        <v>851</v>
      </c>
      <c r="E65" s="722"/>
      <c r="F65" s="722"/>
      <c r="G65" s="722"/>
      <c r="H65" s="722"/>
      <c r="I65" s="722"/>
      <c r="J65" s="722"/>
      <c r="K65" s="722"/>
      <c r="L65" s="722"/>
      <c r="M65" s="722"/>
      <c r="N65" s="732"/>
      <c r="O65" s="732"/>
      <c r="P65" s="732"/>
      <c r="Q65" s="732"/>
      <c r="R65" s="732"/>
      <c r="S65" s="732"/>
      <c r="T65" s="732"/>
      <c r="U65" s="732"/>
      <c r="V65" s="732"/>
      <c r="W65" s="732"/>
      <c r="X65" s="732"/>
      <c r="Y65" s="732"/>
      <c r="Z65" s="732"/>
      <c r="AA65" s="732"/>
      <c r="AB65" s="732"/>
      <c r="AC65" s="732"/>
      <c r="AD65" s="732"/>
      <c r="AE65" s="732"/>
      <c r="AF65" s="732"/>
      <c r="AG65" s="732"/>
      <c r="AH65" s="732"/>
      <c r="AI65" s="732"/>
      <c r="AJ65" s="732"/>
      <c r="AK65" s="732"/>
      <c r="AL65" s="732"/>
      <c r="AM65" s="732"/>
      <c r="AN65" s="732"/>
      <c r="AO65" s="732"/>
      <c r="AP65" s="732"/>
      <c r="AQ65" s="732"/>
      <c r="AR65" s="732"/>
      <c r="AS65" s="732"/>
      <c r="AT65" s="732"/>
      <c r="AU65" s="732"/>
      <c r="AV65" s="732"/>
      <c r="AW65" s="732"/>
      <c r="AX65" s="732"/>
      <c r="AY65" s="732"/>
      <c r="AZ65" s="732"/>
      <c r="BA65" s="732"/>
      <c r="BB65" s="732"/>
      <c r="BC65" s="732"/>
      <c r="BD65" s="732"/>
      <c r="BE65" s="732"/>
      <c r="BF65" s="732"/>
      <c r="BG65" s="732"/>
      <c r="BH65" s="732"/>
      <c r="BI65" s="732"/>
      <c r="BJ65" s="732"/>
      <c r="BK65" s="732"/>
      <c r="BL65" s="732"/>
      <c r="BM65" s="732"/>
      <c r="BN65" s="732"/>
      <c r="BO65" s="732"/>
      <c r="BP65" s="732"/>
      <c r="BQ65" s="732"/>
      <c r="BR65" s="732"/>
      <c r="BS65" s="732"/>
      <c r="BT65" s="732"/>
      <c r="BU65" s="732"/>
      <c r="BV65" s="732"/>
      <c r="BW65" s="732"/>
      <c r="BX65" s="732"/>
      <c r="BY65" s="732"/>
      <c r="BZ65" s="732"/>
      <c r="CA65" s="732"/>
      <c r="CB65" s="732"/>
      <c r="CC65" s="732"/>
      <c r="CD65" s="732"/>
      <c r="CE65" s="732"/>
      <c r="CF65" s="732"/>
      <c r="CG65" s="732"/>
      <c r="CH65" s="732"/>
      <c r="CI65" s="732"/>
      <c r="CJ65" s="732"/>
      <c r="CK65" s="732"/>
      <c r="CL65" s="732"/>
      <c r="CM65" s="732"/>
      <c r="CN65" s="732"/>
      <c r="CO65" s="732"/>
      <c r="CP65" s="732"/>
      <c r="CQ65" s="732"/>
      <c r="CR65" s="732"/>
      <c r="CS65" s="732"/>
      <c r="CT65" s="732"/>
      <c r="CU65" s="732"/>
      <c r="CV65" s="732"/>
      <c r="CW65" s="732"/>
      <c r="CX65" s="732"/>
      <c r="CY65" s="732"/>
      <c r="CZ65" s="732"/>
      <c r="DA65" s="732"/>
      <c r="DB65" s="732"/>
      <c r="DC65" s="732"/>
      <c r="DD65" s="732"/>
      <c r="DE65" s="732"/>
      <c r="DF65" s="732"/>
      <c r="DG65" s="732"/>
      <c r="DH65" s="732"/>
      <c r="DI65" s="732"/>
      <c r="DJ65" s="732"/>
      <c r="DK65" s="732"/>
      <c r="DL65" s="732"/>
      <c r="DM65" s="732"/>
      <c r="DN65" s="732"/>
      <c r="DO65" s="732"/>
      <c r="DP65" s="732"/>
      <c r="DQ65" s="732"/>
      <c r="DR65" s="732"/>
      <c r="DS65" s="732"/>
      <c r="DT65" s="732"/>
      <c r="DU65" s="732"/>
      <c r="DV65" s="732"/>
      <c r="DW65" s="732"/>
      <c r="DX65" s="732"/>
      <c r="DY65" s="732"/>
      <c r="DZ65" s="732"/>
      <c r="EA65" s="732"/>
      <c r="EB65" s="732"/>
      <c r="EC65" s="732"/>
      <c r="ED65" s="732"/>
      <c r="EE65" s="732"/>
      <c r="EF65" s="732"/>
      <c r="EG65" s="732"/>
      <c r="EH65" s="732"/>
      <c r="EI65" s="732"/>
      <c r="EJ65" s="732"/>
      <c r="EK65" s="732"/>
      <c r="EL65" s="732"/>
      <c r="EM65" s="732"/>
      <c r="EN65" s="732"/>
      <c r="EO65" s="732"/>
      <c r="EP65" s="732"/>
      <c r="EQ65" s="732"/>
    </row>
    <row r="66" spans="1:147" s="717" customFormat="1">
      <c r="A66" s="945"/>
      <c r="B66" s="945"/>
      <c r="C66" s="946" t="s">
        <v>230</v>
      </c>
      <c r="D66" s="947"/>
      <c r="E66" s="721"/>
      <c r="F66" s="721"/>
      <c r="G66" s="721"/>
      <c r="H66" s="721"/>
      <c r="I66" s="721"/>
      <c r="J66" s="721"/>
      <c r="K66" s="721"/>
      <c r="L66" s="721"/>
      <c r="M66" s="721"/>
      <c r="N66" s="732"/>
      <c r="O66" s="732"/>
      <c r="P66" s="732"/>
      <c r="Q66" s="732"/>
      <c r="R66" s="732"/>
      <c r="S66" s="732"/>
      <c r="T66" s="732"/>
      <c r="U66" s="732"/>
      <c r="V66" s="732"/>
      <c r="W66" s="732"/>
      <c r="X66" s="732"/>
      <c r="Y66" s="732"/>
      <c r="Z66" s="732"/>
      <c r="AA66" s="732"/>
      <c r="AB66" s="732"/>
      <c r="AC66" s="732"/>
      <c r="AD66" s="732"/>
      <c r="AE66" s="732"/>
      <c r="AF66" s="732"/>
      <c r="AG66" s="732"/>
      <c r="AH66" s="732"/>
      <c r="AI66" s="732"/>
      <c r="AJ66" s="732"/>
      <c r="AK66" s="732"/>
      <c r="AL66" s="732"/>
      <c r="AM66" s="732"/>
      <c r="AN66" s="732"/>
      <c r="AO66" s="732"/>
      <c r="AP66" s="732"/>
      <c r="AQ66" s="732"/>
      <c r="AR66" s="732"/>
      <c r="AS66" s="732"/>
      <c r="AT66" s="732"/>
      <c r="AU66" s="732"/>
      <c r="AV66" s="732"/>
      <c r="AW66" s="732"/>
      <c r="AX66" s="732"/>
      <c r="AY66" s="732"/>
      <c r="AZ66" s="732"/>
      <c r="BA66" s="732"/>
      <c r="BB66" s="732"/>
      <c r="BC66" s="732"/>
      <c r="BD66" s="732"/>
      <c r="BE66" s="732"/>
      <c r="BF66" s="732"/>
      <c r="BG66" s="732"/>
      <c r="BH66" s="732"/>
      <c r="BI66" s="732"/>
      <c r="BJ66" s="732"/>
      <c r="BK66" s="732"/>
      <c r="BL66" s="732"/>
      <c r="BM66" s="732"/>
      <c r="BN66" s="732"/>
      <c r="BO66" s="732"/>
      <c r="BP66" s="732"/>
      <c r="BQ66" s="732"/>
      <c r="BR66" s="732"/>
      <c r="BS66" s="732"/>
      <c r="BT66" s="732"/>
      <c r="BU66" s="732"/>
      <c r="BV66" s="732"/>
      <c r="BW66" s="732"/>
      <c r="BX66" s="732"/>
      <c r="BY66" s="732"/>
      <c r="BZ66" s="732"/>
      <c r="CA66" s="732"/>
      <c r="CB66" s="732"/>
      <c r="CC66" s="732"/>
      <c r="CD66" s="732"/>
      <c r="CE66" s="732"/>
      <c r="CF66" s="732"/>
      <c r="CG66" s="732"/>
      <c r="CH66" s="732"/>
      <c r="CI66" s="732"/>
      <c r="CJ66" s="732"/>
      <c r="CK66" s="732"/>
      <c r="CL66" s="732"/>
      <c r="CM66" s="732"/>
      <c r="CN66" s="732"/>
      <c r="CO66" s="732"/>
      <c r="CP66" s="732"/>
      <c r="CQ66" s="732"/>
      <c r="CR66" s="732"/>
      <c r="CS66" s="732"/>
      <c r="CT66" s="732"/>
      <c r="CU66" s="732"/>
      <c r="CV66" s="732"/>
      <c r="CW66" s="732"/>
      <c r="CX66" s="732"/>
      <c r="CY66" s="732"/>
      <c r="CZ66" s="732"/>
      <c r="DA66" s="732"/>
      <c r="DB66" s="732"/>
      <c r="DC66" s="732"/>
      <c r="DD66" s="732"/>
      <c r="DE66" s="732"/>
      <c r="DF66" s="732"/>
      <c r="DG66" s="732"/>
      <c r="DH66" s="732"/>
      <c r="DI66" s="732"/>
      <c r="DJ66" s="732"/>
      <c r="DK66" s="732"/>
      <c r="DL66" s="732"/>
      <c r="DM66" s="732"/>
      <c r="DN66" s="732"/>
      <c r="DO66" s="732"/>
      <c r="DP66" s="732"/>
      <c r="DQ66" s="732"/>
      <c r="DR66" s="732"/>
      <c r="DS66" s="732"/>
      <c r="DT66" s="732"/>
      <c r="DU66" s="732"/>
      <c r="DV66" s="732"/>
      <c r="DW66" s="732"/>
      <c r="DX66" s="732"/>
      <c r="DY66" s="732"/>
      <c r="DZ66" s="732"/>
      <c r="EA66" s="732"/>
      <c r="EB66" s="732"/>
      <c r="EC66" s="732"/>
      <c r="ED66" s="732"/>
      <c r="EE66" s="732"/>
      <c r="EF66" s="732"/>
      <c r="EG66" s="732"/>
      <c r="EH66" s="732"/>
      <c r="EI66" s="732"/>
      <c r="EJ66" s="732"/>
      <c r="EK66" s="732"/>
      <c r="EL66" s="732"/>
      <c r="EM66" s="732"/>
      <c r="EN66" s="732"/>
      <c r="EO66" s="732"/>
      <c r="EP66" s="732"/>
      <c r="EQ66" s="732"/>
    </row>
    <row r="68" spans="1:147">
      <c r="C68" s="188"/>
      <c r="D68" s="188"/>
      <c r="E68" s="188"/>
    </row>
    <row r="69" spans="1:147" s="547" customFormat="1">
      <c r="C69" s="190" t="e">
        <f>#REF!</f>
        <v>#REF!</v>
      </c>
      <c r="D69" s="1177"/>
      <c r="E69" s="1177"/>
      <c r="F69" s="188"/>
      <c r="G69" s="658"/>
      <c r="H69" s="658"/>
      <c r="I69" s="658"/>
    </row>
    <row r="70" spans="1:147" s="547" customFormat="1">
      <c r="C70" s="188" t="e">
        <f>#REF!</f>
        <v>#REF!</v>
      </c>
      <c r="D70" s="1163" t="e">
        <f>#REF!</f>
        <v>#REF!</v>
      </c>
      <c r="E70" s="1163"/>
      <c r="F70" s="1186"/>
      <c r="G70" s="1186"/>
      <c r="H70" s="1186"/>
      <c r="I70" s="1186"/>
    </row>
    <row r="72" spans="1:147" s="548" customFormat="1">
      <c r="A72" s="951"/>
      <c r="B72" s="952"/>
      <c r="C72" s="952"/>
      <c r="D72" s="953"/>
      <c r="E72" s="954"/>
      <c r="F72" s="954"/>
      <c r="G72" s="626"/>
      <c r="H72" s="955"/>
      <c r="I72" s="626"/>
      <c r="J72" s="955"/>
      <c r="K72" s="626"/>
      <c r="L72" s="955"/>
      <c r="M72" s="955"/>
    </row>
    <row r="73" spans="1:147" s="548" customFormat="1">
      <c r="A73" s="951"/>
      <c r="B73" s="952"/>
      <c r="C73" s="952"/>
      <c r="D73" s="953"/>
      <c r="E73" s="954"/>
      <c r="F73" s="954"/>
      <c r="G73" s="626"/>
      <c r="H73" s="955"/>
      <c r="I73" s="626"/>
      <c r="J73" s="955"/>
      <c r="K73" s="626"/>
      <c r="L73" s="955"/>
      <c r="M73" s="955"/>
    </row>
  </sheetData>
  <sheetProtection password="CA9C" sheet="1" objects="1" scenarios="1"/>
  <protectedRanges>
    <protectedRange sqref="D60:J66" name="Range2"/>
    <protectedRange sqref="G9:M66" name="Range1"/>
  </protectedRanges>
  <mergeCells count="16">
    <mergeCell ref="D69:E69"/>
    <mergeCell ref="D70:E70"/>
    <mergeCell ref="F70:I70"/>
    <mergeCell ref="A1:M1"/>
    <mergeCell ref="A2:C2"/>
    <mergeCell ref="A3:M3"/>
    <mergeCell ref="A4:M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4" orientation="landscape" r:id="rId1"/>
  <rowBreaks count="1" manualBreakCount="1">
    <brk id="4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"/>
  <sheetViews>
    <sheetView view="pageBreakPreview" zoomScaleNormal="100" zoomScaleSheetLayoutView="100" workbookViewId="0">
      <selection activeCell="C23" sqref="C23:D25"/>
    </sheetView>
  </sheetViews>
  <sheetFormatPr defaultRowHeight="15"/>
  <cols>
    <col min="1" max="1" width="6.7109375" style="237" customWidth="1"/>
    <col min="2" max="2" width="9.85546875" style="287" customWidth="1"/>
    <col min="3" max="3" width="71.28515625" style="237" customWidth="1"/>
    <col min="4" max="13" width="10.7109375" style="237" customWidth="1"/>
    <col min="14" max="16384" width="9.140625" style="237"/>
  </cols>
  <sheetData>
    <row r="1" spans="1:13" ht="18">
      <c r="A1" s="1073" t="e">
        <f>#REF!</f>
        <v>#REF!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</row>
    <row r="2" spans="1:13" ht="18">
      <c r="A2" s="1074" t="s">
        <v>7</v>
      </c>
      <c r="B2" s="1074"/>
      <c r="C2" s="1074"/>
      <c r="D2" s="1074"/>
      <c r="E2" s="208" t="str">
        <f>'B-1.1'!B10</f>
        <v>B-1.1.1</v>
      </c>
      <c r="F2" s="208"/>
      <c r="G2" s="208"/>
      <c r="H2" s="208"/>
      <c r="I2" s="208"/>
      <c r="J2" s="208"/>
      <c r="K2" s="208"/>
      <c r="L2" s="208"/>
      <c r="M2" s="208"/>
    </row>
    <row r="3" spans="1:13">
      <c r="A3" s="1075" t="str">
        <f>'B-1.1'!C10</f>
        <v>წყალმიმღები #1 სათავე კვანძის მიწის სამუშაოები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</row>
    <row r="4" spans="1:13">
      <c r="A4" s="1076"/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</row>
    <row r="5" spans="1:13">
      <c r="A5" s="238"/>
      <c r="B5" s="1077" t="e">
        <f>#REF!</f>
        <v>#REF!</v>
      </c>
      <c r="C5" s="1077"/>
      <c r="D5" s="1077"/>
      <c r="E5" s="1077"/>
      <c r="F5" s="1077"/>
      <c r="G5" s="1077"/>
      <c r="H5" s="238"/>
      <c r="I5" s="238"/>
      <c r="J5" s="238"/>
      <c r="K5" s="238"/>
      <c r="L5" s="238"/>
      <c r="M5" s="238"/>
    </row>
    <row r="6" spans="1:13">
      <c r="A6" s="239"/>
      <c r="B6" s="240"/>
      <c r="C6" s="1072"/>
      <c r="D6" s="1072"/>
      <c r="E6" s="1072"/>
      <c r="F6" s="1072"/>
      <c r="G6" s="1072"/>
      <c r="H6" s="1072"/>
      <c r="I6" s="1072"/>
      <c r="J6" s="1072"/>
      <c r="K6" s="1072"/>
      <c r="L6" s="241"/>
      <c r="M6" s="241"/>
    </row>
    <row r="7" spans="1:13">
      <c r="A7" s="1079" t="s">
        <v>19</v>
      </c>
      <c r="B7" s="1081" t="s">
        <v>20</v>
      </c>
      <c r="C7" s="1079" t="s">
        <v>21</v>
      </c>
      <c r="D7" s="1079" t="s">
        <v>22</v>
      </c>
      <c r="E7" s="1079" t="s">
        <v>23</v>
      </c>
      <c r="F7" s="1079" t="s">
        <v>24</v>
      </c>
      <c r="G7" s="1078" t="s">
        <v>25</v>
      </c>
      <c r="H7" s="1078"/>
      <c r="I7" s="1078" t="s">
        <v>26</v>
      </c>
      <c r="J7" s="1078"/>
      <c r="K7" s="1079" t="s">
        <v>27</v>
      </c>
      <c r="L7" s="1080"/>
      <c r="M7" s="242" t="s">
        <v>5</v>
      </c>
    </row>
    <row r="8" spans="1:13">
      <c r="A8" s="1079"/>
      <c r="B8" s="1081"/>
      <c r="C8" s="1079"/>
      <c r="D8" s="1079"/>
      <c r="E8" s="1079"/>
      <c r="F8" s="1079"/>
      <c r="G8" s="243" t="s">
        <v>28</v>
      </c>
      <c r="H8" s="244" t="s">
        <v>9</v>
      </c>
      <c r="I8" s="243" t="s">
        <v>28</v>
      </c>
      <c r="J8" s="244" t="s">
        <v>9</v>
      </c>
      <c r="K8" s="243" t="s">
        <v>28</v>
      </c>
      <c r="L8" s="245" t="s">
        <v>9</v>
      </c>
      <c r="M8" s="246" t="s">
        <v>29</v>
      </c>
    </row>
    <row r="9" spans="1:13">
      <c r="A9" s="247">
        <v>1</v>
      </c>
      <c r="B9" s="248">
        <v>2</v>
      </c>
      <c r="C9" s="247">
        <v>3</v>
      </c>
      <c r="D9" s="247">
        <v>4</v>
      </c>
      <c r="E9" s="247">
        <v>5</v>
      </c>
      <c r="F9" s="247">
        <v>6</v>
      </c>
      <c r="G9" s="247">
        <v>7</v>
      </c>
      <c r="H9" s="247">
        <v>8</v>
      </c>
      <c r="I9" s="247">
        <v>9</v>
      </c>
      <c r="J9" s="247">
        <v>10</v>
      </c>
      <c r="K9" s="247">
        <v>11</v>
      </c>
      <c r="L9" s="247">
        <v>12</v>
      </c>
      <c r="M9" s="247">
        <v>13</v>
      </c>
    </row>
    <row r="10" spans="1:13">
      <c r="A10" s="249" t="s">
        <v>67</v>
      </c>
      <c r="B10" s="69" t="s">
        <v>541</v>
      </c>
      <c r="C10" s="250" t="s">
        <v>588</v>
      </c>
      <c r="D10" s="251" t="s">
        <v>44</v>
      </c>
      <c r="E10" s="252"/>
      <c r="F10" s="253">
        <v>3.5</v>
      </c>
      <c r="G10" s="251"/>
      <c r="H10" s="8"/>
      <c r="I10" s="251"/>
      <c r="J10" s="9"/>
      <c r="K10" s="251"/>
      <c r="L10" s="8"/>
      <c r="M10" s="253"/>
    </row>
    <row r="11" spans="1:13">
      <c r="A11" s="249"/>
      <c r="B11" s="69"/>
      <c r="C11" s="254" t="s">
        <v>36</v>
      </c>
      <c r="D11" s="251" t="s">
        <v>63</v>
      </c>
      <c r="E11" s="255">
        <f>797/100</f>
        <v>7.97</v>
      </c>
      <c r="F11" s="256">
        <f>E11*F10</f>
        <v>27.895</v>
      </c>
      <c r="G11" s="251"/>
      <c r="H11" s="8"/>
      <c r="I11" s="251"/>
      <c r="J11" s="9"/>
      <c r="K11" s="251"/>
      <c r="L11" s="8"/>
      <c r="M11" s="256"/>
    </row>
    <row r="12" spans="1:13" ht="22.5">
      <c r="A12" s="257" t="s">
        <v>68</v>
      </c>
      <c r="B12" s="258" t="s">
        <v>589</v>
      </c>
      <c r="C12" s="259" t="s">
        <v>542</v>
      </c>
      <c r="D12" s="260" t="s">
        <v>103</v>
      </c>
      <c r="E12" s="260"/>
      <c r="F12" s="261">
        <f>(F10*1.9)</f>
        <v>6.6499999999999995</v>
      </c>
      <c r="G12" s="260"/>
      <c r="H12" s="261"/>
      <c r="I12" s="262"/>
      <c r="J12" s="261"/>
      <c r="K12" s="260"/>
      <c r="L12" s="261"/>
      <c r="M12" s="261"/>
    </row>
    <row r="13" spans="1:13">
      <c r="A13" s="257"/>
      <c r="B13" s="263"/>
      <c r="C13" s="264" t="s">
        <v>543</v>
      </c>
      <c r="D13" s="265" t="s">
        <v>13</v>
      </c>
      <c r="E13" s="265">
        <f>1.1+0.36</f>
        <v>1.46</v>
      </c>
      <c r="F13" s="266">
        <f>F12*E13</f>
        <v>9.7089999999999996</v>
      </c>
      <c r="G13" s="265"/>
      <c r="H13" s="266"/>
      <c r="I13" s="267"/>
      <c r="J13" s="266"/>
      <c r="K13" s="265"/>
      <c r="L13" s="266"/>
      <c r="M13" s="266"/>
    </row>
    <row r="14" spans="1:13">
      <c r="A14" s="268"/>
      <c r="B14" s="15"/>
      <c r="C14" s="269" t="s">
        <v>9</v>
      </c>
      <c r="D14" s="270"/>
      <c r="E14" s="271"/>
      <c r="F14" s="272"/>
      <c r="G14" s="272"/>
      <c r="H14" s="273"/>
      <c r="I14" s="273"/>
      <c r="J14" s="273"/>
      <c r="K14" s="273"/>
      <c r="L14" s="273"/>
      <c r="M14" s="273"/>
    </row>
    <row r="15" spans="1:13">
      <c r="A15" s="268"/>
      <c r="B15" s="15"/>
      <c r="C15" s="274" t="s">
        <v>577</v>
      </c>
      <c r="D15" s="275" t="s">
        <v>851</v>
      </c>
      <c r="E15" s="271"/>
      <c r="F15" s="272"/>
      <c r="G15" s="272"/>
      <c r="H15" s="273"/>
      <c r="I15" s="273"/>
      <c r="J15" s="273"/>
      <c r="K15" s="273"/>
      <c r="L15" s="273"/>
      <c r="M15" s="273"/>
    </row>
    <row r="16" spans="1:13">
      <c r="A16" s="276"/>
      <c r="B16" s="236"/>
      <c r="C16" s="277" t="s">
        <v>9</v>
      </c>
      <c r="D16" s="278"/>
      <c r="E16" s="247"/>
      <c r="F16" s="279"/>
      <c r="G16" s="279"/>
      <c r="H16" s="280"/>
      <c r="I16" s="281"/>
      <c r="J16" s="280"/>
      <c r="K16" s="281"/>
      <c r="L16" s="280"/>
      <c r="M16" s="280"/>
    </row>
    <row r="17" spans="1:13">
      <c r="A17" s="276"/>
      <c r="B17" s="236"/>
      <c r="C17" s="282" t="s">
        <v>50</v>
      </c>
      <c r="D17" s="283" t="s">
        <v>851</v>
      </c>
      <c r="E17" s="284"/>
      <c r="F17" s="276"/>
      <c r="G17" s="276"/>
      <c r="H17" s="285"/>
      <c r="I17" s="285"/>
      <c r="J17" s="285"/>
      <c r="K17" s="285"/>
      <c r="L17" s="285"/>
      <c r="M17" s="286"/>
    </row>
    <row r="18" spans="1:13">
      <c r="A18" s="276"/>
      <c r="B18" s="236"/>
      <c r="C18" s="277" t="s">
        <v>9</v>
      </c>
      <c r="D18" s="278"/>
      <c r="E18" s="247"/>
      <c r="F18" s="279"/>
      <c r="G18" s="279"/>
      <c r="H18" s="281"/>
      <c r="I18" s="281"/>
      <c r="J18" s="281"/>
      <c r="K18" s="281"/>
      <c r="L18" s="281"/>
      <c r="M18" s="280"/>
    </row>
    <row r="19" spans="1:13">
      <c r="A19" s="276"/>
      <c r="B19" s="236"/>
      <c r="C19" s="282" t="s">
        <v>51</v>
      </c>
      <c r="D19" s="275" t="s">
        <v>851</v>
      </c>
      <c r="E19" s="284"/>
      <c r="F19" s="276"/>
      <c r="G19" s="276"/>
      <c r="H19" s="285"/>
      <c r="I19" s="285"/>
      <c r="J19" s="285"/>
      <c r="K19" s="285"/>
      <c r="L19" s="285"/>
      <c r="M19" s="286"/>
    </row>
    <row r="20" spans="1:13">
      <c r="A20" s="276"/>
      <c r="B20" s="236"/>
      <c r="C20" s="277" t="s">
        <v>9</v>
      </c>
      <c r="D20" s="279"/>
      <c r="E20" s="247"/>
      <c r="F20" s="279"/>
      <c r="G20" s="279"/>
      <c r="H20" s="281"/>
      <c r="I20" s="281"/>
      <c r="J20" s="281"/>
      <c r="K20" s="281"/>
      <c r="L20" s="281"/>
      <c r="M20" s="280"/>
    </row>
  </sheetData>
  <sheetProtection password="CA9C" sheet="1" objects="1" scenarios="1"/>
  <protectedRanges>
    <protectedRange sqref="D14:F20" name="Range2"/>
    <protectedRange sqref="G10:M20" name="Range1"/>
  </protectedRanges>
  <mergeCells count="15">
    <mergeCell ref="G7:H7"/>
    <mergeCell ref="I7:J7"/>
    <mergeCell ref="K7:L7"/>
    <mergeCell ref="A7:A8"/>
    <mergeCell ref="B7:B8"/>
    <mergeCell ref="C7:C8"/>
    <mergeCell ref="D7:D8"/>
    <mergeCell ref="E7:E8"/>
    <mergeCell ref="F7:F8"/>
    <mergeCell ref="C6:K6"/>
    <mergeCell ref="A1:M1"/>
    <mergeCell ref="A2:D2"/>
    <mergeCell ref="A3:M3"/>
    <mergeCell ref="A4:M4"/>
    <mergeCell ref="B5:G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2"/>
  <sheetViews>
    <sheetView view="pageBreakPreview" topLeftCell="A28" zoomScaleNormal="100" zoomScaleSheetLayoutView="100" workbookViewId="0">
      <selection activeCell="D57" sqref="D57:G62"/>
    </sheetView>
  </sheetViews>
  <sheetFormatPr defaultRowHeight="15"/>
  <cols>
    <col min="1" max="1" width="6.7109375" style="420" customWidth="1"/>
    <col min="2" max="2" width="12" style="460" customWidth="1"/>
    <col min="3" max="3" width="71.28515625" style="420" customWidth="1"/>
    <col min="4" max="13" width="10.7109375" style="420" customWidth="1"/>
    <col min="14" max="16384" width="9.140625" style="420"/>
  </cols>
  <sheetData>
    <row r="1" spans="1:13" ht="18">
      <c r="A1" s="1083" t="e">
        <f>#REF!</f>
        <v>#REF!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</row>
    <row r="2" spans="1:13" ht="18">
      <c r="A2" s="1084" t="s">
        <v>7</v>
      </c>
      <c r="B2" s="1084"/>
      <c r="C2" s="1084"/>
      <c r="D2" s="1084"/>
      <c r="E2" s="421" t="str">
        <f>'B-1.1'!B11</f>
        <v>B-1.1.2</v>
      </c>
      <c r="F2" s="421"/>
      <c r="G2" s="421"/>
      <c r="H2" s="421"/>
      <c r="I2" s="421"/>
      <c r="J2" s="421"/>
      <c r="K2" s="421"/>
      <c r="L2" s="421"/>
      <c r="M2" s="421"/>
    </row>
    <row r="3" spans="1:13">
      <c r="A3" s="1085" t="str">
        <f>'B-1.1'!C11</f>
        <v>წყალმიმღები #1 სათავე კვანძის სამშენებლო სამუშაოები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</row>
    <row r="4" spans="1:13">
      <c r="A4" s="1086"/>
      <c r="B4" s="1086"/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</row>
    <row r="5" spans="1:13">
      <c r="A5" s="422"/>
      <c r="B5" s="1087" t="e">
        <f>#REF!</f>
        <v>#REF!</v>
      </c>
      <c r="C5" s="1087"/>
      <c r="D5" s="1087"/>
      <c r="E5" s="1087"/>
      <c r="F5" s="1087"/>
      <c r="G5" s="1087"/>
      <c r="H5" s="422"/>
      <c r="I5" s="422"/>
      <c r="J5" s="422"/>
      <c r="K5" s="422"/>
      <c r="L5" s="422"/>
      <c r="M5" s="422"/>
    </row>
    <row r="6" spans="1:13">
      <c r="A6" s="423"/>
      <c r="B6" s="424"/>
      <c r="C6" s="1082"/>
      <c r="D6" s="1082"/>
      <c r="E6" s="1082"/>
      <c r="F6" s="1082"/>
      <c r="G6" s="1082"/>
      <c r="H6" s="1082"/>
      <c r="I6" s="1082"/>
      <c r="J6" s="1082"/>
      <c r="K6" s="1082"/>
      <c r="L6" s="425"/>
      <c r="M6" s="425"/>
    </row>
    <row r="7" spans="1:13">
      <c r="A7" s="1089" t="s">
        <v>19</v>
      </c>
      <c r="B7" s="1091" t="s">
        <v>20</v>
      </c>
      <c r="C7" s="1089" t="s">
        <v>21</v>
      </c>
      <c r="D7" s="1089" t="s">
        <v>22</v>
      </c>
      <c r="E7" s="1089" t="s">
        <v>23</v>
      </c>
      <c r="F7" s="1089" t="s">
        <v>24</v>
      </c>
      <c r="G7" s="1088" t="s">
        <v>25</v>
      </c>
      <c r="H7" s="1088"/>
      <c r="I7" s="1088" t="s">
        <v>26</v>
      </c>
      <c r="J7" s="1088"/>
      <c r="K7" s="1089" t="s">
        <v>27</v>
      </c>
      <c r="L7" s="1090"/>
      <c r="M7" s="426" t="s">
        <v>5</v>
      </c>
    </row>
    <row r="8" spans="1:13">
      <c r="A8" s="1089"/>
      <c r="B8" s="1091"/>
      <c r="C8" s="1089"/>
      <c r="D8" s="1089"/>
      <c r="E8" s="1089"/>
      <c r="F8" s="1089"/>
      <c r="G8" s="427" t="s">
        <v>28</v>
      </c>
      <c r="H8" s="428" t="s">
        <v>9</v>
      </c>
      <c r="I8" s="427" t="s">
        <v>28</v>
      </c>
      <c r="J8" s="428" t="s">
        <v>9</v>
      </c>
      <c r="K8" s="427" t="s">
        <v>28</v>
      </c>
      <c r="L8" s="429" t="s">
        <v>9</v>
      </c>
      <c r="M8" s="430" t="s">
        <v>29</v>
      </c>
    </row>
    <row r="9" spans="1:13">
      <c r="A9" s="431">
        <v>1</v>
      </c>
      <c r="B9" s="432">
        <v>2</v>
      </c>
      <c r="C9" s="431">
        <v>3</v>
      </c>
      <c r="D9" s="431">
        <v>4</v>
      </c>
      <c r="E9" s="431">
        <v>5</v>
      </c>
      <c r="F9" s="431">
        <v>6</v>
      </c>
      <c r="G9" s="431">
        <v>7</v>
      </c>
      <c r="H9" s="431">
        <v>8</v>
      </c>
      <c r="I9" s="431">
        <v>9</v>
      </c>
      <c r="J9" s="431">
        <v>10</v>
      </c>
      <c r="K9" s="431">
        <v>11</v>
      </c>
      <c r="L9" s="431">
        <v>12</v>
      </c>
      <c r="M9" s="431">
        <v>13</v>
      </c>
    </row>
    <row r="10" spans="1:13">
      <c r="A10" s="433" t="s">
        <v>67</v>
      </c>
      <c r="B10" s="381" t="s">
        <v>166</v>
      </c>
      <c r="C10" s="259" t="s">
        <v>544</v>
      </c>
      <c r="D10" s="260" t="s">
        <v>15</v>
      </c>
      <c r="E10" s="260"/>
      <c r="F10" s="261">
        <v>3.5</v>
      </c>
      <c r="G10" s="260"/>
      <c r="H10" s="261"/>
      <c r="I10" s="262"/>
      <c r="J10" s="261"/>
      <c r="K10" s="260"/>
      <c r="L10" s="261"/>
      <c r="M10" s="261"/>
    </row>
    <row r="11" spans="1:13">
      <c r="A11" s="433"/>
      <c r="B11" s="382"/>
      <c r="C11" s="383" t="s">
        <v>409</v>
      </c>
      <c r="D11" s="382" t="s">
        <v>13</v>
      </c>
      <c r="E11" s="382">
        <v>8.01</v>
      </c>
      <c r="F11" s="382">
        <f>E11*F10</f>
        <v>28.035</v>
      </c>
      <c r="G11" s="382"/>
      <c r="H11" s="382"/>
      <c r="I11" s="384"/>
      <c r="J11" s="385"/>
      <c r="K11" s="382"/>
      <c r="L11" s="382"/>
      <c r="M11" s="385"/>
    </row>
    <row r="12" spans="1:13">
      <c r="A12" s="433"/>
      <c r="B12" s="382"/>
      <c r="C12" s="383" t="s">
        <v>87</v>
      </c>
      <c r="D12" s="382" t="s">
        <v>16</v>
      </c>
      <c r="E12" s="382">
        <v>1.23</v>
      </c>
      <c r="F12" s="382">
        <f>E12*F10</f>
        <v>4.3049999999999997</v>
      </c>
      <c r="G12" s="382"/>
      <c r="H12" s="382"/>
      <c r="I12" s="382"/>
      <c r="J12" s="382"/>
      <c r="K12" s="382"/>
      <c r="L12" s="382"/>
      <c r="M12" s="385"/>
    </row>
    <row r="13" spans="1:13" ht="15.75">
      <c r="A13" s="433"/>
      <c r="B13" s="382" t="s">
        <v>652</v>
      </c>
      <c r="C13" s="383" t="s">
        <v>410</v>
      </c>
      <c r="D13" s="382" t="s">
        <v>535</v>
      </c>
      <c r="E13" s="382">
        <v>1.0149999999999999</v>
      </c>
      <c r="F13" s="382">
        <f>E13*F10</f>
        <v>3.5524999999999998</v>
      </c>
      <c r="G13" s="382"/>
      <c r="H13" s="386"/>
      <c r="I13" s="382"/>
      <c r="J13" s="382"/>
      <c r="K13" s="382"/>
      <c r="L13" s="382"/>
      <c r="M13" s="385"/>
    </row>
    <row r="14" spans="1:13">
      <c r="A14" s="433"/>
      <c r="B14" s="387" t="s">
        <v>465</v>
      </c>
      <c r="C14" s="383" t="s">
        <v>536</v>
      </c>
      <c r="D14" s="382" t="s">
        <v>110</v>
      </c>
      <c r="E14" s="382" t="s">
        <v>236</v>
      </c>
      <c r="F14" s="382">
        <v>25</v>
      </c>
      <c r="G14" s="388"/>
      <c r="H14" s="386"/>
      <c r="I14" s="382"/>
      <c r="J14" s="382"/>
      <c r="K14" s="382"/>
      <c r="L14" s="382"/>
      <c r="M14" s="385"/>
    </row>
    <row r="15" spans="1:13">
      <c r="A15" s="433"/>
      <c r="B15" s="387" t="s">
        <v>653</v>
      </c>
      <c r="C15" s="383" t="s">
        <v>537</v>
      </c>
      <c r="D15" s="382" t="s">
        <v>110</v>
      </c>
      <c r="E15" s="382" t="s">
        <v>236</v>
      </c>
      <c r="F15" s="382">
        <v>509</v>
      </c>
      <c r="G15" s="389"/>
      <c r="H15" s="386"/>
      <c r="I15" s="382"/>
      <c r="J15" s="382"/>
      <c r="K15" s="382"/>
      <c r="L15" s="382"/>
      <c r="M15" s="385"/>
    </row>
    <row r="16" spans="1:13">
      <c r="A16" s="433"/>
      <c r="B16" s="382" t="s">
        <v>654</v>
      </c>
      <c r="C16" s="383" t="s">
        <v>411</v>
      </c>
      <c r="D16" s="382" t="s">
        <v>110</v>
      </c>
      <c r="E16" s="382"/>
      <c r="F16" s="382"/>
      <c r="G16" s="382"/>
      <c r="H16" s="386"/>
      <c r="I16" s="382"/>
      <c r="J16" s="382"/>
      <c r="K16" s="382"/>
      <c r="L16" s="382"/>
      <c r="M16" s="385"/>
    </row>
    <row r="17" spans="1:13" ht="15.75">
      <c r="A17" s="433"/>
      <c r="B17" s="390" t="s">
        <v>655</v>
      </c>
      <c r="C17" s="391" t="s">
        <v>412</v>
      </c>
      <c r="D17" s="382" t="s">
        <v>538</v>
      </c>
      <c r="E17" s="382">
        <v>1.28</v>
      </c>
      <c r="F17" s="382">
        <f>E17*F10</f>
        <v>4.4800000000000004</v>
      </c>
      <c r="G17" s="392"/>
      <c r="H17" s="386"/>
      <c r="I17" s="382"/>
      <c r="J17" s="382"/>
      <c r="K17" s="382"/>
      <c r="L17" s="382"/>
      <c r="M17" s="385"/>
    </row>
    <row r="18" spans="1:13" ht="15.75">
      <c r="A18" s="433"/>
      <c r="B18" s="393" t="s">
        <v>656</v>
      </c>
      <c r="C18" s="264" t="s">
        <v>413</v>
      </c>
      <c r="D18" s="382" t="s">
        <v>535</v>
      </c>
      <c r="E18" s="382">
        <f>0.63/100</f>
        <v>6.3E-3</v>
      </c>
      <c r="F18" s="382">
        <f>E18*F10</f>
        <v>2.205E-2</v>
      </c>
      <c r="G18" s="394"/>
      <c r="H18" s="386"/>
      <c r="I18" s="382"/>
      <c r="J18" s="382"/>
      <c r="K18" s="382"/>
      <c r="L18" s="382"/>
      <c r="M18" s="385"/>
    </row>
    <row r="19" spans="1:13" ht="15.75">
      <c r="A19" s="433"/>
      <c r="B19" s="393" t="s">
        <v>657</v>
      </c>
      <c r="C19" s="264" t="s">
        <v>414</v>
      </c>
      <c r="D19" s="382" t="s">
        <v>535</v>
      </c>
      <c r="E19" s="382">
        <f>3.09/100</f>
        <v>3.0899999999999997E-2</v>
      </c>
      <c r="F19" s="382">
        <f>E19*F10</f>
        <v>0.10815</v>
      </c>
      <c r="G19" s="394"/>
      <c r="H19" s="386"/>
      <c r="I19" s="382"/>
      <c r="J19" s="382"/>
      <c r="K19" s="382"/>
      <c r="L19" s="382"/>
      <c r="M19" s="385"/>
    </row>
    <row r="20" spans="1:13" ht="15.75">
      <c r="A20" s="433"/>
      <c r="B20" s="393" t="s">
        <v>658</v>
      </c>
      <c r="C20" s="264" t="s">
        <v>415</v>
      </c>
      <c r="D20" s="382" t="s">
        <v>535</v>
      </c>
      <c r="E20" s="382">
        <f>0.24/100</f>
        <v>2.3999999999999998E-3</v>
      </c>
      <c r="F20" s="382">
        <f>E20*F10</f>
        <v>8.3999999999999995E-3</v>
      </c>
      <c r="G20" s="394"/>
      <c r="H20" s="386"/>
      <c r="I20" s="382"/>
      <c r="J20" s="382"/>
      <c r="K20" s="382"/>
      <c r="L20" s="382"/>
      <c r="M20" s="385"/>
    </row>
    <row r="21" spans="1:13">
      <c r="A21" s="433"/>
      <c r="B21" s="382"/>
      <c r="C21" s="383" t="s">
        <v>416</v>
      </c>
      <c r="D21" s="382" t="s">
        <v>16</v>
      </c>
      <c r="E21" s="382">
        <v>2.09</v>
      </c>
      <c r="F21" s="382">
        <f>E21*F10</f>
        <v>7.3149999999999995</v>
      </c>
      <c r="G21" s="382"/>
      <c r="H21" s="386"/>
      <c r="I21" s="382"/>
      <c r="J21" s="382"/>
      <c r="K21" s="382"/>
      <c r="L21" s="382"/>
      <c r="M21" s="385"/>
    </row>
    <row r="22" spans="1:13" ht="27">
      <c r="A22" s="433" t="s">
        <v>68</v>
      </c>
      <c r="B22" s="395" t="s">
        <v>545</v>
      </c>
      <c r="C22" s="259" t="s">
        <v>546</v>
      </c>
      <c r="D22" s="260" t="s">
        <v>103</v>
      </c>
      <c r="E22" s="260"/>
      <c r="F22" s="396">
        <f>0.028+0.045</f>
        <v>7.2999999999999995E-2</v>
      </c>
      <c r="G22" s="260"/>
      <c r="H22" s="261"/>
      <c r="I22" s="262"/>
      <c r="J22" s="261"/>
      <c r="K22" s="260"/>
      <c r="L22" s="261"/>
      <c r="M22" s="261"/>
    </row>
    <row r="23" spans="1:13">
      <c r="A23" s="433"/>
      <c r="B23" s="363"/>
      <c r="C23" s="264" t="s">
        <v>238</v>
      </c>
      <c r="D23" s="265" t="s">
        <v>13</v>
      </c>
      <c r="E23" s="265">
        <v>53.8</v>
      </c>
      <c r="F23" s="266">
        <f>F22*E23</f>
        <v>3.9273999999999996</v>
      </c>
      <c r="G23" s="265"/>
      <c r="H23" s="266"/>
      <c r="I23" s="267"/>
      <c r="J23" s="266"/>
      <c r="K23" s="265"/>
      <c r="L23" s="266"/>
      <c r="M23" s="266"/>
    </row>
    <row r="24" spans="1:13">
      <c r="A24" s="433"/>
      <c r="B24" s="265" t="s">
        <v>659</v>
      </c>
      <c r="C24" s="264" t="s">
        <v>547</v>
      </c>
      <c r="D24" s="265" t="s">
        <v>435</v>
      </c>
      <c r="E24" s="265">
        <v>0.35</v>
      </c>
      <c r="F24" s="266">
        <f>E24*F22</f>
        <v>2.5549999999999996E-2</v>
      </c>
      <c r="G24" s="265"/>
      <c r="H24" s="266"/>
      <c r="I24" s="267"/>
      <c r="J24" s="266"/>
      <c r="K24" s="265"/>
      <c r="L24" s="266"/>
      <c r="M24" s="266"/>
    </row>
    <row r="25" spans="1:13">
      <c r="A25" s="433"/>
      <c r="B25" s="265"/>
      <c r="C25" s="264" t="s">
        <v>97</v>
      </c>
      <c r="D25" s="265" t="s">
        <v>16</v>
      </c>
      <c r="E25" s="265">
        <v>18.399999999999999</v>
      </c>
      <c r="F25" s="266">
        <f>E25*F22</f>
        <v>1.3431999999999997</v>
      </c>
      <c r="G25" s="265"/>
      <c r="H25" s="266"/>
      <c r="I25" s="267"/>
      <c r="J25" s="266"/>
      <c r="K25" s="265"/>
      <c r="L25" s="266"/>
      <c r="M25" s="266"/>
    </row>
    <row r="26" spans="1:13">
      <c r="A26" s="433"/>
      <c r="B26" s="397" t="s">
        <v>505</v>
      </c>
      <c r="C26" s="264" t="s">
        <v>548</v>
      </c>
      <c r="D26" s="263" t="s">
        <v>103</v>
      </c>
      <c r="E26" s="265"/>
      <c r="F26" s="265">
        <v>2.8000000000000001E-2</v>
      </c>
      <c r="G26" s="389"/>
      <c r="H26" s="266"/>
      <c r="I26" s="267"/>
      <c r="J26" s="266"/>
      <c r="K26" s="265"/>
      <c r="L26" s="266"/>
      <c r="M26" s="266"/>
    </row>
    <row r="27" spans="1:13">
      <c r="A27" s="433"/>
      <c r="B27" s="397" t="s">
        <v>522</v>
      </c>
      <c r="C27" s="264" t="s">
        <v>549</v>
      </c>
      <c r="D27" s="263" t="s">
        <v>103</v>
      </c>
      <c r="E27" s="265"/>
      <c r="F27" s="398">
        <f>(0.85*0.85*2*31.4)/1000</f>
        <v>4.537299999999999E-2</v>
      </c>
      <c r="G27" s="399"/>
      <c r="H27" s="266"/>
      <c r="I27" s="267"/>
      <c r="J27" s="266"/>
      <c r="K27" s="265"/>
      <c r="L27" s="266"/>
      <c r="M27" s="266"/>
    </row>
    <row r="28" spans="1:13">
      <c r="A28" s="433"/>
      <c r="B28" s="265" t="s">
        <v>660</v>
      </c>
      <c r="C28" s="264" t="s">
        <v>550</v>
      </c>
      <c r="D28" s="263" t="s">
        <v>98</v>
      </c>
      <c r="E28" s="265"/>
      <c r="F28" s="265">
        <v>4</v>
      </c>
      <c r="G28" s="400"/>
      <c r="H28" s="266"/>
      <c r="I28" s="267"/>
      <c r="J28" s="266"/>
      <c r="K28" s="265"/>
      <c r="L28" s="266"/>
      <c r="M28" s="266"/>
    </row>
    <row r="29" spans="1:13">
      <c r="A29" s="433"/>
      <c r="B29" s="387" t="s">
        <v>465</v>
      </c>
      <c r="C29" s="264" t="s">
        <v>551</v>
      </c>
      <c r="D29" s="263" t="s">
        <v>103</v>
      </c>
      <c r="E29" s="265"/>
      <c r="F29" s="265">
        <v>4.0000000000000001E-3</v>
      </c>
      <c r="G29" s="388"/>
      <c r="H29" s="266"/>
      <c r="I29" s="267"/>
      <c r="J29" s="266"/>
      <c r="K29" s="265"/>
      <c r="L29" s="266"/>
      <c r="M29" s="266"/>
    </row>
    <row r="30" spans="1:13">
      <c r="A30" s="433"/>
      <c r="B30" s="265" t="s">
        <v>661</v>
      </c>
      <c r="C30" s="264" t="s">
        <v>177</v>
      </c>
      <c r="D30" s="265" t="s">
        <v>110</v>
      </c>
      <c r="E30" s="265">
        <v>24.4</v>
      </c>
      <c r="F30" s="266">
        <f>E30*F22</f>
        <v>1.7811999999999999</v>
      </c>
      <c r="G30" s="265"/>
      <c r="H30" s="266"/>
      <c r="I30" s="267"/>
      <c r="J30" s="266"/>
      <c r="K30" s="265"/>
      <c r="L30" s="266"/>
      <c r="M30" s="266"/>
    </row>
    <row r="31" spans="1:13">
      <c r="A31" s="433"/>
      <c r="B31" s="363"/>
      <c r="C31" s="264" t="s">
        <v>104</v>
      </c>
      <c r="D31" s="265" t="s">
        <v>16</v>
      </c>
      <c r="E31" s="265">
        <v>2.78</v>
      </c>
      <c r="F31" s="266">
        <f>E31*F22</f>
        <v>0.20293999999999998</v>
      </c>
      <c r="G31" s="265"/>
      <c r="H31" s="266"/>
      <c r="I31" s="267"/>
      <c r="J31" s="266"/>
      <c r="K31" s="265"/>
      <c r="L31" s="266"/>
      <c r="M31" s="266"/>
    </row>
    <row r="32" spans="1:13">
      <c r="A32" s="433" t="s">
        <v>69</v>
      </c>
      <c r="B32" s="381" t="s">
        <v>552</v>
      </c>
      <c r="C32" s="259" t="s">
        <v>553</v>
      </c>
      <c r="D32" s="260" t="s">
        <v>15</v>
      </c>
      <c r="E32" s="260"/>
      <c r="F32" s="260">
        <f>F35+F36+F37</f>
        <v>3.6</v>
      </c>
      <c r="G32" s="262"/>
      <c r="H32" s="401"/>
      <c r="I32" s="262"/>
      <c r="J32" s="401"/>
      <c r="K32" s="262"/>
      <c r="L32" s="401"/>
      <c r="M32" s="402"/>
    </row>
    <row r="33" spans="1:13">
      <c r="A33" s="433"/>
      <c r="B33" s="363"/>
      <c r="C33" s="403" t="s">
        <v>265</v>
      </c>
      <c r="D33" s="265" t="s">
        <v>13</v>
      </c>
      <c r="E33" s="265">
        <v>1.71</v>
      </c>
      <c r="F33" s="266">
        <f>F32*E33</f>
        <v>6.1559999999999997</v>
      </c>
      <c r="G33" s="265"/>
      <c r="H33" s="266"/>
      <c r="I33" s="265"/>
      <c r="J33" s="266"/>
      <c r="K33" s="265"/>
      <c r="L33" s="266"/>
      <c r="M33" s="404"/>
    </row>
    <row r="34" spans="1:13">
      <c r="A34" s="433"/>
      <c r="B34" s="363"/>
      <c r="C34" s="264" t="s">
        <v>97</v>
      </c>
      <c r="D34" s="265" t="s">
        <v>16</v>
      </c>
      <c r="E34" s="265">
        <v>0.52800000000000002</v>
      </c>
      <c r="F34" s="266">
        <f>F32*E34</f>
        <v>1.9008</v>
      </c>
      <c r="G34" s="265"/>
      <c r="H34" s="266"/>
      <c r="I34" s="265"/>
      <c r="J34" s="266"/>
      <c r="K34" s="265"/>
      <c r="L34" s="266"/>
      <c r="M34" s="404"/>
    </row>
    <row r="35" spans="1:13">
      <c r="A35" s="433"/>
      <c r="B35" s="314" t="s">
        <v>662</v>
      </c>
      <c r="C35" s="264" t="s">
        <v>554</v>
      </c>
      <c r="D35" s="265" t="s">
        <v>15</v>
      </c>
      <c r="E35" s="265"/>
      <c r="F35" s="265">
        <v>0.8</v>
      </c>
      <c r="G35" s="265"/>
      <c r="H35" s="266"/>
      <c r="I35" s="265"/>
      <c r="J35" s="266"/>
      <c r="K35" s="265"/>
      <c r="L35" s="266"/>
      <c r="M35" s="404"/>
    </row>
    <row r="36" spans="1:13">
      <c r="A36" s="433"/>
      <c r="B36" s="314" t="s">
        <v>662</v>
      </c>
      <c r="C36" s="264" t="s">
        <v>555</v>
      </c>
      <c r="D36" s="265" t="s">
        <v>15</v>
      </c>
      <c r="E36" s="265"/>
      <c r="F36" s="265">
        <v>1.2</v>
      </c>
      <c r="G36" s="265"/>
      <c r="H36" s="266"/>
      <c r="I36" s="405"/>
      <c r="J36" s="406"/>
      <c r="K36" s="405"/>
      <c r="L36" s="406"/>
      <c r="M36" s="404"/>
    </row>
    <row r="37" spans="1:13">
      <c r="A37" s="433"/>
      <c r="B37" s="314" t="s">
        <v>662</v>
      </c>
      <c r="C37" s="264" t="s">
        <v>556</v>
      </c>
      <c r="D37" s="265" t="s">
        <v>15</v>
      </c>
      <c r="E37" s="265"/>
      <c r="F37" s="265">
        <v>1.6</v>
      </c>
      <c r="G37" s="265"/>
      <c r="H37" s="266"/>
      <c r="I37" s="265"/>
      <c r="J37" s="266"/>
      <c r="K37" s="265"/>
      <c r="L37" s="266"/>
      <c r="M37" s="404"/>
    </row>
    <row r="38" spans="1:13">
      <c r="A38" s="433"/>
      <c r="B38" s="314" t="s">
        <v>662</v>
      </c>
      <c r="C38" s="264" t="s">
        <v>557</v>
      </c>
      <c r="D38" s="265" t="s">
        <v>15</v>
      </c>
      <c r="E38" s="265"/>
      <c r="F38" s="265">
        <v>1.9</v>
      </c>
      <c r="G38" s="265"/>
      <c r="H38" s="266"/>
      <c r="I38" s="405"/>
      <c r="J38" s="406"/>
      <c r="K38" s="405"/>
      <c r="L38" s="406"/>
      <c r="M38" s="404"/>
    </row>
    <row r="39" spans="1:13">
      <c r="A39" s="433"/>
      <c r="B39" s="314" t="s">
        <v>662</v>
      </c>
      <c r="C39" s="264" t="s">
        <v>558</v>
      </c>
      <c r="D39" s="265" t="s">
        <v>15</v>
      </c>
      <c r="E39" s="265"/>
      <c r="F39" s="265">
        <v>2.1</v>
      </c>
      <c r="G39" s="265"/>
      <c r="H39" s="266"/>
      <c r="I39" s="405"/>
      <c r="J39" s="406"/>
      <c r="K39" s="405"/>
      <c r="L39" s="406"/>
      <c r="M39" s="404"/>
    </row>
    <row r="40" spans="1:13">
      <c r="A40" s="433"/>
      <c r="B40" s="363"/>
      <c r="C40" s="407" t="s">
        <v>89</v>
      </c>
      <c r="D40" s="405" t="s">
        <v>16</v>
      </c>
      <c r="E40" s="405">
        <v>3.8399999999999997E-2</v>
      </c>
      <c r="F40" s="406">
        <f>F34*E40</f>
        <v>7.2990719999999995E-2</v>
      </c>
      <c r="G40" s="405"/>
      <c r="H40" s="406"/>
      <c r="I40" s="405"/>
      <c r="J40" s="406"/>
      <c r="K40" s="405"/>
      <c r="L40" s="406"/>
      <c r="M40" s="404"/>
    </row>
    <row r="41" spans="1:13" ht="31.5">
      <c r="A41" s="408">
        <v>4</v>
      </c>
      <c r="B41" s="408" t="s">
        <v>559</v>
      </c>
      <c r="C41" s="409" t="s">
        <v>560</v>
      </c>
      <c r="D41" s="408" t="s">
        <v>561</v>
      </c>
      <c r="E41" s="434"/>
      <c r="F41" s="435">
        <f>F32</f>
        <v>3.6</v>
      </c>
      <c r="G41" s="434"/>
      <c r="H41" s="434"/>
      <c r="I41" s="434"/>
      <c r="J41" s="434"/>
      <c r="K41" s="434"/>
      <c r="L41" s="434"/>
      <c r="M41" s="435"/>
    </row>
    <row r="42" spans="1:13" ht="15.75">
      <c r="A42" s="410"/>
      <c r="B42" s="410"/>
      <c r="C42" s="411" t="s">
        <v>238</v>
      </c>
      <c r="D42" s="410" t="s">
        <v>562</v>
      </c>
      <c r="E42" s="436">
        <v>3.339</v>
      </c>
      <c r="F42" s="437">
        <f>E42*F41</f>
        <v>12.0204</v>
      </c>
      <c r="G42" s="436"/>
      <c r="H42" s="436"/>
      <c r="I42" s="436"/>
      <c r="J42" s="437"/>
      <c r="K42" s="436"/>
      <c r="L42" s="436"/>
      <c r="M42" s="437"/>
    </row>
    <row r="43" spans="1:13" ht="33.75">
      <c r="A43" s="408">
        <v>5</v>
      </c>
      <c r="B43" s="408" t="s">
        <v>563</v>
      </c>
      <c r="C43" s="409" t="s">
        <v>564</v>
      </c>
      <c r="D43" s="408" t="s">
        <v>561</v>
      </c>
      <c r="E43" s="434"/>
      <c r="F43" s="438">
        <f>F41</f>
        <v>3.6</v>
      </c>
      <c r="G43" s="434"/>
      <c r="H43" s="434"/>
      <c r="I43" s="434"/>
      <c r="J43" s="434"/>
      <c r="K43" s="434"/>
      <c r="L43" s="434"/>
      <c r="M43" s="435"/>
    </row>
    <row r="44" spans="1:13" ht="15.75">
      <c r="A44" s="410"/>
      <c r="B44" s="410"/>
      <c r="C44" s="411" t="s">
        <v>238</v>
      </c>
      <c r="D44" s="410" t="s">
        <v>562</v>
      </c>
      <c r="E44" s="436">
        <f>16.8/1000</f>
        <v>1.6800000000000002E-2</v>
      </c>
      <c r="F44" s="437">
        <f>F43*E44</f>
        <v>6.0480000000000013E-2</v>
      </c>
      <c r="G44" s="436"/>
      <c r="H44" s="436"/>
      <c r="I44" s="436"/>
      <c r="J44" s="437"/>
      <c r="K44" s="436"/>
      <c r="L44" s="436"/>
      <c r="M44" s="437"/>
    </row>
    <row r="45" spans="1:13" ht="18">
      <c r="A45" s="410"/>
      <c r="B45" s="410" t="s">
        <v>663</v>
      </c>
      <c r="C45" s="411" t="s">
        <v>565</v>
      </c>
      <c r="D45" s="410" t="s">
        <v>566</v>
      </c>
      <c r="E45" s="436">
        <f>37.6/1000</f>
        <v>3.7600000000000001E-2</v>
      </c>
      <c r="F45" s="437">
        <f>F43*E45</f>
        <v>0.13536000000000001</v>
      </c>
      <c r="G45" s="436"/>
      <c r="H45" s="436"/>
      <c r="I45" s="436"/>
      <c r="J45" s="437"/>
      <c r="K45" s="437"/>
      <c r="L45" s="437"/>
      <c r="M45" s="437"/>
    </row>
    <row r="46" spans="1:13" ht="15.75">
      <c r="A46" s="410"/>
      <c r="B46" s="410"/>
      <c r="C46" s="411" t="s">
        <v>97</v>
      </c>
      <c r="D46" s="410"/>
      <c r="E46" s="436">
        <f>2.24/1000</f>
        <v>2.2400000000000002E-3</v>
      </c>
      <c r="F46" s="437">
        <f>F43*E46</f>
        <v>8.0640000000000017E-3</v>
      </c>
      <c r="G46" s="436"/>
      <c r="H46" s="436"/>
      <c r="I46" s="436"/>
      <c r="J46" s="437"/>
      <c r="K46" s="436"/>
      <c r="L46" s="437"/>
      <c r="M46" s="437"/>
    </row>
    <row r="47" spans="1:13" ht="18">
      <c r="A47" s="410"/>
      <c r="B47" s="412" t="s">
        <v>618</v>
      </c>
      <c r="C47" s="411" t="s">
        <v>95</v>
      </c>
      <c r="D47" s="410" t="s">
        <v>567</v>
      </c>
      <c r="E47" s="436">
        <f>0.06/1000</f>
        <v>5.9999999999999995E-5</v>
      </c>
      <c r="F47" s="437">
        <f>F43*E47</f>
        <v>2.1599999999999999E-4</v>
      </c>
      <c r="G47" s="413"/>
      <c r="H47" s="437"/>
      <c r="I47" s="436"/>
      <c r="J47" s="437"/>
      <c r="K47" s="436"/>
      <c r="L47" s="437"/>
      <c r="M47" s="437"/>
    </row>
    <row r="48" spans="1:13" ht="15.75">
      <c r="A48" s="408">
        <v>6</v>
      </c>
      <c r="B48" s="408" t="s">
        <v>568</v>
      </c>
      <c r="C48" s="409" t="s">
        <v>578</v>
      </c>
      <c r="D48" s="408" t="s">
        <v>103</v>
      </c>
      <c r="E48" s="434"/>
      <c r="F48" s="435">
        <f>F43</f>
        <v>3.6</v>
      </c>
      <c r="G48" s="434"/>
      <c r="H48" s="434"/>
      <c r="I48" s="434"/>
      <c r="J48" s="435"/>
      <c r="K48" s="434"/>
      <c r="L48" s="435"/>
      <c r="M48" s="435"/>
    </row>
    <row r="49" spans="1:13" ht="15.75">
      <c r="A49" s="433"/>
      <c r="B49" s="439" t="s">
        <v>664</v>
      </c>
      <c r="C49" s="411" t="s">
        <v>578</v>
      </c>
      <c r="D49" s="410" t="s">
        <v>103</v>
      </c>
      <c r="E49" s="436">
        <v>1</v>
      </c>
      <c r="F49" s="437">
        <f>F48*E49</f>
        <v>3.6</v>
      </c>
      <c r="G49" s="436"/>
      <c r="H49" s="436"/>
      <c r="I49" s="436"/>
      <c r="J49" s="437"/>
      <c r="K49" s="415"/>
      <c r="L49" s="437"/>
      <c r="M49" s="437"/>
    </row>
    <row r="50" spans="1:13">
      <c r="A50" s="416">
        <v>7</v>
      </c>
      <c r="B50" s="260" t="s">
        <v>569</v>
      </c>
      <c r="C50" s="259" t="s">
        <v>570</v>
      </c>
      <c r="D50" s="260" t="s">
        <v>15</v>
      </c>
      <c r="E50" s="260"/>
      <c r="F50" s="260">
        <v>4.2</v>
      </c>
      <c r="G50" s="260"/>
      <c r="H50" s="261"/>
      <c r="I50" s="262"/>
      <c r="J50" s="261"/>
      <c r="K50" s="260"/>
      <c r="L50" s="261"/>
      <c r="M50" s="261"/>
    </row>
    <row r="51" spans="1:13">
      <c r="A51" s="417"/>
      <c r="B51" s="265"/>
      <c r="C51" s="264" t="s">
        <v>238</v>
      </c>
      <c r="D51" s="265" t="s">
        <v>13</v>
      </c>
      <c r="E51" s="265">
        <f>6.5</f>
        <v>6.5</v>
      </c>
      <c r="F51" s="266">
        <f>F50*E51</f>
        <v>27.3</v>
      </c>
      <c r="G51" s="265"/>
      <c r="H51" s="266"/>
      <c r="I51" s="267"/>
      <c r="J51" s="266"/>
      <c r="K51" s="265"/>
      <c r="L51" s="266"/>
      <c r="M51" s="266"/>
    </row>
    <row r="52" spans="1:13">
      <c r="A52" s="417"/>
      <c r="B52" s="265"/>
      <c r="C52" s="418" t="s">
        <v>125</v>
      </c>
      <c r="D52" s="265"/>
      <c r="E52" s="265">
        <f>2.16</f>
        <v>2.16</v>
      </c>
      <c r="F52" s="266">
        <f>E52*F50</f>
        <v>9.072000000000001</v>
      </c>
      <c r="G52" s="265"/>
      <c r="H52" s="266"/>
      <c r="I52" s="267"/>
      <c r="J52" s="266"/>
      <c r="K52" s="265"/>
      <c r="L52" s="266"/>
      <c r="M52" s="266"/>
    </row>
    <row r="53" spans="1:13">
      <c r="A53" s="417"/>
      <c r="B53" s="419"/>
      <c r="C53" s="265" t="s">
        <v>88</v>
      </c>
      <c r="D53" s="265"/>
      <c r="E53" s="265"/>
      <c r="F53" s="266"/>
      <c r="G53" s="265"/>
      <c r="H53" s="266"/>
      <c r="I53" s="267"/>
      <c r="J53" s="266"/>
      <c r="K53" s="265"/>
      <c r="L53" s="266"/>
      <c r="M53" s="266"/>
    </row>
    <row r="54" spans="1:13">
      <c r="A54" s="417"/>
      <c r="B54" s="419" t="s">
        <v>665</v>
      </c>
      <c r="C54" s="264" t="s">
        <v>571</v>
      </c>
      <c r="D54" s="265" t="s">
        <v>15</v>
      </c>
      <c r="E54" s="265">
        <f>1.15</f>
        <v>1.1499999999999999</v>
      </c>
      <c r="F54" s="266">
        <f>F50*E54</f>
        <v>4.83</v>
      </c>
      <c r="G54" s="266"/>
      <c r="H54" s="266"/>
      <c r="I54" s="267"/>
      <c r="J54" s="266"/>
      <c r="K54" s="265"/>
      <c r="L54" s="266"/>
      <c r="M54" s="266"/>
    </row>
    <row r="55" spans="1:13">
      <c r="A55" s="417"/>
      <c r="B55" s="419"/>
      <c r="C55" s="407" t="s">
        <v>89</v>
      </c>
      <c r="D55" s="265" t="s">
        <v>16</v>
      </c>
      <c r="E55" s="265">
        <f>0.02</f>
        <v>0.02</v>
      </c>
      <c r="F55" s="266">
        <f>F51*E55</f>
        <v>0.54600000000000004</v>
      </c>
      <c r="G55" s="266"/>
      <c r="H55" s="266"/>
      <c r="I55" s="267"/>
      <c r="J55" s="266"/>
      <c r="K55" s="265"/>
      <c r="L55" s="266"/>
      <c r="M55" s="266"/>
    </row>
    <row r="56" spans="1:13">
      <c r="A56" s="440"/>
      <c r="B56" s="441"/>
      <c r="C56" s="442" t="s">
        <v>9</v>
      </c>
      <c r="D56" s="443"/>
      <c r="E56" s="444"/>
      <c r="F56" s="445"/>
      <c r="G56" s="445"/>
      <c r="H56" s="446"/>
      <c r="I56" s="446"/>
      <c r="J56" s="446"/>
      <c r="K56" s="446"/>
      <c r="L56" s="446"/>
      <c r="M56" s="446"/>
    </row>
    <row r="57" spans="1:13">
      <c r="A57" s="440"/>
      <c r="B57" s="441"/>
      <c r="C57" s="447" t="s">
        <v>577</v>
      </c>
      <c r="D57" s="448" t="s">
        <v>851</v>
      </c>
      <c r="E57" s="444"/>
      <c r="F57" s="445"/>
      <c r="G57" s="445"/>
      <c r="H57" s="446"/>
      <c r="I57" s="446"/>
      <c r="J57" s="446"/>
      <c r="K57" s="446"/>
      <c r="L57" s="446"/>
      <c r="M57" s="446"/>
    </row>
    <row r="58" spans="1:13">
      <c r="A58" s="449"/>
      <c r="B58" s="365"/>
      <c r="C58" s="450" t="s">
        <v>9</v>
      </c>
      <c r="D58" s="451"/>
      <c r="E58" s="431"/>
      <c r="F58" s="452"/>
      <c r="G58" s="452"/>
      <c r="H58" s="453"/>
      <c r="I58" s="454"/>
      <c r="J58" s="453"/>
      <c r="K58" s="454"/>
      <c r="L58" s="453"/>
      <c r="M58" s="453"/>
    </row>
    <row r="59" spans="1:13">
      <c r="A59" s="449"/>
      <c r="B59" s="365"/>
      <c r="C59" s="455" t="s">
        <v>50</v>
      </c>
      <c r="D59" s="456" t="s">
        <v>851</v>
      </c>
      <c r="E59" s="457"/>
      <c r="F59" s="449"/>
      <c r="G59" s="449"/>
      <c r="H59" s="458"/>
      <c r="I59" s="458"/>
      <c r="J59" s="458"/>
      <c r="K59" s="458"/>
      <c r="L59" s="458"/>
      <c r="M59" s="459"/>
    </row>
    <row r="60" spans="1:13">
      <c r="A60" s="449"/>
      <c r="B60" s="365"/>
      <c r="C60" s="450" t="s">
        <v>9</v>
      </c>
      <c r="D60" s="451"/>
      <c r="E60" s="431"/>
      <c r="F60" s="452"/>
      <c r="G60" s="452"/>
      <c r="H60" s="454"/>
      <c r="I60" s="454"/>
      <c r="J60" s="454"/>
      <c r="K60" s="454"/>
      <c r="L60" s="454"/>
      <c r="M60" s="453"/>
    </row>
    <row r="61" spans="1:13">
      <c r="A61" s="449"/>
      <c r="B61" s="365"/>
      <c r="C61" s="455" t="s">
        <v>51</v>
      </c>
      <c r="D61" s="448" t="s">
        <v>851</v>
      </c>
      <c r="E61" s="457"/>
      <c r="F61" s="449"/>
      <c r="G61" s="449"/>
      <c r="H61" s="458"/>
      <c r="I61" s="458"/>
      <c r="J61" s="458"/>
      <c r="K61" s="458"/>
      <c r="L61" s="458"/>
      <c r="M61" s="459"/>
    </row>
    <row r="62" spans="1:13">
      <c r="A62" s="449"/>
      <c r="B62" s="365"/>
      <c r="C62" s="450" t="s">
        <v>9</v>
      </c>
      <c r="D62" s="452"/>
      <c r="E62" s="431"/>
      <c r="F62" s="452"/>
      <c r="G62" s="452"/>
      <c r="H62" s="454"/>
      <c r="I62" s="454"/>
      <c r="J62" s="454"/>
      <c r="K62" s="454"/>
      <c r="L62" s="454"/>
      <c r="M62" s="453">
        <f>M60+M61</f>
        <v>0</v>
      </c>
    </row>
  </sheetData>
  <sheetProtection password="CA9C" sheet="1" objects="1" scenarios="1"/>
  <protectedRanges>
    <protectedRange sqref="D57:G62" name="Range2"/>
    <protectedRange sqref="G10:M61" name="Range1"/>
  </protectedRanges>
  <mergeCells count="15">
    <mergeCell ref="G7:H7"/>
    <mergeCell ref="I7:J7"/>
    <mergeCell ref="K7:L7"/>
    <mergeCell ref="A7:A8"/>
    <mergeCell ref="B7:B8"/>
    <mergeCell ref="C7:C8"/>
    <mergeCell ref="D7:D8"/>
    <mergeCell ref="E7:E8"/>
    <mergeCell ref="F7:F8"/>
    <mergeCell ref="C6:K6"/>
    <mergeCell ref="A1:M1"/>
    <mergeCell ref="A2:D2"/>
    <mergeCell ref="A3:M3"/>
    <mergeCell ref="A4:M4"/>
    <mergeCell ref="B5:G5"/>
  </mergeCells>
  <conditionalFormatting sqref="F11:F21">
    <cfRule type="cellIs" dxfId="165" priority="22" stopIfTrue="1" operator="equal">
      <formula>8223.307275</formula>
    </cfRule>
  </conditionalFormatting>
  <conditionalFormatting sqref="G21:M21 G11:M12 H13:M20">
    <cfRule type="cellIs" dxfId="164" priority="19" stopIfTrue="1" operator="equal">
      <formula>8223.307275</formula>
    </cfRule>
  </conditionalFormatting>
  <conditionalFormatting sqref="C17">
    <cfRule type="cellIs" dxfId="163" priority="20" stopIfTrue="1" operator="equal">
      <formula>8223.307275</formula>
    </cfRule>
  </conditionalFormatting>
  <conditionalFormatting sqref="B13 B16">
    <cfRule type="cellIs" dxfId="162" priority="18" stopIfTrue="1" operator="equal">
      <formula>8223.307275</formula>
    </cfRule>
  </conditionalFormatting>
  <conditionalFormatting sqref="B15">
    <cfRule type="cellIs" dxfId="161" priority="16" stopIfTrue="1" operator="equal">
      <formula>8223.307275</formula>
    </cfRule>
  </conditionalFormatting>
  <conditionalFormatting sqref="B11:E12 B21:E21 C13:E16 D17:E20">
    <cfRule type="cellIs" dxfId="160" priority="21" stopIfTrue="1" operator="equal">
      <formula>8223.307275</formula>
    </cfRule>
  </conditionalFormatting>
  <conditionalFormatting sqref="B14">
    <cfRule type="cellIs" dxfId="159" priority="17" stopIfTrue="1" operator="equal">
      <formula>8223.307275</formula>
    </cfRule>
  </conditionalFormatting>
  <conditionalFormatting sqref="G26">
    <cfRule type="cellIs" dxfId="158" priority="9" stopIfTrue="1" operator="equal">
      <formula>8223.307275</formula>
    </cfRule>
  </conditionalFormatting>
  <conditionalFormatting sqref="B27">
    <cfRule type="cellIs" dxfId="157" priority="8" stopIfTrue="1" operator="equal">
      <formula>8223.307275</formula>
    </cfRule>
  </conditionalFormatting>
  <conditionalFormatting sqref="G16 G13:G14">
    <cfRule type="cellIs" dxfId="156" priority="15" stopIfTrue="1" operator="equal">
      <formula>8223.307275</formula>
    </cfRule>
  </conditionalFormatting>
  <conditionalFormatting sqref="G18:G20">
    <cfRule type="cellIs" dxfId="155" priority="14" stopIfTrue="1" operator="equal">
      <formula>8223.307275</formula>
    </cfRule>
  </conditionalFormatting>
  <conditionalFormatting sqref="G15">
    <cfRule type="cellIs" dxfId="154" priority="13" stopIfTrue="1" operator="equal">
      <formula>8223.307275</formula>
    </cfRule>
  </conditionalFormatting>
  <conditionalFormatting sqref="B26">
    <cfRule type="cellIs" dxfId="153" priority="10" stopIfTrue="1" operator="equal">
      <formula>8223.307275</formula>
    </cfRule>
  </conditionalFormatting>
  <conditionalFormatting sqref="G27">
    <cfRule type="cellIs" dxfId="152" priority="7" stopIfTrue="1" operator="equal">
      <formula>8223.307275</formula>
    </cfRule>
  </conditionalFormatting>
  <conditionalFormatting sqref="B29">
    <cfRule type="cellIs" dxfId="151" priority="3" stopIfTrue="1" operator="equal">
      <formula>8223.307275</formula>
    </cfRule>
  </conditionalFormatting>
  <conditionalFormatting sqref="G28">
    <cfRule type="cellIs" dxfId="150" priority="4" stopIfTrue="1" operator="equal">
      <formula>8223.307275</formula>
    </cfRule>
  </conditionalFormatting>
  <conditionalFormatting sqref="G29">
    <cfRule type="cellIs" dxfId="149" priority="2" stopIfTrue="1" operator="equal">
      <formula>8223.307275</formula>
    </cfRule>
  </conditionalFormatting>
  <conditionalFormatting sqref="B47">
    <cfRule type="cellIs" dxfId="148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8" orientation="landscape" horizontalDpi="4294967293" verticalDpi="4294967293" r:id="rId1"/>
  <rowBreaks count="1" manualBreakCount="1">
    <brk id="4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"/>
  <sheetViews>
    <sheetView view="pageBreakPreview" topLeftCell="B16" zoomScaleNormal="100" zoomScaleSheetLayoutView="100" workbookViewId="0">
      <selection activeCell="G12" sqref="G12"/>
    </sheetView>
  </sheetViews>
  <sheetFormatPr defaultRowHeight="15"/>
  <cols>
    <col min="1" max="1" width="6.7109375" style="237" customWidth="1"/>
    <col min="2" max="2" width="12.7109375" style="287" customWidth="1"/>
    <col min="3" max="3" width="73.140625" style="237" customWidth="1"/>
    <col min="4" max="13" width="10.7109375" style="237" customWidth="1"/>
    <col min="14" max="16384" width="9.140625" style="237"/>
  </cols>
  <sheetData>
    <row r="1" spans="1:13" ht="18">
      <c r="A1" s="1073" t="e">
        <f>#REF!</f>
        <v>#REF!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</row>
    <row r="2" spans="1:13" ht="18">
      <c r="A2" s="1074" t="s">
        <v>7</v>
      </c>
      <c r="B2" s="1074"/>
      <c r="C2" s="1074"/>
      <c r="D2" s="1074"/>
      <c r="E2" s="208" t="str">
        <f>'B-1.1'!B12</f>
        <v>B-1.1.3</v>
      </c>
      <c r="F2" s="208"/>
      <c r="G2" s="208"/>
      <c r="H2" s="208"/>
      <c r="I2" s="208"/>
      <c r="J2" s="208"/>
      <c r="K2" s="208"/>
      <c r="L2" s="208"/>
      <c r="M2" s="208"/>
    </row>
    <row r="3" spans="1:13">
      <c r="A3" s="1075" t="str">
        <f>'B-1.1'!C12</f>
        <v>წყალმიმღები #1 სათავე კვანძის კომუნიკაციები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</row>
    <row r="4" spans="1:13">
      <c r="A4" s="1076"/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</row>
    <row r="5" spans="1:13">
      <c r="A5" s="360"/>
      <c r="B5" s="1077" t="e">
        <f>#REF!</f>
        <v>#REF!</v>
      </c>
      <c r="C5" s="1077"/>
      <c r="D5" s="1077"/>
      <c r="E5" s="1077"/>
      <c r="F5" s="1077"/>
      <c r="G5" s="1077"/>
      <c r="H5" s="360"/>
      <c r="I5" s="360"/>
      <c r="J5" s="360"/>
      <c r="K5" s="360"/>
      <c r="L5" s="360"/>
      <c r="M5" s="360"/>
    </row>
    <row r="6" spans="1:13">
      <c r="A6" s="239"/>
      <c r="B6" s="240"/>
      <c r="C6" s="1072"/>
      <c r="D6" s="1072"/>
      <c r="E6" s="1072"/>
      <c r="F6" s="1072"/>
      <c r="G6" s="1072"/>
      <c r="H6" s="1072"/>
      <c r="I6" s="1072"/>
      <c r="J6" s="1072"/>
      <c r="K6" s="1072"/>
      <c r="L6" s="241"/>
      <c r="M6" s="241"/>
    </row>
    <row r="7" spans="1:13">
      <c r="A7" s="1079" t="s">
        <v>19</v>
      </c>
      <c r="B7" s="1081" t="s">
        <v>20</v>
      </c>
      <c r="C7" s="1079" t="s">
        <v>21</v>
      </c>
      <c r="D7" s="1079" t="s">
        <v>22</v>
      </c>
      <c r="E7" s="1079" t="s">
        <v>23</v>
      </c>
      <c r="F7" s="1079" t="s">
        <v>24</v>
      </c>
      <c r="G7" s="1078" t="s">
        <v>25</v>
      </c>
      <c r="H7" s="1078"/>
      <c r="I7" s="1078" t="s">
        <v>26</v>
      </c>
      <c r="J7" s="1078"/>
      <c r="K7" s="1079" t="s">
        <v>27</v>
      </c>
      <c r="L7" s="1080"/>
      <c r="M7" s="242" t="s">
        <v>5</v>
      </c>
    </row>
    <row r="8" spans="1:13">
      <c r="A8" s="1079"/>
      <c r="B8" s="1081"/>
      <c r="C8" s="1079"/>
      <c r="D8" s="1079"/>
      <c r="E8" s="1079"/>
      <c r="F8" s="1079"/>
      <c r="G8" s="357" t="s">
        <v>28</v>
      </c>
      <c r="H8" s="244" t="s">
        <v>9</v>
      </c>
      <c r="I8" s="357" t="s">
        <v>28</v>
      </c>
      <c r="J8" s="244" t="s">
        <v>9</v>
      </c>
      <c r="K8" s="357" t="s">
        <v>28</v>
      </c>
      <c r="L8" s="245" t="s">
        <v>9</v>
      </c>
      <c r="M8" s="246" t="s">
        <v>29</v>
      </c>
    </row>
    <row r="9" spans="1:13">
      <c r="A9" s="358">
        <v>1</v>
      </c>
      <c r="B9" s="248">
        <v>2</v>
      </c>
      <c r="C9" s="358">
        <v>3</v>
      </c>
      <c r="D9" s="358">
        <v>4</v>
      </c>
      <c r="E9" s="358">
        <v>5</v>
      </c>
      <c r="F9" s="358">
        <v>6</v>
      </c>
      <c r="G9" s="358">
        <v>7</v>
      </c>
      <c r="H9" s="358">
        <v>8</v>
      </c>
      <c r="I9" s="358">
        <v>9</v>
      </c>
      <c r="J9" s="358">
        <v>10</v>
      </c>
      <c r="K9" s="358">
        <v>11</v>
      </c>
      <c r="L9" s="358">
        <v>12</v>
      </c>
      <c r="M9" s="358">
        <v>13</v>
      </c>
    </row>
    <row r="10" spans="1:13" ht="25.5">
      <c r="A10" s="249" t="s">
        <v>67</v>
      </c>
      <c r="B10" s="69" t="s">
        <v>92</v>
      </c>
      <c r="C10" s="461" t="s">
        <v>824</v>
      </c>
      <c r="D10" s="462" t="s">
        <v>91</v>
      </c>
      <c r="E10" s="252"/>
      <c r="F10" s="253">
        <v>10</v>
      </c>
      <c r="G10" s="463"/>
      <c r="H10" s="22"/>
      <c r="I10" s="463"/>
      <c r="J10" s="23"/>
      <c r="K10" s="463"/>
      <c r="L10" s="22"/>
      <c r="M10" s="253"/>
    </row>
    <row r="11" spans="1:13">
      <c r="A11" s="257"/>
      <c r="B11" s="362"/>
      <c r="C11" s="13" t="s">
        <v>86</v>
      </c>
      <c r="D11" s="10" t="s">
        <v>13</v>
      </c>
      <c r="E11" s="10">
        <f>170/1000</f>
        <v>0.17</v>
      </c>
      <c r="F11" s="9">
        <f>E11*F10</f>
        <v>1.7000000000000002</v>
      </c>
      <c r="G11" s="10"/>
      <c r="H11" s="9"/>
      <c r="I11" s="10"/>
      <c r="J11" s="9"/>
      <c r="K11" s="10"/>
      <c r="L11" s="9"/>
      <c r="M11" s="9"/>
    </row>
    <row r="12" spans="1:13">
      <c r="A12" s="257"/>
      <c r="B12" s="361"/>
      <c r="C12" s="13" t="s">
        <v>87</v>
      </c>
      <c r="D12" s="11" t="s">
        <v>16</v>
      </c>
      <c r="E12" s="10">
        <f>81.5/1000</f>
        <v>8.1500000000000003E-2</v>
      </c>
      <c r="F12" s="8">
        <f>E12*F10</f>
        <v>0.81500000000000006</v>
      </c>
      <c r="G12" s="11"/>
      <c r="H12" s="11"/>
      <c r="I12" s="11"/>
      <c r="J12" s="11"/>
      <c r="K12" s="11"/>
      <c r="L12" s="464"/>
      <c r="M12" s="9"/>
    </row>
    <row r="13" spans="1:13">
      <c r="A13" s="249"/>
      <c r="B13" s="69"/>
      <c r="C13" s="11" t="s">
        <v>88</v>
      </c>
      <c r="D13" s="11"/>
      <c r="E13" s="255"/>
      <c r="F13" s="256"/>
      <c r="G13" s="251"/>
      <c r="H13" s="8"/>
      <c r="I13" s="251"/>
      <c r="J13" s="9"/>
      <c r="K13" s="251"/>
      <c r="L13" s="8"/>
      <c r="M13" s="256"/>
    </row>
    <row r="14" spans="1:13">
      <c r="A14" s="249"/>
      <c r="B14" s="465" t="s">
        <v>830</v>
      </c>
      <c r="C14" s="466" t="s">
        <v>823</v>
      </c>
      <c r="D14" s="11" t="s">
        <v>91</v>
      </c>
      <c r="E14" s="255">
        <f>1010/1000</f>
        <v>1.01</v>
      </c>
      <c r="F14" s="256">
        <f>E14*F10</f>
        <v>10.1</v>
      </c>
      <c r="G14" s="80"/>
      <c r="H14" s="8"/>
      <c r="I14" s="251"/>
      <c r="J14" s="9"/>
      <c r="K14" s="251"/>
      <c r="L14" s="8"/>
      <c r="M14" s="9"/>
    </row>
    <row r="15" spans="1:13">
      <c r="A15" s="249"/>
      <c r="B15" s="69"/>
      <c r="C15" s="13" t="s">
        <v>89</v>
      </c>
      <c r="D15" s="11" t="s">
        <v>16</v>
      </c>
      <c r="E15" s="255">
        <f>3.48/1000</f>
        <v>3.48E-3</v>
      </c>
      <c r="F15" s="256">
        <f>E15*F10</f>
        <v>3.4799999999999998E-2</v>
      </c>
      <c r="G15" s="467"/>
      <c r="H15" s="8"/>
      <c r="I15" s="251"/>
      <c r="J15" s="9"/>
      <c r="K15" s="251"/>
      <c r="L15" s="8"/>
      <c r="M15" s="9"/>
    </row>
    <row r="16" spans="1:13">
      <c r="A16" s="249" t="s">
        <v>68</v>
      </c>
      <c r="B16" s="69" t="s">
        <v>93</v>
      </c>
      <c r="C16" s="72" t="s">
        <v>825</v>
      </c>
      <c r="D16" s="84" t="s">
        <v>91</v>
      </c>
      <c r="E16" s="252"/>
      <c r="F16" s="253">
        <f>F10</f>
        <v>10</v>
      </c>
      <c r="G16" s="463"/>
      <c r="H16" s="22"/>
      <c r="I16" s="463"/>
      <c r="J16" s="23"/>
      <c r="K16" s="463"/>
      <c r="L16" s="22"/>
      <c r="M16" s="253"/>
    </row>
    <row r="17" spans="1:13">
      <c r="A17" s="249"/>
      <c r="B17" s="69"/>
      <c r="C17" s="13" t="s">
        <v>86</v>
      </c>
      <c r="D17" s="10" t="s">
        <v>13</v>
      </c>
      <c r="E17" s="255">
        <f>64.9/1000</f>
        <v>6.4899999999999999E-2</v>
      </c>
      <c r="F17" s="256">
        <f>F16*E17</f>
        <v>0.64900000000000002</v>
      </c>
      <c r="G17" s="251"/>
      <c r="H17" s="8"/>
      <c r="I17" s="10"/>
      <c r="J17" s="9"/>
      <c r="K17" s="251"/>
      <c r="L17" s="8"/>
      <c r="M17" s="9"/>
    </row>
    <row r="18" spans="1:13">
      <c r="A18" s="249"/>
      <c r="B18" s="468" t="s">
        <v>623</v>
      </c>
      <c r="C18" s="466" t="s">
        <v>90</v>
      </c>
      <c r="D18" s="469" t="s">
        <v>15</v>
      </c>
      <c r="E18" s="255">
        <f>148/1000</f>
        <v>0.14799999999999999</v>
      </c>
      <c r="F18" s="256">
        <f>F16*E18</f>
        <v>1.48</v>
      </c>
      <c r="G18" s="470"/>
      <c r="H18" s="8"/>
      <c r="I18" s="251"/>
      <c r="J18" s="9"/>
      <c r="K18" s="251"/>
      <c r="L18" s="8"/>
      <c r="M18" s="9"/>
    </row>
    <row r="19" spans="1:13">
      <c r="A19" s="249"/>
      <c r="B19" s="69"/>
      <c r="C19" s="13" t="s">
        <v>89</v>
      </c>
      <c r="D19" s="11" t="s">
        <v>16</v>
      </c>
      <c r="E19" s="255">
        <f>0.25/1000</f>
        <v>2.5000000000000001E-4</v>
      </c>
      <c r="F19" s="256">
        <f>F16*E19</f>
        <v>2.5000000000000001E-3</v>
      </c>
      <c r="G19" s="251"/>
      <c r="H19" s="8"/>
      <c r="I19" s="251"/>
      <c r="J19" s="9"/>
      <c r="K19" s="251"/>
      <c r="L19" s="8"/>
      <c r="M19" s="9"/>
    </row>
    <row r="20" spans="1:13" ht="27">
      <c r="A20" s="416">
        <v>3</v>
      </c>
      <c r="B20" s="395" t="s">
        <v>106</v>
      </c>
      <c r="C20" s="471" t="s">
        <v>572</v>
      </c>
      <c r="D20" s="260" t="s">
        <v>539</v>
      </c>
      <c r="E20" s="395"/>
      <c r="F20" s="261">
        <v>5.6519999999999992</v>
      </c>
      <c r="G20" s="261"/>
      <c r="H20" s="261"/>
      <c r="I20" s="261"/>
      <c r="J20" s="261"/>
      <c r="K20" s="261"/>
      <c r="L20" s="261"/>
      <c r="M20" s="253"/>
    </row>
    <row r="21" spans="1:13">
      <c r="A21" s="417"/>
      <c r="B21" s="471"/>
      <c r="C21" s="403" t="s">
        <v>101</v>
      </c>
      <c r="D21" s="265" t="s">
        <v>102</v>
      </c>
      <c r="E21" s="472">
        <f>32.1/100</f>
        <v>0.32100000000000001</v>
      </c>
      <c r="F21" s="266">
        <f>E21*F20</f>
        <v>1.8142919999999998</v>
      </c>
      <c r="G21" s="266"/>
      <c r="H21" s="266"/>
      <c r="I21" s="385"/>
      <c r="J21" s="385"/>
      <c r="K21" s="266"/>
      <c r="L21" s="266"/>
      <c r="M21" s="9"/>
    </row>
    <row r="22" spans="1:13">
      <c r="A22" s="417"/>
      <c r="B22" s="471"/>
      <c r="C22" s="403" t="s">
        <v>97</v>
      </c>
      <c r="D22" s="265" t="s">
        <v>16</v>
      </c>
      <c r="E22" s="472">
        <f>1.66/100</f>
        <v>1.66E-2</v>
      </c>
      <c r="F22" s="266">
        <f>F20*E22</f>
        <v>9.3823199999999982E-2</v>
      </c>
      <c r="G22" s="266"/>
      <c r="H22" s="266"/>
      <c r="I22" s="266"/>
      <c r="J22" s="266"/>
      <c r="K22" s="266"/>
      <c r="L22" s="266"/>
      <c r="M22" s="9"/>
    </row>
    <row r="23" spans="1:13">
      <c r="A23" s="417"/>
      <c r="B23" s="19" t="s">
        <v>629</v>
      </c>
      <c r="C23" s="73" t="s">
        <v>456</v>
      </c>
      <c r="D23" s="265" t="s">
        <v>103</v>
      </c>
      <c r="E23" s="473">
        <f>1.43/1000</f>
        <v>1.4299999999999998E-3</v>
      </c>
      <c r="F23" s="474">
        <f>E23*F20</f>
        <v>8.0823599999999985E-3</v>
      </c>
      <c r="G23" s="266"/>
      <c r="H23" s="266"/>
      <c r="I23" s="266"/>
      <c r="J23" s="266"/>
      <c r="K23" s="266"/>
      <c r="L23" s="266"/>
      <c r="M23" s="9"/>
    </row>
    <row r="24" spans="1:13">
      <c r="A24" s="416">
        <v>4</v>
      </c>
      <c r="B24" s="381" t="s">
        <v>127</v>
      </c>
      <c r="C24" s="259" t="s">
        <v>573</v>
      </c>
      <c r="D24" s="260" t="s">
        <v>98</v>
      </c>
      <c r="E24" s="260"/>
      <c r="F24" s="261">
        <f>F27</f>
        <v>2</v>
      </c>
      <c r="G24" s="475"/>
      <c r="H24" s="476"/>
      <c r="I24" s="476"/>
      <c r="J24" s="476"/>
      <c r="K24" s="476"/>
      <c r="L24" s="476"/>
      <c r="M24" s="476"/>
    </row>
    <row r="25" spans="1:13">
      <c r="A25" s="417"/>
      <c r="B25" s="477"/>
      <c r="C25" s="418" t="s">
        <v>124</v>
      </c>
      <c r="D25" s="478" t="s">
        <v>102</v>
      </c>
      <c r="E25" s="265">
        <v>1.7</v>
      </c>
      <c r="F25" s="479">
        <f>F24*E25</f>
        <v>3.4</v>
      </c>
      <c r="G25" s="480"/>
      <c r="H25" s="481"/>
      <c r="I25" s="479"/>
      <c r="J25" s="479"/>
      <c r="K25" s="479"/>
      <c r="L25" s="479"/>
      <c r="M25" s="479"/>
    </row>
    <row r="26" spans="1:13">
      <c r="A26" s="417"/>
      <c r="B26" s="482"/>
      <c r="C26" s="418" t="s">
        <v>125</v>
      </c>
      <c r="D26" s="478" t="s">
        <v>16</v>
      </c>
      <c r="E26" s="265">
        <v>0.06</v>
      </c>
      <c r="F26" s="479">
        <f>F24*E26</f>
        <v>0.12</v>
      </c>
      <c r="G26" s="479"/>
      <c r="H26" s="479"/>
      <c r="I26" s="479"/>
      <c r="J26" s="479"/>
      <c r="K26" s="479"/>
      <c r="L26" s="479"/>
      <c r="M26" s="479"/>
    </row>
    <row r="27" spans="1:13">
      <c r="A27" s="417"/>
      <c r="B27" s="288" t="s">
        <v>667</v>
      </c>
      <c r="C27" s="418" t="s">
        <v>574</v>
      </c>
      <c r="D27" s="478" t="s">
        <v>98</v>
      </c>
      <c r="E27" s="265"/>
      <c r="F27" s="479">
        <v>2</v>
      </c>
      <c r="G27" s="109"/>
      <c r="H27" s="479"/>
      <c r="I27" s="479"/>
      <c r="J27" s="479"/>
      <c r="K27" s="479"/>
      <c r="L27" s="479"/>
      <c r="M27" s="479"/>
    </row>
    <row r="28" spans="1:13">
      <c r="A28" s="417"/>
      <c r="B28" s="482"/>
      <c r="C28" s="418" t="s">
        <v>89</v>
      </c>
      <c r="D28" s="478" t="s">
        <v>16</v>
      </c>
      <c r="E28" s="265">
        <v>0.88</v>
      </c>
      <c r="F28" s="479">
        <f>F24*E28</f>
        <v>1.76</v>
      </c>
      <c r="G28" s="479"/>
      <c r="H28" s="479"/>
      <c r="I28" s="479"/>
      <c r="J28" s="479"/>
      <c r="K28" s="479"/>
      <c r="L28" s="479"/>
      <c r="M28" s="479"/>
    </row>
    <row r="29" spans="1:13">
      <c r="A29" s="260">
        <v>5</v>
      </c>
      <c r="B29" s="483" t="s">
        <v>128</v>
      </c>
      <c r="C29" s="259" t="s">
        <v>826</v>
      </c>
      <c r="D29" s="262" t="s">
        <v>98</v>
      </c>
      <c r="E29" s="262"/>
      <c r="F29" s="484">
        <f>SUM(F32:F32)</f>
        <v>4</v>
      </c>
      <c r="G29" s="485"/>
      <c r="H29" s="475"/>
      <c r="I29" s="262"/>
      <c r="J29" s="475"/>
      <c r="K29" s="262"/>
      <c r="L29" s="475"/>
      <c r="M29" s="475"/>
    </row>
    <row r="30" spans="1:13">
      <c r="A30" s="260"/>
      <c r="B30" s="265" t="s">
        <v>130</v>
      </c>
      <c r="C30" s="418" t="s">
        <v>124</v>
      </c>
      <c r="D30" s="267" t="s">
        <v>13</v>
      </c>
      <c r="E30" s="267">
        <f>3.89/10</f>
        <v>0.38900000000000001</v>
      </c>
      <c r="F30" s="385">
        <f>F29*E30</f>
        <v>1.556</v>
      </c>
      <c r="G30" s="267"/>
      <c r="H30" s="385"/>
      <c r="I30" s="385"/>
      <c r="J30" s="385"/>
      <c r="K30" s="267"/>
      <c r="L30" s="385"/>
      <c r="M30" s="385"/>
    </row>
    <row r="31" spans="1:13">
      <c r="A31" s="260"/>
      <c r="B31" s="265"/>
      <c r="C31" s="418" t="s">
        <v>125</v>
      </c>
      <c r="D31" s="265" t="s">
        <v>16</v>
      </c>
      <c r="E31" s="267">
        <f>1.51/10</f>
        <v>0.151</v>
      </c>
      <c r="F31" s="486">
        <f>E31*F29</f>
        <v>0.60399999999999998</v>
      </c>
      <c r="G31" s="267"/>
      <c r="H31" s="385"/>
      <c r="I31" s="267"/>
      <c r="J31" s="385"/>
      <c r="K31" s="267"/>
      <c r="L31" s="385"/>
      <c r="M31" s="385"/>
    </row>
    <row r="32" spans="1:13">
      <c r="A32" s="416"/>
      <c r="B32" s="115" t="s">
        <v>668</v>
      </c>
      <c r="C32" s="487" t="s">
        <v>827</v>
      </c>
      <c r="D32" s="265" t="s">
        <v>131</v>
      </c>
      <c r="E32" s="265"/>
      <c r="F32" s="488">
        <v>4</v>
      </c>
      <c r="G32" s="8"/>
      <c r="H32" s="266"/>
      <c r="I32" s="267"/>
      <c r="J32" s="266"/>
      <c r="K32" s="265"/>
      <c r="L32" s="266"/>
      <c r="M32" s="385"/>
    </row>
    <row r="33" spans="1:13">
      <c r="A33" s="416"/>
      <c r="B33" s="419"/>
      <c r="C33" s="264" t="s">
        <v>45</v>
      </c>
      <c r="D33" s="265" t="s">
        <v>16</v>
      </c>
      <c r="E33" s="265">
        <f>0.24/10</f>
        <v>2.4E-2</v>
      </c>
      <c r="F33" s="398">
        <f>E33*F29</f>
        <v>9.6000000000000002E-2</v>
      </c>
      <c r="G33" s="265"/>
      <c r="H33" s="398"/>
      <c r="I33" s="267"/>
      <c r="J33" s="266"/>
      <c r="K33" s="265"/>
      <c r="L33" s="266"/>
      <c r="M33" s="385"/>
    </row>
    <row r="34" spans="1:13" ht="27">
      <c r="A34" s="260">
        <v>6</v>
      </c>
      <c r="B34" s="483" t="s">
        <v>134</v>
      </c>
      <c r="C34" s="259" t="s">
        <v>575</v>
      </c>
      <c r="D34" s="262" t="s">
        <v>98</v>
      </c>
      <c r="E34" s="262"/>
      <c r="F34" s="484">
        <f>SUM(F38:F38)</f>
        <v>4</v>
      </c>
      <c r="G34" s="485"/>
      <c r="H34" s="475"/>
      <c r="I34" s="262"/>
      <c r="J34" s="475"/>
      <c r="K34" s="262"/>
      <c r="L34" s="475"/>
      <c r="M34" s="475"/>
    </row>
    <row r="35" spans="1:13">
      <c r="A35" s="260"/>
      <c r="B35" s="265" t="s">
        <v>130</v>
      </c>
      <c r="C35" s="418" t="s">
        <v>124</v>
      </c>
      <c r="D35" s="267" t="s">
        <v>13</v>
      </c>
      <c r="E35" s="267">
        <v>0.71</v>
      </c>
      <c r="F35" s="385">
        <f>F34*E35</f>
        <v>2.84</v>
      </c>
      <c r="G35" s="267"/>
      <c r="H35" s="385"/>
      <c r="I35" s="385"/>
      <c r="J35" s="385"/>
      <c r="K35" s="267"/>
      <c r="L35" s="385"/>
      <c r="M35" s="385"/>
    </row>
    <row r="36" spans="1:13">
      <c r="A36" s="260"/>
      <c r="B36" s="265"/>
      <c r="C36" s="418" t="s">
        <v>125</v>
      </c>
      <c r="D36" s="265" t="s">
        <v>16</v>
      </c>
      <c r="E36" s="267">
        <v>0.44</v>
      </c>
      <c r="F36" s="486">
        <f>E36*F34</f>
        <v>1.76</v>
      </c>
      <c r="G36" s="267"/>
      <c r="H36" s="385"/>
      <c r="I36" s="267"/>
      <c r="J36" s="385"/>
      <c r="K36" s="267"/>
      <c r="L36" s="385"/>
      <c r="M36" s="385"/>
    </row>
    <row r="37" spans="1:13">
      <c r="A37" s="416"/>
      <c r="B37" s="419"/>
      <c r="C37" s="265" t="s">
        <v>88</v>
      </c>
      <c r="D37" s="265"/>
      <c r="E37" s="265"/>
      <c r="F37" s="266"/>
      <c r="G37" s="265"/>
      <c r="H37" s="266"/>
      <c r="I37" s="267"/>
      <c r="J37" s="266"/>
      <c r="K37" s="265"/>
      <c r="L37" s="266"/>
      <c r="M37" s="385"/>
    </row>
    <row r="38" spans="1:13">
      <c r="A38" s="416"/>
      <c r="B38" s="114" t="s">
        <v>670</v>
      </c>
      <c r="C38" s="487" t="s">
        <v>828</v>
      </c>
      <c r="D38" s="265" t="s">
        <v>131</v>
      </c>
      <c r="E38" s="265"/>
      <c r="F38" s="488">
        <v>4</v>
      </c>
      <c r="G38" s="8"/>
      <c r="H38" s="266"/>
      <c r="I38" s="267"/>
      <c r="J38" s="266"/>
      <c r="K38" s="265"/>
      <c r="L38" s="266"/>
      <c r="M38" s="385"/>
    </row>
    <row r="39" spans="1:13">
      <c r="A39" s="416"/>
      <c r="B39" s="419"/>
      <c r="C39" s="264" t="s">
        <v>45</v>
      </c>
      <c r="D39" s="265" t="s">
        <v>16</v>
      </c>
      <c r="E39" s="265">
        <v>0.05</v>
      </c>
      <c r="F39" s="398">
        <f>E39*F34</f>
        <v>0.2</v>
      </c>
      <c r="G39" s="265"/>
      <c r="H39" s="398"/>
      <c r="I39" s="267"/>
      <c r="J39" s="266"/>
      <c r="K39" s="265"/>
      <c r="L39" s="266"/>
      <c r="M39" s="385"/>
    </row>
    <row r="40" spans="1:13" ht="15.75">
      <c r="A40" s="260">
        <v>7</v>
      </c>
      <c r="B40" s="483" t="s">
        <v>128</v>
      </c>
      <c r="C40" s="259" t="s">
        <v>576</v>
      </c>
      <c r="D40" s="262" t="s">
        <v>98</v>
      </c>
      <c r="E40" s="262"/>
      <c r="F40" s="484">
        <v>1</v>
      </c>
      <c r="G40" s="485"/>
      <c r="H40" s="475"/>
      <c r="I40" s="262"/>
      <c r="J40" s="475"/>
      <c r="K40" s="262"/>
      <c r="L40" s="475"/>
      <c r="M40" s="475"/>
    </row>
    <row r="41" spans="1:13">
      <c r="A41" s="260"/>
      <c r="B41" s="265" t="s">
        <v>130</v>
      </c>
      <c r="C41" s="418" t="s">
        <v>124</v>
      </c>
      <c r="D41" s="267" t="s">
        <v>13</v>
      </c>
      <c r="E41" s="267">
        <f>3.89/10</f>
        <v>0.38900000000000001</v>
      </c>
      <c r="F41" s="385">
        <f>F40*E41</f>
        <v>0.38900000000000001</v>
      </c>
      <c r="G41" s="267"/>
      <c r="H41" s="385"/>
      <c r="I41" s="385"/>
      <c r="J41" s="385"/>
      <c r="K41" s="267"/>
      <c r="L41" s="385"/>
      <c r="M41" s="385"/>
    </row>
    <row r="42" spans="1:13">
      <c r="A42" s="260"/>
      <c r="B42" s="265"/>
      <c r="C42" s="418" t="s">
        <v>125</v>
      </c>
      <c r="D42" s="265" t="s">
        <v>16</v>
      </c>
      <c r="E42" s="267">
        <f>1.51/10</f>
        <v>0.151</v>
      </c>
      <c r="F42" s="486">
        <f>E42*F40</f>
        <v>0.151</v>
      </c>
      <c r="G42" s="267"/>
      <c r="H42" s="385"/>
      <c r="I42" s="267"/>
      <c r="J42" s="385"/>
      <c r="K42" s="267"/>
      <c r="L42" s="385"/>
      <c r="M42" s="385"/>
    </row>
    <row r="43" spans="1:13">
      <c r="A43" s="416"/>
      <c r="B43" s="419"/>
      <c r="C43" s="265" t="s">
        <v>88</v>
      </c>
      <c r="D43" s="265"/>
      <c r="E43" s="265"/>
      <c r="F43" s="266"/>
      <c r="G43" s="265"/>
      <c r="H43" s="266"/>
      <c r="I43" s="267"/>
      <c r="J43" s="266"/>
      <c r="K43" s="265"/>
      <c r="L43" s="266"/>
      <c r="M43" s="385"/>
    </row>
    <row r="44" spans="1:13" ht="15.75">
      <c r="A44" s="416"/>
      <c r="B44" s="115" t="s">
        <v>669</v>
      </c>
      <c r="C44" s="487" t="s">
        <v>829</v>
      </c>
      <c r="D44" s="265" t="s">
        <v>131</v>
      </c>
      <c r="E44" s="265"/>
      <c r="F44" s="488">
        <v>1</v>
      </c>
      <c r="G44" s="8"/>
      <c r="H44" s="266"/>
      <c r="I44" s="267"/>
      <c r="J44" s="266"/>
      <c r="K44" s="265"/>
      <c r="L44" s="266"/>
      <c r="M44" s="385"/>
    </row>
    <row r="45" spans="1:13">
      <c r="A45" s="416"/>
      <c r="B45" s="419"/>
      <c r="C45" s="264" t="s">
        <v>45</v>
      </c>
      <c r="D45" s="265" t="s">
        <v>16</v>
      </c>
      <c r="E45" s="265">
        <f>0.24/10</f>
        <v>2.4E-2</v>
      </c>
      <c r="F45" s="398">
        <f>E45*F40</f>
        <v>2.4E-2</v>
      </c>
      <c r="G45" s="265"/>
      <c r="H45" s="398"/>
      <c r="I45" s="267"/>
      <c r="J45" s="266"/>
      <c r="K45" s="265"/>
      <c r="L45" s="266"/>
      <c r="M45" s="385"/>
    </row>
    <row r="46" spans="1:13">
      <c r="A46" s="268"/>
      <c r="B46" s="15"/>
      <c r="C46" s="269" t="s">
        <v>9</v>
      </c>
      <c r="D46" s="270"/>
      <c r="E46" s="271"/>
      <c r="F46" s="272"/>
      <c r="G46" s="272"/>
      <c r="H46" s="273"/>
      <c r="I46" s="273"/>
      <c r="J46" s="273"/>
      <c r="K46" s="273"/>
      <c r="L46" s="273"/>
      <c r="M46" s="273"/>
    </row>
    <row r="47" spans="1:13">
      <c r="A47" s="268"/>
      <c r="B47" s="15"/>
      <c r="C47" s="274" t="s">
        <v>577</v>
      </c>
      <c r="D47" s="275" t="s">
        <v>851</v>
      </c>
      <c r="E47" s="271"/>
      <c r="F47" s="272"/>
      <c r="G47" s="272"/>
      <c r="H47" s="273"/>
      <c r="I47" s="273"/>
      <c r="J47" s="273"/>
      <c r="K47" s="273"/>
      <c r="L47" s="273"/>
      <c r="M47" s="273"/>
    </row>
    <row r="48" spans="1:13">
      <c r="A48" s="276"/>
      <c r="B48" s="359"/>
      <c r="C48" s="277" t="s">
        <v>9</v>
      </c>
      <c r="D48" s="278"/>
      <c r="E48" s="358"/>
      <c r="F48" s="279"/>
      <c r="G48" s="279"/>
      <c r="H48" s="280"/>
      <c r="I48" s="281"/>
      <c r="J48" s="280"/>
      <c r="K48" s="281"/>
      <c r="L48" s="280"/>
      <c r="M48" s="280"/>
    </row>
    <row r="49" spans="1:13">
      <c r="A49" s="276"/>
      <c r="B49" s="359"/>
      <c r="C49" s="282" t="s">
        <v>50</v>
      </c>
      <c r="D49" s="283" t="s">
        <v>851</v>
      </c>
      <c r="E49" s="284"/>
      <c r="F49" s="276"/>
      <c r="G49" s="276"/>
      <c r="H49" s="285"/>
      <c r="I49" s="285"/>
      <c r="J49" s="285"/>
      <c r="K49" s="285"/>
      <c r="L49" s="285"/>
      <c r="M49" s="286"/>
    </row>
    <row r="50" spans="1:13">
      <c r="A50" s="276"/>
      <c r="B50" s="359"/>
      <c r="C50" s="277" t="s">
        <v>9</v>
      </c>
      <c r="D50" s="278"/>
      <c r="E50" s="358"/>
      <c r="F50" s="279"/>
      <c r="G50" s="279"/>
      <c r="H50" s="281"/>
      <c r="I50" s="281"/>
      <c r="J50" s="281"/>
      <c r="K50" s="281"/>
      <c r="L50" s="281"/>
      <c r="M50" s="280"/>
    </row>
    <row r="51" spans="1:13">
      <c r="A51" s="276"/>
      <c r="B51" s="359"/>
      <c r="C51" s="282" t="s">
        <v>51</v>
      </c>
      <c r="D51" s="275" t="s">
        <v>851</v>
      </c>
      <c r="E51" s="284"/>
      <c r="F51" s="276"/>
      <c r="G51" s="276"/>
      <c r="H51" s="285"/>
      <c r="I51" s="285"/>
      <c r="J51" s="285"/>
      <c r="K51" s="285"/>
      <c r="L51" s="285"/>
      <c r="M51" s="286"/>
    </row>
    <row r="52" spans="1:13">
      <c r="A52" s="276"/>
      <c r="B52" s="359"/>
      <c r="C52" s="277" t="s">
        <v>9</v>
      </c>
      <c r="D52" s="279"/>
      <c r="E52" s="358"/>
      <c r="F52" s="279"/>
      <c r="G52" s="279"/>
      <c r="H52" s="281"/>
      <c r="I52" s="281"/>
      <c r="J52" s="281"/>
      <c r="K52" s="281"/>
      <c r="L52" s="281"/>
      <c r="M52" s="280"/>
    </row>
  </sheetData>
  <sheetProtection password="CA9C" sheet="1" objects="1" scenarios="1"/>
  <protectedRanges>
    <protectedRange sqref="G10:M52" name="Range2"/>
    <protectedRange sqref="D46:M52" name="Range1"/>
  </protectedRanges>
  <mergeCells count="15">
    <mergeCell ref="G7:H7"/>
    <mergeCell ref="I7:J7"/>
    <mergeCell ref="K7:L7"/>
    <mergeCell ref="A7:A8"/>
    <mergeCell ref="B7:B8"/>
    <mergeCell ref="C7:C8"/>
    <mergeCell ref="D7:D8"/>
    <mergeCell ref="E7:E8"/>
    <mergeCell ref="F7:F8"/>
    <mergeCell ref="C6:K6"/>
    <mergeCell ref="A1:M1"/>
    <mergeCell ref="A2:D2"/>
    <mergeCell ref="A3:M3"/>
    <mergeCell ref="A4:M4"/>
    <mergeCell ref="B5:G5"/>
  </mergeCells>
  <conditionalFormatting sqref="E21:E23">
    <cfRule type="cellIs" dxfId="147" priority="21" stopIfTrue="1" operator="equal">
      <formula>8223.307275</formula>
    </cfRule>
  </conditionalFormatting>
  <conditionalFormatting sqref="D18">
    <cfRule type="cellIs" dxfId="146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2" orientation="landscape" horizontalDpi="4294967293" verticalDpi="4294967293" r:id="rId1"/>
  <rowBreaks count="1" manualBreakCount="1">
    <brk id="39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BreakPreview" zoomScaleNormal="85" zoomScaleSheetLayoutView="100" workbookViewId="0">
      <selection activeCell="T65" sqref="T65"/>
    </sheetView>
  </sheetViews>
  <sheetFormatPr defaultRowHeight="12.75"/>
  <cols>
    <col min="1" max="1" width="6.85546875" style="123" customWidth="1"/>
    <col min="2" max="2" width="11.28515625" style="123" customWidth="1"/>
    <col min="3" max="3" width="66.5703125" style="123" customWidth="1"/>
    <col min="4" max="4" width="14.28515625" style="161" customWidth="1"/>
    <col min="5" max="5" width="12.42578125" style="161" customWidth="1"/>
    <col min="6" max="6" width="16.42578125" style="162" customWidth="1"/>
    <col min="7" max="7" width="13.42578125" style="149" customWidth="1"/>
    <col min="8" max="8" width="14.85546875" style="123" customWidth="1"/>
    <col min="9" max="9" width="11.140625" style="123" customWidth="1"/>
    <col min="10" max="251" width="9.140625" style="123"/>
    <col min="252" max="252" width="3.42578125" style="123" customWidth="1"/>
    <col min="253" max="253" width="7.7109375" style="123" customWidth="1"/>
    <col min="254" max="254" width="52.28515625" style="123" customWidth="1"/>
    <col min="255" max="255" width="14.28515625" style="123" customWidth="1"/>
    <col min="256" max="256" width="12.42578125" style="123" customWidth="1"/>
    <col min="257" max="257" width="16.42578125" style="123" customWidth="1"/>
    <col min="258" max="258" width="13.42578125" style="123" customWidth="1"/>
    <col min="259" max="259" width="14.85546875" style="123" customWidth="1"/>
    <col min="260" max="260" width="11.140625" style="123" customWidth="1"/>
    <col min="261" max="261" width="13.42578125" style="123" bestFit="1" customWidth="1"/>
    <col min="262" max="262" width="10.28515625" style="123" bestFit="1" customWidth="1"/>
    <col min="263" max="507" width="9.140625" style="123"/>
    <col min="508" max="508" width="3.42578125" style="123" customWidth="1"/>
    <col min="509" max="509" width="7.7109375" style="123" customWidth="1"/>
    <col min="510" max="510" width="52.28515625" style="123" customWidth="1"/>
    <col min="511" max="511" width="14.28515625" style="123" customWidth="1"/>
    <col min="512" max="512" width="12.42578125" style="123" customWidth="1"/>
    <col min="513" max="513" width="16.42578125" style="123" customWidth="1"/>
    <col min="514" max="514" width="13.42578125" style="123" customWidth="1"/>
    <col min="515" max="515" width="14.85546875" style="123" customWidth="1"/>
    <col min="516" max="516" width="11.140625" style="123" customWidth="1"/>
    <col min="517" max="517" width="13.42578125" style="123" bestFit="1" customWidth="1"/>
    <col min="518" max="518" width="10.28515625" style="123" bestFit="1" customWidth="1"/>
    <col min="519" max="763" width="9.140625" style="123"/>
    <col min="764" max="764" width="3.42578125" style="123" customWidth="1"/>
    <col min="765" max="765" width="7.7109375" style="123" customWidth="1"/>
    <col min="766" max="766" width="52.28515625" style="123" customWidth="1"/>
    <col min="767" max="767" width="14.28515625" style="123" customWidth="1"/>
    <col min="768" max="768" width="12.42578125" style="123" customWidth="1"/>
    <col min="769" max="769" width="16.42578125" style="123" customWidth="1"/>
    <col min="770" max="770" width="13.42578125" style="123" customWidth="1"/>
    <col min="771" max="771" width="14.85546875" style="123" customWidth="1"/>
    <col min="772" max="772" width="11.140625" style="123" customWidth="1"/>
    <col min="773" max="773" width="13.42578125" style="123" bestFit="1" customWidth="1"/>
    <col min="774" max="774" width="10.28515625" style="123" bestFit="1" customWidth="1"/>
    <col min="775" max="1019" width="9.140625" style="123"/>
    <col min="1020" max="1020" width="3.42578125" style="123" customWidth="1"/>
    <col min="1021" max="1021" width="7.7109375" style="123" customWidth="1"/>
    <col min="1022" max="1022" width="52.28515625" style="123" customWidth="1"/>
    <col min="1023" max="1023" width="14.28515625" style="123" customWidth="1"/>
    <col min="1024" max="1024" width="12.42578125" style="123" customWidth="1"/>
    <col min="1025" max="1025" width="16.42578125" style="123" customWidth="1"/>
    <col min="1026" max="1026" width="13.42578125" style="123" customWidth="1"/>
    <col min="1027" max="1027" width="14.85546875" style="123" customWidth="1"/>
    <col min="1028" max="1028" width="11.140625" style="123" customWidth="1"/>
    <col min="1029" max="1029" width="13.42578125" style="123" bestFit="1" customWidth="1"/>
    <col min="1030" max="1030" width="10.28515625" style="123" bestFit="1" customWidth="1"/>
    <col min="1031" max="1275" width="9.140625" style="123"/>
    <col min="1276" max="1276" width="3.42578125" style="123" customWidth="1"/>
    <col min="1277" max="1277" width="7.7109375" style="123" customWidth="1"/>
    <col min="1278" max="1278" width="52.28515625" style="123" customWidth="1"/>
    <col min="1279" max="1279" width="14.28515625" style="123" customWidth="1"/>
    <col min="1280" max="1280" width="12.42578125" style="123" customWidth="1"/>
    <col min="1281" max="1281" width="16.42578125" style="123" customWidth="1"/>
    <col min="1282" max="1282" width="13.42578125" style="123" customWidth="1"/>
    <col min="1283" max="1283" width="14.85546875" style="123" customWidth="1"/>
    <col min="1284" max="1284" width="11.140625" style="123" customWidth="1"/>
    <col min="1285" max="1285" width="13.42578125" style="123" bestFit="1" customWidth="1"/>
    <col min="1286" max="1286" width="10.28515625" style="123" bestFit="1" customWidth="1"/>
    <col min="1287" max="1531" width="9.140625" style="123"/>
    <col min="1532" max="1532" width="3.42578125" style="123" customWidth="1"/>
    <col min="1533" max="1533" width="7.7109375" style="123" customWidth="1"/>
    <col min="1534" max="1534" width="52.28515625" style="123" customWidth="1"/>
    <col min="1535" max="1535" width="14.28515625" style="123" customWidth="1"/>
    <col min="1536" max="1536" width="12.42578125" style="123" customWidth="1"/>
    <col min="1537" max="1537" width="16.42578125" style="123" customWidth="1"/>
    <col min="1538" max="1538" width="13.42578125" style="123" customWidth="1"/>
    <col min="1539" max="1539" width="14.85546875" style="123" customWidth="1"/>
    <col min="1540" max="1540" width="11.140625" style="123" customWidth="1"/>
    <col min="1541" max="1541" width="13.42578125" style="123" bestFit="1" customWidth="1"/>
    <col min="1542" max="1542" width="10.28515625" style="123" bestFit="1" customWidth="1"/>
    <col min="1543" max="1787" width="9.140625" style="123"/>
    <col min="1788" max="1788" width="3.42578125" style="123" customWidth="1"/>
    <col min="1789" max="1789" width="7.7109375" style="123" customWidth="1"/>
    <col min="1790" max="1790" width="52.28515625" style="123" customWidth="1"/>
    <col min="1791" max="1791" width="14.28515625" style="123" customWidth="1"/>
    <col min="1792" max="1792" width="12.42578125" style="123" customWidth="1"/>
    <col min="1793" max="1793" width="16.42578125" style="123" customWidth="1"/>
    <col min="1794" max="1794" width="13.42578125" style="123" customWidth="1"/>
    <col min="1795" max="1795" width="14.85546875" style="123" customWidth="1"/>
    <col min="1796" max="1796" width="11.140625" style="123" customWidth="1"/>
    <col min="1797" max="1797" width="13.42578125" style="123" bestFit="1" customWidth="1"/>
    <col min="1798" max="1798" width="10.28515625" style="123" bestFit="1" customWidth="1"/>
    <col min="1799" max="2043" width="9.140625" style="123"/>
    <col min="2044" max="2044" width="3.42578125" style="123" customWidth="1"/>
    <col min="2045" max="2045" width="7.7109375" style="123" customWidth="1"/>
    <col min="2046" max="2046" width="52.28515625" style="123" customWidth="1"/>
    <col min="2047" max="2047" width="14.28515625" style="123" customWidth="1"/>
    <col min="2048" max="2048" width="12.42578125" style="123" customWidth="1"/>
    <col min="2049" max="2049" width="16.42578125" style="123" customWidth="1"/>
    <col min="2050" max="2050" width="13.42578125" style="123" customWidth="1"/>
    <col min="2051" max="2051" width="14.85546875" style="123" customWidth="1"/>
    <col min="2052" max="2052" width="11.140625" style="123" customWidth="1"/>
    <col min="2053" max="2053" width="13.42578125" style="123" bestFit="1" customWidth="1"/>
    <col min="2054" max="2054" width="10.28515625" style="123" bestFit="1" customWidth="1"/>
    <col min="2055" max="2299" width="9.140625" style="123"/>
    <col min="2300" max="2300" width="3.42578125" style="123" customWidth="1"/>
    <col min="2301" max="2301" width="7.7109375" style="123" customWidth="1"/>
    <col min="2302" max="2302" width="52.28515625" style="123" customWidth="1"/>
    <col min="2303" max="2303" width="14.28515625" style="123" customWidth="1"/>
    <col min="2304" max="2304" width="12.42578125" style="123" customWidth="1"/>
    <col min="2305" max="2305" width="16.42578125" style="123" customWidth="1"/>
    <col min="2306" max="2306" width="13.42578125" style="123" customWidth="1"/>
    <col min="2307" max="2307" width="14.85546875" style="123" customWidth="1"/>
    <col min="2308" max="2308" width="11.140625" style="123" customWidth="1"/>
    <col min="2309" max="2309" width="13.42578125" style="123" bestFit="1" customWidth="1"/>
    <col min="2310" max="2310" width="10.28515625" style="123" bestFit="1" customWidth="1"/>
    <col min="2311" max="2555" width="9.140625" style="123"/>
    <col min="2556" max="2556" width="3.42578125" style="123" customWidth="1"/>
    <col min="2557" max="2557" width="7.7109375" style="123" customWidth="1"/>
    <col min="2558" max="2558" width="52.28515625" style="123" customWidth="1"/>
    <col min="2559" max="2559" width="14.28515625" style="123" customWidth="1"/>
    <col min="2560" max="2560" width="12.42578125" style="123" customWidth="1"/>
    <col min="2561" max="2561" width="16.42578125" style="123" customWidth="1"/>
    <col min="2562" max="2562" width="13.42578125" style="123" customWidth="1"/>
    <col min="2563" max="2563" width="14.85546875" style="123" customWidth="1"/>
    <col min="2564" max="2564" width="11.140625" style="123" customWidth="1"/>
    <col min="2565" max="2565" width="13.42578125" style="123" bestFit="1" customWidth="1"/>
    <col min="2566" max="2566" width="10.28515625" style="123" bestFit="1" customWidth="1"/>
    <col min="2567" max="2811" width="9.140625" style="123"/>
    <col min="2812" max="2812" width="3.42578125" style="123" customWidth="1"/>
    <col min="2813" max="2813" width="7.7109375" style="123" customWidth="1"/>
    <col min="2814" max="2814" width="52.28515625" style="123" customWidth="1"/>
    <col min="2815" max="2815" width="14.28515625" style="123" customWidth="1"/>
    <col min="2816" max="2816" width="12.42578125" style="123" customWidth="1"/>
    <col min="2817" max="2817" width="16.42578125" style="123" customWidth="1"/>
    <col min="2818" max="2818" width="13.42578125" style="123" customWidth="1"/>
    <col min="2819" max="2819" width="14.85546875" style="123" customWidth="1"/>
    <col min="2820" max="2820" width="11.140625" style="123" customWidth="1"/>
    <col min="2821" max="2821" width="13.42578125" style="123" bestFit="1" customWidth="1"/>
    <col min="2822" max="2822" width="10.28515625" style="123" bestFit="1" customWidth="1"/>
    <col min="2823" max="3067" width="9.140625" style="123"/>
    <col min="3068" max="3068" width="3.42578125" style="123" customWidth="1"/>
    <col min="3069" max="3069" width="7.7109375" style="123" customWidth="1"/>
    <col min="3070" max="3070" width="52.28515625" style="123" customWidth="1"/>
    <col min="3071" max="3071" width="14.28515625" style="123" customWidth="1"/>
    <col min="3072" max="3072" width="12.42578125" style="123" customWidth="1"/>
    <col min="3073" max="3073" width="16.42578125" style="123" customWidth="1"/>
    <col min="3074" max="3074" width="13.42578125" style="123" customWidth="1"/>
    <col min="3075" max="3075" width="14.85546875" style="123" customWidth="1"/>
    <col min="3076" max="3076" width="11.140625" style="123" customWidth="1"/>
    <col min="3077" max="3077" width="13.42578125" style="123" bestFit="1" customWidth="1"/>
    <col min="3078" max="3078" width="10.28515625" style="123" bestFit="1" customWidth="1"/>
    <col min="3079" max="3323" width="9.140625" style="123"/>
    <col min="3324" max="3324" width="3.42578125" style="123" customWidth="1"/>
    <col min="3325" max="3325" width="7.7109375" style="123" customWidth="1"/>
    <col min="3326" max="3326" width="52.28515625" style="123" customWidth="1"/>
    <col min="3327" max="3327" width="14.28515625" style="123" customWidth="1"/>
    <col min="3328" max="3328" width="12.42578125" style="123" customWidth="1"/>
    <col min="3329" max="3329" width="16.42578125" style="123" customWidth="1"/>
    <col min="3330" max="3330" width="13.42578125" style="123" customWidth="1"/>
    <col min="3331" max="3331" width="14.85546875" style="123" customWidth="1"/>
    <col min="3332" max="3332" width="11.140625" style="123" customWidth="1"/>
    <col min="3333" max="3333" width="13.42578125" style="123" bestFit="1" customWidth="1"/>
    <col min="3334" max="3334" width="10.28515625" style="123" bestFit="1" customWidth="1"/>
    <col min="3335" max="3579" width="9.140625" style="123"/>
    <col min="3580" max="3580" width="3.42578125" style="123" customWidth="1"/>
    <col min="3581" max="3581" width="7.7109375" style="123" customWidth="1"/>
    <col min="3582" max="3582" width="52.28515625" style="123" customWidth="1"/>
    <col min="3583" max="3583" width="14.28515625" style="123" customWidth="1"/>
    <col min="3584" max="3584" width="12.42578125" style="123" customWidth="1"/>
    <col min="3585" max="3585" width="16.42578125" style="123" customWidth="1"/>
    <col min="3586" max="3586" width="13.42578125" style="123" customWidth="1"/>
    <col min="3587" max="3587" width="14.85546875" style="123" customWidth="1"/>
    <col min="3588" max="3588" width="11.140625" style="123" customWidth="1"/>
    <col min="3589" max="3589" width="13.42578125" style="123" bestFit="1" customWidth="1"/>
    <col min="3590" max="3590" width="10.28515625" style="123" bestFit="1" customWidth="1"/>
    <col min="3591" max="3835" width="9.140625" style="123"/>
    <col min="3836" max="3836" width="3.42578125" style="123" customWidth="1"/>
    <col min="3837" max="3837" width="7.7109375" style="123" customWidth="1"/>
    <col min="3838" max="3838" width="52.28515625" style="123" customWidth="1"/>
    <col min="3839" max="3839" width="14.28515625" style="123" customWidth="1"/>
    <col min="3840" max="3840" width="12.42578125" style="123" customWidth="1"/>
    <col min="3841" max="3841" width="16.42578125" style="123" customWidth="1"/>
    <col min="3842" max="3842" width="13.42578125" style="123" customWidth="1"/>
    <col min="3843" max="3843" width="14.85546875" style="123" customWidth="1"/>
    <col min="3844" max="3844" width="11.140625" style="123" customWidth="1"/>
    <col min="3845" max="3845" width="13.42578125" style="123" bestFit="1" customWidth="1"/>
    <col min="3846" max="3846" width="10.28515625" style="123" bestFit="1" customWidth="1"/>
    <col min="3847" max="4091" width="9.140625" style="123"/>
    <col min="4092" max="4092" width="3.42578125" style="123" customWidth="1"/>
    <col min="4093" max="4093" width="7.7109375" style="123" customWidth="1"/>
    <col min="4094" max="4094" width="52.28515625" style="123" customWidth="1"/>
    <col min="4095" max="4095" width="14.28515625" style="123" customWidth="1"/>
    <col min="4096" max="4096" width="12.42578125" style="123" customWidth="1"/>
    <col min="4097" max="4097" width="16.42578125" style="123" customWidth="1"/>
    <col min="4098" max="4098" width="13.42578125" style="123" customWidth="1"/>
    <col min="4099" max="4099" width="14.85546875" style="123" customWidth="1"/>
    <col min="4100" max="4100" width="11.140625" style="123" customWidth="1"/>
    <col min="4101" max="4101" width="13.42578125" style="123" bestFit="1" customWidth="1"/>
    <col min="4102" max="4102" width="10.28515625" style="123" bestFit="1" customWidth="1"/>
    <col min="4103" max="4347" width="9.140625" style="123"/>
    <col min="4348" max="4348" width="3.42578125" style="123" customWidth="1"/>
    <col min="4349" max="4349" width="7.7109375" style="123" customWidth="1"/>
    <col min="4350" max="4350" width="52.28515625" style="123" customWidth="1"/>
    <col min="4351" max="4351" width="14.28515625" style="123" customWidth="1"/>
    <col min="4352" max="4352" width="12.42578125" style="123" customWidth="1"/>
    <col min="4353" max="4353" width="16.42578125" style="123" customWidth="1"/>
    <col min="4354" max="4354" width="13.42578125" style="123" customWidth="1"/>
    <col min="4355" max="4355" width="14.85546875" style="123" customWidth="1"/>
    <col min="4356" max="4356" width="11.140625" style="123" customWidth="1"/>
    <col min="4357" max="4357" width="13.42578125" style="123" bestFit="1" customWidth="1"/>
    <col min="4358" max="4358" width="10.28515625" style="123" bestFit="1" customWidth="1"/>
    <col min="4359" max="4603" width="9.140625" style="123"/>
    <col min="4604" max="4604" width="3.42578125" style="123" customWidth="1"/>
    <col min="4605" max="4605" width="7.7109375" style="123" customWidth="1"/>
    <col min="4606" max="4606" width="52.28515625" style="123" customWidth="1"/>
    <col min="4607" max="4607" width="14.28515625" style="123" customWidth="1"/>
    <col min="4608" max="4608" width="12.42578125" style="123" customWidth="1"/>
    <col min="4609" max="4609" width="16.42578125" style="123" customWidth="1"/>
    <col min="4610" max="4610" width="13.42578125" style="123" customWidth="1"/>
    <col min="4611" max="4611" width="14.85546875" style="123" customWidth="1"/>
    <col min="4612" max="4612" width="11.140625" style="123" customWidth="1"/>
    <col min="4613" max="4613" width="13.42578125" style="123" bestFit="1" customWidth="1"/>
    <col min="4614" max="4614" width="10.28515625" style="123" bestFit="1" customWidth="1"/>
    <col min="4615" max="4859" width="9.140625" style="123"/>
    <col min="4860" max="4860" width="3.42578125" style="123" customWidth="1"/>
    <col min="4861" max="4861" width="7.7109375" style="123" customWidth="1"/>
    <col min="4862" max="4862" width="52.28515625" style="123" customWidth="1"/>
    <col min="4863" max="4863" width="14.28515625" style="123" customWidth="1"/>
    <col min="4864" max="4864" width="12.42578125" style="123" customWidth="1"/>
    <col min="4865" max="4865" width="16.42578125" style="123" customWidth="1"/>
    <col min="4866" max="4866" width="13.42578125" style="123" customWidth="1"/>
    <col min="4867" max="4867" width="14.85546875" style="123" customWidth="1"/>
    <col min="4868" max="4868" width="11.140625" style="123" customWidth="1"/>
    <col min="4869" max="4869" width="13.42578125" style="123" bestFit="1" customWidth="1"/>
    <col min="4870" max="4870" width="10.28515625" style="123" bestFit="1" customWidth="1"/>
    <col min="4871" max="5115" width="9.140625" style="123"/>
    <col min="5116" max="5116" width="3.42578125" style="123" customWidth="1"/>
    <col min="5117" max="5117" width="7.7109375" style="123" customWidth="1"/>
    <col min="5118" max="5118" width="52.28515625" style="123" customWidth="1"/>
    <col min="5119" max="5119" width="14.28515625" style="123" customWidth="1"/>
    <col min="5120" max="5120" width="12.42578125" style="123" customWidth="1"/>
    <col min="5121" max="5121" width="16.42578125" style="123" customWidth="1"/>
    <col min="5122" max="5122" width="13.42578125" style="123" customWidth="1"/>
    <col min="5123" max="5123" width="14.85546875" style="123" customWidth="1"/>
    <col min="5124" max="5124" width="11.140625" style="123" customWidth="1"/>
    <col min="5125" max="5125" width="13.42578125" style="123" bestFit="1" customWidth="1"/>
    <col min="5126" max="5126" width="10.28515625" style="123" bestFit="1" customWidth="1"/>
    <col min="5127" max="5371" width="9.140625" style="123"/>
    <col min="5372" max="5372" width="3.42578125" style="123" customWidth="1"/>
    <col min="5373" max="5373" width="7.7109375" style="123" customWidth="1"/>
    <col min="5374" max="5374" width="52.28515625" style="123" customWidth="1"/>
    <col min="5375" max="5375" width="14.28515625" style="123" customWidth="1"/>
    <col min="5376" max="5376" width="12.42578125" style="123" customWidth="1"/>
    <col min="5377" max="5377" width="16.42578125" style="123" customWidth="1"/>
    <col min="5378" max="5378" width="13.42578125" style="123" customWidth="1"/>
    <col min="5379" max="5379" width="14.85546875" style="123" customWidth="1"/>
    <col min="5380" max="5380" width="11.140625" style="123" customWidth="1"/>
    <col min="5381" max="5381" width="13.42578125" style="123" bestFit="1" customWidth="1"/>
    <col min="5382" max="5382" width="10.28515625" style="123" bestFit="1" customWidth="1"/>
    <col min="5383" max="5627" width="9.140625" style="123"/>
    <col min="5628" max="5628" width="3.42578125" style="123" customWidth="1"/>
    <col min="5629" max="5629" width="7.7109375" style="123" customWidth="1"/>
    <col min="5630" max="5630" width="52.28515625" style="123" customWidth="1"/>
    <col min="5631" max="5631" width="14.28515625" style="123" customWidth="1"/>
    <col min="5632" max="5632" width="12.42578125" style="123" customWidth="1"/>
    <col min="5633" max="5633" width="16.42578125" style="123" customWidth="1"/>
    <col min="5634" max="5634" width="13.42578125" style="123" customWidth="1"/>
    <col min="5635" max="5635" width="14.85546875" style="123" customWidth="1"/>
    <col min="5636" max="5636" width="11.140625" style="123" customWidth="1"/>
    <col min="5637" max="5637" width="13.42578125" style="123" bestFit="1" customWidth="1"/>
    <col min="5638" max="5638" width="10.28515625" style="123" bestFit="1" customWidth="1"/>
    <col min="5639" max="5883" width="9.140625" style="123"/>
    <col min="5884" max="5884" width="3.42578125" style="123" customWidth="1"/>
    <col min="5885" max="5885" width="7.7109375" style="123" customWidth="1"/>
    <col min="5886" max="5886" width="52.28515625" style="123" customWidth="1"/>
    <col min="5887" max="5887" width="14.28515625" style="123" customWidth="1"/>
    <col min="5888" max="5888" width="12.42578125" style="123" customWidth="1"/>
    <col min="5889" max="5889" width="16.42578125" style="123" customWidth="1"/>
    <col min="5890" max="5890" width="13.42578125" style="123" customWidth="1"/>
    <col min="5891" max="5891" width="14.85546875" style="123" customWidth="1"/>
    <col min="5892" max="5892" width="11.140625" style="123" customWidth="1"/>
    <col min="5893" max="5893" width="13.42578125" style="123" bestFit="1" customWidth="1"/>
    <col min="5894" max="5894" width="10.28515625" style="123" bestFit="1" customWidth="1"/>
    <col min="5895" max="6139" width="9.140625" style="123"/>
    <col min="6140" max="6140" width="3.42578125" style="123" customWidth="1"/>
    <col min="6141" max="6141" width="7.7109375" style="123" customWidth="1"/>
    <col min="6142" max="6142" width="52.28515625" style="123" customWidth="1"/>
    <col min="6143" max="6143" width="14.28515625" style="123" customWidth="1"/>
    <col min="6144" max="6144" width="12.42578125" style="123" customWidth="1"/>
    <col min="6145" max="6145" width="16.42578125" style="123" customWidth="1"/>
    <col min="6146" max="6146" width="13.42578125" style="123" customWidth="1"/>
    <col min="6147" max="6147" width="14.85546875" style="123" customWidth="1"/>
    <col min="6148" max="6148" width="11.140625" style="123" customWidth="1"/>
    <col min="6149" max="6149" width="13.42578125" style="123" bestFit="1" customWidth="1"/>
    <col min="6150" max="6150" width="10.28515625" style="123" bestFit="1" customWidth="1"/>
    <col min="6151" max="6395" width="9.140625" style="123"/>
    <col min="6396" max="6396" width="3.42578125" style="123" customWidth="1"/>
    <col min="6397" max="6397" width="7.7109375" style="123" customWidth="1"/>
    <col min="6398" max="6398" width="52.28515625" style="123" customWidth="1"/>
    <col min="6399" max="6399" width="14.28515625" style="123" customWidth="1"/>
    <col min="6400" max="6400" width="12.42578125" style="123" customWidth="1"/>
    <col min="6401" max="6401" width="16.42578125" style="123" customWidth="1"/>
    <col min="6402" max="6402" width="13.42578125" style="123" customWidth="1"/>
    <col min="6403" max="6403" width="14.85546875" style="123" customWidth="1"/>
    <col min="6404" max="6404" width="11.140625" style="123" customWidth="1"/>
    <col min="6405" max="6405" width="13.42578125" style="123" bestFit="1" customWidth="1"/>
    <col min="6406" max="6406" width="10.28515625" style="123" bestFit="1" customWidth="1"/>
    <col min="6407" max="6651" width="9.140625" style="123"/>
    <col min="6652" max="6652" width="3.42578125" style="123" customWidth="1"/>
    <col min="6653" max="6653" width="7.7109375" style="123" customWidth="1"/>
    <col min="6654" max="6654" width="52.28515625" style="123" customWidth="1"/>
    <col min="6655" max="6655" width="14.28515625" style="123" customWidth="1"/>
    <col min="6656" max="6656" width="12.42578125" style="123" customWidth="1"/>
    <col min="6657" max="6657" width="16.42578125" style="123" customWidth="1"/>
    <col min="6658" max="6658" width="13.42578125" style="123" customWidth="1"/>
    <col min="6659" max="6659" width="14.85546875" style="123" customWidth="1"/>
    <col min="6660" max="6660" width="11.140625" style="123" customWidth="1"/>
    <col min="6661" max="6661" width="13.42578125" style="123" bestFit="1" customWidth="1"/>
    <col min="6662" max="6662" width="10.28515625" style="123" bestFit="1" customWidth="1"/>
    <col min="6663" max="6907" width="9.140625" style="123"/>
    <col min="6908" max="6908" width="3.42578125" style="123" customWidth="1"/>
    <col min="6909" max="6909" width="7.7109375" style="123" customWidth="1"/>
    <col min="6910" max="6910" width="52.28515625" style="123" customWidth="1"/>
    <col min="6911" max="6911" width="14.28515625" style="123" customWidth="1"/>
    <col min="6912" max="6912" width="12.42578125" style="123" customWidth="1"/>
    <col min="6913" max="6913" width="16.42578125" style="123" customWidth="1"/>
    <col min="6914" max="6914" width="13.42578125" style="123" customWidth="1"/>
    <col min="6915" max="6915" width="14.85546875" style="123" customWidth="1"/>
    <col min="6916" max="6916" width="11.140625" style="123" customWidth="1"/>
    <col min="6917" max="6917" width="13.42578125" style="123" bestFit="1" customWidth="1"/>
    <col min="6918" max="6918" width="10.28515625" style="123" bestFit="1" customWidth="1"/>
    <col min="6919" max="7163" width="9.140625" style="123"/>
    <col min="7164" max="7164" width="3.42578125" style="123" customWidth="1"/>
    <col min="7165" max="7165" width="7.7109375" style="123" customWidth="1"/>
    <col min="7166" max="7166" width="52.28515625" style="123" customWidth="1"/>
    <col min="7167" max="7167" width="14.28515625" style="123" customWidth="1"/>
    <col min="7168" max="7168" width="12.42578125" style="123" customWidth="1"/>
    <col min="7169" max="7169" width="16.42578125" style="123" customWidth="1"/>
    <col min="7170" max="7170" width="13.42578125" style="123" customWidth="1"/>
    <col min="7171" max="7171" width="14.85546875" style="123" customWidth="1"/>
    <col min="7172" max="7172" width="11.140625" style="123" customWidth="1"/>
    <col min="7173" max="7173" width="13.42578125" style="123" bestFit="1" customWidth="1"/>
    <col min="7174" max="7174" width="10.28515625" style="123" bestFit="1" customWidth="1"/>
    <col min="7175" max="7419" width="9.140625" style="123"/>
    <col min="7420" max="7420" width="3.42578125" style="123" customWidth="1"/>
    <col min="7421" max="7421" width="7.7109375" style="123" customWidth="1"/>
    <col min="7422" max="7422" width="52.28515625" style="123" customWidth="1"/>
    <col min="7423" max="7423" width="14.28515625" style="123" customWidth="1"/>
    <col min="7424" max="7424" width="12.42578125" style="123" customWidth="1"/>
    <col min="7425" max="7425" width="16.42578125" style="123" customWidth="1"/>
    <col min="7426" max="7426" width="13.42578125" style="123" customWidth="1"/>
    <col min="7427" max="7427" width="14.85546875" style="123" customWidth="1"/>
    <col min="7428" max="7428" width="11.140625" style="123" customWidth="1"/>
    <col min="7429" max="7429" width="13.42578125" style="123" bestFit="1" customWidth="1"/>
    <col min="7430" max="7430" width="10.28515625" style="123" bestFit="1" customWidth="1"/>
    <col min="7431" max="7675" width="9.140625" style="123"/>
    <col min="7676" max="7676" width="3.42578125" style="123" customWidth="1"/>
    <col min="7677" max="7677" width="7.7109375" style="123" customWidth="1"/>
    <col min="7678" max="7678" width="52.28515625" style="123" customWidth="1"/>
    <col min="7679" max="7679" width="14.28515625" style="123" customWidth="1"/>
    <col min="7680" max="7680" width="12.42578125" style="123" customWidth="1"/>
    <col min="7681" max="7681" width="16.42578125" style="123" customWidth="1"/>
    <col min="7682" max="7682" width="13.42578125" style="123" customWidth="1"/>
    <col min="7683" max="7683" width="14.85546875" style="123" customWidth="1"/>
    <col min="7684" max="7684" width="11.140625" style="123" customWidth="1"/>
    <col min="7685" max="7685" width="13.42578125" style="123" bestFit="1" customWidth="1"/>
    <col min="7686" max="7686" width="10.28515625" style="123" bestFit="1" customWidth="1"/>
    <col min="7687" max="7931" width="9.140625" style="123"/>
    <col min="7932" max="7932" width="3.42578125" style="123" customWidth="1"/>
    <col min="7933" max="7933" width="7.7109375" style="123" customWidth="1"/>
    <col min="7934" max="7934" width="52.28515625" style="123" customWidth="1"/>
    <col min="7935" max="7935" width="14.28515625" style="123" customWidth="1"/>
    <col min="7936" max="7936" width="12.42578125" style="123" customWidth="1"/>
    <col min="7937" max="7937" width="16.42578125" style="123" customWidth="1"/>
    <col min="7938" max="7938" width="13.42578125" style="123" customWidth="1"/>
    <col min="7939" max="7939" width="14.85546875" style="123" customWidth="1"/>
    <col min="7940" max="7940" width="11.140625" style="123" customWidth="1"/>
    <col min="7941" max="7941" width="13.42578125" style="123" bestFit="1" customWidth="1"/>
    <col min="7942" max="7942" width="10.28515625" style="123" bestFit="1" customWidth="1"/>
    <col min="7943" max="8187" width="9.140625" style="123"/>
    <col min="8188" max="8188" width="3.42578125" style="123" customWidth="1"/>
    <col min="8189" max="8189" width="7.7109375" style="123" customWidth="1"/>
    <col min="8190" max="8190" width="52.28515625" style="123" customWidth="1"/>
    <col min="8191" max="8191" width="14.28515625" style="123" customWidth="1"/>
    <col min="8192" max="8192" width="12.42578125" style="123" customWidth="1"/>
    <col min="8193" max="8193" width="16.42578125" style="123" customWidth="1"/>
    <col min="8194" max="8194" width="13.42578125" style="123" customWidth="1"/>
    <col min="8195" max="8195" width="14.85546875" style="123" customWidth="1"/>
    <col min="8196" max="8196" width="11.140625" style="123" customWidth="1"/>
    <col min="8197" max="8197" width="13.42578125" style="123" bestFit="1" customWidth="1"/>
    <col min="8198" max="8198" width="10.28515625" style="123" bestFit="1" customWidth="1"/>
    <col min="8199" max="8443" width="9.140625" style="123"/>
    <col min="8444" max="8444" width="3.42578125" style="123" customWidth="1"/>
    <col min="8445" max="8445" width="7.7109375" style="123" customWidth="1"/>
    <col min="8446" max="8446" width="52.28515625" style="123" customWidth="1"/>
    <col min="8447" max="8447" width="14.28515625" style="123" customWidth="1"/>
    <col min="8448" max="8448" width="12.42578125" style="123" customWidth="1"/>
    <col min="8449" max="8449" width="16.42578125" style="123" customWidth="1"/>
    <col min="8450" max="8450" width="13.42578125" style="123" customWidth="1"/>
    <col min="8451" max="8451" width="14.85546875" style="123" customWidth="1"/>
    <col min="8452" max="8452" width="11.140625" style="123" customWidth="1"/>
    <col min="8453" max="8453" width="13.42578125" style="123" bestFit="1" customWidth="1"/>
    <col min="8454" max="8454" width="10.28515625" style="123" bestFit="1" customWidth="1"/>
    <col min="8455" max="8699" width="9.140625" style="123"/>
    <col min="8700" max="8700" width="3.42578125" style="123" customWidth="1"/>
    <col min="8701" max="8701" width="7.7109375" style="123" customWidth="1"/>
    <col min="8702" max="8702" width="52.28515625" style="123" customWidth="1"/>
    <col min="8703" max="8703" width="14.28515625" style="123" customWidth="1"/>
    <col min="8704" max="8704" width="12.42578125" style="123" customWidth="1"/>
    <col min="8705" max="8705" width="16.42578125" style="123" customWidth="1"/>
    <col min="8706" max="8706" width="13.42578125" style="123" customWidth="1"/>
    <col min="8707" max="8707" width="14.85546875" style="123" customWidth="1"/>
    <col min="8708" max="8708" width="11.140625" style="123" customWidth="1"/>
    <col min="8709" max="8709" width="13.42578125" style="123" bestFit="1" customWidth="1"/>
    <col min="8710" max="8710" width="10.28515625" style="123" bestFit="1" customWidth="1"/>
    <col min="8711" max="8955" width="9.140625" style="123"/>
    <col min="8956" max="8956" width="3.42578125" style="123" customWidth="1"/>
    <col min="8957" max="8957" width="7.7109375" style="123" customWidth="1"/>
    <col min="8958" max="8958" width="52.28515625" style="123" customWidth="1"/>
    <col min="8959" max="8959" width="14.28515625" style="123" customWidth="1"/>
    <col min="8960" max="8960" width="12.42578125" style="123" customWidth="1"/>
    <col min="8961" max="8961" width="16.42578125" style="123" customWidth="1"/>
    <col min="8962" max="8962" width="13.42578125" style="123" customWidth="1"/>
    <col min="8963" max="8963" width="14.85546875" style="123" customWidth="1"/>
    <col min="8964" max="8964" width="11.140625" style="123" customWidth="1"/>
    <col min="8965" max="8965" width="13.42578125" style="123" bestFit="1" customWidth="1"/>
    <col min="8966" max="8966" width="10.28515625" style="123" bestFit="1" customWidth="1"/>
    <col min="8967" max="9211" width="9.140625" style="123"/>
    <col min="9212" max="9212" width="3.42578125" style="123" customWidth="1"/>
    <col min="9213" max="9213" width="7.7109375" style="123" customWidth="1"/>
    <col min="9214" max="9214" width="52.28515625" style="123" customWidth="1"/>
    <col min="9215" max="9215" width="14.28515625" style="123" customWidth="1"/>
    <col min="9216" max="9216" width="12.42578125" style="123" customWidth="1"/>
    <col min="9217" max="9217" width="16.42578125" style="123" customWidth="1"/>
    <col min="9218" max="9218" width="13.42578125" style="123" customWidth="1"/>
    <col min="9219" max="9219" width="14.85546875" style="123" customWidth="1"/>
    <col min="9220" max="9220" width="11.140625" style="123" customWidth="1"/>
    <col min="9221" max="9221" width="13.42578125" style="123" bestFit="1" customWidth="1"/>
    <col min="9222" max="9222" width="10.28515625" style="123" bestFit="1" customWidth="1"/>
    <col min="9223" max="9467" width="9.140625" style="123"/>
    <col min="9468" max="9468" width="3.42578125" style="123" customWidth="1"/>
    <col min="9469" max="9469" width="7.7109375" style="123" customWidth="1"/>
    <col min="9470" max="9470" width="52.28515625" style="123" customWidth="1"/>
    <col min="9471" max="9471" width="14.28515625" style="123" customWidth="1"/>
    <col min="9472" max="9472" width="12.42578125" style="123" customWidth="1"/>
    <col min="9473" max="9473" width="16.42578125" style="123" customWidth="1"/>
    <col min="9474" max="9474" width="13.42578125" style="123" customWidth="1"/>
    <col min="9475" max="9475" width="14.85546875" style="123" customWidth="1"/>
    <col min="9476" max="9476" width="11.140625" style="123" customWidth="1"/>
    <col min="9477" max="9477" width="13.42578125" style="123" bestFit="1" customWidth="1"/>
    <col min="9478" max="9478" width="10.28515625" style="123" bestFit="1" customWidth="1"/>
    <col min="9479" max="9723" width="9.140625" style="123"/>
    <col min="9724" max="9724" width="3.42578125" style="123" customWidth="1"/>
    <col min="9725" max="9725" width="7.7109375" style="123" customWidth="1"/>
    <col min="9726" max="9726" width="52.28515625" style="123" customWidth="1"/>
    <col min="9727" max="9727" width="14.28515625" style="123" customWidth="1"/>
    <col min="9728" max="9728" width="12.42578125" style="123" customWidth="1"/>
    <col min="9729" max="9729" width="16.42578125" style="123" customWidth="1"/>
    <col min="9730" max="9730" width="13.42578125" style="123" customWidth="1"/>
    <col min="9731" max="9731" width="14.85546875" style="123" customWidth="1"/>
    <col min="9732" max="9732" width="11.140625" style="123" customWidth="1"/>
    <col min="9733" max="9733" width="13.42578125" style="123" bestFit="1" customWidth="1"/>
    <col min="9734" max="9734" width="10.28515625" style="123" bestFit="1" customWidth="1"/>
    <col min="9735" max="9979" width="9.140625" style="123"/>
    <col min="9980" max="9980" width="3.42578125" style="123" customWidth="1"/>
    <col min="9981" max="9981" width="7.7109375" style="123" customWidth="1"/>
    <col min="9982" max="9982" width="52.28515625" style="123" customWidth="1"/>
    <col min="9983" max="9983" width="14.28515625" style="123" customWidth="1"/>
    <col min="9984" max="9984" width="12.42578125" style="123" customWidth="1"/>
    <col min="9985" max="9985" width="16.42578125" style="123" customWidth="1"/>
    <col min="9986" max="9986" width="13.42578125" style="123" customWidth="1"/>
    <col min="9987" max="9987" width="14.85546875" style="123" customWidth="1"/>
    <col min="9988" max="9988" width="11.140625" style="123" customWidth="1"/>
    <col min="9989" max="9989" width="13.42578125" style="123" bestFit="1" customWidth="1"/>
    <col min="9990" max="9990" width="10.28515625" style="123" bestFit="1" customWidth="1"/>
    <col min="9991" max="10235" width="9.140625" style="123"/>
    <col min="10236" max="10236" width="3.42578125" style="123" customWidth="1"/>
    <col min="10237" max="10237" width="7.7109375" style="123" customWidth="1"/>
    <col min="10238" max="10238" width="52.28515625" style="123" customWidth="1"/>
    <col min="10239" max="10239" width="14.28515625" style="123" customWidth="1"/>
    <col min="10240" max="10240" width="12.42578125" style="123" customWidth="1"/>
    <col min="10241" max="10241" width="16.42578125" style="123" customWidth="1"/>
    <col min="10242" max="10242" width="13.42578125" style="123" customWidth="1"/>
    <col min="10243" max="10243" width="14.85546875" style="123" customWidth="1"/>
    <col min="10244" max="10244" width="11.140625" style="123" customWidth="1"/>
    <col min="10245" max="10245" width="13.42578125" style="123" bestFit="1" customWidth="1"/>
    <col min="10246" max="10246" width="10.28515625" style="123" bestFit="1" customWidth="1"/>
    <col min="10247" max="10491" width="9.140625" style="123"/>
    <col min="10492" max="10492" width="3.42578125" style="123" customWidth="1"/>
    <col min="10493" max="10493" width="7.7109375" style="123" customWidth="1"/>
    <col min="10494" max="10494" width="52.28515625" style="123" customWidth="1"/>
    <col min="10495" max="10495" width="14.28515625" style="123" customWidth="1"/>
    <col min="10496" max="10496" width="12.42578125" style="123" customWidth="1"/>
    <col min="10497" max="10497" width="16.42578125" style="123" customWidth="1"/>
    <col min="10498" max="10498" width="13.42578125" style="123" customWidth="1"/>
    <col min="10499" max="10499" width="14.85546875" style="123" customWidth="1"/>
    <col min="10500" max="10500" width="11.140625" style="123" customWidth="1"/>
    <col min="10501" max="10501" width="13.42578125" style="123" bestFit="1" customWidth="1"/>
    <col min="10502" max="10502" width="10.28515625" style="123" bestFit="1" customWidth="1"/>
    <col min="10503" max="10747" width="9.140625" style="123"/>
    <col min="10748" max="10748" width="3.42578125" style="123" customWidth="1"/>
    <col min="10749" max="10749" width="7.7109375" style="123" customWidth="1"/>
    <col min="10750" max="10750" width="52.28515625" style="123" customWidth="1"/>
    <col min="10751" max="10751" width="14.28515625" style="123" customWidth="1"/>
    <col min="10752" max="10752" width="12.42578125" style="123" customWidth="1"/>
    <col min="10753" max="10753" width="16.42578125" style="123" customWidth="1"/>
    <col min="10754" max="10754" width="13.42578125" style="123" customWidth="1"/>
    <col min="10755" max="10755" width="14.85546875" style="123" customWidth="1"/>
    <col min="10756" max="10756" width="11.140625" style="123" customWidth="1"/>
    <col min="10757" max="10757" width="13.42578125" style="123" bestFit="1" customWidth="1"/>
    <col min="10758" max="10758" width="10.28515625" style="123" bestFit="1" customWidth="1"/>
    <col min="10759" max="11003" width="9.140625" style="123"/>
    <col min="11004" max="11004" width="3.42578125" style="123" customWidth="1"/>
    <col min="11005" max="11005" width="7.7109375" style="123" customWidth="1"/>
    <col min="11006" max="11006" width="52.28515625" style="123" customWidth="1"/>
    <col min="11007" max="11007" width="14.28515625" style="123" customWidth="1"/>
    <col min="11008" max="11008" width="12.42578125" style="123" customWidth="1"/>
    <col min="11009" max="11009" width="16.42578125" style="123" customWidth="1"/>
    <col min="11010" max="11010" width="13.42578125" style="123" customWidth="1"/>
    <col min="11011" max="11011" width="14.85546875" style="123" customWidth="1"/>
    <col min="11012" max="11012" width="11.140625" style="123" customWidth="1"/>
    <col min="11013" max="11013" width="13.42578125" style="123" bestFit="1" customWidth="1"/>
    <col min="11014" max="11014" width="10.28515625" style="123" bestFit="1" customWidth="1"/>
    <col min="11015" max="11259" width="9.140625" style="123"/>
    <col min="11260" max="11260" width="3.42578125" style="123" customWidth="1"/>
    <col min="11261" max="11261" width="7.7109375" style="123" customWidth="1"/>
    <col min="11262" max="11262" width="52.28515625" style="123" customWidth="1"/>
    <col min="11263" max="11263" width="14.28515625" style="123" customWidth="1"/>
    <col min="11264" max="11264" width="12.42578125" style="123" customWidth="1"/>
    <col min="11265" max="11265" width="16.42578125" style="123" customWidth="1"/>
    <col min="11266" max="11266" width="13.42578125" style="123" customWidth="1"/>
    <col min="11267" max="11267" width="14.85546875" style="123" customWidth="1"/>
    <col min="11268" max="11268" width="11.140625" style="123" customWidth="1"/>
    <col min="11269" max="11269" width="13.42578125" style="123" bestFit="1" customWidth="1"/>
    <col min="11270" max="11270" width="10.28515625" style="123" bestFit="1" customWidth="1"/>
    <col min="11271" max="11515" width="9.140625" style="123"/>
    <col min="11516" max="11516" width="3.42578125" style="123" customWidth="1"/>
    <col min="11517" max="11517" width="7.7109375" style="123" customWidth="1"/>
    <col min="11518" max="11518" width="52.28515625" style="123" customWidth="1"/>
    <col min="11519" max="11519" width="14.28515625" style="123" customWidth="1"/>
    <col min="11520" max="11520" width="12.42578125" style="123" customWidth="1"/>
    <col min="11521" max="11521" width="16.42578125" style="123" customWidth="1"/>
    <col min="11522" max="11522" width="13.42578125" style="123" customWidth="1"/>
    <col min="11523" max="11523" width="14.85546875" style="123" customWidth="1"/>
    <col min="11524" max="11524" width="11.140625" style="123" customWidth="1"/>
    <col min="11525" max="11525" width="13.42578125" style="123" bestFit="1" customWidth="1"/>
    <col min="11526" max="11526" width="10.28515625" style="123" bestFit="1" customWidth="1"/>
    <col min="11527" max="11771" width="9.140625" style="123"/>
    <col min="11772" max="11772" width="3.42578125" style="123" customWidth="1"/>
    <col min="11773" max="11773" width="7.7109375" style="123" customWidth="1"/>
    <col min="11774" max="11774" width="52.28515625" style="123" customWidth="1"/>
    <col min="11775" max="11775" width="14.28515625" style="123" customWidth="1"/>
    <col min="11776" max="11776" width="12.42578125" style="123" customWidth="1"/>
    <col min="11777" max="11777" width="16.42578125" style="123" customWidth="1"/>
    <col min="11778" max="11778" width="13.42578125" style="123" customWidth="1"/>
    <col min="11779" max="11779" width="14.85546875" style="123" customWidth="1"/>
    <col min="11780" max="11780" width="11.140625" style="123" customWidth="1"/>
    <col min="11781" max="11781" width="13.42578125" style="123" bestFit="1" customWidth="1"/>
    <col min="11782" max="11782" width="10.28515625" style="123" bestFit="1" customWidth="1"/>
    <col min="11783" max="12027" width="9.140625" style="123"/>
    <col min="12028" max="12028" width="3.42578125" style="123" customWidth="1"/>
    <col min="12029" max="12029" width="7.7109375" style="123" customWidth="1"/>
    <col min="12030" max="12030" width="52.28515625" style="123" customWidth="1"/>
    <col min="12031" max="12031" width="14.28515625" style="123" customWidth="1"/>
    <col min="12032" max="12032" width="12.42578125" style="123" customWidth="1"/>
    <col min="12033" max="12033" width="16.42578125" style="123" customWidth="1"/>
    <col min="12034" max="12034" width="13.42578125" style="123" customWidth="1"/>
    <col min="12035" max="12035" width="14.85546875" style="123" customWidth="1"/>
    <col min="12036" max="12036" width="11.140625" style="123" customWidth="1"/>
    <col min="12037" max="12037" width="13.42578125" style="123" bestFit="1" customWidth="1"/>
    <col min="12038" max="12038" width="10.28515625" style="123" bestFit="1" customWidth="1"/>
    <col min="12039" max="12283" width="9.140625" style="123"/>
    <col min="12284" max="12284" width="3.42578125" style="123" customWidth="1"/>
    <col min="12285" max="12285" width="7.7109375" style="123" customWidth="1"/>
    <col min="12286" max="12286" width="52.28515625" style="123" customWidth="1"/>
    <col min="12287" max="12287" width="14.28515625" style="123" customWidth="1"/>
    <col min="12288" max="12288" width="12.42578125" style="123" customWidth="1"/>
    <col min="12289" max="12289" width="16.42578125" style="123" customWidth="1"/>
    <col min="12290" max="12290" width="13.42578125" style="123" customWidth="1"/>
    <col min="12291" max="12291" width="14.85546875" style="123" customWidth="1"/>
    <col min="12292" max="12292" width="11.140625" style="123" customWidth="1"/>
    <col min="12293" max="12293" width="13.42578125" style="123" bestFit="1" customWidth="1"/>
    <col min="12294" max="12294" width="10.28515625" style="123" bestFit="1" customWidth="1"/>
    <col min="12295" max="12539" width="9.140625" style="123"/>
    <col min="12540" max="12540" width="3.42578125" style="123" customWidth="1"/>
    <col min="12541" max="12541" width="7.7109375" style="123" customWidth="1"/>
    <col min="12542" max="12542" width="52.28515625" style="123" customWidth="1"/>
    <col min="12543" max="12543" width="14.28515625" style="123" customWidth="1"/>
    <col min="12544" max="12544" width="12.42578125" style="123" customWidth="1"/>
    <col min="12545" max="12545" width="16.42578125" style="123" customWidth="1"/>
    <col min="12546" max="12546" width="13.42578125" style="123" customWidth="1"/>
    <col min="12547" max="12547" width="14.85546875" style="123" customWidth="1"/>
    <col min="12548" max="12548" width="11.140625" style="123" customWidth="1"/>
    <col min="12549" max="12549" width="13.42578125" style="123" bestFit="1" customWidth="1"/>
    <col min="12550" max="12550" width="10.28515625" style="123" bestFit="1" customWidth="1"/>
    <col min="12551" max="12795" width="9.140625" style="123"/>
    <col min="12796" max="12796" width="3.42578125" style="123" customWidth="1"/>
    <col min="12797" max="12797" width="7.7109375" style="123" customWidth="1"/>
    <col min="12798" max="12798" width="52.28515625" style="123" customWidth="1"/>
    <col min="12799" max="12799" width="14.28515625" style="123" customWidth="1"/>
    <col min="12800" max="12800" width="12.42578125" style="123" customWidth="1"/>
    <col min="12801" max="12801" width="16.42578125" style="123" customWidth="1"/>
    <col min="12802" max="12802" width="13.42578125" style="123" customWidth="1"/>
    <col min="12803" max="12803" width="14.85546875" style="123" customWidth="1"/>
    <col min="12804" max="12804" width="11.140625" style="123" customWidth="1"/>
    <col min="12805" max="12805" width="13.42578125" style="123" bestFit="1" customWidth="1"/>
    <col min="12806" max="12806" width="10.28515625" style="123" bestFit="1" customWidth="1"/>
    <col min="12807" max="13051" width="9.140625" style="123"/>
    <col min="13052" max="13052" width="3.42578125" style="123" customWidth="1"/>
    <col min="13053" max="13053" width="7.7109375" style="123" customWidth="1"/>
    <col min="13054" max="13054" width="52.28515625" style="123" customWidth="1"/>
    <col min="13055" max="13055" width="14.28515625" style="123" customWidth="1"/>
    <col min="13056" max="13056" width="12.42578125" style="123" customWidth="1"/>
    <col min="13057" max="13057" width="16.42578125" style="123" customWidth="1"/>
    <col min="13058" max="13058" width="13.42578125" style="123" customWidth="1"/>
    <col min="13059" max="13059" width="14.85546875" style="123" customWidth="1"/>
    <col min="13060" max="13060" width="11.140625" style="123" customWidth="1"/>
    <col min="13061" max="13061" width="13.42578125" style="123" bestFit="1" customWidth="1"/>
    <col min="13062" max="13062" width="10.28515625" style="123" bestFit="1" customWidth="1"/>
    <col min="13063" max="13307" width="9.140625" style="123"/>
    <col min="13308" max="13308" width="3.42578125" style="123" customWidth="1"/>
    <col min="13309" max="13309" width="7.7109375" style="123" customWidth="1"/>
    <col min="13310" max="13310" width="52.28515625" style="123" customWidth="1"/>
    <col min="13311" max="13311" width="14.28515625" style="123" customWidth="1"/>
    <col min="13312" max="13312" width="12.42578125" style="123" customWidth="1"/>
    <col min="13313" max="13313" width="16.42578125" style="123" customWidth="1"/>
    <col min="13314" max="13314" width="13.42578125" style="123" customWidth="1"/>
    <col min="13315" max="13315" width="14.85546875" style="123" customWidth="1"/>
    <col min="13316" max="13316" width="11.140625" style="123" customWidth="1"/>
    <col min="13317" max="13317" width="13.42578125" style="123" bestFit="1" customWidth="1"/>
    <col min="13318" max="13318" width="10.28515625" style="123" bestFit="1" customWidth="1"/>
    <col min="13319" max="13563" width="9.140625" style="123"/>
    <col min="13564" max="13564" width="3.42578125" style="123" customWidth="1"/>
    <col min="13565" max="13565" width="7.7109375" style="123" customWidth="1"/>
    <col min="13566" max="13566" width="52.28515625" style="123" customWidth="1"/>
    <col min="13567" max="13567" width="14.28515625" style="123" customWidth="1"/>
    <col min="13568" max="13568" width="12.42578125" style="123" customWidth="1"/>
    <col min="13569" max="13569" width="16.42578125" style="123" customWidth="1"/>
    <col min="13570" max="13570" width="13.42578125" style="123" customWidth="1"/>
    <col min="13571" max="13571" width="14.85546875" style="123" customWidth="1"/>
    <col min="13572" max="13572" width="11.140625" style="123" customWidth="1"/>
    <col min="13573" max="13573" width="13.42578125" style="123" bestFit="1" customWidth="1"/>
    <col min="13574" max="13574" width="10.28515625" style="123" bestFit="1" customWidth="1"/>
    <col min="13575" max="13819" width="9.140625" style="123"/>
    <col min="13820" max="13820" width="3.42578125" style="123" customWidth="1"/>
    <col min="13821" max="13821" width="7.7109375" style="123" customWidth="1"/>
    <col min="13822" max="13822" width="52.28515625" style="123" customWidth="1"/>
    <col min="13823" max="13823" width="14.28515625" style="123" customWidth="1"/>
    <col min="13824" max="13824" width="12.42578125" style="123" customWidth="1"/>
    <col min="13825" max="13825" width="16.42578125" style="123" customWidth="1"/>
    <col min="13826" max="13826" width="13.42578125" style="123" customWidth="1"/>
    <col min="13827" max="13827" width="14.85546875" style="123" customWidth="1"/>
    <col min="13828" max="13828" width="11.140625" style="123" customWidth="1"/>
    <col min="13829" max="13829" width="13.42578125" style="123" bestFit="1" customWidth="1"/>
    <col min="13830" max="13830" width="10.28515625" style="123" bestFit="1" customWidth="1"/>
    <col min="13831" max="14075" width="9.140625" style="123"/>
    <col min="14076" max="14076" width="3.42578125" style="123" customWidth="1"/>
    <col min="14077" max="14077" width="7.7109375" style="123" customWidth="1"/>
    <col min="14078" max="14078" width="52.28515625" style="123" customWidth="1"/>
    <col min="14079" max="14079" width="14.28515625" style="123" customWidth="1"/>
    <col min="14080" max="14080" width="12.42578125" style="123" customWidth="1"/>
    <col min="14081" max="14081" width="16.42578125" style="123" customWidth="1"/>
    <col min="14082" max="14082" width="13.42578125" style="123" customWidth="1"/>
    <col min="14083" max="14083" width="14.85546875" style="123" customWidth="1"/>
    <col min="14084" max="14084" width="11.140625" style="123" customWidth="1"/>
    <col min="14085" max="14085" width="13.42578125" style="123" bestFit="1" customWidth="1"/>
    <col min="14086" max="14086" width="10.28515625" style="123" bestFit="1" customWidth="1"/>
    <col min="14087" max="14331" width="9.140625" style="123"/>
    <col min="14332" max="14332" width="3.42578125" style="123" customWidth="1"/>
    <col min="14333" max="14333" width="7.7109375" style="123" customWidth="1"/>
    <col min="14334" max="14334" width="52.28515625" style="123" customWidth="1"/>
    <col min="14335" max="14335" width="14.28515625" style="123" customWidth="1"/>
    <col min="14336" max="14336" width="12.42578125" style="123" customWidth="1"/>
    <col min="14337" max="14337" width="16.42578125" style="123" customWidth="1"/>
    <col min="14338" max="14338" width="13.42578125" style="123" customWidth="1"/>
    <col min="14339" max="14339" width="14.85546875" style="123" customWidth="1"/>
    <col min="14340" max="14340" width="11.140625" style="123" customWidth="1"/>
    <col min="14341" max="14341" width="13.42578125" style="123" bestFit="1" customWidth="1"/>
    <col min="14342" max="14342" width="10.28515625" style="123" bestFit="1" customWidth="1"/>
    <col min="14343" max="14587" width="9.140625" style="123"/>
    <col min="14588" max="14588" width="3.42578125" style="123" customWidth="1"/>
    <col min="14589" max="14589" width="7.7109375" style="123" customWidth="1"/>
    <col min="14590" max="14590" width="52.28515625" style="123" customWidth="1"/>
    <col min="14591" max="14591" width="14.28515625" style="123" customWidth="1"/>
    <col min="14592" max="14592" width="12.42578125" style="123" customWidth="1"/>
    <col min="14593" max="14593" width="16.42578125" style="123" customWidth="1"/>
    <col min="14594" max="14594" width="13.42578125" style="123" customWidth="1"/>
    <col min="14595" max="14595" width="14.85546875" style="123" customWidth="1"/>
    <col min="14596" max="14596" width="11.140625" style="123" customWidth="1"/>
    <col min="14597" max="14597" width="13.42578125" style="123" bestFit="1" customWidth="1"/>
    <col min="14598" max="14598" width="10.28515625" style="123" bestFit="1" customWidth="1"/>
    <col min="14599" max="14843" width="9.140625" style="123"/>
    <col min="14844" max="14844" width="3.42578125" style="123" customWidth="1"/>
    <col min="14845" max="14845" width="7.7109375" style="123" customWidth="1"/>
    <col min="14846" max="14846" width="52.28515625" style="123" customWidth="1"/>
    <col min="14847" max="14847" width="14.28515625" style="123" customWidth="1"/>
    <col min="14848" max="14848" width="12.42578125" style="123" customWidth="1"/>
    <col min="14849" max="14849" width="16.42578125" style="123" customWidth="1"/>
    <col min="14850" max="14850" width="13.42578125" style="123" customWidth="1"/>
    <col min="14851" max="14851" width="14.85546875" style="123" customWidth="1"/>
    <col min="14852" max="14852" width="11.140625" style="123" customWidth="1"/>
    <col min="14853" max="14853" width="13.42578125" style="123" bestFit="1" customWidth="1"/>
    <col min="14854" max="14854" width="10.28515625" style="123" bestFit="1" customWidth="1"/>
    <col min="14855" max="15099" width="9.140625" style="123"/>
    <col min="15100" max="15100" width="3.42578125" style="123" customWidth="1"/>
    <col min="15101" max="15101" width="7.7109375" style="123" customWidth="1"/>
    <col min="15102" max="15102" width="52.28515625" style="123" customWidth="1"/>
    <col min="15103" max="15103" width="14.28515625" style="123" customWidth="1"/>
    <col min="15104" max="15104" width="12.42578125" style="123" customWidth="1"/>
    <col min="15105" max="15105" width="16.42578125" style="123" customWidth="1"/>
    <col min="15106" max="15106" width="13.42578125" style="123" customWidth="1"/>
    <col min="15107" max="15107" width="14.85546875" style="123" customWidth="1"/>
    <col min="15108" max="15108" width="11.140625" style="123" customWidth="1"/>
    <col min="15109" max="15109" width="13.42578125" style="123" bestFit="1" customWidth="1"/>
    <col min="15110" max="15110" width="10.28515625" style="123" bestFit="1" customWidth="1"/>
    <col min="15111" max="15355" width="9.140625" style="123"/>
    <col min="15356" max="15356" width="3.42578125" style="123" customWidth="1"/>
    <col min="15357" max="15357" width="7.7109375" style="123" customWidth="1"/>
    <col min="15358" max="15358" width="52.28515625" style="123" customWidth="1"/>
    <col min="15359" max="15359" width="14.28515625" style="123" customWidth="1"/>
    <col min="15360" max="15360" width="12.42578125" style="123" customWidth="1"/>
    <col min="15361" max="15361" width="16.42578125" style="123" customWidth="1"/>
    <col min="15362" max="15362" width="13.42578125" style="123" customWidth="1"/>
    <col min="15363" max="15363" width="14.85546875" style="123" customWidth="1"/>
    <col min="15364" max="15364" width="11.140625" style="123" customWidth="1"/>
    <col min="15365" max="15365" width="13.42578125" style="123" bestFit="1" customWidth="1"/>
    <col min="15366" max="15366" width="10.28515625" style="123" bestFit="1" customWidth="1"/>
    <col min="15367" max="15611" width="9.140625" style="123"/>
    <col min="15612" max="15612" width="3.42578125" style="123" customWidth="1"/>
    <col min="15613" max="15613" width="7.7109375" style="123" customWidth="1"/>
    <col min="15614" max="15614" width="52.28515625" style="123" customWidth="1"/>
    <col min="15615" max="15615" width="14.28515625" style="123" customWidth="1"/>
    <col min="15616" max="15616" width="12.42578125" style="123" customWidth="1"/>
    <col min="15617" max="15617" width="16.42578125" style="123" customWidth="1"/>
    <col min="15618" max="15618" width="13.42578125" style="123" customWidth="1"/>
    <col min="15619" max="15619" width="14.85546875" style="123" customWidth="1"/>
    <col min="15620" max="15620" width="11.140625" style="123" customWidth="1"/>
    <col min="15621" max="15621" width="13.42578125" style="123" bestFit="1" customWidth="1"/>
    <col min="15622" max="15622" width="10.28515625" style="123" bestFit="1" customWidth="1"/>
    <col min="15623" max="15867" width="9.140625" style="123"/>
    <col min="15868" max="15868" width="3.42578125" style="123" customWidth="1"/>
    <col min="15869" max="15869" width="7.7109375" style="123" customWidth="1"/>
    <col min="15870" max="15870" width="52.28515625" style="123" customWidth="1"/>
    <col min="15871" max="15871" width="14.28515625" style="123" customWidth="1"/>
    <col min="15872" max="15872" width="12.42578125" style="123" customWidth="1"/>
    <col min="15873" max="15873" width="16.42578125" style="123" customWidth="1"/>
    <col min="15874" max="15874" width="13.42578125" style="123" customWidth="1"/>
    <col min="15875" max="15875" width="14.85546875" style="123" customWidth="1"/>
    <col min="15876" max="15876" width="11.140625" style="123" customWidth="1"/>
    <col min="15877" max="15877" width="13.42578125" style="123" bestFit="1" customWidth="1"/>
    <col min="15878" max="15878" width="10.28515625" style="123" bestFit="1" customWidth="1"/>
    <col min="15879" max="16123" width="9.140625" style="123"/>
    <col min="16124" max="16124" width="3.42578125" style="123" customWidth="1"/>
    <col min="16125" max="16125" width="7.7109375" style="123" customWidth="1"/>
    <col min="16126" max="16126" width="52.28515625" style="123" customWidth="1"/>
    <col min="16127" max="16127" width="14.28515625" style="123" customWidth="1"/>
    <col min="16128" max="16128" width="12.42578125" style="123" customWidth="1"/>
    <col min="16129" max="16129" width="16.42578125" style="123" customWidth="1"/>
    <col min="16130" max="16130" width="13.42578125" style="123" customWidth="1"/>
    <col min="16131" max="16131" width="14.85546875" style="123" customWidth="1"/>
    <col min="16132" max="16132" width="11.140625" style="123" customWidth="1"/>
    <col min="16133" max="16133" width="13.42578125" style="123" bestFit="1" customWidth="1"/>
    <col min="16134" max="16134" width="10.28515625" style="123" bestFit="1" customWidth="1"/>
    <col min="16135" max="16384" width="9.140625" style="123"/>
  </cols>
  <sheetData>
    <row r="1" spans="1:10">
      <c r="A1" s="1063" t="e">
        <f>#REF!</f>
        <v>#REF!</v>
      </c>
      <c r="B1" s="1063"/>
      <c r="C1" s="1063"/>
      <c r="D1" s="1063"/>
      <c r="E1" s="1063"/>
      <c r="F1" s="1063"/>
      <c r="G1" s="1063"/>
      <c r="H1" s="1063"/>
      <c r="I1" s="1063"/>
    </row>
    <row r="2" spans="1:10">
      <c r="A2" s="124"/>
      <c r="B2" s="1064" t="s">
        <v>53</v>
      </c>
      <c r="C2" s="1064"/>
      <c r="D2" s="1064"/>
      <c r="E2" s="1064"/>
      <c r="F2" s="125" t="str">
        <f>'B-1'!B10</f>
        <v>B-1.2</v>
      </c>
      <c r="G2" s="125"/>
      <c r="H2" s="125"/>
      <c r="I2" s="125"/>
    </row>
    <row r="3" spans="1:10">
      <c r="A3" s="1062" t="str">
        <f>'B-1'!C10</f>
        <v>სადრენაჟე სათავე კვანძი</v>
      </c>
      <c r="B3" s="1062"/>
      <c r="C3" s="1062"/>
      <c r="D3" s="1062"/>
      <c r="E3" s="1062"/>
      <c r="F3" s="1062"/>
      <c r="G3" s="1062"/>
      <c r="H3" s="1062"/>
      <c r="I3" s="1062"/>
    </row>
    <row r="4" spans="1:10" ht="15.75" customHeight="1">
      <c r="A4" s="124"/>
      <c r="B4" s="126"/>
      <c r="C4" s="126"/>
      <c r="D4" s="126"/>
      <c r="E4" s="126"/>
      <c r="F4" s="126"/>
      <c r="G4" s="126"/>
      <c r="H4" s="126"/>
      <c r="I4" s="340"/>
    </row>
    <row r="5" spans="1:10" ht="15.75" customHeight="1">
      <c r="A5" s="128"/>
      <c r="B5" s="128"/>
      <c r="C5" s="128"/>
      <c r="D5" s="128"/>
      <c r="E5" s="128"/>
      <c r="F5" s="128"/>
      <c r="G5" s="128"/>
      <c r="H5" s="1065"/>
      <c r="I5" s="1065"/>
    </row>
    <row r="6" spans="1:10">
      <c r="A6" s="1066" t="s">
        <v>389</v>
      </c>
      <c r="B6" s="1067"/>
      <c r="C6" s="1058" t="s">
        <v>138</v>
      </c>
      <c r="D6" s="1059" t="s">
        <v>139</v>
      </c>
      <c r="E6" s="1059"/>
      <c r="F6" s="1059"/>
      <c r="G6" s="1059"/>
      <c r="H6" s="1059"/>
      <c r="I6" s="1058" t="s">
        <v>140</v>
      </c>
    </row>
    <row r="7" spans="1:10">
      <c r="A7" s="1068"/>
      <c r="B7" s="1069"/>
      <c r="C7" s="1058"/>
      <c r="D7" s="1058" t="s">
        <v>141</v>
      </c>
      <c r="E7" s="1058" t="s">
        <v>142</v>
      </c>
      <c r="F7" s="1058" t="s">
        <v>143</v>
      </c>
      <c r="G7" s="1058" t="s">
        <v>144</v>
      </c>
      <c r="H7" s="1059" t="s">
        <v>145</v>
      </c>
      <c r="I7" s="1058"/>
    </row>
    <row r="8" spans="1:10">
      <c r="A8" s="1070"/>
      <c r="B8" s="1071"/>
      <c r="C8" s="1058"/>
      <c r="D8" s="1058"/>
      <c r="E8" s="1058"/>
      <c r="F8" s="1058"/>
      <c r="G8" s="1058"/>
      <c r="H8" s="1059"/>
      <c r="I8" s="1058"/>
    </row>
    <row r="9" spans="1:10">
      <c r="A9" s="1060">
        <v>1</v>
      </c>
      <c r="B9" s="1061"/>
      <c r="C9" s="339">
        <v>2</v>
      </c>
      <c r="D9" s="338">
        <v>3</v>
      </c>
      <c r="E9" s="339">
        <v>4</v>
      </c>
      <c r="F9" s="338">
        <v>5</v>
      </c>
      <c r="G9" s="339">
        <v>6</v>
      </c>
      <c r="H9" s="338">
        <v>7</v>
      </c>
      <c r="I9" s="339">
        <v>8</v>
      </c>
    </row>
    <row r="10" spans="1:10">
      <c r="A10" s="339">
        <v>1</v>
      </c>
      <c r="B10" s="131" t="s">
        <v>752</v>
      </c>
      <c r="C10" s="132" t="s">
        <v>799</v>
      </c>
      <c r="D10" s="133">
        <f>'B-1.2.1'!M33</f>
        <v>0</v>
      </c>
      <c r="E10" s="134"/>
      <c r="F10" s="134"/>
      <c r="G10" s="135"/>
      <c r="H10" s="134">
        <f t="shared" ref="H10:H12" si="0">D10</f>
        <v>0</v>
      </c>
      <c r="I10" s="136"/>
    </row>
    <row r="11" spans="1:10">
      <c r="A11" s="339">
        <v>2</v>
      </c>
      <c r="B11" s="131" t="s">
        <v>753</v>
      </c>
      <c r="C11" s="132" t="s">
        <v>800</v>
      </c>
      <c r="D11" s="133">
        <f>'B-1.2.2'!M50</f>
        <v>0</v>
      </c>
      <c r="E11" s="134"/>
      <c r="F11" s="134"/>
      <c r="G11" s="135"/>
      <c r="H11" s="134">
        <f t="shared" si="0"/>
        <v>0</v>
      </c>
      <c r="I11" s="136"/>
    </row>
    <row r="12" spans="1:10">
      <c r="A12" s="339">
        <v>3</v>
      </c>
      <c r="B12" s="131" t="s">
        <v>754</v>
      </c>
      <c r="C12" s="132" t="s">
        <v>801</v>
      </c>
      <c r="D12" s="133">
        <f>'B-1.2.3'!M49</f>
        <v>0</v>
      </c>
      <c r="E12" s="134"/>
      <c r="F12" s="134"/>
      <c r="G12" s="135"/>
      <c r="H12" s="134">
        <f t="shared" si="0"/>
        <v>0</v>
      </c>
      <c r="I12" s="136"/>
    </row>
    <row r="13" spans="1:10">
      <c r="A13" s="339"/>
      <c r="B13" s="137"/>
      <c r="C13" s="132" t="s">
        <v>146</v>
      </c>
      <c r="D13" s="133"/>
      <c r="E13" s="134"/>
      <c r="F13" s="134"/>
      <c r="G13" s="135"/>
      <c r="H13" s="134">
        <f>SUM(H10:H12)</f>
        <v>0</v>
      </c>
      <c r="I13" s="136"/>
    </row>
    <row r="14" spans="1:10">
      <c r="C14" s="138"/>
      <c r="D14" s="139"/>
      <c r="E14" s="139"/>
      <c r="F14" s="140"/>
      <c r="G14" s="141"/>
      <c r="H14" s="142"/>
      <c r="I14" s="143"/>
    </row>
    <row r="15" spans="1:10" s="144" customFormat="1">
      <c r="B15" s="145"/>
      <c r="J15" s="145"/>
    </row>
    <row r="16" spans="1:10" s="144" customFormat="1">
      <c r="C16" s="146" t="e">
        <f>#REF!</f>
        <v>#REF!</v>
      </c>
    </row>
    <row r="17" spans="3:9" s="144" customFormat="1">
      <c r="C17" s="146" t="e">
        <f>#REF!</f>
        <v>#REF!</v>
      </c>
      <c r="D17" s="144" t="e">
        <f>#REF!</f>
        <v>#REF!</v>
      </c>
      <c r="G17" s="147"/>
      <c r="H17" s="147"/>
    </row>
    <row r="18" spans="3:9" s="145" customFormat="1">
      <c r="I18" s="148"/>
    </row>
    <row r="19" spans="3:9">
      <c r="D19" s="149"/>
      <c r="E19" s="123"/>
      <c r="F19" s="123"/>
      <c r="G19" s="123"/>
    </row>
    <row r="20" spans="3:9">
      <c r="D20" s="149"/>
      <c r="E20" s="123"/>
      <c r="F20" s="123"/>
      <c r="G20" s="123"/>
    </row>
    <row r="33" spans="2:8">
      <c r="D33" s="150"/>
      <c r="E33" s="151"/>
      <c r="F33" s="152"/>
      <c r="G33" s="153"/>
      <c r="H33" s="154"/>
    </row>
    <row r="34" spans="2:8">
      <c r="D34" s="155"/>
      <c r="E34" s="151"/>
      <c r="F34" s="156"/>
      <c r="G34" s="157"/>
      <c r="H34" s="158"/>
    </row>
    <row r="35" spans="2:8">
      <c r="B35" s="159"/>
      <c r="D35" s="155"/>
      <c r="E35" s="151"/>
      <c r="F35" s="156"/>
      <c r="G35" s="157"/>
      <c r="H35" s="158"/>
    </row>
    <row r="36" spans="2:8">
      <c r="D36" s="155"/>
      <c r="E36" s="151"/>
      <c r="F36" s="156"/>
      <c r="G36" s="157"/>
      <c r="H36" s="158"/>
    </row>
    <row r="37" spans="2:8">
      <c r="B37" s="159"/>
      <c r="D37" s="155"/>
      <c r="E37" s="151"/>
      <c r="F37" s="156"/>
      <c r="G37" s="157"/>
      <c r="H37" s="158"/>
    </row>
    <row r="38" spans="2:8">
      <c r="D38" s="155"/>
      <c r="E38" s="151"/>
      <c r="F38" s="156"/>
      <c r="G38" s="157"/>
      <c r="H38" s="158"/>
    </row>
    <row r="39" spans="2:8">
      <c r="D39" s="155"/>
      <c r="E39" s="151"/>
      <c r="F39" s="156"/>
      <c r="G39" s="157"/>
      <c r="H39" s="158"/>
    </row>
    <row r="40" spans="2:8">
      <c r="D40" s="155"/>
      <c r="E40" s="151"/>
      <c r="F40" s="156"/>
      <c r="G40" s="157"/>
      <c r="H40" s="158"/>
    </row>
    <row r="41" spans="2:8">
      <c r="D41" s="155"/>
      <c r="E41" s="151"/>
      <c r="F41" s="156"/>
      <c r="G41" s="157"/>
      <c r="H41" s="158"/>
    </row>
    <row r="42" spans="2:8">
      <c r="B42" s="159"/>
      <c r="D42" s="155"/>
      <c r="E42" s="151"/>
      <c r="F42" s="156"/>
      <c r="G42" s="157"/>
      <c r="H42" s="158"/>
    </row>
    <row r="43" spans="2:8">
      <c r="B43" s="159"/>
      <c r="D43" s="155"/>
      <c r="E43" s="151"/>
      <c r="F43" s="156"/>
      <c r="G43" s="157"/>
      <c r="H43" s="158"/>
    </row>
    <row r="44" spans="2:8">
      <c r="B44" s="159"/>
      <c r="D44" s="155"/>
      <c r="E44" s="151"/>
      <c r="F44" s="156"/>
      <c r="G44" s="157"/>
      <c r="H44" s="158"/>
    </row>
    <row r="45" spans="2:8">
      <c r="D45" s="155"/>
      <c r="E45" s="151"/>
      <c r="F45" s="156"/>
      <c r="G45" s="157"/>
      <c r="H45" s="158"/>
    </row>
    <row r="46" spans="2:8">
      <c r="D46" s="155"/>
      <c r="E46" s="151"/>
      <c r="F46" s="156"/>
      <c r="G46" s="157"/>
      <c r="H46" s="158"/>
    </row>
    <row r="47" spans="2:8">
      <c r="D47" s="155"/>
      <c r="E47" s="151"/>
      <c r="F47" s="156"/>
      <c r="G47" s="157"/>
      <c r="H47" s="158"/>
    </row>
    <row r="48" spans="2:8">
      <c r="B48" s="159"/>
      <c r="D48" s="155"/>
      <c r="E48" s="151"/>
      <c r="F48" s="156"/>
      <c r="G48" s="157"/>
      <c r="H48" s="158"/>
    </row>
    <row r="49" spans="2:8">
      <c r="D49" s="155"/>
      <c r="E49" s="151"/>
      <c r="F49" s="156"/>
      <c r="G49" s="157"/>
      <c r="H49" s="158"/>
    </row>
    <row r="50" spans="2:8">
      <c r="D50" s="155"/>
      <c r="E50" s="151"/>
      <c r="F50" s="156"/>
      <c r="G50" s="157"/>
      <c r="H50" s="158"/>
    </row>
    <row r="51" spans="2:8">
      <c r="D51" s="155"/>
      <c r="E51" s="151"/>
      <c r="F51" s="156"/>
      <c r="G51" s="157"/>
      <c r="H51" s="158"/>
    </row>
    <row r="52" spans="2:8">
      <c r="D52" s="155"/>
      <c r="E52" s="151"/>
      <c r="F52" s="156"/>
      <c r="G52" s="157"/>
      <c r="H52" s="158"/>
    </row>
    <row r="53" spans="2:8">
      <c r="D53" s="155"/>
      <c r="E53" s="151"/>
      <c r="F53" s="156"/>
      <c r="G53" s="157"/>
      <c r="H53" s="158"/>
    </row>
    <row r="54" spans="2:8">
      <c r="D54" s="155"/>
      <c r="E54" s="151"/>
      <c r="F54" s="156"/>
      <c r="G54" s="157"/>
      <c r="H54" s="158"/>
    </row>
    <row r="55" spans="2:8">
      <c r="B55" s="160"/>
      <c r="D55" s="155"/>
      <c r="E55" s="151"/>
      <c r="F55" s="156"/>
      <c r="G55" s="157"/>
      <c r="H55" s="158"/>
    </row>
    <row r="56" spans="2:8">
      <c r="D56" s="155"/>
      <c r="E56" s="151"/>
      <c r="F56" s="156"/>
      <c r="G56" s="157"/>
      <c r="H56" s="158"/>
    </row>
    <row r="57" spans="2:8">
      <c r="D57" s="155"/>
      <c r="E57" s="151"/>
      <c r="F57" s="156"/>
      <c r="G57" s="157"/>
      <c r="H57" s="158"/>
    </row>
    <row r="58" spans="2:8">
      <c r="D58" s="155"/>
      <c r="E58" s="151"/>
      <c r="F58" s="156"/>
      <c r="G58" s="157"/>
      <c r="H58" s="158"/>
    </row>
    <row r="59" spans="2:8">
      <c r="D59" s="155"/>
      <c r="E59" s="151"/>
      <c r="F59" s="156"/>
      <c r="G59" s="157"/>
      <c r="H59" s="158"/>
    </row>
    <row r="60" spans="2:8">
      <c r="D60" s="155"/>
      <c r="E60" s="151"/>
      <c r="F60" s="156"/>
      <c r="G60" s="157"/>
      <c r="H60" s="158"/>
    </row>
    <row r="61" spans="2:8">
      <c r="D61" s="155"/>
      <c r="E61" s="151"/>
      <c r="F61" s="156"/>
      <c r="G61" s="157"/>
      <c r="H61" s="158"/>
    </row>
  </sheetData>
  <mergeCells count="14">
    <mergeCell ref="F7:F8"/>
    <mergeCell ref="G7:G8"/>
    <mergeCell ref="H7:H8"/>
    <mergeCell ref="A9:B9"/>
    <mergeCell ref="A1:I1"/>
    <mergeCell ref="B2:E2"/>
    <mergeCell ref="A3:I3"/>
    <mergeCell ref="H5:I5"/>
    <mergeCell ref="A6:B8"/>
    <mergeCell ref="C6:C8"/>
    <mergeCell ref="D6:H6"/>
    <mergeCell ref="I6:I8"/>
    <mergeCell ref="D7:D8"/>
    <mergeCell ref="E7:E8"/>
  </mergeCells>
  <phoneticPr fontId="66" type="noConversion"/>
  <printOptions horizontalCentered="1"/>
  <pageMargins left="0.43307086614173229" right="0.23622047244094491" top="0.43307086614173229" bottom="0.43307086614173229" header="0.31496062992125984" footer="0.31496062992125984"/>
  <pageSetup paperSize="9" scale="84" fitToHeight="0" orientation="landscape" horizontalDpi="1200" verticalDpi="1200" r:id="rId1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7"/>
  <sheetViews>
    <sheetView view="pageBreakPreview" topLeftCell="A5" zoomScaleNormal="110" zoomScaleSheetLayoutView="100" workbookViewId="0">
      <selection activeCell="D27" sqref="D27:M33"/>
    </sheetView>
  </sheetViews>
  <sheetFormatPr defaultRowHeight="13.5"/>
  <cols>
    <col min="1" max="1" width="5.28515625" style="489" customWidth="1"/>
    <col min="2" max="2" width="12" style="489" customWidth="1"/>
    <col min="3" max="3" width="62" style="489" customWidth="1"/>
    <col min="4" max="13" width="10.7109375" style="489" customWidth="1"/>
    <col min="14" max="249" width="9.140625" style="489"/>
    <col min="250" max="250" width="5.28515625" style="489" customWidth="1"/>
    <col min="251" max="251" width="12" style="489" customWidth="1"/>
    <col min="252" max="252" width="54.5703125" style="489" customWidth="1"/>
    <col min="253" max="262" width="10.7109375" style="489" customWidth="1"/>
    <col min="263" max="263" width="9.85546875" style="489" bestFit="1" customWidth="1"/>
    <col min="264" max="264" width="11.28515625" style="489" customWidth="1"/>
    <col min="265" max="505" width="9.140625" style="489"/>
    <col min="506" max="506" width="5.28515625" style="489" customWidth="1"/>
    <col min="507" max="507" width="12" style="489" customWidth="1"/>
    <col min="508" max="508" width="54.5703125" style="489" customWidth="1"/>
    <col min="509" max="518" width="10.7109375" style="489" customWidth="1"/>
    <col min="519" max="519" width="9.85546875" style="489" bestFit="1" customWidth="1"/>
    <col min="520" max="520" width="11.28515625" style="489" customWidth="1"/>
    <col min="521" max="761" width="9.140625" style="489"/>
    <col min="762" max="762" width="5.28515625" style="489" customWidth="1"/>
    <col min="763" max="763" width="12" style="489" customWidth="1"/>
    <col min="764" max="764" width="54.5703125" style="489" customWidth="1"/>
    <col min="765" max="774" width="10.7109375" style="489" customWidth="1"/>
    <col min="775" max="775" width="9.85546875" style="489" bestFit="1" customWidth="1"/>
    <col min="776" max="776" width="11.28515625" style="489" customWidth="1"/>
    <col min="777" max="1017" width="9.140625" style="489"/>
    <col min="1018" max="1018" width="5.28515625" style="489" customWidth="1"/>
    <col min="1019" max="1019" width="12" style="489" customWidth="1"/>
    <col min="1020" max="1020" width="54.5703125" style="489" customWidth="1"/>
    <col min="1021" max="1030" width="10.7109375" style="489" customWidth="1"/>
    <col min="1031" max="1031" width="9.85546875" style="489" bestFit="1" customWidth="1"/>
    <col min="1032" max="1032" width="11.28515625" style="489" customWidth="1"/>
    <col min="1033" max="1273" width="9.140625" style="489"/>
    <col min="1274" max="1274" width="5.28515625" style="489" customWidth="1"/>
    <col min="1275" max="1275" width="12" style="489" customWidth="1"/>
    <col min="1276" max="1276" width="54.5703125" style="489" customWidth="1"/>
    <col min="1277" max="1286" width="10.7109375" style="489" customWidth="1"/>
    <col min="1287" max="1287" width="9.85546875" style="489" bestFit="1" customWidth="1"/>
    <col min="1288" max="1288" width="11.28515625" style="489" customWidth="1"/>
    <col min="1289" max="1529" width="9.140625" style="489"/>
    <col min="1530" max="1530" width="5.28515625" style="489" customWidth="1"/>
    <col min="1531" max="1531" width="12" style="489" customWidth="1"/>
    <col min="1532" max="1532" width="54.5703125" style="489" customWidth="1"/>
    <col min="1533" max="1542" width="10.7109375" style="489" customWidth="1"/>
    <col min="1543" max="1543" width="9.85546875" style="489" bestFit="1" customWidth="1"/>
    <col min="1544" max="1544" width="11.28515625" style="489" customWidth="1"/>
    <col min="1545" max="1785" width="9.140625" style="489"/>
    <col min="1786" max="1786" width="5.28515625" style="489" customWidth="1"/>
    <col min="1787" max="1787" width="12" style="489" customWidth="1"/>
    <col min="1788" max="1788" width="54.5703125" style="489" customWidth="1"/>
    <col min="1789" max="1798" width="10.7109375" style="489" customWidth="1"/>
    <col min="1799" max="1799" width="9.85546875" style="489" bestFit="1" customWidth="1"/>
    <col min="1800" max="1800" width="11.28515625" style="489" customWidth="1"/>
    <col min="1801" max="2041" width="9.140625" style="489"/>
    <col min="2042" max="2042" width="5.28515625" style="489" customWidth="1"/>
    <col min="2043" max="2043" width="12" style="489" customWidth="1"/>
    <col min="2044" max="2044" width="54.5703125" style="489" customWidth="1"/>
    <col min="2045" max="2054" width="10.7109375" style="489" customWidth="1"/>
    <col min="2055" max="2055" width="9.85546875" style="489" bestFit="1" customWidth="1"/>
    <col min="2056" max="2056" width="11.28515625" style="489" customWidth="1"/>
    <col min="2057" max="2297" width="9.140625" style="489"/>
    <col min="2298" max="2298" width="5.28515625" style="489" customWidth="1"/>
    <col min="2299" max="2299" width="12" style="489" customWidth="1"/>
    <col min="2300" max="2300" width="54.5703125" style="489" customWidth="1"/>
    <col min="2301" max="2310" width="10.7109375" style="489" customWidth="1"/>
    <col min="2311" max="2311" width="9.85546875" style="489" bestFit="1" customWidth="1"/>
    <col min="2312" max="2312" width="11.28515625" style="489" customWidth="1"/>
    <col min="2313" max="2553" width="9.140625" style="489"/>
    <col min="2554" max="2554" width="5.28515625" style="489" customWidth="1"/>
    <col min="2555" max="2555" width="12" style="489" customWidth="1"/>
    <col min="2556" max="2556" width="54.5703125" style="489" customWidth="1"/>
    <col min="2557" max="2566" width="10.7109375" style="489" customWidth="1"/>
    <col min="2567" max="2567" width="9.85546875" style="489" bestFit="1" customWidth="1"/>
    <col min="2568" max="2568" width="11.28515625" style="489" customWidth="1"/>
    <col min="2569" max="2809" width="9.140625" style="489"/>
    <col min="2810" max="2810" width="5.28515625" style="489" customWidth="1"/>
    <col min="2811" max="2811" width="12" style="489" customWidth="1"/>
    <col min="2812" max="2812" width="54.5703125" style="489" customWidth="1"/>
    <col min="2813" max="2822" width="10.7109375" style="489" customWidth="1"/>
    <col min="2823" max="2823" width="9.85546875" style="489" bestFit="1" customWidth="1"/>
    <col min="2824" max="2824" width="11.28515625" style="489" customWidth="1"/>
    <col min="2825" max="3065" width="9.140625" style="489"/>
    <col min="3066" max="3066" width="5.28515625" style="489" customWidth="1"/>
    <col min="3067" max="3067" width="12" style="489" customWidth="1"/>
    <col min="3068" max="3068" width="54.5703125" style="489" customWidth="1"/>
    <col min="3069" max="3078" width="10.7109375" style="489" customWidth="1"/>
    <col min="3079" max="3079" width="9.85546875" style="489" bestFit="1" customWidth="1"/>
    <col min="3080" max="3080" width="11.28515625" style="489" customWidth="1"/>
    <col min="3081" max="3321" width="9.140625" style="489"/>
    <col min="3322" max="3322" width="5.28515625" style="489" customWidth="1"/>
    <col min="3323" max="3323" width="12" style="489" customWidth="1"/>
    <col min="3324" max="3324" width="54.5703125" style="489" customWidth="1"/>
    <col min="3325" max="3334" width="10.7109375" style="489" customWidth="1"/>
    <col min="3335" max="3335" width="9.85546875" style="489" bestFit="1" customWidth="1"/>
    <col min="3336" max="3336" width="11.28515625" style="489" customWidth="1"/>
    <col min="3337" max="3577" width="9.140625" style="489"/>
    <col min="3578" max="3578" width="5.28515625" style="489" customWidth="1"/>
    <col min="3579" max="3579" width="12" style="489" customWidth="1"/>
    <col min="3580" max="3580" width="54.5703125" style="489" customWidth="1"/>
    <col min="3581" max="3590" width="10.7109375" style="489" customWidth="1"/>
    <col min="3591" max="3591" width="9.85546875" style="489" bestFit="1" customWidth="1"/>
    <col min="3592" max="3592" width="11.28515625" style="489" customWidth="1"/>
    <col min="3593" max="3833" width="9.140625" style="489"/>
    <col min="3834" max="3834" width="5.28515625" style="489" customWidth="1"/>
    <col min="3835" max="3835" width="12" style="489" customWidth="1"/>
    <col min="3836" max="3836" width="54.5703125" style="489" customWidth="1"/>
    <col min="3837" max="3846" width="10.7109375" style="489" customWidth="1"/>
    <col min="3847" max="3847" width="9.85546875" style="489" bestFit="1" customWidth="1"/>
    <col min="3848" max="3848" width="11.28515625" style="489" customWidth="1"/>
    <col min="3849" max="4089" width="9.140625" style="489"/>
    <col min="4090" max="4090" width="5.28515625" style="489" customWidth="1"/>
    <col min="4091" max="4091" width="12" style="489" customWidth="1"/>
    <col min="4092" max="4092" width="54.5703125" style="489" customWidth="1"/>
    <col min="4093" max="4102" width="10.7109375" style="489" customWidth="1"/>
    <col min="4103" max="4103" width="9.85546875" style="489" bestFit="1" customWidth="1"/>
    <col min="4104" max="4104" width="11.28515625" style="489" customWidth="1"/>
    <col min="4105" max="4345" width="9.140625" style="489"/>
    <col min="4346" max="4346" width="5.28515625" style="489" customWidth="1"/>
    <col min="4347" max="4347" width="12" style="489" customWidth="1"/>
    <col min="4348" max="4348" width="54.5703125" style="489" customWidth="1"/>
    <col min="4349" max="4358" width="10.7109375" style="489" customWidth="1"/>
    <col min="4359" max="4359" width="9.85546875" style="489" bestFit="1" customWidth="1"/>
    <col min="4360" max="4360" width="11.28515625" style="489" customWidth="1"/>
    <col min="4361" max="4601" width="9.140625" style="489"/>
    <col min="4602" max="4602" width="5.28515625" style="489" customWidth="1"/>
    <col min="4603" max="4603" width="12" style="489" customWidth="1"/>
    <col min="4604" max="4604" width="54.5703125" style="489" customWidth="1"/>
    <col min="4605" max="4614" width="10.7109375" style="489" customWidth="1"/>
    <col min="4615" max="4615" width="9.85546875" style="489" bestFit="1" customWidth="1"/>
    <col min="4616" max="4616" width="11.28515625" style="489" customWidth="1"/>
    <col min="4617" max="4857" width="9.140625" style="489"/>
    <col min="4858" max="4858" width="5.28515625" style="489" customWidth="1"/>
    <col min="4859" max="4859" width="12" style="489" customWidth="1"/>
    <col min="4860" max="4860" width="54.5703125" style="489" customWidth="1"/>
    <col min="4861" max="4870" width="10.7109375" style="489" customWidth="1"/>
    <col min="4871" max="4871" width="9.85546875" style="489" bestFit="1" customWidth="1"/>
    <col min="4872" max="4872" width="11.28515625" style="489" customWidth="1"/>
    <col min="4873" max="5113" width="9.140625" style="489"/>
    <col min="5114" max="5114" width="5.28515625" style="489" customWidth="1"/>
    <col min="5115" max="5115" width="12" style="489" customWidth="1"/>
    <col min="5116" max="5116" width="54.5703125" style="489" customWidth="1"/>
    <col min="5117" max="5126" width="10.7109375" style="489" customWidth="1"/>
    <col min="5127" max="5127" width="9.85546875" style="489" bestFit="1" customWidth="1"/>
    <col min="5128" max="5128" width="11.28515625" style="489" customWidth="1"/>
    <col min="5129" max="5369" width="9.140625" style="489"/>
    <col min="5370" max="5370" width="5.28515625" style="489" customWidth="1"/>
    <col min="5371" max="5371" width="12" style="489" customWidth="1"/>
    <col min="5372" max="5372" width="54.5703125" style="489" customWidth="1"/>
    <col min="5373" max="5382" width="10.7109375" style="489" customWidth="1"/>
    <col min="5383" max="5383" width="9.85546875" style="489" bestFit="1" customWidth="1"/>
    <col min="5384" max="5384" width="11.28515625" style="489" customWidth="1"/>
    <col min="5385" max="5625" width="9.140625" style="489"/>
    <col min="5626" max="5626" width="5.28515625" style="489" customWidth="1"/>
    <col min="5627" max="5627" width="12" style="489" customWidth="1"/>
    <col min="5628" max="5628" width="54.5703125" style="489" customWidth="1"/>
    <col min="5629" max="5638" width="10.7109375" style="489" customWidth="1"/>
    <col min="5639" max="5639" width="9.85546875" style="489" bestFit="1" customWidth="1"/>
    <col min="5640" max="5640" width="11.28515625" style="489" customWidth="1"/>
    <col min="5641" max="5881" width="9.140625" style="489"/>
    <col min="5882" max="5882" width="5.28515625" style="489" customWidth="1"/>
    <col min="5883" max="5883" width="12" style="489" customWidth="1"/>
    <col min="5884" max="5884" width="54.5703125" style="489" customWidth="1"/>
    <col min="5885" max="5894" width="10.7109375" style="489" customWidth="1"/>
    <col min="5895" max="5895" width="9.85546875" style="489" bestFit="1" customWidth="1"/>
    <col min="5896" max="5896" width="11.28515625" style="489" customWidth="1"/>
    <col min="5897" max="6137" width="9.140625" style="489"/>
    <col min="6138" max="6138" width="5.28515625" style="489" customWidth="1"/>
    <col min="6139" max="6139" width="12" style="489" customWidth="1"/>
    <col min="6140" max="6140" width="54.5703125" style="489" customWidth="1"/>
    <col min="6141" max="6150" width="10.7109375" style="489" customWidth="1"/>
    <col min="6151" max="6151" width="9.85546875" style="489" bestFit="1" customWidth="1"/>
    <col min="6152" max="6152" width="11.28515625" style="489" customWidth="1"/>
    <col min="6153" max="6393" width="9.140625" style="489"/>
    <col min="6394" max="6394" width="5.28515625" style="489" customWidth="1"/>
    <col min="6395" max="6395" width="12" style="489" customWidth="1"/>
    <col min="6396" max="6396" width="54.5703125" style="489" customWidth="1"/>
    <col min="6397" max="6406" width="10.7109375" style="489" customWidth="1"/>
    <col min="6407" max="6407" width="9.85546875" style="489" bestFit="1" customWidth="1"/>
    <col min="6408" max="6408" width="11.28515625" style="489" customWidth="1"/>
    <col min="6409" max="6649" width="9.140625" style="489"/>
    <col min="6650" max="6650" width="5.28515625" style="489" customWidth="1"/>
    <col min="6651" max="6651" width="12" style="489" customWidth="1"/>
    <col min="6652" max="6652" width="54.5703125" style="489" customWidth="1"/>
    <col min="6653" max="6662" width="10.7109375" style="489" customWidth="1"/>
    <col min="6663" max="6663" width="9.85546875" style="489" bestFit="1" customWidth="1"/>
    <col min="6664" max="6664" width="11.28515625" style="489" customWidth="1"/>
    <col min="6665" max="6905" width="9.140625" style="489"/>
    <col min="6906" max="6906" width="5.28515625" style="489" customWidth="1"/>
    <col min="6907" max="6907" width="12" style="489" customWidth="1"/>
    <col min="6908" max="6908" width="54.5703125" style="489" customWidth="1"/>
    <col min="6909" max="6918" width="10.7109375" style="489" customWidth="1"/>
    <col min="6919" max="6919" width="9.85546875" style="489" bestFit="1" customWidth="1"/>
    <col min="6920" max="6920" width="11.28515625" style="489" customWidth="1"/>
    <col min="6921" max="7161" width="9.140625" style="489"/>
    <col min="7162" max="7162" width="5.28515625" style="489" customWidth="1"/>
    <col min="7163" max="7163" width="12" style="489" customWidth="1"/>
    <col min="7164" max="7164" width="54.5703125" style="489" customWidth="1"/>
    <col min="7165" max="7174" width="10.7109375" style="489" customWidth="1"/>
    <col min="7175" max="7175" width="9.85546875" style="489" bestFit="1" customWidth="1"/>
    <col min="7176" max="7176" width="11.28515625" style="489" customWidth="1"/>
    <col min="7177" max="7417" width="9.140625" style="489"/>
    <col min="7418" max="7418" width="5.28515625" style="489" customWidth="1"/>
    <col min="7419" max="7419" width="12" style="489" customWidth="1"/>
    <col min="7420" max="7420" width="54.5703125" style="489" customWidth="1"/>
    <col min="7421" max="7430" width="10.7109375" style="489" customWidth="1"/>
    <col min="7431" max="7431" width="9.85546875" style="489" bestFit="1" customWidth="1"/>
    <col min="7432" max="7432" width="11.28515625" style="489" customWidth="1"/>
    <col min="7433" max="7673" width="9.140625" style="489"/>
    <col min="7674" max="7674" width="5.28515625" style="489" customWidth="1"/>
    <col min="7675" max="7675" width="12" style="489" customWidth="1"/>
    <col min="7676" max="7676" width="54.5703125" style="489" customWidth="1"/>
    <col min="7677" max="7686" width="10.7109375" style="489" customWidth="1"/>
    <col min="7687" max="7687" width="9.85546875" style="489" bestFit="1" customWidth="1"/>
    <col min="7688" max="7688" width="11.28515625" style="489" customWidth="1"/>
    <col min="7689" max="7929" width="9.140625" style="489"/>
    <col min="7930" max="7930" width="5.28515625" style="489" customWidth="1"/>
    <col min="7931" max="7931" width="12" style="489" customWidth="1"/>
    <col min="7932" max="7932" width="54.5703125" style="489" customWidth="1"/>
    <col min="7933" max="7942" width="10.7109375" style="489" customWidth="1"/>
    <col min="7943" max="7943" width="9.85546875" style="489" bestFit="1" customWidth="1"/>
    <col min="7944" max="7944" width="11.28515625" style="489" customWidth="1"/>
    <col min="7945" max="8185" width="9.140625" style="489"/>
    <col min="8186" max="8186" width="5.28515625" style="489" customWidth="1"/>
    <col min="8187" max="8187" width="12" style="489" customWidth="1"/>
    <col min="8188" max="8188" width="54.5703125" style="489" customWidth="1"/>
    <col min="8189" max="8198" width="10.7109375" style="489" customWidth="1"/>
    <col min="8199" max="8199" width="9.85546875" style="489" bestFit="1" customWidth="1"/>
    <col min="8200" max="8200" width="11.28515625" style="489" customWidth="1"/>
    <col min="8201" max="8441" width="9.140625" style="489"/>
    <col min="8442" max="8442" width="5.28515625" style="489" customWidth="1"/>
    <col min="8443" max="8443" width="12" style="489" customWidth="1"/>
    <col min="8444" max="8444" width="54.5703125" style="489" customWidth="1"/>
    <col min="8445" max="8454" width="10.7109375" style="489" customWidth="1"/>
    <col min="8455" max="8455" width="9.85546875" style="489" bestFit="1" customWidth="1"/>
    <col min="8456" max="8456" width="11.28515625" style="489" customWidth="1"/>
    <col min="8457" max="8697" width="9.140625" style="489"/>
    <col min="8698" max="8698" width="5.28515625" style="489" customWidth="1"/>
    <col min="8699" max="8699" width="12" style="489" customWidth="1"/>
    <col min="8700" max="8700" width="54.5703125" style="489" customWidth="1"/>
    <col min="8701" max="8710" width="10.7109375" style="489" customWidth="1"/>
    <col min="8711" max="8711" width="9.85546875" style="489" bestFit="1" customWidth="1"/>
    <col min="8712" max="8712" width="11.28515625" style="489" customWidth="1"/>
    <col min="8713" max="8953" width="9.140625" style="489"/>
    <col min="8954" max="8954" width="5.28515625" style="489" customWidth="1"/>
    <col min="8955" max="8955" width="12" style="489" customWidth="1"/>
    <col min="8956" max="8956" width="54.5703125" style="489" customWidth="1"/>
    <col min="8957" max="8966" width="10.7109375" style="489" customWidth="1"/>
    <col min="8967" max="8967" width="9.85546875" style="489" bestFit="1" customWidth="1"/>
    <col min="8968" max="8968" width="11.28515625" style="489" customWidth="1"/>
    <col min="8969" max="9209" width="9.140625" style="489"/>
    <col min="9210" max="9210" width="5.28515625" style="489" customWidth="1"/>
    <col min="9211" max="9211" width="12" style="489" customWidth="1"/>
    <col min="9212" max="9212" width="54.5703125" style="489" customWidth="1"/>
    <col min="9213" max="9222" width="10.7109375" style="489" customWidth="1"/>
    <col min="9223" max="9223" width="9.85546875" style="489" bestFit="1" customWidth="1"/>
    <col min="9224" max="9224" width="11.28515625" style="489" customWidth="1"/>
    <col min="9225" max="9465" width="9.140625" style="489"/>
    <col min="9466" max="9466" width="5.28515625" style="489" customWidth="1"/>
    <col min="9467" max="9467" width="12" style="489" customWidth="1"/>
    <col min="9468" max="9468" width="54.5703125" style="489" customWidth="1"/>
    <col min="9469" max="9478" width="10.7109375" style="489" customWidth="1"/>
    <col min="9479" max="9479" width="9.85546875" style="489" bestFit="1" customWidth="1"/>
    <col min="9480" max="9480" width="11.28515625" style="489" customWidth="1"/>
    <col min="9481" max="9721" width="9.140625" style="489"/>
    <col min="9722" max="9722" width="5.28515625" style="489" customWidth="1"/>
    <col min="9723" max="9723" width="12" style="489" customWidth="1"/>
    <col min="9724" max="9724" width="54.5703125" style="489" customWidth="1"/>
    <col min="9725" max="9734" width="10.7109375" style="489" customWidth="1"/>
    <col min="9735" max="9735" width="9.85546875" style="489" bestFit="1" customWidth="1"/>
    <col min="9736" max="9736" width="11.28515625" style="489" customWidth="1"/>
    <col min="9737" max="9977" width="9.140625" style="489"/>
    <col min="9978" max="9978" width="5.28515625" style="489" customWidth="1"/>
    <col min="9979" max="9979" width="12" style="489" customWidth="1"/>
    <col min="9980" max="9980" width="54.5703125" style="489" customWidth="1"/>
    <col min="9981" max="9990" width="10.7109375" style="489" customWidth="1"/>
    <col min="9991" max="9991" width="9.85546875" style="489" bestFit="1" customWidth="1"/>
    <col min="9992" max="9992" width="11.28515625" style="489" customWidth="1"/>
    <col min="9993" max="10233" width="9.140625" style="489"/>
    <col min="10234" max="10234" width="5.28515625" style="489" customWidth="1"/>
    <col min="10235" max="10235" width="12" style="489" customWidth="1"/>
    <col min="10236" max="10236" width="54.5703125" style="489" customWidth="1"/>
    <col min="10237" max="10246" width="10.7109375" style="489" customWidth="1"/>
    <col min="10247" max="10247" width="9.85546875" style="489" bestFit="1" customWidth="1"/>
    <col min="10248" max="10248" width="11.28515625" style="489" customWidth="1"/>
    <col min="10249" max="10489" width="9.140625" style="489"/>
    <col min="10490" max="10490" width="5.28515625" style="489" customWidth="1"/>
    <col min="10491" max="10491" width="12" style="489" customWidth="1"/>
    <col min="10492" max="10492" width="54.5703125" style="489" customWidth="1"/>
    <col min="10493" max="10502" width="10.7109375" style="489" customWidth="1"/>
    <col min="10503" max="10503" width="9.85546875" style="489" bestFit="1" customWidth="1"/>
    <col min="10504" max="10504" width="11.28515625" style="489" customWidth="1"/>
    <col min="10505" max="10745" width="9.140625" style="489"/>
    <col min="10746" max="10746" width="5.28515625" style="489" customWidth="1"/>
    <col min="10747" max="10747" width="12" style="489" customWidth="1"/>
    <col min="10748" max="10748" width="54.5703125" style="489" customWidth="1"/>
    <col min="10749" max="10758" width="10.7109375" style="489" customWidth="1"/>
    <col min="10759" max="10759" width="9.85546875" style="489" bestFit="1" customWidth="1"/>
    <col min="10760" max="10760" width="11.28515625" style="489" customWidth="1"/>
    <col min="10761" max="11001" width="9.140625" style="489"/>
    <col min="11002" max="11002" width="5.28515625" style="489" customWidth="1"/>
    <col min="11003" max="11003" width="12" style="489" customWidth="1"/>
    <col min="11004" max="11004" width="54.5703125" style="489" customWidth="1"/>
    <col min="11005" max="11014" width="10.7109375" style="489" customWidth="1"/>
    <col min="11015" max="11015" width="9.85546875" style="489" bestFit="1" customWidth="1"/>
    <col min="11016" max="11016" width="11.28515625" style="489" customWidth="1"/>
    <col min="11017" max="11257" width="9.140625" style="489"/>
    <col min="11258" max="11258" width="5.28515625" style="489" customWidth="1"/>
    <col min="11259" max="11259" width="12" style="489" customWidth="1"/>
    <col min="11260" max="11260" width="54.5703125" style="489" customWidth="1"/>
    <col min="11261" max="11270" width="10.7109375" style="489" customWidth="1"/>
    <col min="11271" max="11271" width="9.85546875" style="489" bestFit="1" customWidth="1"/>
    <col min="11272" max="11272" width="11.28515625" style="489" customWidth="1"/>
    <col min="11273" max="11513" width="9.140625" style="489"/>
    <col min="11514" max="11514" width="5.28515625" style="489" customWidth="1"/>
    <col min="11515" max="11515" width="12" style="489" customWidth="1"/>
    <col min="11516" max="11516" width="54.5703125" style="489" customWidth="1"/>
    <col min="11517" max="11526" width="10.7109375" style="489" customWidth="1"/>
    <col min="11527" max="11527" width="9.85546875" style="489" bestFit="1" customWidth="1"/>
    <col min="11528" max="11528" width="11.28515625" style="489" customWidth="1"/>
    <col min="11529" max="11769" width="9.140625" style="489"/>
    <col min="11770" max="11770" width="5.28515625" style="489" customWidth="1"/>
    <col min="11771" max="11771" width="12" style="489" customWidth="1"/>
    <col min="11772" max="11772" width="54.5703125" style="489" customWidth="1"/>
    <col min="11773" max="11782" width="10.7109375" style="489" customWidth="1"/>
    <col min="11783" max="11783" width="9.85546875" style="489" bestFit="1" customWidth="1"/>
    <col min="11784" max="11784" width="11.28515625" style="489" customWidth="1"/>
    <col min="11785" max="12025" width="9.140625" style="489"/>
    <col min="12026" max="12026" width="5.28515625" style="489" customWidth="1"/>
    <col min="12027" max="12027" width="12" style="489" customWidth="1"/>
    <col min="12028" max="12028" width="54.5703125" style="489" customWidth="1"/>
    <col min="12029" max="12038" width="10.7109375" style="489" customWidth="1"/>
    <col min="12039" max="12039" width="9.85546875" style="489" bestFit="1" customWidth="1"/>
    <col min="12040" max="12040" width="11.28515625" style="489" customWidth="1"/>
    <col min="12041" max="12281" width="9.140625" style="489"/>
    <col min="12282" max="12282" width="5.28515625" style="489" customWidth="1"/>
    <col min="12283" max="12283" width="12" style="489" customWidth="1"/>
    <col min="12284" max="12284" width="54.5703125" style="489" customWidth="1"/>
    <col min="12285" max="12294" width="10.7109375" style="489" customWidth="1"/>
    <col min="12295" max="12295" width="9.85546875" style="489" bestFit="1" customWidth="1"/>
    <col min="12296" max="12296" width="11.28515625" style="489" customWidth="1"/>
    <col min="12297" max="12537" width="9.140625" style="489"/>
    <col min="12538" max="12538" width="5.28515625" style="489" customWidth="1"/>
    <col min="12539" max="12539" width="12" style="489" customWidth="1"/>
    <col min="12540" max="12540" width="54.5703125" style="489" customWidth="1"/>
    <col min="12541" max="12550" width="10.7109375" style="489" customWidth="1"/>
    <col min="12551" max="12551" width="9.85546875" style="489" bestFit="1" customWidth="1"/>
    <col min="12552" max="12552" width="11.28515625" style="489" customWidth="1"/>
    <col min="12553" max="12793" width="9.140625" style="489"/>
    <col min="12794" max="12794" width="5.28515625" style="489" customWidth="1"/>
    <col min="12795" max="12795" width="12" style="489" customWidth="1"/>
    <col min="12796" max="12796" width="54.5703125" style="489" customWidth="1"/>
    <col min="12797" max="12806" width="10.7109375" style="489" customWidth="1"/>
    <col min="12807" max="12807" width="9.85546875" style="489" bestFit="1" customWidth="1"/>
    <col min="12808" max="12808" width="11.28515625" style="489" customWidth="1"/>
    <col min="12809" max="13049" width="9.140625" style="489"/>
    <col min="13050" max="13050" width="5.28515625" style="489" customWidth="1"/>
    <col min="13051" max="13051" width="12" style="489" customWidth="1"/>
    <col min="13052" max="13052" width="54.5703125" style="489" customWidth="1"/>
    <col min="13053" max="13062" width="10.7109375" style="489" customWidth="1"/>
    <col min="13063" max="13063" width="9.85546875" style="489" bestFit="1" customWidth="1"/>
    <col min="13064" max="13064" width="11.28515625" style="489" customWidth="1"/>
    <col min="13065" max="13305" width="9.140625" style="489"/>
    <col min="13306" max="13306" width="5.28515625" style="489" customWidth="1"/>
    <col min="13307" max="13307" width="12" style="489" customWidth="1"/>
    <col min="13308" max="13308" width="54.5703125" style="489" customWidth="1"/>
    <col min="13309" max="13318" width="10.7109375" style="489" customWidth="1"/>
    <col min="13319" max="13319" width="9.85546875" style="489" bestFit="1" customWidth="1"/>
    <col min="13320" max="13320" width="11.28515625" style="489" customWidth="1"/>
    <col min="13321" max="13561" width="9.140625" style="489"/>
    <col min="13562" max="13562" width="5.28515625" style="489" customWidth="1"/>
    <col min="13563" max="13563" width="12" style="489" customWidth="1"/>
    <col min="13564" max="13564" width="54.5703125" style="489" customWidth="1"/>
    <col min="13565" max="13574" width="10.7109375" style="489" customWidth="1"/>
    <col min="13575" max="13575" width="9.85546875" style="489" bestFit="1" customWidth="1"/>
    <col min="13576" max="13576" width="11.28515625" style="489" customWidth="1"/>
    <col min="13577" max="13817" width="9.140625" style="489"/>
    <col min="13818" max="13818" width="5.28515625" style="489" customWidth="1"/>
    <col min="13819" max="13819" width="12" style="489" customWidth="1"/>
    <col min="13820" max="13820" width="54.5703125" style="489" customWidth="1"/>
    <col min="13821" max="13830" width="10.7109375" style="489" customWidth="1"/>
    <col min="13831" max="13831" width="9.85546875" style="489" bestFit="1" customWidth="1"/>
    <col min="13832" max="13832" width="11.28515625" style="489" customWidth="1"/>
    <col min="13833" max="14073" width="9.140625" style="489"/>
    <col min="14074" max="14074" width="5.28515625" style="489" customWidth="1"/>
    <col min="14075" max="14075" width="12" style="489" customWidth="1"/>
    <col min="14076" max="14076" width="54.5703125" style="489" customWidth="1"/>
    <col min="14077" max="14086" width="10.7109375" style="489" customWidth="1"/>
    <col min="14087" max="14087" width="9.85546875" style="489" bestFit="1" customWidth="1"/>
    <col min="14088" max="14088" width="11.28515625" style="489" customWidth="1"/>
    <col min="14089" max="14329" width="9.140625" style="489"/>
    <col min="14330" max="14330" width="5.28515625" style="489" customWidth="1"/>
    <col min="14331" max="14331" width="12" style="489" customWidth="1"/>
    <col min="14332" max="14332" width="54.5703125" style="489" customWidth="1"/>
    <col min="14333" max="14342" width="10.7109375" style="489" customWidth="1"/>
    <col min="14343" max="14343" width="9.85546875" style="489" bestFit="1" customWidth="1"/>
    <col min="14344" max="14344" width="11.28515625" style="489" customWidth="1"/>
    <col min="14345" max="14585" width="9.140625" style="489"/>
    <col min="14586" max="14586" width="5.28515625" style="489" customWidth="1"/>
    <col min="14587" max="14587" width="12" style="489" customWidth="1"/>
    <col min="14588" max="14588" width="54.5703125" style="489" customWidth="1"/>
    <col min="14589" max="14598" width="10.7109375" style="489" customWidth="1"/>
    <col min="14599" max="14599" width="9.85546875" style="489" bestFit="1" customWidth="1"/>
    <col min="14600" max="14600" width="11.28515625" style="489" customWidth="1"/>
    <col min="14601" max="14841" width="9.140625" style="489"/>
    <col min="14842" max="14842" width="5.28515625" style="489" customWidth="1"/>
    <col min="14843" max="14843" width="12" style="489" customWidth="1"/>
    <col min="14844" max="14844" width="54.5703125" style="489" customWidth="1"/>
    <col min="14845" max="14854" width="10.7109375" style="489" customWidth="1"/>
    <col min="14855" max="14855" width="9.85546875" style="489" bestFit="1" customWidth="1"/>
    <col min="14856" max="14856" width="11.28515625" style="489" customWidth="1"/>
    <col min="14857" max="15097" width="9.140625" style="489"/>
    <col min="15098" max="15098" width="5.28515625" style="489" customWidth="1"/>
    <col min="15099" max="15099" width="12" style="489" customWidth="1"/>
    <col min="15100" max="15100" width="54.5703125" style="489" customWidth="1"/>
    <col min="15101" max="15110" width="10.7109375" style="489" customWidth="1"/>
    <col min="15111" max="15111" width="9.85546875" style="489" bestFit="1" customWidth="1"/>
    <col min="15112" max="15112" width="11.28515625" style="489" customWidth="1"/>
    <col min="15113" max="15353" width="9.140625" style="489"/>
    <col min="15354" max="15354" width="5.28515625" style="489" customWidth="1"/>
    <col min="15355" max="15355" width="12" style="489" customWidth="1"/>
    <col min="15356" max="15356" width="54.5703125" style="489" customWidth="1"/>
    <col min="15357" max="15366" width="10.7109375" style="489" customWidth="1"/>
    <col min="15367" max="15367" width="9.85546875" style="489" bestFit="1" customWidth="1"/>
    <col min="15368" max="15368" width="11.28515625" style="489" customWidth="1"/>
    <col min="15369" max="15609" width="9.140625" style="489"/>
    <col min="15610" max="15610" width="5.28515625" style="489" customWidth="1"/>
    <col min="15611" max="15611" width="12" style="489" customWidth="1"/>
    <col min="15612" max="15612" width="54.5703125" style="489" customWidth="1"/>
    <col min="15613" max="15622" width="10.7109375" style="489" customWidth="1"/>
    <col min="15623" max="15623" width="9.85546875" style="489" bestFit="1" customWidth="1"/>
    <col min="15624" max="15624" width="11.28515625" style="489" customWidth="1"/>
    <col min="15625" max="15865" width="9.140625" style="489"/>
    <col min="15866" max="15866" width="5.28515625" style="489" customWidth="1"/>
    <col min="15867" max="15867" width="12" style="489" customWidth="1"/>
    <col min="15868" max="15868" width="54.5703125" style="489" customWidth="1"/>
    <col min="15869" max="15878" width="10.7109375" style="489" customWidth="1"/>
    <col min="15879" max="15879" width="9.85546875" style="489" bestFit="1" customWidth="1"/>
    <col min="15880" max="15880" width="11.28515625" style="489" customWidth="1"/>
    <col min="15881" max="16121" width="9.140625" style="489"/>
    <col min="16122" max="16122" width="5.28515625" style="489" customWidth="1"/>
    <col min="16123" max="16123" width="12" style="489" customWidth="1"/>
    <col min="16124" max="16124" width="54.5703125" style="489" customWidth="1"/>
    <col min="16125" max="16134" width="10.7109375" style="489" customWidth="1"/>
    <col min="16135" max="16135" width="9.85546875" style="489" bestFit="1" customWidth="1"/>
    <col min="16136" max="16136" width="11.28515625" style="489" customWidth="1"/>
    <col min="16137" max="16384" width="9.140625" style="489"/>
  </cols>
  <sheetData>
    <row r="1" spans="1:13" ht="18">
      <c r="A1" s="1083" t="e">
        <f>#REF!</f>
        <v>#REF!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</row>
    <row r="2" spans="1:13" ht="18">
      <c r="A2" s="1084" t="s">
        <v>7</v>
      </c>
      <c r="B2" s="1084"/>
      <c r="C2" s="1084"/>
      <c r="D2" s="1084"/>
      <c r="E2" s="1084"/>
      <c r="F2" s="1084"/>
      <c r="G2" s="421" t="str">
        <f>'B-1.2'!B10</f>
        <v>B-1.2.1</v>
      </c>
      <c r="H2" s="421"/>
      <c r="I2" s="421"/>
      <c r="J2" s="421"/>
      <c r="K2" s="421"/>
      <c r="L2" s="421"/>
      <c r="M2" s="421"/>
    </row>
    <row r="3" spans="1:13" ht="18">
      <c r="A3" s="1094" t="str">
        <f>'B-1.2'!C10</f>
        <v>სადრენაჟე სათავე კვანძის მიწის სამუშაოები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3" ht="15">
      <c r="A4" s="1086"/>
      <c r="B4" s="1086"/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</row>
    <row r="5" spans="1:13" ht="29.25" customHeight="1">
      <c r="A5" s="993"/>
      <c r="B5" s="1087" t="e">
        <f>#REF!</f>
        <v>#REF!</v>
      </c>
      <c r="C5" s="1087"/>
      <c r="D5" s="1087"/>
      <c r="E5" s="1087"/>
      <c r="F5" s="1087"/>
      <c r="G5" s="1087"/>
      <c r="H5" s="993"/>
      <c r="I5" s="993"/>
      <c r="J5" s="993"/>
      <c r="K5" s="993"/>
      <c r="L5" s="993"/>
      <c r="M5" s="993"/>
    </row>
    <row r="6" spans="1:13" ht="15">
      <c r="A6" s="993"/>
      <c r="B6" s="994"/>
      <c r="C6" s="994"/>
      <c r="D6" s="994"/>
      <c r="E6" s="994"/>
      <c r="F6" s="994"/>
      <c r="G6" s="994"/>
      <c r="H6" s="993"/>
      <c r="I6" s="993"/>
      <c r="J6" s="993"/>
      <c r="K6" s="993"/>
      <c r="L6" s="993"/>
      <c r="M6" s="993"/>
    </row>
    <row r="7" spans="1:13">
      <c r="A7" s="1095" t="s">
        <v>147</v>
      </c>
      <c r="B7" s="1096" t="s">
        <v>20</v>
      </c>
      <c r="C7" s="1092" t="s">
        <v>149</v>
      </c>
      <c r="D7" s="1092" t="s">
        <v>150</v>
      </c>
      <c r="E7" s="1092" t="s">
        <v>151</v>
      </c>
      <c r="F7" s="1092" t="s">
        <v>152</v>
      </c>
      <c r="G7" s="1093" t="s">
        <v>153</v>
      </c>
      <c r="H7" s="1093"/>
      <c r="I7" s="1093" t="s">
        <v>154</v>
      </c>
      <c r="J7" s="1093"/>
      <c r="K7" s="1092" t="s">
        <v>155</v>
      </c>
      <c r="L7" s="1092"/>
      <c r="M7" s="996" t="s">
        <v>156</v>
      </c>
    </row>
    <row r="8" spans="1:13">
      <c r="A8" s="1095"/>
      <c r="B8" s="1096"/>
      <c r="C8" s="1092"/>
      <c r="D8" s="1092"/>
      <c r="E8" s="1092"/>
      <c r="F8" s="1092"/>
      <c r="G8" s="996" t="s">
        <v>157</v>
      </c>
      <c r="H8" s="1001" t="s">
        <v>158</v>
      </c>
      <c r="I8" s="996" t="s">
        <v>157</v>
      </c>
      <c r="J8" s="1001" t="s">
        <v>158</v>
      </c>
      <c r="K8" s="996" t="s">
        <v>157</v>
      </c>
      <c r="L8" s="1001" t="s">
        <v>159</v>
      </c>
      <c r="M8" s="996" t="s">
        <v>160</v>
      </c>
    </row>
    <row r="9" spans="1:13">
      <c r="A9" s="997">
        <v>1</v>
      </c>
      <c r="B9" s="997"/>
      <c r="C9" s="997">
        <v>2</v>
      </c>
      <c r="D9" s="997">
        <v>4</v>
      </c>
      <c r="E9" s="997">
        <v>5</v>
      </c>
      <c r="F9" s="997">
        <v>6</v>
      </c>
      <c r="G9" s="494">
        <v>7</v>
      </c>
      <c r="H9" s="495">
        <v>8</v>
      </c>
      <c r="I9" s="494">
        <v>9</v>
      </c>
      <c r="J9" s="495">
        <v>10</v>
      </c>
      <c r="K9" s="494">
        <v>11</v>
      </c>
      <c r="L9" s="495">
        <v>12</v>
      </c>
      <c r="M9" s="494">
        <v>13</v>
      </c>
    </row>
    <row r="10" spans="1:13" s="500" customFormat="1">
      <c r="A10" s="496"/>
      <c r="B10" s="496"/>
      <c r="C10" s="497" t="s">
        <v>755</v>
      </c>
      <c r="D10" s="496"/>
      <c r="E10" s="496"/>
      <c r="F10" s="496"/>
      <c r="G10" s="498"/>
      <c r="H10" s="499"/>
      <c r="I10" s="498"/>
      <c r="J10" s="499"/>
      <c r="K10" s="498"/>
      <c r="L10" s="499"/>
      <c r="M10" s="498"/>
    </row>
    <row r="11" spans="1:13" ht="27">
      <c r="A11" s="501">
        <v>1</v>
      </c>
      <c r="B11" s="502" t="s">
        <v>756</v>
      </c>
      <c r="C11" s="503" t="s">
        <v>757</v>
      </c>
      <c r="D11" s="504" t="s">
        <v>15</v>
      </c>
      <c r="E11" s="504"/>
      <c r="F11" s="505">
        <f>(1+3.34)/2*2.5*0.4*50</f>
        <v>108.5</v>
      </c>
      <c r="G11" s="504"/>
      <c r="H11" s="506"/>
      <c r="I11" s="504"/>
      <c r="J11" s="506"/>
      <c r="K11" s="504"/>
      <c r="L11" s="506"/>
      <c r="M11" s="506"/>
    </row>
    <row r="12" spans="1:13">
      <c r="A12" s="496"/>
      <c r="B12" s="496"/>
      <c r="C12" s="507" t="s">
        <v>86</v>
      </c>
      <c r="D12" s="498" t="s">
        <v>13</v>
      </c>
      <c r="E12" s="498">
        <f>16.5/1000</f>
        <v>1.6500000000000001E-2</v>
      </c>
      <c r="F12" s="508">
        <f>F11*E12</f>
        <v>1.7902500000000001</v>
      </c>
      <c r="G12" s="498"/>
      <c r="H12" s="508"/>
      <c r="I12" s="498"/>
      <c r="J12" s="508"/>
      <c r="K12" s="498"/>
      <c r="L12" s="508"/>
      <c r="M12" s="508"/>
    </row>
    <row r="13" spans="1:13">
      <c r="A13" s="496"/>
      <c r="B13" s="1000" t="s">
        <v>615</v>
      </c>
      <c r="C13" s="507" t="s">
        <v>759</v>
      </c>
      <c r="D13" s="496" t="s">
        <v>14</v>
      </c>
      <c r="E13" s="498">
        <f>37/1000</f>
        <v>3.6999999999999998E-2</v>
      </c>
      <c r="F13" s="508">
        <f>E13*F11</f>
        <v>4.0145</v>
      </c>
      <c r="G13" s="498"/>
      <c r="H13" s="508"/>
      <c r="I13" s="498"/>
      <c r="J13" s="508"/>
      <c r="K13" s="415"/>
      <c r="L13" s="508"/>
      <c r="M13" s="508"/>
    </row>
    <row r="14" spans="1:13">
      <c r="A14" s="995">
        <v>2</v>
      </c>
      <c r="B14" s="502" t="s">
        <v>760</v>
      </c>
      <c r="C14" s="510" t="s">
        <v>761</v>
      </c>
      <c r="D14" s="996" t="s">
        <v>15</v>
      </c>
      <c r="E14" s="996"/>
      <c r="F14" s="505">
        <f>F11*0.03</f>
        <v>3.2549999999999999</v>
      </c>
      <c r="G14" s="996"/>
      <c r="H14" s="1001"/>
      <c r="I14" s="996"/>
      <c r="J14" s="1001"/>
      <c r="K14" s="996"/>
      <c r="L14" s="1001"/>
      <c r="M14" s="1001"/>
    </row>
    <row r="15" spans="1:13">
      <c r="A15" s="997"/>
      <c r="B15" s="997"/>
      <c r="C15" s="383" t="s">
        <v>86</v>
      </c>
      <c r="D15" s="494" t="s">
        <v>13</v>
      </c>
      <c r="E15" s="494">
        <f>424/100</f>
        <v>4.24</v>
      </c>
      <c r="F15" s="511">
        <f>F14*E15</f>
        <v>13.8012</v>
      </c>
      <c r="G15" s="494"/>
      <c r="H15" s="511"/>
      <c r="I15" s="494"/>
      <c r="J15" s="511"/>
      <c r="K15" s="494"/>
      <c r="L15" s="511"/>
      <c r="M15" s="511"/>
    </row>
    <row r="16" spans="1:13" ht="27">
      <c r="A16" s="501">
        <v>3</v>
      </c>
      <c r="B16" s="502" t="s">
        <v>762</v>
      </c>
      <c r="C16" s="503" t="s">
        <v>745</v>
      </c>
      <c r="D16" s="504" t="s">
        <v>15</v>
      </c>
      <c r="E16" s="504"/>
      <c r="F16" s="505">
        <f>(1+3.34)/2*2.5*0.4*50</f>
        <v>108.5</v>
      </c>
      <c r="G16" s="504"/>
      <c r="H16" s="506"/>
      <c r="I16" s="504"/>
      <c r="J16" s="506"/>
      <c r="K16" s="504"/>
      <c r="L16" s="506"/>
      <c r="M16" s="506"/>
    </row>
    <row r="17" spans="1:13">
      <c r="A17" s="496"/>
      <c r="B17" s="496"/>
      <c r="C17" s="507" t="s">
        <v>86</v>
      </c>
      <c r="D17" s="498" t="s">
        <v>13</v>
      </c>
      <c r="E17" s="498">
        <f>21.5/1000</f>
        <v>2.1499999999999998E-2</v>
      </c>
      <c r="F17" s="508">
        <f>F16*E17</f>
        <v>2.3327499999999999</v>
      </c>
      <c r="G17" s="498"/>
      <c r="H17" s="508"/>
      <c r="I17" s="498"/>
      <c r="J17" s="508"/>
      <c r="K17" s="498"/>
      <c r="L17" s="508"/>
      <c r="M17" s="508"/>
    </row>
    <row r="18" spans="1:13">
      <c r="A18" s="496"/>
      <c r="B18" s="1000" t="s">
        <v>615</v>
      </c>
      <c r="C18" s="507" t="s">
        <v>763</v>
      </c>
      <c r="D18" s="496" t="s">
        <v>14</v>
      </c>
      <c r="E18" s="498">
        <f>48.2/1000</f>
        <v>4.82E-2</v>
      </c>
      <c r="F18" s="508">
        <f>E18*F16</f>
        <v>5.2297000000000002</v>
      </c>
      <c r="G18" s="498"/>
      <c r="H18" s="508"/>
      <c r="I18" s="498"/>
      <c r="J18" s="508"/>
      <c r="K18" s="415"/>
      <c r="L18" s="508"/>
      <c r="M18" s="508"/>
    </row>
    <row r="19" spans="1:13">
      <c r="A19" s="995">
        <v>4</v>
      </c>
      <c r="B19" s="502" t="s">
        <v>764</v>
      </c>
      <c r="C19" s="510" t="s">
        <v>746</v>
      </c>
      <c r="D19" s="996" t="s">
        <v>15</v>
      </c>
      <c r="E19" s="996"/>
      <c r="F19" s="505">
        <f>F16*0.03</f>
        <v>3.2549999999999999</v>
      </c>
      <c r="G19" s="996"/>
      <c r="H19" s="1001"/>
      <c r="I19" s="996"/>
      <c r="J19" s="1001"/>
      <c r="K19" s="996"/>
      <c r="L19" s="1001"/>
      <c r="M19" s="1001"/>
    </row>
    <row r="20" spans="1:13">
      <c r="A20" s="997"/>
      <c r="B20" s="997"/>
      <c r="C20" s="383" t="s">
        <v>86</v>
      </c>
      <c r="D20" s="494" t="s">
        <v>13</v>
      </c>
      <c r="E20" s="494">
        <f>577/100</f>
        <v>5.77</v>
      </c>
      <c r="F20" s="511">
        <f>F19*E20</f>
        <v>18.78135</v>
      </c>
      <c r="G20" s="494"/>
      <c r="H20" s="511"/>
      <c r="I20" s="494"/>
      <c r="J20" s="511"/>
      <c r="K20" s="494"/>
      <c r="L20" s="511"/>
      <c r="M20" s="511"/>
    </row>
    <row r="21" spans="1:13" ht="15">
      <c r="A21" s="591" t="s">
        <v>71</v>
      </c>
      <c r="B21" s="978" t="s">
        <v>530</v>
      </c>
      <c r="C21" s="593" t="s">
        <v>531</v>
      </c>
      <c r="D21" s="463" t="s">
        <v>44</v>
      </c>
      <c r="E21" s="463"/>
      <c r="F21" s="253">
        <f>((0.8*'[1]B-3.1.3'!F11)+(0.8*'[1]B-3.1.3'!F22)+(0.6*'[1]B-3.1.3'!F33)+(0.6*'[1]B-3.1.3'!F44)+(0.6*'[1]B-3.1.3'!F55)+(0.45*'[1]B-3.1.3'!F66)+(0.45*'[1]B-3.1.3'!F77)+(0.45*'[1]B-3.1.3'!F94)+(0.45*'[1]B-3.1.3'!F99))*0.03</f>
        <v>76.308357450000003</v>
      </c>
      <c r="G21" s="463"/>
      <c r="H21" s="261"/>
      <c r="I21" s="463"/>
      <c r="J21" s="475"/>
      <c r="K21" s="463"/>
      <c r="L21" s="261"/>
      <c r="M21" s="253"/>
    </row>
    <row r="22" spans="1:13" ht="15">
      <c r="A22" s="249"/>
      <c r="B22" s="978"/>
      <c r="C22" s="254" t="s">
        <v>36</v>
      </c>
      <c r="D22" s="251" t="s">
        <v>63</v>
      </c>
      <c r="E22" s="251">
        <f>592/100</f>
        <v>5.92</v>
      </c>
      <c r="F22" s="256">
        <f>F21*E22</f>
        <v>451.74547610400003</v>
      </c>
      <c r="G22" s="267"/>
      <c r="H22" s="385"/>
      <c r="I22" s="267"/>
      <c r="J22" s="385"/>
      <c r="K22" s="267"/>
      <c r="L22" s="385"/>
      <c r="M22" s="385"/>
    </row>
    <row r="23" spans="1:13" ht="25.5">
      <c r="A23" s="249"/>
      <c r="B23" s="999" t="s">
        <v>619</v>
      </c>
      <c r="C23" s="254" t="s">
        <v>532</v>
      </c>
      <c r="D23" s="251" t="s">
        <v>64</v>
      </c>
      <c r="E23" s="251">
        <f>410/100</f>
        <v>4.0999999999999996</v>
      </c>
      <c r="F23" s="256">
        <f>F21*E23</f>
        <v>312.86426554499997</v>
      </c>
      <c r="G23" s="265"/>
      <c r="H23" s="265"/>
      <c r="I23" s="265"/>
      <c r="J23" s="265"/>
      <c r="K23" s="9"/>
      <c r="L23" s="979"/>
      <c r="M23" s="385"/>
    </row>
    <row r="24" spans="1:13" ht="30">
      <c r="A24" s="591" t="s">
        <v>72</v>
      </c>
      <c r="B24" s="978" t="s">
        <v>533</v>
      </c>
      <c r="C24" s="593" t="s">
        <v>534</v>
      </c>
      <c r="D24" s="463" t="s">
        <v>44</v>
      </c>
      <c r="E24" s="463"/>
      <c r="F24" s="253">
        <f>F21</f>
        <v>76.308357450000003</v>
      </c>
      <c r="G24" s="463"/>
      <c r="H24" s="261"/>
      <c r="I24" s="463"/>
      <c r="J24" s="475"/>
      <c r="K24" s="463"/>
      <c r="L24" s="261"/>
      <c r="M24" s="253"/>
    </row>
    <row r="25" spans="1:13" ht="15">
      <c r="A25" s="249"/>
      <c r="B25" s="978"/>
      <c r="C25" s="254" t="s">
        <v>36</v>
      </c>
      <c r="D25" s="251" t="s">
        <v>63</v>
      </c>
      <c r="E25" s="251">
        <f>29/1000</f>
        <v>2.9000000000000001E-2</v>
      </c>
      <c r="F25" s="256">
        <f>F24*E25</f>
        <v>2.2129423660500001</v>
      </c>
      <c r="G25" s="251"/>
      <c r="H25" s="266"/>
      <c r="I25" s="251"/>
      <c r="J25" s="385"/>
      <c r="K25" s="251"/>
      <c r="L25" s="266"/>
      <c r="M25" s="385"/>
    </row>
    <row r="26" spans="1:13" ht="15">
      <c r="A26" s="249"/>
      <c r="B26" s="1013" t="s">
        <v>832</v>
      </c>
      <c r="C26" s="254" t="s">
        <v>833</v>
      </c>
      <c r="D26" s="251" t="s">
        <v>64</v>
      </c>
      <c r="E26" s="251">
        <f>65/1000</f>
        <v>6.5000000000000002E-2</v>
      </c>
      <c r="F26" s="256">
        <f>F24*E26</f>
        <v>4.9600432342500005</v>
      </c>
      <c r="G26" s="251"/>
      <c r="H26" s="266"/>
      <c r="I26" s="251"/>
      <c r="J26" s="385"/>
      <c r="K26" s="415"/>
      <c r="L26" s="464"/>
      <c r="M26" s="385"/>
    </row>
    <row r="27" spans="1:13">
      <c r="A27" s="521"/>
      <c r="B27" s="521"/>
      <c r="C27" s="522" t="s">
        <v>158</v>
      </c>
      <c r="D27" s="523"/>
      <c r="E27" s="524"/>
      <c r="F27" s="524"/>
      <c r="G27" s="525"/>
      <c r="H27" s="526"/>
      <c r="I27" s="527"/>
      <c r="J27" s="526"/>
      <c r="K27" s="525"/>
      <c r="L27" s="526"/>
      <c r="M27" s="526"/>
    </row>
    <row r="28" spans="1:13">
      <c r="A28" s="997"/>
      <c r="B28" s="997"/>
      <c r="C28" s="528" t="s">
        <v>162</v>
      </c>
      <c r="D28" s="529" t="s">
        <v>851</v>
      </c>
      <c r="E28" s="530"/>
      <c r="F28" s="530"/>
      <c r="G28" s="530"/>
      <c r="H28" s="531"/>
      <c r="I28" s="530"/>
      <c r="J28" s="531"/>
      <c r="K28" s="530"/>
      <c r="L28" s="531"/>
      <c r="M28" s="531"/>
    </row>
    <row r="29" spans="1:13">
      <c r="A29" s="997"/>
      <c r="B29" s="997"/>
      <c r="C29" s="528" t="s">
        <v>158</v>
      </c>
      <c r="D29" s="996"/>
      <c r="E29" s="532"/>
      <c r="F29" s="532"/>
      <c r="G29" s="532"/>
      <c r="H29" s="533"/>
      <c r="I29" s="534"/>
      <c r="J29" s="533"/>
      <c r="K29" s="534"/>
      <c r="L29" s="533"/>
      <c r="M29" s="533"/>
    </row>
    <row r="30" spans="1:13">
      <c r="A30" s="997"/>
      <c r="B30" s="997"/>
      <c r="C30" s="528" t="s">
        <v>797</v>
      </c>
      <c r="D30" s="535" t="s">
        <v>851</v>
      </c>
      <c r="E30" s="530"/>
      <c r="F30" s="530"/>
      <c r="G30" s="530"/>
      <c r="H30" s="536"/>
      <c r="I30" s="536"/>
      <c r="J30" s="536"/>
      <c r="K30" s="536"/>
      <c r="L30" s="536"/>
      <c r="M30" s="531"/>
    </row>
    <row r="31" spans="1:13">
      <c r="A31" s="997"/>
      <c r="B31" s="997"/>
      <c r="C31" s="528" t="s">
        <v>158</v>
      </c>
      <c r="D31" s="494"/>
      <c r="E31" s="532"/>
      <c r="F31" s="532"/>
      <c r="G31" s="532"/>
      <c r="H31" s="534"/>
      <c r="I31" s="534"/>
      <c r="J31" s="534"/>
      <c r="K31" s="534"/>
      <c r="L31" s="534"/>
      <c r="M31" s="533"/>
    </row>
    <row r="32" spans="1:13">
      <c r="A32" s="997"/>
      <c r="B32" s="997"/>
      <c r="C32" s="528" t="s">
        <v>163</v>
      </c>
      <c r="D32" s="529" t="s">
        <v>851</v>
      </c>
      <c r="E32" s="530"/>
      <c r="F32" s="530"/>
      <c r="G32" s="530"/>
      <c r="H32" s="536"/>
      <c r="I32" s="536"/>
      <c r="J32" s="536"/>
      <c r="K32" s="536"/>
      <c r="L32" s="536"/>
      <c r="M32" s="531"/>
    </row>
    <row r="33" spans="1:13">
      <c r="A33" s="997"/>
      <c r="B33" s="997"/>
      <c r="C33" s="528" t="s">
        <v>164</v>
      </c>
      <c r="D33" s="532"/>
      <c r="E33" s="532"/>
      <c r="F33" s="532"/>
      <c r="G33" s="532"/>
      <c r="H33" s="534"/>
      <c r="I33" s="534"/>
      <c r="J33" s="534"/>
      <c r="K33" s="534"/>
      <c r="L33" s="534"/>
      <c r="M33" s="533"/>
    </row>
    <row r="36" spans="1:13">
      <c r="C36" s="537"/>
      <c r="D36" s="538"/>
      <c r="E36" s="538"/>
      <c r="F36" s="538"/>
      <c r="G36" s="538"/>
      <c r="H36" s="538"/>
      <c r="I36" s="538"/>
    </row>
    <row r="37" spans="1:13">
      <c r="C37" s="537"/>
      <c r="D37" s="538"/>
      <c r="E37" s="538"/>
      <c r="F37" s="538"/>
      <c r="G37" s="538"/>
      <c r="H37" s="538"/>
      <c r="I37" s="538"/>
    </row>
  </sheetData>
  <sheetProtection password="CA9C" sheet="1" objects="1" scenarios="1"/>
  <protectedRanges>
    <protectedRange sqref="D27:M33" name="Range2"/>
    <protectedRange sqref="G10:M37" name="Range1"/>
  </protectedRanges>
  <mergeCells count="14">
    <mergeCell ref="F7:F8"/>
    <mergeCell ref="G7:H7"/>
    <mergeCell ref="I7:J7"/>
    <mergeCell ref="K7:L7"/>
    <mergeCell ref="A1:M1"/>
    <mergeCell ref="A2:F2"/>
    <mergeCell ref="A3:M3"/>
    <mergeCell ref="A4:M4"/>
    <mergeCell ref="B5:G5"/>
    <mergeCell ref="A7:A8"/>
    <mergeCell ref="B7:B8"/>
    <mergeCell ref="C7:C8"/>
    <mergeCell ref="D7:D8"/>
    <mergeCell ref="E7:E8"/>
  </mergeCells>
  <printOptions horizontalCentered="1"/>
  <pageMargins left="0.19685039370078741" right="0.19685039370078741" top="0.59055118110236227" bottom="0.19685039370078741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56</vt:i4>
      </vt:variant>
    </vt:vector>
  </HeadingPairs>
  <TitlesOfParts>
    <vt:vector size="92" baseType="lpstr">
      <vt:lpstr>B</vt:lpstr>
      <vt:lpstr>B-1</vt:lpstr>
      <vt:lpstr>B-1.1</vt:lpstr>
      <vt:lpstr>B-1.1.1</vt:lpstr>
      <vt:lpstr>B-1.1.2</vt:lpstr>
      <vt:lpstr>B-1.1.3</vt:lpstr>
      <vt:lpstr>Sheet1</vt:lpstr>
      <vt:lpstr>B-1.2</vt:lpstr>
      <vt:lpstr>B-1.2.1</vt:lpstr>
      <vt:lpstr>B-1.2.2</vt:lpstr>
      <vt:lpstr>B-1.2.3</vt:lpstr>
      <vt:lpstr>B-2</vt:lpstr>
      <vt:lpstr>B-2.1</vt:lpstr>
      <vt:lpstr>B-2.1.1</vt:lpstr>
      <vt:lpstr>B-2.1.2</vt:lpstr>
      <vt:lpstr>B-2.1.3</vt:lpstr>
      <vt:lpstr>B-2.2</vt:lpstr>
      <vt:lpstr>B-2.2.1.</vt:lpstr>
      <vt:lpstr>B-2.2.1.1</vt:lpstr>
      <vt:lpstr>B-2.2.1.1.1.</vt:lpstr>
      <vt:lpstr>B-2.2.1.1.2.</vt:lpstr>
      <vt:lpstr>B-2.2.2</vt:lpstr>
      <vt:lpstr>B-2.2.2.1</vt:lpstr>
      <vt:lpstr>B-2.2.2.1.1</vt:lpstr>
      <vt:lpstr>B-2.2.2.1.2</vt:lpstr>
      <vt:lpstr>B-2.2.3</vt:lpstr>
      <vt:lpstr>B-2.2.3.1</vt:lpstr>
      <vt:lpstr>B-2.2.3.2</vt:lpstr>
      <vt:lpstr>B-3</vt:lpstr>
      <vt:lpstr>B-3.1</vt:lpstr>
      <vt:lpstr>B-3.2</vt:lpstr>
      <vt:lpstr>B-3.3</vt:lpstr>
      <vt:lpstr>B-4</vt:lpstr>
      <vt:lpstr>B-4.1</vt:lpstr>
      <vt:lpstr>B-4.2</vt:lpstr>
      <vt:lpstr>B-4.3</vt:lpstr>
      <vt:lpstr>B!Print_Area</vt:lpstr>
      <vt:lpstr>'B-1'!Print_Area</vt:lpstr>
      <vt:lpstr>'B-1.1'!Print_Area</vt:lpstr>
      <vt:lpstr>'B-1.1.1'!Print_Area</vt:lpstr>
      <vt:lpstr>'B-1.1.2'!Print_Area</vt:lpstr>
      <vt:lpstr>'B-1.1.3'!Print_Area</vt:lpstr>
      <vt:lpstr>'B-1.2'!Print_Area</vt:lpstr>
      <vt:lpstr>'B-1.2.1'!Print_Area</vt:lpstr>
      <vt:lpstr>'B-1.2.2'!Print_Area</vt:lpstr>
      <vt:lpstr>'B-1.2.3'!Print_Area</vt:lpstr>
      <vt:lpstr>'B-2'!Print_Area</vt:lpstr>
      <vt:lpstr>'B-2.1'!Print_Area</vt:lpstr>
      <vt:lpstr>'B-2.1.1'!Print_Area</vt:lpstr>
      <vt:lpstr>'B-2.1.2'!Print_Area</vt:lpstr>
      <vt:lpstr>'B-2.1.3'!Print_Area</vt:lpstr>
      <vt:lpstr>'B-2.2'!Print_Area</vt:lpstr>
      <vt:lpstr>'B-2.2.1.'!Print_Area</vt:lpstr>
      <vt:lpstr>'B-2.2.1.1'!Print_Area</vt:lpstr>
      <vt:lpstr>'B-2.2.1.1.1.'!Print_Area</vt:lpstr>
      <vt:lpstr>'B-2.2.1.1.2.'!Print_Area</vt:lpstr>
      <vt:lpstr>'B-2.2.2'!Print_Area</vt:lpstr>
      <vt:lpstr>'B-2.2.2.1'!Print_Area</vt:lpstr>
      <vt:lpstr>'B-2.2.2.1.1'!Print_Area</vt:lpstr>
      <vt:lpstr>'B-2.2.2.1.2'!Print_Area</vt:lpstr>
      <vt:lpstr>'B-2.2.3'!Print_Area</vt:lpstr>
      <vt:lpstr>'B-2.2.3.1'!Print_Area</vt:lpstr>
      <vt:lpstr>'B-2.2.3.2'!Print_Area</vt:lpstr>
      <vt:lpstr>'B-3'!Print_Area</vt:lpstr>
      <vt:lpstr>'B-3.1'!Print_Area</vt:lpstr>
      <vt:lpstr>'B-3.2'!Print_Area</vt:lpstr>
      <vt:lpstr>'B-3.3'!Print_Area</vt:lpstr>
      <vt:lpstr>'B-4'!Print_Area</vt:lpstr>
      <vt:lpstr>'B-4.1'!Print_Area</vt:lpstr>
      <vt:lpstr>'B-4.2'!Print_Area</vt:lpstr>
      <vt:lpstr>'B-4.3'!Print_Area</vt:lpstr>
      <vt:lpstr>'B-1.1.1'!Print_Titles</vt:lpstr>
      <vt:lpstr>'B-1.1.2'!Print_Titles</vt:lpstr>
      <vt:lpstr>'B-1.1.3'!Print_Titles</vt:lpstr>
      <vt:lpstr>'B-1.2.1'!Print_Titles</vt:lpstr>
      <vt:lpstr>'B-1.2.2'!Print_Titles</vt:lpstr>
      <vt:lpstr>'B-1.2.3'!Print_Titles</vt:lpstr>
      <vt:lpstr>'B-2.1.1'!Print_Titles</vt:lpstr>
      <vt:lpstr>'B-2.1.2'!Print_Titles</vt:lpstr>
      <vt:lpstr>'B-2.1.3'!Print_Titles</vt:lpstr>
      <vt:lpstr>'B-2.2.1.1.1.'!Print_Titles</vt:lpstr>
      <vt:lpstr>'B-2.2.1.1.2.'!Print_Titles</vt:lpstr>
      <vt:lpstr>'B-2.2.2.1.1'!Print_Titles</vt:lpstr>
      <vt:lpstr>'B-2.2.2.1.2'!Print_Titles</vt:lpstr>
      <vt:lpstr>'B-2.2.3.1'!Print_Titles</vt:lpstr>
      <vt:lpstr>'B-2.2.3.2'!Print_Titles</vt:lpstr>
      <vt:lpstr>'B-3.1'!Print_Titles</vt:lpstr>
      <vt:lpstr>'B-3.2'!Print_Titles</vt:lpstr>
      <vt:lpstr>'B-3.3'!Print_Titles</vt:lpstr>
      <vt:lpstr>'B-4.1'!Print_Titles</vt:lpstr>
      <vt:lpstr>'B-4.2'!Print_Titles</vt:lpstr>
      <vt:lpstr>'B-4.3'!Print_Titles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2022-06-02T06:52:45Z</dcterms:modified>
</cp:coreProperties>
</file>