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B4C52FD2-6597-4924-B947-1D270426507D}" xr6:coauthVersionLast="47" xr6:coauthVersionMax="47" xr10:uidLastSave="{00000000-0000-0000-0000-000000000000}"/>
  <bookViews>
    <workbookView xWindow="-120" yWindow="-120" windowWidth="29040" windowHeight="15840" tabRatio="900" activeTab="19" xr2:uid="{00000000-000D-0000-FFFF-FFFF00000000}"/>
  </bookViews>
  <sheets>
    <sheet name="კრ" sheetId="4" r:id="rId1"/>
    <sheet name="1 " sheetId="41" r:id="rId2"/>
    <sheet name="2" sheetId="42" r:id="rId3"/>
    <sheet name="3" sheetId="61" r:id="rId4"/>
    <sheet name="4" sheetId="36" r:id="rId5"/>
    <sheet name="5" sheetId="44" r:id="rId6"/>
    <sheet name="6" sheetId="62" r:id="rId7"/>
    <sheet name="ო-7" sheetId="49" r:id="rId8"/>
    <sheet name="7-1" sheetId="48" r:id="rId9"/>
    <sheet name="7-2" sheetId="50" r:id="rId10"/>
    <sheet name="7-3" sheetId="37" r:id="rId11"/>
    <sheet name="8" sheetId="45" r:id="rId12"/>
    <sheet name="9" sheetId="46" r:id="rId13"/>
    <sheet name="10" sheetId="51" r:id="rId14"/>
    <sheet name="ო-11" sheetId="52" r:id="rId15"/>
    <sheet name="11-1" sheetId="53" r:id="rId16"/>
    <sheet name="11-2" sheetId="57" r:id="rId17"/>
    <sheet name="11-3" sheetId="58" r:id="rId18"/>
    <sheet name="12" sheetId="59" r:id="rId19"/>
    <sheet name="kalendaruli grafiki" sheetId="63" r:id="rId20"/>
  </sheets>
  <definedNames>
    <definedName name="_xlnm._FilterDatabase" localSheetId="13" hidden="1">'10'!$A$9:$WUZ$179</definedName>
    <definedName name="_xlnm._FilterDatabase" localSheetId="15" hidden="1">'11-1'!$A$9:$WUN$300</definedName>
    <definedName name="_xlnm._FilterDatabase" localSheetId="18" hidden="1">'12'!$A$8:$WUZ$65</definedName>
    <definedName name="_xlnm._FilterDatabase" localSheetId="3" hidden="1">'3'!$A$9:$WVN$9</definedName>
    <definedName name="_xlnm._FilterDatabase" localSheetId="4" hidden="1">'4'!$A$8:$WUT$292</definedName>
    <definedName name="_xlnm._FilterDatabase" localSheetId="5" hidden="1">'5'!$A$9:$M$286</definedName>
    <definedName name="_xlnm._FilterDatabase" localSheetId="8" hidden="1">'7-1'!$A$9:$WUS$225</definedName>
    <definedName name="_xlnm._FilterDatabase" localSheetId="9" hidden="1">'7-2'!$A$7:$WVP$62</definedName>
    <definedName name="f" localSheetId="5">#REF!</definedName>
    <definedName name="f">#REF!</definedName>
    <definedName name="ffff474875" localSheetId="5">#REF!</definedName>
    <definedName name="ffff474875">#REF!</definedName>
    <definedName name="_xlnm.Print_Area" localSheetId="1">'1 '!$A$1:$M$107</definedName>
    <definedName name="_xlnm.Print_Area" localSheetId="13">'10'!$A$1:$M$182</definedName>
    <definedName name="_xlnm.Print_Area" localSheetId="15">'11-1'!$A$1:$M$304</definedName>
    <definedName name="_xlnm.Print_Area" localSheetId="16">'11-2'!$A$1:$M$49</definedName>
    <definedName name="_xlnm.Print_Area" localSheetId="17">'11-3'!$A$1:$M$154</definedName>
    <definedName name="_xlnm.Print_Area" localSheetId="18">'12'!$A$1:$M$72</definedName>
    <definedName name="_xlnm.Print_Area" localSheetId="2">'2'!$A$1:$M$92</definedName>
    <definedName name="_xlnm.Print_Area" localSheetId="3">'3'!$A$1:$M$30</definedName>
    <definedName name="_xlnm.Print_Area" localSheetId="4">'4'!$A$1:$M$301</definedName>
    <definedName name="_xlnm.Print_Area" localSheetId="5">'5'!$A$1:$M$288</definedName>
    <definedName name="_xlnm.Print_Area" localSheetId="6">'6'!$A$1:$M$42</definedName>
    <definedName name="_xlnm.Print_Area" localSheetId="8">'7-1'!$A$1:$M$231</definedName>
    <definedName name="_xlnm.Print_Area" localSheetId="9">'7-2'!$A$1:$M$66</definedName>
    <definedName name="_xlnm.Print_Area" localSheetId="10">'7-3'!$A$1:$M$47</definedName>
    <definedName name="_xlnm.Print_Area" localSheetId="11">'8'!$A$1:$M$80</definedName>
    <definedName name="_xlnm.Print_Area" localSheetId="12">'9'!$A$1:$M$70</definedName>
    <definedName name="_xlnm.Print_Area" localSheetId="0">კრ!$A$1:$H$34</definedName>
    <definedName name="_xlnm.Print_Area" localSheetId="14">'ო-11'!$A$1:$G$17</definedName>
    <definedName name="_xlnm.Print_Area" localSheetId="7">'ო-7'!$A$1:$G$18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50" l="1"/>
  <c r="M60" i="50" s="1"/>
  <c r="L119" i="44"/>
  <c r="L121" i="44"/>
  <c r="L122" i="44"/>
  <c r="L123" i="44"/>
  <c r="M123" i="44" s="1"/>
  <c r="L124" i="44"/>
  <c r="L125" i="44"/>
  <c r="L126" i="44"/>
  <c r="L127" i="44"/>
  <c r="L128" i="44"/>
  <c r="L129" i="44"/>
  <c r="L130" i="44"/>
  <c r="J119" i="44"/>
  <c r="J121" i="44"/>
  <c r="J122" i="44"/>
  <c r="J123" i="44"/>
  <c r="J124" i="44"/>
  <c r="J125" i="44"/>
  <c r="J126" i="44"/>
  <c r="J127" i="44"/>
  <c r="J128" i="44"/>
  <c r="J129" i="44"/>
  <c r="J130" i="44"/>
  <c r="J131" i="44"/>
  <c r="H119" i="44"/>
  <c r="M119" i="44" s="1"/>
  <c r="H121" i="44"/>
  <c r="M121" i="44" s="1"/>
  <c r="H122" i="44"/>
  <c r="M122" i="44" s="1"/>
  <c r="H123" i="44"/>
  <c r="H124" i="44"/>
  <c r="M124" i="44" s="1"/>
  <c r="H125" i="44"/>
  <c r="M125" i="44" s="1"/>
  <c r="H126" i="44"/>
  <c r="M126" i="44" s="1"/>
  <c r="H127" i="44"/>
  <c r="H128" i="44"/>
  <c r="H129" i="44"/>
  <c r="M129" i="44" s="1"/>
  <c r="H130" i="44"/>
  <c r="M130" i="44" s="1"/>
  <c r="H131" i="44"/>
  <c r="M127" i="44" l="1"/>
  <c r="M128" i="44"/>
  <c r="L208" i="44"/>
  <c r="H208" i="44"/>
  <c r="M208" i="44" s="1"/>
  <c r="F120" i="44"/>
  <c r="H120" i="44" l="1"/>
  <c r="J120" i="44"/>
  <c r="L120" i="44"/>
  <c r="M120" i="44" l="1"/>
  <c r="A136" i="51"/>
  <c r="A115" i="51"/>
  <c r="A116" i="51" s="1"/>
  <c r="A117" i="51" s="1"/>
  <c r="E14" i="53"/>
  <c r="G22" i="4"/>
  <c r="G23" i="4" s="1"/>
  <c r="F136" i="36" l="1"/>
  <c r="F135" i="36"/>
  <c r="F134" i="36"/>
  <c r="F133" i="36"/>
  <c r="F132" i="36"/>
  <c r="A132" i="36"/>
  <c r="A133" i="36" s="1"/>
  <c r="A134" i="36" s="1"/>
  <c r="A135" i="36" s="1"/>
  <c r="A136" i="36" s="1"/>
  <c r="L131" i="36"/>
  <c r="J131" i="36"/>
  <c r="H131" i="36"/>
  <c r="F181" i="36"/>
  <c r="F178" i="36"/>
  <c r="H177" i="36"/>
  <c r="L134" i="36" l="1"/>
  <c r="L133" i="36"/>
  <c r="H133" i="36"/>
  <c r="J133" i="36"/>
  <c r="M131" i="36"/>
  <c r="J134" i="36"/>
  <c r="H136" i="36"/>
  <c r="H134" i="36"/>
  <c r="J136" i="36"/>
  <c r="L136" i="36"/>
  <c r="J132" i="36"/>
  <c r="J135" i="36"/>
  <c r="L132" i="36"/>
  <c r="L135" i="36"/>
  <c r="H132" i="36"/>
  <c r="H135" i="36"/>
  <c r="H178" i="36"/>
  <c r="H181" i="36"/>
  <c r="J178" i="36"/>
  <c r="L181" i="36"/>
  <c r="F180" i="36"/>
  <c r="J181" i="36"/>
  <c r="L178" i="36"/>
  <c r="L177" i="36"/>
  <c r="F179" i="36"/>
  <c r="F182" i="36"/>
  <c r="J177" i="36"/>
  <c r="F57" i="44"/>
  <c r="F75" i="41"/>
  <c r="M134" i="36" l="1"/>
  <c r="M133" i="36"/>
  <c r="M136" i="36"/>
  <c r="M135" i="36"/>
  <c r="M177" i="36"/>
  <c r="M132" i="36"/>
  <c r="M181" i="36"/>
  <c r="J182" i="36"/>
  <c r="H182" i="36"/>
  <c r="L182" i="36"/>
  <c r="J179" i="36"/>
  <c r="H179" i="36"/>
  <c r="L179" i="36"/>
  <c r="M178" i="36"/>
  <c r="J180" i="36"/>
  <c r="H180" i="36"/>
  <c r="L180" i="36"/>
  <c r="L273" i="36"/>
  <c r="L272" i="36"/>
  <c r="L267" i="36"/>
  <c r="L259" i="36"/>
  <c r="L258" i="36"/>
  <c r="L235" i="36"/>
  <c r="L211" i="36"/>
  <c r="L183" i="36"/>
  <c r="L175" i="36"/>
  <c r="L170" i="36"/>
  <c r="L169" i="36"/>
  <c r="L165" i="36"/>
  <c r="L151" i="36"/>
  <c r="L137" i="36"/>
  <c r="L123" i="36"/>
  <c r="L119" i="36"/>
  <c r="L110" i="36"/>
  <c r="L105" i="36"/>
  <c r="L91" i="36"/>
  <c r="L90" i="36"/>
  <c r="L62" i="36"/>
  <c r="L43" i="36"/>
  <c r="J267" i="36"/>
  <c r="J235" i="36"/>
  <c r="J211" i="36"/>
  <c r="J183" i="36"/>
  <c r="J169" i="36"/>
  <c r="J165" i="36"/>
  <c r="J151" i="36"/>
  <c r="J137" i="36"/>
  <c r="J123" i="36"/>
  <c r="J119" i="36"/>
  <c r="J105" i="36"/>
  <c r="J91" i="36"/>
  <c r="J90" i="36"/>
  <c r="J62" i="36"/>
  <c r="J43" i="36"/>
  <c r="H267" i="36"/>
  <c r="H235" i="36"/>
  <c r="H211" i="36"/>
  <c r="H183" i="36"/>
  <c r="H169" i="36"/>
  <c r="H165" i="36"/>
  <c r="H151" i="36"/>
  <c r="H137" i="36"/>
  <c r="H123" i="36"/>
  <c r="H119" i="36"/>
  <c r="H105" i="36"/>
  <c r="H91" i="36"/>
  <c r="H90" i="36"/>
  <c r="H62" i="36"/>
  <c r="H43" i="36"/>
  <c r="M180" i="36" l="1"/>
  <c r="M179" i="36"/>
  <c r="M182" i="36"/>
  <c r="M235" i="36"/>
  <c r="M137" i="36"/>
  <c r="M123" i="36"/>
  <c r="M169" i="36"/>
  <c r="M183" i="36"/>
  <c r="M165" i="36"/>
  <c r="M62" i="36"/>
  <c r="M267" i="36"/>
  <c r="M105" i="36"/>
  <c r="M90" i="36"/>
  <c r="M91" i="36"/>
  <c r="M211" i="36"/>
  <c r="M43" i="36"/>
  <c r="M119" i="36"/>
  <c r="M151" i="36"/>
  <c r="F134" i="51"/>
  <c r="F133" i="51"/>
  <c r="F132" i="51"/>
  <c r="F131" i="51"/>
  <c r="A131" i="51"/>
  <c r="A132" i="51" s="1"/>
  <c r="A133" i="51" s="1"/>
  <c r="A134" i="51" s="1"/>
  <c r="L130" i="51"/>
  <c r="J130" i="51"/>
  <c r="H130" i="51"/>
  <c r="F128" i="51"/>
  <c r="A126" i="51"/>
  <c r="A127" i="51" s="1"/>
  <c r="A128" i="51" s="1"/>
  <c r="A129" i="51" s="1"/>
  <c r="F129" i="51"/>
  <c r="F56" i="51"/>
  <c r="F22" i="51"/>
  <c r="F19" i="51"/>
  <c r="E29" i="51"/>
  <c r="E28" i="51"/>
  <c r="E23" i="51"/>
  <c r="A23" i="51"/>
  <c r="A24" i="51" s="1"/>
  <c r="A25" i="51" s="1"/>
  <c r="A26" i="51" s="1"/>
  <c r="A27" i="51" s="1"/>
  <c r="A28" i="51" s="1"/>
  <c r="A29" i="51" s="1"/>
  <c r="A20" i="51"/>
  <c r="A21" i="51" s="1"/>
  <c r="H57" i="51" l="1"/>
  <c r="L128" i="51"/>
  <c r="J134" i="51"/>
  <c r="F25" i="51"/>
  <c r="F21" i="51"/>
  <c r="H132" i="51"/>
  <c r="M130" i="51"/>
  <c r="L134" i="51"/>
  <c r="H131" i="51"/>
  <c r="J133" i="51"/>
  <c r="J131" i="51"/>
  <c r="L131" i="51"/>
  <c r="H133" i="51"/>
  <c r="L133" i="51"/>
  <c r="J132" i="51"/>
  <c r="L132" i="51"/>
  <c r="H134" i="51"/>
  <c r="J128" i="51"/>
  <c r="H128" i="51"/>
  <c r="J125" i="51"/>
  <c r="F126" i="51"/>
  <c r="F127" i="51"/>
  <c r="H125" i="51"/>
  <c r="L125" i="51"/>
  <c r="J129" i="51"/>
  <c r="L129" i="51"/>
  <c r="H129" i="51"/>
  <c r="L19" i="51"/>
  <c r="F20" i="51"/>
  <c r="H56" i="51"/>
  <c r="M56" i="51" s="1"/>
  <c r="F24" i="51"/>
  <c r="J22" i="51"/>
  <c r="F28" i="51"/>
  <c r="L22" i="51"/>
  <c r="H22" i="51"/>
  <c r="F26" i="51"/>
  <c r="F23" i="51"/>
  <c r="F27" i="51"/>
  <c r="J19" i="51"/>
  <c r="F29" i="51"/>
  <c r="H19" i="51"/>
  <c r="L127" i="51" l="1"/>
  <c r="J25" i="51"/>
  <c r="J126" i="51"/>
  <c r="M132" i="51"/>
  <c r="M125" i="51"/>
  <c r="L21" i="51"/>
  <c r="H21" i="51"/>
  <c r="H25" i="51"/>
  <c r="J21" i="51"/>
  <c r="L25" i="51"/>
  <c r="J127" i="51"/>
  <c r="L20" i="51"/>
  <c r="L126" i="51"/>
  <c r="M134" i="51"/>
  <c r="M128" i="51"/>
  <c r="M133" i="51"/>
  <c r="M131" i="51"/>
  <c r="H127" i="51"/>
  <c r="H126" i="51"/>
  <c r="J20" i="51"/>
  <c r="M129" i="51"/>
  <c r="M22" i="51"/>
  <c r="H20" i="51"/>
  <c r="L27" i="51"/>
  <c r="H27" i="51"/>
  <c r="J27" i="51"/>
  <c r="M19" i="51"/>
  <c r="L23" i="51"/>
  <c r="H23" i="51"/>
  <c r="J23" i="51"/>
  <c r="L26" i="51"/>
  <c r="H26" i="51"/>
  <c r="J26" i="51"/>
  <c r="L28" i="51"/>
  <c r="J28" i="51"/>
  <c r="H28" i="51"/>
  <c r="H29" i="51"/>
  <c r="L29" i="51"/>
  <c r="J29" i="51"/>
  <c r="L24" i="51"/>
  <c r="H24" i="51"/>
  <c r="J24" i="51"/>
  <c r="M126" i="51" l="1"/>
  <c r="M21" i="51"/>
  <c r="M25" i="51"/>
  <c r="M28" i="51"/>
  <c r="M127" i="51"/>
  <c r="M20" i="51"/>
  <c r="M23" i="51"/>
  <c r="M26" i="51"/>
  <c r="M24" i="51"/>
  <c r="M29" i="51"/>
  <c r="M27" i="51"/>
  <c r="E15" i="51" l="1"/>
  <c r="F15" i="51" s="1"/>
  <c r="E14" i="51"/>
  <c r="F14" i="51" s="1"/>
  <c r="A14" i="51"/>
  <c r="A15" i="51" s="1"/>
  <c r="L13" i="51"/>
  <c r="J13" i="51"/>
  <c r="H13" i="51"/>
  <c r="F11" i="51"/>
  <c r="F38" i="46"/>
  <c r="J38" i="46" s="1"/>
  <c r="F49" i="46"/>
  <c r="E44" i="46"/>
  <c r="E43" i="46"/>
  <c r="A39" i="46"/>
  <c r="A40" i="46" s="1"/>
  <c r="A41" i="46" s="1"/>
  <c r="A42" i="46" s="1"/>
  <c r="F50" i="46"/>
  <c r="F48" i="46"/>
  <c r="F47" i="46"/>
  <c r="A47" i="46"/>
  <c r="A48" i="46" s="1"/>
  <c r="A49" i="46" s="1"/>
  <c r="A50" i="46" s="1"/>
  <c r="L46" i="46"/>
  <c r="J46" i="46"/>
  <c r="H46" i="46"/>
  <c r="F60" i="46"/>
  <c r="E59" i="46"/>
  <c r="F59" i="46" s="1"/>
  <c r="F58" i="46"/>
  <c r="F57" i="46"/>
  <c r="F56" i="46"/>
  <c r="A56" i="46"/>
  <c r="A57" i="46" s="1"/>
  <c r="A58" i="46" s="1"/>
  <c r="A59" i="46" s="1"/>
  <c r="A60" i="46" s="1"/>
  <c r="L55" i="46"/>
  <c r="J55" i="46"/>
  <c r="H55" i="46"/>
  <c r="F54" i="46"/>
  <c r="F53" i="46"/>
  <c r="F52" i="46"/>
  <c r="A52" i="46"/>
  <c r="A53" i="46" s="1"/>
  <c r="A54" i="46" s="1"/>
  <c r="L51" i="46"/>
  <c r="J51" i="46"/>
  <c r="H51" i="46"/>
  <c r="F179" i="44"/>
  <c r="F227" i="36"/>
  <c r="F216" i="36"/>
  <c r="F215" i="36"/>
  <c r="F229" i="36"/>
  <c r="F173" i="36"/>
  <c r="F129" i="36"/>
  <c r="L207" i="44"/>
  <c r="H207" i="44"/>
  <c r="H114" i="44"/>
  <c r="M114" i="44" s="1"/>
  <c r="F108" i="44"/>
  <c r="L105" i="44"/>
  <c r="F115" i="44"/>
  <c r="A109" i="44"/>
  <c r="E107" i="44"/>
  <c r="E106" i="44"/>
  <c r="A106" i="44"/>
  <c r="A107" i="44" s="1"/>
  <c r="E104" i="44"/>
  <c r="F104" i="44" s="1"/>
  <c r="E103" i="44"/>
  <c r="F103" i="44" s="1"/>
  <c r="A103" i="44"/>
  <c r="A104" i="44" s="1"/>
  <c r="L102" i="44"/>
  <c r="J102" i="44"/>
  <c r="H102" i="44"/>
  <c r="A101" i="44"/>
  <c r="F101" i="44"/>
  <c r="F110" i="44"/>
  <c r="E117" i="44"/>
  <c r="E116" i="44"/>
  <c r="A111" i="44"/>
  <c r="A112" i="44" s="1"/>
  <c r="A113" i="44" s="1"/>
  <c r="A114" i="44" s="1"/>
  <c r="A115" i="44" s="1"/>
  <c r="A116" i="44" s="1"/>
  <c r="F10" i="51"/>
  <c r="A10" i="51"/>
  <c r="L9" i="51"/>
  <c r="J9" i="51"/>
  <c r="H9" i="51"/>
  <c r="E18" i="51"/>
  <c r="E17" i="51"/>
  <c r="A17" i="51"/>
  <c r="A18" i="51" s="1"/>
  <c r="A12" i="51"/>
  <c r="F73" i="51"/>
  <c r="L72" i="51"/>
  <c r="F71" i="51"/>
  <c r="F70" i="51"/>
  <c r="A70" i="51"/>
  <c r="A71" i="51" s="1"/>
  <c r="A72" i="51" s="1"/>
  <c r="A73" i="51" s="1"/>
  <c r="L69" i="51"/>
  <c r="J69" i="51"/>
  <c r="H69" i="51"/>
  <c r="F60" i="51"/>
  <c r="F68" i="51"/>
  <c r="E67" i="51"/>
  <c r="F67" i="51" s="1"/>
  <c r="F66" i="51"/>
  <c r="F65" i="51"/>
  <c r="F64" i="51"/>
  <c r="A64" i="51"/>
  <c r="A65" i="51" s="1"/>
  <c r="A66" i="51" s="1"/>
  <c r="A67" i="51" s="1"/>
  <c r="A68" i="51" s="1"/>
  <c r="L63" i="51"/>
  <c r="J63" i="51"/>
  <c r="H63" i="51"/>
  <c r="A60" i="51"/>
  <c r="A61" i="51" s="1"/>
  <c r="A62" i="51" s="1"/>
  <c r="F52" i="51"/>
  <c r="E51" i="51"/>
  <c r="F51" i="51" s="1"/>
  <c r="E50" i="51"/>
  <c r="F50" i="51" s="1"/>
  <c r="F49" i="51"/>
  <c r="F48" i="51"/>
  <c r="F47" i="51"/>
  <c r="A47" i="51"/>
  <c r="A48" i="51" s="1"/>
  <c r="A49" i="51" s="1"/>
  <c r="A50" i="51" s="1"/>
  <c r="A51" i="51" s="1"/>
  <c r="A52" i="51" s="1"/>
  <c r="L46" i="51"/>
  <c r="J46" i="51"/>
  <c r="H46" i="51"/>
  <c r="L43" i="51"/>
  <c r="E45" i="51"/>
  <c r="E44" i="51"/>
  <c r="A44" i="51"/>
  <c r="A45" i="51" s="1"/>
  <c r="A42" i="51"/>
  <c r="L41" i="51"/>
  <c r="F127" i="36" l="1"/>
  <c r="F39" i="46"/>
  <c r="F118" i="44"/>
  <c r="L118" i="44" s="1"/>
  <c r="L52" i="46"/>
  <c r="J57" i="46"/>
  <c r="L53" i="46"/>
  <c r="L58" i="46"/>
  <c r="L54" i="46"/>
  <c r="F44" i="46"/>
  <c r="J44" i="46" s="1"/>
  <c r="J60" i="46"/>
  <c r="F42" i="46"/>
  <c r="J42" i="46" s="1"/>
  <c r="L56" i="46"/>
  <c r="H49" i="46"/>
  <c r="L229" i="36"/>
  <c r="H229" i="36"/>
  <c r="J229" i="36"/>
  <c r="H215" i="36"/>
  <c r="L215" i="36"/>
  <c r="J215" i="36"/>
  <c r="L216" i="36"/>
  <c r="F225" i="36"/>
  <c r="L227" i="36"/>
  <c r="J70" i="51"/>
  <c r="L10" i="51"/>
  <c r="J47" i="51"/>
  <c r="L65" i="51"/>
  <c r="J48" i="51"/>
  <c r="L49" i="51"/>
  <c r="F12" i="51"/>
  <c r="H50" i="51"/>
  <c r="J68" i="51"/>
  <c r="H52" i="51"/>
  <c r="F113" i="44"/>
  <c r="H108" i="44"/>
  <c r="H115" i="44"/>
  <c r="M115" i="44" s="1"/>
  <c r="L104" i="44"/>
  <c r="L173" i="36"/>
  <c r="H127" i="36"/>
  <c r="J173" i="36"/>
  <c r="H173" i="36"/>
  <c r="M13" i="51"/>
  <c r="H14" i="51"/>
  <c r="J14" i="51"/>
  <c r="L14" i="51"/>
  <c r="L15" i="51"/>
  <c r="J15" i="51"/>
  <c r="H15" i="51"/>
  <c r="F18" i="51"/>
  <c r="H16" i="51"/>
  <c r="J16" i="51"/>
  <c r="L16" i="51"/>
  <c r="H11" i="51"/>
  <c r="J11" i="51"/>
  <c r="L11" i="51"/>
  <c r="F40" i="46"/>
  <c r="J40" i="46" s="1"/>
  <c r="F41" i="46"/>
  <c r="H38" i="46"/>
  <c r="F43" i="46"/>
  <c r="H43" i="46" s="1"/>
  <c r="L38" i="46"/>
  <c r="F45" i="46"/>
  <c r="J49" i="46"/>
  <c r="L49" i="46"/>
  <c r="L44" i="46"/>
  <c r="A43" i="46"/>
  <c r="A44" i="46" s="1"/>
  <c r="A45" i="46" s="1"/>
  <c r="H39" i="46"/>
  <c r="J39" i="46"/>
  <c r="L50" i="46"/>
  <c r="M46" i="46"/>
  <c r="H48" i="46"/>
  <c r="J48" i="46"/>
  <c r="L48" i="46"/>
  <c r="H47" i="46"/>
  <c r="J47" i="46"/>
  <c r="H50" i="46"/>
  <c r="L47" i="46"/>
  <c r="J50" i="46"/>
  <c r="M55" i="46"/>
  <c r="M51" i="46"/>
  <c r="H56" i="46"/>
  <c r="J52" i="46"/>
  <c r="H58" i="46"/>
  <c r="J54" i="46"/>
  <c r="L60" i="46"/>
  <c r="L59" i="46"/>
  <c r="J59" i="46"/>
  <c r="H59" i="46"/>
  <c r="H57" i="46"/>
  <c r="H53" i="46"/>
  <c r="L57" i="46"/>
  <c r="J53" i="46"/>
  <c r="J56" i="46"/>
  <c r="J58" i="46"/>
  <c r="H60" i="46"/>
  <c r="H52" i="46"/>
  <c r="H54" i="46"/>
  <c r="F116" i="44"/>
  <c r="F117" i="44"/>
  <c r="M207" i="44"/>
  <c r="L110" i="44"/>
  <c r="F111" i="44"/>
  <c r="J110" i="44"/>
  <c r="F112" i="44"/>
  <c r="H110" i="44"/>
  <c r="M102" i="44"/>
  <c r="A117" i="44"/>
  <c r="A118" i="44" s="1"/>
  <c r="L108" i="44"/>
  <c r="J108" i="44"/>
  <c r="F109" i="44"/>
  <c r="F106" i="44"/>
  <c r="F107" i="44"/>
  <c r="H105" i="44"/>
  <c r="J105" i="44"/>
  <c r="H101" i="44"/>
  <c r="L101" i="44"/>
  <c r="J101" i="44"/>
  <c r="H103" i="44"/>
  <c r="L103" i="44"/>
  <c r="J103" i="44"/>
  <c r="H100" i="44"/>
  <c r="J100" i="44"/>
  <c r="L100" i="44"/>
  <c r="H104" i="44"/>
  <c r="J104" i="44"/>
  <c r="H118" i="44"/>
  <c r="J118" i="44"/>
  <c r="M9" i="51"/>
  <c r="H10" i="51"/>
  <c r="J10" i="51"/>
  <c r="M69" i="51"/>
  <c r="J73" i="51"/>
  <c r="L70" i="51"/>
  <c r="H72" i="51"/>
  <c r="H70" i="51"/>
  <c r="J72" i="51"/>
  <c r="H71" i="51"/>
  <c r="L71" i="51"/>
  <c r="J71" i="51"/>
  <c r="H73" i="51"/>
  <c r="L73" i="51"/>
  <c r="H64" i="51"/>
  <c r="L68" i="51"/>
  <c r="J64" i="51"/>
  <c r="L64" i="51"/>
  <c r="H66" i="51"/>
  <c r="M63" i="51"/>
  <c r="J66" i="51"/>
  <c r="L66" i="51"/>
  <c r="L60" i="51"/>
  <c r="H59" i="51"/>
  <c r="L59" i="51"/>
  <c r="F61" i="51"/>
  <c r="F62" i="51"/>
  <c r="J59" i="51"/>
  <c r="L67" i="51"/>
  <c r="J67" i="51"/>
  <c r="H67" i="51"/>
  <c r="H65" i="51"/>
  <c r="J60" i="51"/>
  <c r="J65" i="51"/>
  <c r="H60" i="51"/>
  <c r="H68" i="51"/>
  <c r="M46" i="51"/>
  <c r="H49" i="51"/>
  <c r="L48" i="51"/>
  <c r="L51" i="51"/>
  <c r="J51" i="51"/>
  <c r="H51" i="51"/>
  <c r="J50" i="51"/>
  <c r="L47" i="51"/>
  <c r="J52" i="51"/>
  <c r="J49" i="51"/>
  <c r="L52" i="51"/>
  <c r="H48" i="51"/>
  <c r="H47" i="51"/>
  <c r="L50" i="51"/>
  <c r="H43" i="51"/>
  <c r="J43" i="51"/>
  <c r="F44" i="51"/>
  <c r="F45" i="51"/>
  <c r="J41" i="51"/>
  <c r="F42" i="51"/>
  <c r="H41" i="51"/>
  <c r="F240" i="36"/>
  <c r="F236" i="36"/>
  <c r="A241" i="36"/>
  <c r="A237" i="36"/>
  <c r="A238" i="36" s="1"/>
  <c r="A239" i="36" s="1"/>
  <c r="E236" i="36"/>
  <c r="F244" i="44"/>
  <c r="F243" i="44"/>
  <c r="F247" i="44"/>
  <c r="E246" i="44"/>
  <c r="F246" i="44" s="1"/>
  <c r="F245" i="44"/>
  <c r="F242" i="44"/>
  <c r="F241" i="44"/>
  <c r="E240" i="44"/>
  <c r="F240" i="44" s="1"/>
  <c r="A240" i="44"/>
  <c r="A241" i="44" s="1"/>
  <c r="A242" i="44" s="1"/>
  <c r="A243" i="44" s="1"/>
  <c r="A244" i="44" s="1"/>
  <c r="A245" i="44" s="1"/>
  <c r="A246" i="44" s="1"/>
  <c r="A247" i="44" s="1"/>
  <c r="H239" i="44"/>
  <c r="M239" i="44" s="1"/>
  <c r="F34" i="51"/>
  <c r="F58" i="51"/>
  <c r="F55" i="51"/>
  <c r="F54" i="51"/>
  <c r="A54" i="51"/>
  <c r="A55" i="51" s="1"/>
  <c r="A56" i="51" s="1"/>
  <c r="A57" i="51" s="1"/>
  <c r="A58" i="51" s="1"/>
  <c r="L53" i="51"/>
  <c r="J53" i="51"/>
  <c r="H53" i="51"/>
  <c r="F160" i="51"/>
  <c r="E170" i="51"/>
  <c r="E169" i="51"/>
  <c r="A165" i="51"/>
  <c r="A166" i="51" s="1"/>
  <c r="A167" i="51" s="1"/>
  <c r="A168" i="51" s="1"/>
  <c r="A169" i="51" s="1"/>
  <c r="A170" i="51" s="1"/>
  <c r="A171" i="51" s="1"/>
  <c r="F167" i="51"/>
  <c r="A161" i="51"/>
  <c r="A162" i="51" s="1"/>
  <c r="A163" i="51" s="1"/>
  <c r="A159" i="51"/>
  <c r="L158" i="51"/>
  <c r="J158" i="51"/>
  <c r="H44" i="46" l="1"/>
  <c r="M44" i="46" s="1"/>
  <c r="M49" i="46"/>
  <c r="M56" i="46"/>
  <c r="H113" i="44"/>
  <c r="H40" i="46"/>
  <c r="J127" i="36"/>
  <c r="L127" i="36"/>
  <c r="M38" i="46"/>
  <c r="L12" i="51"/>
  <c r="L116" i="44"/>
  <c r="L42" i="46"/>
  <c r="H42" i="46"/>
  <c r="M42" i="46" s="1"/>
  <c r="L39" i="46"/>
  <c r="M39" i="46" s="1"/>
  <c r="J45" i="46"/>
  <c r="H41" i="46"/>
  <c r="J225" i="36"/>
  <c r="L225" i="36"/>
  <c r="L113" i="44"/>
  <c r="L117" i="44"/>
  <c r="H117" i="44"/>
  <c r="J116" i="44"/>
  <c r="J236" i="36"/>
  <c r="L236" i="36"/>
  <c r="H236" i="36"/>
  <c r="J240" i="36"/>
  <c r="L240" i="36"/>
  <c r="H240" i="36"/>
  <c r="M215" i="36"/>
  <c r="M229" i="36"/>
  <c r="H225" i="36"/>
  <c r="H12" i="51"/>
  <c r="J55" i="51"/>
  <c r="H58" i="51"/>
  <c r="L61" i="51"/>
  <c r="L34" i="51"/>
  <c r="H160" i="51"/>
  <c r="L45" i="51"/>
  <c r="J44" i="51"/>
  <c r="J12" i="51"/>
  <c r="M173" i="36"/>
  <c r="L241" i="44"/>
  <c r="L112" i="44"/>
  <c r="H246" i="44"/>
  <c r="M246" i="44" s="1"/>
  <c r="L111" i="44"/>
  <c r="H244" i="44"/>
  <c r="M244" i="44" s="1"/>
  <c r="L106" i="44"/>
  <c r="J113" i="44"/>
  <c r="H109" i="44"/>
  <c r="H116" i="44"/>
  <c r="H111" i="44"/>
  <c r="J112" i="44"/>
  <c r="J117" i="44"/>
  <c r="M110" i="44"/>
  <c r="M15" i="51"/>
  <c r="M14" i="51"/>
  <c r="M16" i="51"/>
  <c r="M11" i="51"/>
  <c r="F17" i="51"/>
  <c r="L18" i="51"/>
  <c r="J18" i="51"/>
  <c r="H18" i="51"/>
  <c r="J43" i="46"/>
  <c r="L43" i="46"/>
  <c r="J41" i="46"/>
  <c r="H45" i="46"/>
  <c r="L40" i="46"/>
  <c r="L45" i="46"/>
  <c r="L41" i="46"/>
  <c r="M54" i="46"/>
  <c r="M50" i="46"/>
  <c r="M47" i="46"/>
  <c r="M48" i="46"/>
  <c r="M52" i="46"/>
  <c r="M57" i="46"/>
  <c r="M60" i="46"/>
  <c r="M58" i="46"/>
  <c r="M53" i="46"/>
  <c r="M59" i="46"/>
  <c r="H112" i="44"/>
  <c r="J111" i="44"/>
  <c r="J106" i="44"/>
  <c r="L109" i="44"/>
  <c r="M108" i="44"/>
  <c r="J109" i="44"/>
  <c r="H106" i="44"/>
  <c r="M105" i="44"/>
  <c r="H107" i="44"/>
  <c r="J107" i="44"/>
  <c r="L107" i="44"/>
  <c r="M101" i="44"/>
  <c r="M104" i="44"/>
  <c r="M100" i="44"/>
  <c r="M103" i="44"/>
  <c r="M118" i="44"/>
  <c r="M10" i="51"/>
  <c r="M72" i="51"/>
  <c r="M70" i="51"/>
  <c r="M73" i="51"/>
  <c r="M71" i="51"/>
  <c r="M64" i="51"/>
  <c r="M68" i="51"/>
  <c r="M66" i="51"/>
  <c r="M60" i="51"/>
  <c r="J62" i="51"/>
  <c r="L62" i="51"/>
  <c r="H62" i="51"/>
  <c r="H61" i="51"/>
  <c r="J61" i="51"/>
  <c r="M59" i="51"/>
  <c r="M65" i="51"/>
  <c r="M67" i="51"/>
  <c r="M50" i="51"/>
  <c r="H45" i="51"/>
  <c r="J45" i="51"/>
  <c r="L57" i="51"/>
  <c r="H34" i="51"/>
  <c r="J57" i="51"/>
  <c r="M48" i="51"/>
  <c r="M41" i="51"/>
  <c r="M52" i="51"/>
  <c r="M49" i="51"/>
  <c r="M51" i="51"/>
  <c r="M43" i="51"/>
  <c r="M47" i="51"/>
  <c r="H44" i="51"/>
  <c r="L44" i="51"/>
  <c r="J34" i="51"/>
  <c r="J58" i="51"/>
  <c r="L58" i="51"/>
  <c r="L42" i="51"/>
  <c r="J42" i="51"/>
  <c r="H42" i="51"/>
  <c r="F242" i="36"/>
  <c r="F241" i="36"/>
  <c r="F238" i="36"/>
  <c r="F237" i="36"/>
  <c r="F239" i="36"/>
  <c r="H243" i="44"/>
  <c r="M243" i="44" s="1"/>
  <c r="H245" i="44"/>
  <c r="M245" i="44" s="1"/>
  <c r="J240" i="44"/>
  <c r="L240" i="44"/>
  <c r="H240" i="44"/>
  <c r="H247" i="44"/>
  <c r="M247" i="44" s="1"/>
  <c r="H242" i="44"/>
  <c r="M242" i="44" s="1"/>
  <c r="H241" i="44"/>
  <c r="J241" i="44"/>
  <c r="M53" i="51"/>
  <c r="L55" i="51"/>
  <c r="H54" i="51"/>
  <c r="J54" i="51"/>
  <c r="L54" i="51"/>
  <c r="H55" i="51"/>
  <c r="F162" i="51"/>
  <c r="L160" i="51"/>
  <c r="H164" i="51"/>
  <c r="F165" i="51"/>
  <c r="F169" i="51"/>
  <c r="J160" i="51"/>
  <c r="F170" i="51"/>
  <c r="H167" i="51"/>
  <c r="L167" i="51"/>
  <c r="J167" i="51"/>
  <c r="J164" i="51"/>
  <c r="F166" i="51"/>
  <c r="F159" i="51"/>
  <c r="F161" i="51"/>
  <c r="F171" i="51"/>
  <c r="L164" i="51"/>
  <c r="F163" i="51"/>
  <c r="H158" i="51"/>
  <c r="M158" i="51" s="1"/>
  <c r="M45" i="46" l="1"/>
  <c r="M40" i="46"/>
  <c r="M127" i="36"/>
  <c r="M117" i="44"/>
  <c r="M116" i="44"/>
  <c r="M43" i="46"/>
  <c r="M113" i="44"/>
  <c r="M225" i="36"/>
  <c r="M240" i="36"/>
  <c r="M236" i="36"/>
  <c r="M57" i="51"/>
  <c r="M12" i="51"/>
  <c r="L165" i="51"/>
  <c r="M112" i="44"/>
  <c r="M111" i="44"/>
  <c r="L238" i="36"/>
  <c r="L239" i="36"/>
  <c r="L237" i="36"/>
  <c r="L241" i="36"/>
  <c r="L242" i="36"/>
  <c r="H239" i="36"/>
  <c r="J239" i="36"/>
  <c r="J237" i="36"/>
  <c r="H237" i="36"/>
  <c r="H238" i="36"/>
  <c r="J238" i="36"/>
  <c r="H241" i="36"/>
  <c r="J241" i="36"/>
  <c r="H242" i="36"/>
  <c r="J242" i="36"/>
  <c r="M106" i="44"/>
  <c r="M109" i="44"/>
  <c r="M18" i="51"/>
  <c r="H17" i="51"/>
  <c r="L17" i="51"/>
  <c r="J17" i="51"/>
  <c r="M41" i="46"/>
  <c r="M107" i="44"/>
  <c r="M45" i="51"/>
  <c r="M61" i="51"/>
  <c r="M34" i="51"/>
  <c r="M62" i="51"/>
  <c r="L170" i="51"/>
  <c r="M44" i="51"/>
  <c r="M58" i="51"/>
  <c r="M42" i="51"/>
  <c r="H165" i="51"/>
  <c r="M241" i="44"/>
  <c r="M240" i="44"/>
  <c r="M55" i="51"/>
  <c r="M160" i="51"/>
  <c r="M54" i="51"/>
  <c r="J169" i="51"/>
  <c r="M164" i="51"/>
  <c r="L162" i="51"/>
  <c r="J162" i="51"/>
  <c r="H162" i="51"/>
  <c r="J165" i="51"/>
  <c r="H170" i="51"/>
  <c r="J170" i="51"/>
  <c r="H169" i="51"/>
  <c r="L169" i="51"/>
  <c r="J161" i="51"/>
  <c r="H161" i="51"/>
  <c r="L161" i="51"/>
  <c r="L159" i="51"/>
  <c r="J159" i="51"/>
  <c r="H159" i="51"/>
  <c r="L166" i="51"/>
  <c r="J166" i="51"/>
  <c r="H166" i="51"/>
  <c r="L171" i="51"/>
  <c r="J171" i="51"/>
  <c r="H171" i="51"/>
  <c r="L163" i="51"/>
  <c r="J163" i="51"/>
  <c r="H163" i="51"/>
  <c r="J168" i="51"/>
  <c r="H168" i="51"/>
  <c r="L168" i="51"/>
  <c r="M167" i="51"/>
  <c r="M237" i="36" l="1"/>
  <c r="M242" i="36"/>
  <c r="M241" i="36"/>
  <c r="M238" i="36"/>
  <c r="M239" i="36"/>
  <c r="M17" i="51"/>
  <c r="M165" i="51"/>
  <c r="M162" i="51"/>
  <c r="M170" i="51"/>
  <c r="M169" i="51"/>
  <c r="M159" i="51"/>
  <c r="M163" i="51"/>
  <c r="M161" i="51"/>
  <c r="M171" i="51"/>
  <c r="M168" i="51"/>
  <c r="M166" i="51"/>
  <c r="H172" i="51" l="1"/>
  <c r="J172" i="51"/>
  <c r="L172" i="51"/>
  <c r="F238" i="44"/>
  <c r="F237" i="44"/>
  <c r="F236" i="44"/>
  <c r="F235" i="44"/>
  <c r="A235" i="44"/>
  <c r="A236" i="44" s="1"/>
  <c r="A237" i="44" s="1"/>
  <c r="A238" i="44" s="1"/>
  <c r="L234" i="44"/>
  <c r="J234" i="44"/>
  <c r="H234" i="44"/>
  <c r="E9" i="59"/>
  <c r="A85" i="36"/>
  <c r="A86" i="36" s="1"/>
  <c r="A87" i="36" s="1"/>
  <c r="A88" i="36" s="1"/>
  <c r="A89" i="36" s="1"/>
  <c r="F81" i="36"/>
  <c r="F80" i="36"/>
  <c r="E55" i="36"/>
  <c r="A53" i="36"/>
  <c r="A54" i="36" s="1"/>
  <c r="A55" i="36" s="1"/>
  <c r="A56" i="36" s="1"/>
  <c r="F52" i="36"/>
  <c r="F70" i="36"/>
  <c r="F69" i="36"/>
  <c r="F68" i="36"/>
  <c r="F67" i="36"/>
  <c r="F57" i="36"/>
  <c r="F48" i="36"/>
  <c r="F44" i="36"/>
  <c r="E44" i="36"/>
  <c r="F40" i="36"/>
  <c r="F39" i="36"/>
  <c r="F32" i="36"/>
  <c r="F31" i="36"/>
  <c r="F27" i="36"/>
  <c r="F22" i="36"/>
  <c r="F13" i="36"/>
  <c r="F9" i="36"/>
  <c r="A10" i="36"/>
  <c r="A11" i="36" s="1"/>
  <c r="A12" i="36" s="1"/>
  <c r="H22" i="36" l="1"/>
  <c r="J22" i="36"/>
  <c r="L22" i="36"/>
  <c r="J27" i="36"/>
  <c r="L27" i="36"/>
  <c r="H27" i="36"/>
  <c r="J70" i="36"/>
  <c r="L31" i="36"/>
  <c r="H13" i="36"/>
  <c r="J13" i="36"/>
  <c r="L13" i="36"/>
  <c r="L39" i="36"/>
  <c r="L40" i="36"/>
  <c r="H80" i="36"/>
  <c r="L80" i="36"/>
  <c r="J80" i="36"/>
  <c r="H44" i="36"/>
  <c r="J44" i="36"/>
  <c r="L44" i="36"/>
  <c r="H81" i="36"/>
  <c r="L81" i="36"/>
  <c r="L32" i="36"/>
  <c r="H48" i="36"/>
  <c r="L48" i="36"/>
  <c r="J48" i="36"/>
  <c r="H57" i="36"/>
  <c r="L57" i="36"/>
  <c r="J57" i="36"/>
  <c r="J237" i="44"/>
  <c r="J235" i="44"/>
  <c r="L238" i="44"/>
  <c r="L236" i="44"/>
  <c r="L52" i="36"/>
  <c r="H52" i="36"/>
  <c r="J52" i="36"/>
  <c r="M234" i="44"/>
  <c r="H236" i="44"/>
  <c r="M172" i="51"/>
  <c r="H238" i="44"/>
  <c r="L237" i="44"/>
  <c r="H237" i="44"/>
  <c r="L235" i="44"/>
  <c r="H235" i="44"/>
  <c r="J236" i="44"/>
  <c r="J238" i="44"/>
  <c r="F77" i="36"/>
  <c r="J81" i="36"/>
  <c r="F54" i="36"/>
  <c r="F56" i="36"/>
  <c r="F53" i="36"/>
  <c r="F55" i="36"/>
  <c r="H70" i="36"/>
  <c r="L70" i="36"/>
  <c r="F15" i="36"/>
  <c r="M27" i="36" l="1"/>
  <c r="M237" i="44"/>
  <c r="M238" i="44"/>
  <c r="M236" i="44"/>
  <c r="M235" i="44"/>
  <c r="M80" i="36"/>
  <c r="M48" i="36"/>
  <c r="M44" i="36"/>
  <c r="M57" i="36"/>
  <c r="M13" i="36"/>
  <c r="M22" i="36"/>
  <c r="M70" i="36"/>
  <c r="M52" i="36"/>
  <c r="M81" i="36"/>
  <c r="L77" i="36"/>
  <c r="L15" i="36"/>
  <c r="J15" i="36"/>
  <c r="H15" i="36"/>
  <c r="L53" i="36"/>
  <c r="L54" i="36"/>
  <c r="F84" i="36"/>
  <c r="J77" i="36"/>
  <c r="H77" i="36"/>
  <c r="J54" i="36"/>
  <c r="H54" i="36"/>
  <c r="H53" i="36"/>
  <c r="J53" i="36"/>
  <c r="L55" i="36"/>
  <c r="H55" i="36"/>
  <c r="J55" i="36"/>
  <c r="L56" i="36"/>
  <c r="J56" i="36"/>
  <c r="H56" i="36"/>
  <c r="E27" i="36"/>
  <c r="J275" i="44"/>
  <c r="J276" i="44"/>
  <c r="J277" i="44"/>
  <c r="J278" i="44"/>
  <c r="J279" i="44"/>
  <c r="J274" i="44"/>
  <c r="H274" i="44"/>
  <c r="M56" i="36" l="1"/>
  <c r="M15" i="36"/>
  <c r="M77" i="36"/>
  <c r="M55" i="36"/>
  <c r="M53" i="36"/>
  <c r="M54" i="36"/>
  <c r="H278" i="44"/>
  <c r="M278" i="44" s="1"/>
  <c r="H279" i="44"/>
  <c r="M279" i="44" s="1"/>
  <c r="H276" i="44"/>
  <c r="M276" i="44" s="1"/>
  <c r="H275" i="44"/>
  <c r="M275" i="44" s="1"/>
  <c r="H277" i="44"/>
  <c r="M277" i="44" s="1"/>
  <c r="F89" i="36"/>
  <c r="L84" i="36"/>
  <c r="F88" i="36"/>
  <c r="J84" i="36"/>
  <c r="H84" i="36"/>
  <c r="F87" i="36"/>
  <c r="F86" i="36"/>
  <c r="F85" i="36"/>
  <c r="F36" i="36"/>
  <c r="M274" i="44"/>
  <c r="F45" i="45"/>
  <c r="E217" i="44"/>
  <c r="F159" i="44"/>
  <c r="F156" i="44"/>
  <c r="F19" i="61"/>
  <c r="F18" i="61"/>
  <c r="A16" i="61"/>
  <c r="A17" i="61" s="1"/>
  <c r="A18" i="61" s="1"/>
  <c r="A19" i="61" s="1"/>
  <c r="A20" i="61" s="1"/>
  <c r="A21" i="61" s="1"/>
  <c r="A22" i="61" s="1"/>
  <c r="L14" i="61"/>
  <c r="J14" i="61"/>
  <c r="H14" i="61"/>
  <c r="F11" i="61"/>
  <c r="F10" i="61"/>
  <c r="A10" i="61"/>
  <c r="L9" i="61"/>
  <c r="J9" i="61"/>
  <c r="H9" i="61"/>
  <c r="L8" i="61"/>
  <c r="J8" i="61"/>
  <c r="H8" i="61"/>
  <c r="F75" i="42"/>
  <c r="F70" i="42"/>
  <c r="F74" i="42" s="1"/>
  <c r="E70" i="42"/>
  <c r="E79" i="42"/>
  <c r="A76" i="42"/>
  <c r="A77" i="42" s="1"/>
  <c r="A78" i="42" s="1"/>
  <c r="A79" i="42" s="1"/>
  <c r="A80" i="42" s="1"/>
  <c r="F73" i="42"/>
  <c r="A71" i="42"/>
  <c r="A72" i="42" s="1"/>
  <c r="A73" i="42" s="1"/>
  <c r="A74" i="42" s="1"/>
  <c r="L70" i="42"/>
  <c r="J70" i="42"/>
  <c r="H70" i="42"/>
  <c r="F32" i="62"/>
  <c r="E31" i="62"/>
  <c r="F31" i="62" s="1"/>
  <c r="F30" i="62"/>
  <c r="F29" i="62"/>
  <c r="F28" i="62"/>
  <c r="A28" i="62"/>
  <c r="A29" i="62" s="1"/>
  <c r="A30" i="62" s="1"/>
  <c r="A31" i="62" s="1"/>
  <c r="A32" i="62" s="1"/>
  <c r="L27" i="62"/>
  <c r="J27" i="62"/>
  <c r="H27" i="62"/>
  <c r="F26" i="62"/>
  <c r="F25" i="62"/>
  <c r="F24" i="62"/>
  <c r="A24" i="62"/>
  <c r="A25" i="62" s="1"/>
  <c r="A26" i="62" s="1"/>
  <c r="L23" i="62"/>
  <c r="J23" i="62"/>
  <c r="H23" i="62"/>
  <c r="F22" i="62"/>
  <c r="F21" i="62"/>
  <c r="L20" i="62"/>
  <c r="J20" i="62"/>
  <c r="H20" i="62"/>
  <c r="A20" i="62"/>
  <c r="A21" i="62" s="1"/>
  <c r="A22" i="62" s="1"/>
  <c r="L16" i="62"/>
  <c r="J16" i="62"/>
  <c r="H16" i="62"/>
  <c r="F15" i="62"/>
  <c r="L14" i="62"/>
  <c r="J14" i="62"/>
  <c r="H14" i="62"/>
  <c r="F13" i="62"/>
  <c r="E11" i="62"/>
  <c r="A10" i="62"/>
  <c r="A11" i="62" s="1"/>
  <c r="A12" i="62" s="1"/>
  <c r="A13" i="62" s="1"/>
  <c r="A14" i="62" s="1"/>
  <c r="A15" i="62" s="1"/>
  <c r="A16" i="62" s="1"/>
  <c r="A17" i="62" s="1"/>
  <c r="A18" i="62" s="1"/>
  <c r="A19" i="62" s="1"/>
  <c r="L8" i="62"/>
  <c r="J8" i="62"/>
  <c r="H8" i="62"/>
  <c r="H39" i="44"/>
  <c r="J39" i="44"/>
  <c r="L39" i="44"/>
  <c r="A40" i="44"/>
  <c r="A41" i="44" s="1"/>
  <c r="A42" i="44" s="1"/>
  <c r="A43" i="44" s="1"/>
  <c r="A44" i="44" s="1"/>
  <c r="F40" i="44"/>
  <c r="F41" i="44"/>
  <c r="F42" i="44"/>
  <c r="F43" i="44"/>
  <c r="F44" i="44"/>
  <c r="E140" i="48"/>
  <c r="F140" i="48" s="1"/>
  <c r="E139" i="48"/>
  <c r="A136" i="48"/>
  <c r="A137" i="48" s="1"/>
  <c r="A138" i="48" s="1"/>
  <c r="A139" i="48" s="1"/>
  <c r="A140" i="48" s="1"/>
  <c r="A141" i="48" s="1"/>
  <c r="F141" i="48"/>
  <c r="F63" i="42"/>
  <c r="E34" i="42"/>
  <c r="F34" i="42" s="1"/>
  <c r="F33" i="42"/>
  <c r="F32" i="42"/>
  <c r="E31" i="42"/>
  <c r="F31" i="42" s="1"/>
  <c r="E30" i="42"/>
  <c r="F30" i="42" s="1"/>
  <c r="F29" i="42"/>
  <c r="E28" i="42"/>
  <c r="F28" i="42" s="1"/>
  <c r="E27" i="42"/>
  <c r="F27" i="42" s="1"/>
  <c r="A27" i="42"/>
  <c r="A28" i="42" s="1"/>
  <c r="A29" i="42" s="1"/>
  <c r="A30" i="42" s="1"/>
  <c r="A31" i="42" s="1"/>
  <c r="A32" i="42" s="1"/>
  <c r="A33" i="42" s="1"/>
  <c r="A34" i="42" s="1"/>
  <c r="L26" i="42"/>
  <c r="J26" i="42"/>
  <c r="H26" i="42"/>
  <c r="E25" i="42"/>
  <c r="F25" i="42" s="1"/>
  <c r="E24" i="42"/>
  <c r="F24" i="42" s="1"/>
  <c r="E23" i="42"/>
  <c r="F23" i="42" s="1"/>
  <c r="L22" i="42"/>
  <c r="J22" i="42"/>
  <c r="H22" i="42"/>
  <c r="F21" i="42"/>
  <c r="E20" i="42"/>
  <c r="F20" i="42" s="1"/>
  <c r="E19" i="42"/>
  <c r="F19" i="42" s="1"/>
  <c r="L18" i="42"/>
  <c r="J18" i="42"/>
  <c r="H18" i="42"/>
  <c r="A18" i="42"/>
  <c r="A19" i="42" s="1"/>
  <c r="A20" i="42" s="1"/>
  <c r="A21" i="42" s="1"/>
  <c r="F17" i="42"/>
  <c r="F16" i="42"/>
  <c r="F15" i="42"/>
  <c r="F14" i="42"/>
  <c r="F13" i="42"/>
  <c r="F12" i="42"/>
  <c r="E11" i="42"/>
  <c r="F11" i="42" s="1"/>
  <c r="E10" i="42"/>
  <c r="F10" i="42" s="1"/>
  <c r="A10" i="42"/>
  <c r="A11" i="42" s="1"/>
  <c r="A12" i="42" s="1"/>
  <c r="A13" i="42" s="1"/>
  <c r="A14" i="42" s="1"/>
  <c r="A15" i="42" s="1"/>
  <c r="A16" i="42" s="1"/>
  <c r="A17" i="42" s="1"/>
  <c r="L9" i="42"/>
  <c r="J9" i="42"/>
  <c r="H9" i="42"/>
  <c r="E24" i="41"/>
  <c r="F84" i="41"/>
  <c r="E59" i="41"/>
  <c r="F59" i="41"/>
  <c r="F40" i="41"/>
  <c r="L29" i="41"/>
  <c r="F28" i="41"/>
  <c r="F13" i="41"/>
  <c r="F65" i="41" l="1"/>
  <c r="F71" i="42"/>
  <c r="L71" i="42" s="1"/>
  <c r="L18" i="61"/>
  <c r="L10" i="61"/>
  <c r="H28" i="62"/>
  <c r="L29" i="62"/>
  <c r="J28" i="41"/>
  <c r="H16" i="42"/>
  <c r="H21" i="42"/>
  <c r="J32" i="42"/>
  <c r="H21" i="62"/>
  <c r="L25" i="62"/>
  <c r="M16" i="62"/>
  <c r="H26" i="62"/>
  <c r="H31" i="62"/>
  <c r="F12" i="61"/>
  <c r="H12" i="61" s="1"/>
  <c r="L34" i="42"/>
  <c r="H23" i="42"/>
  <c r="J13" i="62"/>
  <c r="J18" i="61"/>
  <c r="F19" i="41"/>
  <c r="J31" i="42"/>
  <c r="F15" i="61"/>
  <c r="F21" i="61" s="1"/>
  <c r="F72" i="42"/>
  <c r="J72" i="42" s="1"/>
  <c r="H18" i="61"/>
  <c r="M84" i="36"/>
  <c r="H89" i="36"/>
  <c r="J87" i="36"/>
  <c r="H42" i="44"/>
  <c r="H40" i="44"/>
  <c r="H43" i="44"/>
  <c r="J44" i="44"/>
  <c r="H41" i="44"/>
  <c r="L36" i="36"/>
  <c r="J89" i="36"/>
  <c r="L85" i="36"/>
  <c r="L89" i="36"/>
  <c r="H87" i="36"/>
  <c r="L87" i="36"/>
  <c r="L88" i="36"/>
  <c r="L86" i="36"/>
  <c r="J85" i="36"/>
  <c r="H85" i="36"/>
  <c r="J86" i="36"/>
  <c r="H86" i="36"/>
  <c r="H88" i="36"/>
  <c r="J88" i="36"/>
  <c r="F41" i="36"/>
  <c r="H36" i="36"/>
  <c r="J36" i="36"/>
  <c r="J42" i="44"/>
  <c r="L40" i="44"/>
  <c r="J40" i="44"/>
  <c r="L44" i="44"/>
  <c r="H44" i="44"/>
  <c r="J29" i="62"/>
  <c r="L26" i="62"/>
  <c r="L32" i="62"/>
  <c r="H22" i="62"/>
  <c r="M20" i="62"/>
  <c r="H25" i="62"/>
  <c r="H29" i="62"/>
  <c r="J26" i="62"/>
  <c r="M14" i="61"/>
  <c r="M8" i="61"/>
  <c r="L21" i="62"/>
  <c r="L28" i="62"/>
  <c r="H24" i="62"/>
  <c r="M23" i="62"/>
  <c r="M27" i="62"/>
  <c r="M8" i="62"/>
  <c r="M14" i="62"/>
  <c r="H32" i="62"/>
  <c r="H15" i="62"/>
  <c r="J21" i="62"/>
  <c r="J28" i="62"/>
  <c r="J11" i="61"/>
  <c r="M9" i="61"/>
  <c r="H10" i="61"/>
  <c r="H19" i="61"/>
  <c r="J10" i="61"/>
  <c r="J19" i="61"/>
  <c r="F13" i="61"/>
  <c r="L19" i="61"/>
  <c r="H11" i="61"/>
  <c r="L11" i="61"/>
  <c r="H75" i="42"/>
  <c r="F76" i="42"/>
  <c r="F78" i="42"/>
  <c r="H78" i="42" s="1"/>
  <c r="F77" i="42"/>
  <c r="J75" i="42"/>
  <c r="F79" i="42"/>
  <c r="L75" i="42"/>
  <c r="F80" i="42"/>
  <c r="H80" i="42" s="1"/>
  <c r="H74" i="42"/>
  <c r="J74" i="42"/>
  <c r="L74" i="42"/>
  <c r="M70" i="42"/>
  <c r="J73" i="42"/>
  <c r="L73" i="42"/>
  <c r="H71" i="42"/>
  <c r="J71" i="42"/>
  <c r="H73" i="42"/>
  <c r="L31" i="62"/>
  <c r="J31" i="62"/>
  <c r="H13" i="62"/>
  <c r="F9" i="62"/>
  <c r="L13" i="62"/>
  <c r="J25" i="62"/>
  <c r="J15" i="62"/>
  <c r="J22" i="62"/>
  <c r="J24" i="62"/>
  <c r="L15" i="62"/>
  <c r="L22" i="62"/>
  <c r="L24" i="62"/>
  <c r="H30" i="62"/>
  <c r="J30" i="62"/>
  <c r="L30" i="62"/>
  <c r="J32" i="62"/>
  <c r="M39" i="44"/>
  <c r="L42" i="44"/>
  <c r="L43" i="44"/>
  <c r="J43" i="44"/>
  <c r="L41" i="44"/>
  <c r="J41" i="44"/>
  <c r="L140" i="48"/>
  <c r="J140" i="48"/>
  <c r="H140" i="48"/>
  <c r="H141" i="48"/>
  <c r="J141" i="48"/>
  <c r="L141" i="48"/>
  <c r="J135" i="48"/>
  <c r="F137" i="48"/>
  <c r="L135" i="48"/>
  <c r="H135" i="48"/>
  <c r="F136" i="48"/>
  <c r="F138" i="48"/>
  <c r="F139" i="48"/>
  <c r="A22" i="42"/>
  <c r="A23" i="42" s="1"/>
  <c r="A24" i="42" s="1"/>
  <c r="A25" i="42" s="1"/>
  <c r="M22" i="42"/>
  <c r="L21" i="42"/>
  <c r="L32" i="42"/>
  <c r="M26" i="42"/>
  <c r="J23" i="42"/>
  <c r="L23" i="42"/>
  <c r="J21" i="42"/>
  <c r="M18" i="42"/>
  <c r="L17" i="42"/>
  <c r="M9" i="42"/>
  <c r="J13" i="42"/>
  <c r="L13" i="42"/>
  <c r="L16" i="42"/>
  <c r="J12" i="42"/>
  <c r="L12" i="42"/>
  <c r="H13" i="42"/>
  <c r="J16" i="42"/>
  <c r="L19" i="42"/>
  <c r="J19" i="42"/>
  <c r="H19" i="42"/>
  <c r="L27" i="42"/>
  <c r="J27" i="42"/>
  <c r="H27" i="42"/>
  <c r="H10" i="42"/>
  <c r="L10" i="42"/>
  <c r="J10" i="42"/>
  <c r="L20" i="42"/>
  <c r="J20" i="42"/>
  <c r="H20" i="42"/>
  <c r="J28" i="42"/>
  <c r="H28" i="42"/>
  <c r="L28" i="42"/>
  <c r="L29" i="42"/>
  <c r="J29" i="42"/>
  <c r="H29" i="42"/>
  <c r="L30" i="42"/>
  <c r="J30" i="42"/>
  <c r="H30" i="42"/>
  <c r="L25" i="42"/>
  <c r="J25" i="42"/>
  <c r="H25" i="42"/>
  <c r="L11" i="42"/>
  <c r="J11" i="42"/>
  <c r="H11" i="42"/>
  <c r="H15" i="42"/>
  <c r="J15" i="42"/>
  <c r="L31" i="42"/>
  <c r="H33" i="42"/>
  <c r="L15" i="42"/>
  <c r="H17" i="42"/>
  <c r="J33" i="42"/>
  <c r="H12" i="42"/>
  <c r="J17" i="42"/>
  <c r="L33" i="42"/>
  <c r="H14" i="42"/>
  <c r="H24" i="42"/>
  <c r="J14" i="42"/>
  <c r="J24" i="42"/>
  <c r="H32" i="42"/>
  <c r="L14" i="42"/>
  <c r="L24" i="42"/>
  <c r="H34" i="42"/>
  <c r="J34" i="42"/>
  <c r="H31" i="42"/>
  <c r="L28" i="41"/>
  <c r="H28" i="41"/>
  <c r="A85" i="41"/>
  <c r="A86" i="41" s="1"/>
  <c r="A87" i="41" s="1"/>
  <c r="A88" i="41" s="1"/>
  <c r="L84" i="41"/>
  <c r="E236" i="53"/>
  <c r="M18" i="61" l="1"/>
  <c r="H72" i="42"/>
  <c r="M72" i="42" s="1"/>
  <c r="L72" i="42"/>
  <c r="M28" i="41"/>
  <c r="M140" i="48"/>
  <c r="H76" i="42"/>
  <c r="F68" i="41"/>
  <c r="J78" i="42"/>
  <c r="L15" i="61"/>
  <c r="J12" i="61"/>
  <c r="F16" i="61"/>
  <c r="J16" i="61" s="1"/>
  <c r="F20" i="61"/>
  <c r="J77" i="42"/>
  <c r="M12" i="42"/>
  <c r="F22" i="61"/>
  <c r="F17" i="61"/>
  <c r="H15" i="61"/>
  <c r="L78" i="42"/>
  <c r="J15" i="61"/>
  <c r="L12" i="61"/>
  <c r="M86" i="36"/>
  <c r="M89" i="36"/>
  <c r="M85" i="36"/>
  <c r="M36" i="36"/>
  <c r="M87" i="36"/>
  <c r="M88" i="36"/>
  <c r="L41" i="36"/>
  <c r="M41" i="44"/>
  <c r="M40" i="44"/>
  <c r="M42" i="44"/>
  <c r="M21" i="62"/>
  <c r="M44" i="44"/>
  <c r="M25" i="62"/>
  <c r="M26" i="62"/>
  <c r="M29" i="62"/>
  <c r="M13" i="62"/>
  <c r="M28" i="62"/>
  <c r="M32" i="62"/>
  <c r="M10" i="61"/>
  <c r="M15" i="62"/>
  <c r="M31" i="62"/>
  <c r="M24" i="62"/>
  <c r="M19" i="61"/>
  <c r="L21" i="61"/>
  <c r="J21" i="61"/>
  <c r="H21" i="61"/>
  <c r="L16" i="61"/>
  <c r="M11" i="61"/>
  <c r="L13" i="61"/>
  <c r="J13" i="61"/>
  <c r="H13" i="61"/>
  <c r="M16" i="42"/>
  <c r="J76" i="42"/>
  <c r="L76" i="42"/>
  <c r="M75" i="42"/>
  <c r="H79" i="42"/>
  <c r="J79" i="42"/>
  <c r="L79" i="42"/>
  <c r="L80" i="42"/>
  <c r="J80" i="42"/>
  <c r="L77" i="42"/>
  <c r="H77" i="42"/>
  <c r="M73" i="42"/>
  <c r="M74" i="42"/>
  <c r="M71" i="42"/>
  <c r="M22" i="62"/>
  <c r="M30" i="62"/>
  <c r="F10" i="62"/>
  <c r="H9" i="62"/>
  <c r="F19" i="62"/>
  <c r="F12" i="62"/>
  <c r="F18" i="62"/>
  <c r="L9" i="62"/>
  <c r="F17" i="62"/>
  <c r="J9" i="62"/>
  <c r="F11" i="62"/>
  <c r="M43" i="44"/>
  <c r="M135" i="48"/>
  <c r="L136" i="48"/>
  <c r="J136" i="48"/>
  <c r="H136" i="48"/>
  <c r="L139" i="48"/>
  <c r="J139" i="48"/>
  <c r="H139" i="48"/>
  <c r="L137" i="48"/>
  <c r="J137" i="48"/>
  <c r="H137" i="48"/>
  <c r="H138" i="48"/>
  <c r="L138" i="48"/>
  <c r="J138" i="48"/>
  <c r="M141" i="48"/>
  <c r="M11" i="42"/>
  <c r="M20" i="42"/>
  <c r="M19" i="42"/>
  <c r="M23" i="42"/>
  <c r="M21" i="42"/>
  <c r="M13" i="42"/>
  <c r="M30" i="42"/>
  <c r="M31" i="42"/>
  <c r="M32" i="42"/>
  <c r="M15" i="42"/>
  <c r="M29" i="42"/>
  <c r="M34" i="42"/>
  <c r="M10" i="42"/>
  <c r="M17" i="42"/>
  <c r="M25" i="42"/>
  <c r="M27" i="42"/>
  <c r="M28" i="42"/>
  <c r="M33" i="42"/>
  <c r="M24" i="42"/>
  <c r="M14" i="42"/>
  <c r="F85" i="41"/>
  <c r="F87" i="41"/>
  <c r="F86" i="41"/>
  <c r="F88" i="41"/>
  <c r="H84" i="41"/>
  <c r="J84" i="41"/>
  <c r="E15" i="41"/>
  <c r="E14" i="41"/>
  <c r="A14" i="41"/>
  <c r="A15" i="41" s="1"/>
  <c r="J293" i="53"/>
  <c r="L293" i="53"/>
  <c r="H293" i="53"/>
  <c r="L292" i="53"/>
  <c r="J292" i="53"/>
  <c r="H292" i="53"/>
  <c r="M80" i="42" l="1"/>
  <c r="M12" i="61"/>
  <c r="M78" i="42"/>
  <c r="M77" i="42"/>
  <c r="J22" i="61"/>
  <c r="L22" i="61"/>
  <c r="M79" i="42"/>
  <c r="M15" i="61"/>
  <c r="J20" i="61"/>
  <c r="M13" i="61"/>
  <c r="L20" i="61"/>
  <c r="H22" i="61"/>
  <c r="L17" i="61"/>
  <c r="H20" i="61"/>
  <c r="H16" i="61"/>
  <c r="M16" i="61" s="1"/>
  <c r="J87" i="41"/>
  <c r="H17" i="61"/>
  <c r="L85" i="41"/>
  <c r="M76" i="42"/>
  <c r="J17" i="61"/>
  <c r="M139" i="48"/>
  <c r="M21" i="61"/>
  <c r="J17" i="62"/>
  <c r="H17" i="62"/>
  <c r="L17" i="62"/>
  <c r="H18" i="62"/>
  <c r="L18" i="62"/>
  <c r="J18" i="62"/>
  <c r="J12" i="62"/>
  <c r="H12" i="62"/>
  <c r="L12" i="62"/>
  <c r="L19" i="62"/>
  <c r="J19" i="62"/>
  <c r="H19" i="62"/>
  <c r="M9" i="62"/>
  <c r="J10" i="62"/>
  <c r="L10" i="62"/>
  <c r="H10" i="62"/>
  <c r="L11" i="62"/>
  <c r="J11" i="62"/>
  <c r="H11" i="62"/>
  <c r="M138" i="48"/>
  <c r="M137" i="48"/>
  <c r="M136" i="48"/>
  <c r="H87" i="41"/>
  <c r="L87" i="41"/>
  <c r="H85" i="41"/>
  <c r="J85" i="41"/>
  <c r="F14" i="41"/>
  <c r="M84" i="41"/>
  <c r="L88" i="41"/>
  <c r="J88" i="41"/>
  <c r="H88" i="41"/>
  <c r="L86" i="41"/>
  <c r="J86" i="41"/>
  <c r="H86" i="41"/>
  <c r="J13" i="41"/>
  <c r="L13" i="41"/>
  <c r="F15" i="41"/>
  <c r="M293" i="53"/>
  <c r="M292" i="53"/>
  <c r="F270" i="44"/>
  <c r="M10" i="62" l="1"/>
  <c r="M22" i="61"/>
  <c r="M20" i="61"/>
  <c r="H23" i="61"/>
  <c r="M24" i="61" s="1"/>
  <c r="M17" i="61"/>
  <c r="M23" i="61" s="1"/>
  <c r="L15" i="41"/>
  <c r="M15" i="41" s="1"/>
  <c r="L14" i="41"/>
  <c r="M19" i="62"/>
  <c r="H33" i="62"/>
  <c r="M34" i="62" s="1"/>
  <c r="M11" i="62"/>
  <c r="L33" i="62"/>
  <c r="J33" i="62"/>
  <c r="M18" i="62"/>
  <c r="M17" i="62"/>
  <c r="M12" i="62"/>
  <c r="L23" i="61"/>
  <c r="J23" i="61"/>
  <c r="M86" i="41"/>
  <c r="M87" i="41"/>
  <c r="M85" i="41"/>
  <c r="J14" i="41"/>
  <c r="M88" i="41"/>
  <c r="M13" i="41"/>
  <c r="F68" i="45"/>
  <c r="F146" i="51"/>
  <c r="F117" i="51"/>
  <c r="F108" i="51"/>
  <c r="F103" i="51"/>
  <c r="F39" i="51"/>
  <c r="F35" i="51"/>
  <c r="F166" i="53"/>
  <c r="F37" i="53"/>
  <c r="F12" i="57"/>
  <c r="F143" i="58"/>
  <c r="F45" i="59"/>
  <c r="F44" i="59"/>
  <c r="F43" i="59"/>
  <c r="F42" i="59"/>
  <c r="M14" i="41" l="1"/>
  <c r="M33" i="62"/>
  <c r="M35" i="62" s="1"/>
  <c r="M36" i="62" s="1"/>
  <c r="M37" i="62" s="1"/>
  <c r="M38" i="62" s="1"/>
  <c r="M39" i="62" s="1"/>
  <c r="F14" i="37"/>
  <c r="F25" i="50"/>
  <c r="F36" i="48"/>
  <c r="F32" i="48"/>
  <c r="E3" i="62" l="1"/>
  <c r="D15" i="4"/>
  <c r="H15" i="4" s="1"/>
  <c r="M25" i="61"/>
  <c r="M26" i="61" s="1"/>
  <c r="M27" i="61" s="1"/>
  <c r="M28" i="61" l="1"/>
  <c r="M29" i="61" s="1"/>
  <c r="J15" i="58"/>
  <c r="J21" i="58"/>
  <c r="J26" i="58"/>
  <c r="J31" i="58"/>
  <c r="J36" i="58"/>
  <c r="J41" i="58"/>
  <c r="J46" i="58"/>
  <c r="J54" i="58"/>
  <c r="J55" i="58"/>
  <c r="J56" i="58"/>
  <c r="J57" i="58"/>
  <c r="J62" i="58"/>
  <c r="J63" i="58"/>
  <c r="J64" i="58"/>
  <c r="J65" i="58"/>
  <c r="J66" i="58"/>
  <c r="J67" i="58"/>
  <c r="J68" i="58"/>
  <c r="J69" i="58"/>
  <c r="J70" i="58"/>
  <c r="J71" i="58"/>
  <c r="J72" i="58"/>
  <c r="J73" i="58"/>
  <c r="J75" i="58"/>
  <c r="J80" i="58"/>
  <c r="J83" i="58"/>
  <c r="J89" i="58"/>
  <c r="J94" i="58"/>
  <c r="J99" i="58"/>
  <c r="J104" i="58"/>
  <c r="J112" i="58"/>
  <c r="J113" i="58"/>
  <c r="J114" i="58"/>
  <c r="J115" i="58"/>
  <c r="J116" i="58"/>
  <c r="J117" i="58"/>
  <c r="J118" i="58"/>
  <c r="J119" i="58"/>
  <c r="J120" i="58"/>
  <c r="J121" i="58"/>
  <c r="J122" i="58"/>
  <c r="J123" i="58"/>
  <c r="J133" i="58"/>
  <c r="J140" i="58"/>
  <c r="J143" i="58"/>
  <c r="H15" i="58"/>
  <c r="H21" i="58"/>
  <c r="H26" i="58"/>
  <c r="H31" i="58"/>
  <c r="H36" i="58"/>
  <c r="H41" i="58"/>
  <c r="H46" i="58"/>
  <c r="H54" i="58"/>
  <c r="H55" i="58"/>
  <c r="H56" i="58"/>
  <c r="H57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5" i="58"/>
  <c r="H80" i="58"/>
  <c r="H83" i="58"/>
  <c r="H89" i="58"/>
  <c r="H94" i="58"/>
  <c r="H99" i="58"/>
  <c r="H104" i="58"/>
  <c r="H113" i="58"/>
  <c r="H114" i="58"/>
  <c r="H115" i="58"/>
  <c r="H116" i="58"/>
  <c r="H117" i="58"/>
  <c r="H118" i="58"/>
  <c r="H119" i="58"/>
  <c r="H120" i="58"/>
  <c r="H121" i="58"/>
  <c r="H122" i="58"/>
  <c r="H123" i="58"/>
  <c r="H133" i="58"/>
  <c r="H140" i="58"/>
  <c r="H143" i="58"/>
  <c r="L15" i="58"/>
  <c r="L21" i="58"/>
  <c r="L26" i="58"/>
  <c r="L31" i="58"/>
  <c r="M31" i="58" s="1"/>
  <c r="L36" i="58"/>
  <c r="L41" i="58"/>
  <c r="L46" i="58"/>
  <c r="L54" i="58"/>
  <c r="L55" i="58"/>
  <c r="L56" i="58"/>
  <c r="L57" i="58"/>
  <c r="L62" i="58"/>
  <c r="L63" i="58"/>
  <c r="L64" i="58"/>
  <c r="L65" i="58"/>
  <c r="L66" i="58"/>
  <c r="L67" i="58"/>
  <c r="L68" i="58"/>
  <c r="L69" i="58"/>
  <c r="L70" i="58"/>
  <c r="L71" i="58"/>
  <c r="L72" i="58"/>
  <c r="L73" i="58"/>
  <c r="L75" i="58"/>
  <c r="L80" i="58"/>
  <c r="L83" i="58"/>
  <c r="L89" i="58"/>
  <c r="L94" i="58"/>
  <c r="L99" i="58"/>
  <c r="L104" i="58"/>
  <c r="L112" i="58"/>
  <c r="L113" i="58"/>
  <c r="L114" i="58"/>
  <c r="L115" i="58"/>
  <c r="L116" i="58"/>
  <c r="L117" i="58"/>
  <c r="L118" i="58"/>
  <c r="L119" i="58"/>
  <c r="L120" i="58"/>
  <c r="L121" i="58"/>
  <c r="L122" i="58"/>
  <c r="L123" i="58"/>
  <c r="L133" i="58"/>
  <c r="L140" i="58"/>
  <c r="L143" i="58"/>
  <c r="J13" i="53"/>
  <c r="J15" i="53"/>
  <c r="J16" i="53"/>
  <c r="J20" i="53"/>
  <c r="J25" i="53"/>
  <c r="J29" i="53"/>
  <c r="J37" i="53"/>
  <c r="J39" i="53"/>
  <c r="J43" i="53"/>
  <c r="J44" i="53"/>
  <c r="J50" i="53"/>
  <c r="J54" i="53"/>
  <c r="J61" i="53"/>
  <c r="J65" i="53"/>
  <c r="J71" i="53"/>
  <c r="J72" i="53"/>
  <c r="J88" i="53"/>
  <c r="J99" i="53"/>
  <c r="J104" i="53"/>
  <c r="J110" i="53"/>
  <c r="J111" i="53"/>
  <c r="J115" i="53"/>
  <c r="J119" i="53"/>
  <c r="J123" i="53"/>
  <c r="J128" i="53"/>
  <c r="J134" i="53"/>
  <c r="J140" i="53"/>
  <c r="J145" i="53"/>
  <c r="J151" i="53"/>
  <c r="J157" i="53"/>
  <c r="J163" i="53"/>
  <c r="J166" i="53"/>
  <c r="J176" i="53"/>
  <c r="J177" i="53"/>
  <c r="J178" i="53"/>
  <c r="J179" i="53"/>
  <c r="J184" i="53"/>
  <c r="J194" i="53"/>
  <c r="J198" i="53"/>
  <c r="J202" i="53"/>
  <c r="J211" i="53"/>
  <c r="J224" i="53"/>
  <c r="J229" i="53"/>
  <c r="J231" i="53"/>
  <c r="J232" i="53"/>
  <c r="J267" i="53"/>
  <c r="H13" i="53"/>
  <c r="H15" i="53"/>
  <c r="H16" i="53"/>
  <c r="H20" i="53"/>
  <c r="H25" i="53"/>
  <c r="H29" i="53"/>
  <c r="H37" i="53"/>
  <c r="H39" i="53"/>
  <c r="H43" i="53"/>
  <c r="H44" i="53"/>
  <c r="H50" i="53"/>
  <c r="H54" i="53"/>
  <c r="H61" i="53"/>
  <c r="H65" i="53"/>
  <c r="H71" i="53"/>
  <c r="H72" i="53"/>
  <c r="H88" i="53"/>
  <c r="H99" i="53"/>
  <c r="H104" i="53"/>
  <c r="H110" i="53"/>
  <c r="H111" i="53"/>
  <c r="H115" i="53"/>
  <c r="H119" i="53"/>
  <c r="H123" i="53"/>
  <c r="H128" i="53"/>
  <c r="H134" i="53"/>
  <c r="H140" i="53"/>
  <c r="H145" i="53"/>
  <c r="H151" i="53"/>
  <c r="H157" i="53"/>
  <c r="H163" i="53"/>
  <c r="H166" i="53"/>
  <c r="H176" i="53"/>
  <c r="H177" i="53"/>
  <c r="H178" i="53"/>
  <c r="H179" i="53"/>
  <c r="H184" i="53"/>
  <c r="H194" i="53"/>
  <c r="H198" i="53"/>
  <c r="H202" i="53"/>
  <c r="H211" i="53"/>
  <c r="H224" i="53"/>
  <c r="H229" i="53"/>
  <c r="H231" i="53"/>
  <c r="H232" i="53"/>
  <c r="H267" i="53"/>
  <c r="J258" i="36"/>
  <c r="J259" i="36"/>
  <c r="J272" i="36"/>
  <c r="J273" i="36"/>
  <c r="J8" i="36"/>
  <c r="J31" i="36"/>
  <c r="J110" i="36"/>
  <c r="J170" i="36"/>
  <c r="H258" i="36"/>
  <c r="H259" i="36"/>
  <c r="H272" i="36"/>
  <c r="H273" i="36"/>
  <c r="H8" i="36"/>
  <c r="H31" i="36"/>
  <c r="H110" i="36"/>
  <c r="H170" i="36"/>
  <c r="L33" i="44"/>
  <c r="L45" i="44"/>
  <c r="L8" i="44"/>
  <c r="L9" i="44"/>
  <c r="L11" i="44"/>
  <c r="L17" i="44"/>
  <c r="L21" i="44"/>
  <c r="L25" i="44"/>
  <c r="L50" i="44"/>
  <c r="L51" i="44"/>
  <c r="L53" i="44"/>
  <c r="L192" i="44"/>
  <c r="L193" i="44"/>
  <c r="L197" i="44"/>
  <c r="L199" i="44"/>
  <c r="L204" i="44"/>
  <c r="L211" i="44"/>
  <c r="L222" i="44"/>
  <c r="L233" i="44"/>
  <c r="L248" i="44"/>
  <c r="L253" i="44"/>
  <c r="L260" i="44"/>
  <c r="L265" i="44"/>
  <c r="L267" i="44"/>
  <c r="L60" i="44"/>
  <c r="L61" i="44"/>
  <c r="L63" i="44"/>
  <c r="L65" i="44"/>
  <c r="L68" i="44"/>
  <c r="L75" i="44"/>
  <c r="L76" i="44"/>
  <c r="L82" i="44"/>
  <c r="L88" i="44"/>
  <c r="L94" i="44"/>
  <c r="L131" i="44"/>
  <c r="L132" i="44"/>
  <c r="L135" i="44"/>
  <c r="L136" i="44"/>
  <c r="L139" i="44"/>
  <c r="L142" i="44"/>
  <c r="L145" i="44"/>
  <c r="L146" i="44"/>
  <c r="L147" i="44"/>
  <c r="L148" i="44"/>
  <c r="L149" i="44"/>
  <c r="L152" i="44"/>
  <c r="L172" i="44"/>
  <c r="L153" i="44"/>
  <c r="L166" i="44"/>
  <c r="J33" i="44"/>
  <c r="J45" i="44"/>
  <c r="J8" i="44"/>
  <c r="J9" i="44"/>
  <c r="J11" i="44"/>
  <c r="J17" i="44"/>
  <c r="J21" i="44"/>
  <c r="J25" i="44"/>
  <c r="J50" i="44"/>
  <c r="J51" i="44"/>
  <c r="J53" i="44"/>
  <c r="J192" i="44"/>
  <c r="J193" i="44"/>
  <c r="J197" i="44"/>
  <c r="J199" i="44"/>
  <c r="J204" i="44"/>
  <c r="J211" i="44"/>
  <c r="J222" i="44"/>
  <c r="J233" i="44"/>
  <c r="J248" i="44"/>
  <c r="J253" i="44"/>
  <c r="J260" i="44"/>
  <c r="J265" i="44"/>
  <c r="J267" i="44"/>
  <c r="J60" i="44"/>
  <c r="J61" i="44"/>
  <c r="J63" i="44"/>
  <c r="J65" i="44"/>
  <c r="J68" i="44"/>
  <c r="J75" i="44"/>
  <c r="J76" i="44"/>
  <c r="J82" i="44"/>
  <c r="J88" i="44"/>
  <c r="J94" i="44"/>
  <c r="J132" i="44"/>
  <c r="J135" i="44"/>
  <c r="J136" i="44"/>
  <c r="J139" i="44"/>
  <c r="J142" i="44"/>
  <c r="J145" i="44"/>
  <c r="J147" i="44"/>
  <c r="J149" i="44"/>
  <c r="J152" i="44"/>
  <c r="J172" i="44"/>
  <c r="J153" i="44"/>
  <c r="J166" i="44"/>
  <c r="H33" i="44"/>
  <c r="H45" i="44"/>
  <c r="H8" i="44"/>
  <c r="H9" i="44"/>
  <c r="H11" i="44"/>
  <c r="H17" i="44"/>
  <c r="H21" i="44"/>
  <c r="H25" i="44"/>
  <c r="H50" i="44"/>
  <c r="H51" i="44"/>
  <c r="H53" i="44"/>
  <c r="H192" i="44"/>
  <c r="H193" i="44"/>
  <c r="H197" i="44"/>
  <c r="H199" i="44"/>
  <c r="H204" i="44"/>
  <c r="H211" i="44"/>
  <c r="H222" i="44"/>
  <c r="H233" i="44"/>
  <c r="H248" i="44"/>
  <c r="H253" i="44"/>
  <c r="H260" i="44"/>
  <c r="H265" i="44"/>
  <c r="H267" i="44"/>
  <c r="H60" i="44"/>
  <c r="H61" i="44"/>
  <c r="H63" i="44"/>
  <c r="H65" i="44"/>
  <c r="H68" i="44"/>
  <c r="H75" i="44"/>
  <c r="H76" i="44"/>
  <c r="H82" i="44"/>
  <c r="H88" i="44"/>
  <c r="H94" i="44"/>
  <c r="H132" i="44"/>
  <c r="H135" i="44"/>
  <c r="H136" i="44"/>
  <c r="H139" i="44"/>
  <c r="H142" i="44"/>
  <c r="H145" i="44"/>
  <c r="H146" i="44"/>
  <c r="H147" i="44"/>
  <c r="H149" i="44"/>
  <c r="H152" i="44"/>
  <c r="H172" i="44"/>
  <c r="H153" i="44"/>
  <c r="H166" i="44"/>
  <c r="F281" i="36"/>
  <c r="F274" i="36"/>
  <c r="F260" i="36"/>
  <c r="F249" i="36"/>
  <c r="F280" i="36"/>
  <c r="F277" i="36"/>
  <c r="F271" i="36"/>
  <c r="F269" i="36"/>
  <c r="F268" i="36"/>
  <c r="A268" i="36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F279" i="36"/>
  <c r="F253" i="36"/>
  <c r="A254" i="36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E284" i="36"/>
  <c r="A282" i="36"/>
  <c r="A283" i="36" s="1"/>
  <c r="A284" i="36" s="1"/>
  <c r="A285" i="36" s="1"/>
  <c r="A250" i="36"/>
  <c r="A251" i="36" s="1"/>
  <c r="A252" i="36" s="1"/>
  <c r="E247" i="36"/>
  <c r="A245" i="36"/>
  <c r="A246" i="36" s="1"/>
  <c r="A247" i="36" s="1"/>
  <c r="A248" i="36" s="1"/>
  <c r="F244" i="36"/>
  <c r="A243" i="36"/>
  <c r="F173" i="44"/>
  <c r="L65" i="53"/>
  <c r="F70" i="53"/>
  <c r="F69" i="53"/>
  <c r="F68" i="53"/>
  <c r="F67" i="53"/>
  <c r="F66" i="53"/>
  <c r="F64" i="53"/>
  <c r="F63" i="53"/>
  <c r="F62" i="53"/>
  <c r="A62" i="53"/>
  <c r="A63" i="53" s="1"/>
  <c r="A64" i="53" s="1"/>
  <c r="A65" i="53" s="1"/>
  <c r="A66" i="53" s="1"/>
  <c r="A67" i="53" s="1"/>
  <c r="A68" i="53" s="1"/>
  <c r="A69" i="53" s="1"/>
  <c r="A70" i="53" s="1"/>
  <c r="L61" i="53"/>
  <c r="M64" i="58" l="1"/>
  <c r="M73" i="58"/>
  <c r="M115" i="58"/>
  <c r="M67" i="58"/>
  <c r="M55" i="58"/>
  <c r="M83" i="58"/>
  <c r="M65" i="58"/>
  <c r="M120" i="58"/>
  <c r="M72" i="58"/>
  <c r="M41" i="58"/>
  <c r="M119" i="58"/>
  <c r="M89" i="58"/>
  <c r="M121" i="58"/>
  <c r="M113" i="58"/>
  <c r="M258" i="36"/>
  <c r="L253" i="36"/>
  <c r="H253" i="36"/>
  <c r="J253" i="36"/>
  <c r="H281" i="36"/>
  <c r="J281" i="36"/>
  <c r="L281" i="36"/>
  <c r="L274" i="36"/>
  <c r="L260" i="36"/>
  <c r="L249" i="36"/>
  <c r="H249" i="36"/>
  <c r="J249" i="36"/>
  <c r="J244" i="36"/>
  <c r="L244" i="36"/>
  <c r="H244" i="36"/>
  <c r="M25" i="53"/>
  <c r="J69" i="53"/>
  <c r="L70" i="53"/>
  <c r="L68" i="53"/>
  <c r="M31" i="36"/>
  <c r="M273" i="36"/>
  <c r="M272" i="36"/>
  <c r="M170" i="36"/>
  <c r="M259" i="36"/>
  <c r="M110" i="36"/>
  <c r="L277" i="36"/>
  <c r="L280" i="36"/>
  <c r="L268" i="36"/>
  <c r="L279" i="36"/>
  <c r="L269" i="36"/>
  <c r="L271" i="36"/>
  <c r="H268" i="36"/>
  <c r="J268" i="36"/>
  <c r="H269" i="36"/>
  <c r="J269" i="36"/>
  <c r="J271" i="36"/>
  <c r="H271" i="36"/>
  <c r="E3" i="61"/>
  <c r="D12" i="4"/>
  <c r="H12" i="4" s="1"/>
  <c r="H69" i="53"/>
  <c r="H68" i="53"/>
  <c r="M61" i="53"/>
  <c r="H67" i="53"/>
  <c r="J67" i="53"/>
  <c r="M65" i="53"/>
  <c r="J66" i="53"/>
  <c r="L62" i="53"/>
  <c r="H62" i="53"/>
  <c r="J62" i="53"/>
  <c r="L63" i="53"/>
  <c r="H63" i="53"/>
  <c r="J63" i="53"/>
  <c r="L64" i="53"/>
  <c r="H64" i="53"/>
  <c r="J64" i="53"/>
  <c r="H70" i="53"/>
  <c r="J68" i="53"/>
  <c r="H66" i="53"/>
  <c r="J70" i="53"/>
  <c r="M71" i="58"/>
  <c r="M116" i="58"/>
  <c r="M104" i="58"/>
  <c r="M69" i="58"/>
  <c r="M57" i="58"/>
  <c r="M21" i="58"/>
  <c r="M36" i="58"/>
  <c r="M143" i="58"/>
  <c r="M123" i="58"/>
  <c r="M99" i="58"/>
  <c r="M75" i="58"/>
  <c r="M63" i="58"/>
  <c r="M15" i="58"/>
  <c r="M66" i="58"/>
  <c r="M54" i="58"/>
  <c r="M8" i="36"/>
  <c r="F265" i="36"/>
  <c r="F250" i="36"/>
  <c r="F252" i="36"/>
  <c r="J260" i="36"/>
  <c r="H260" i="36"/>
  <c r="H274" i="36"/>
  <c r="J274" i="36"/>
  <c r="J279" i="36"/>
  <c r="H279" i="36"/>
  <c r="F248" i="36"/>
  <c r="J277" i="36"/>
  <c r="H277" i="36"/>
  <c r="J280" i="36"/>
  <c r="H280" i="36"/>
  <c r="M60" i="44"/>
  <c r="M63" i="44"/>
  <c r="M211" i="44"/>
  <c r="M50" i="44"/>
  <c r="M135" i="44"/>
  <c r="M149" i="44"/>
  <c r="M75" i="44"/>
  <c r="M248" i="44"/>
  <c r="M61" i="44"/>
  <c r="M25" i="44"/>
  <c r="M132" i="44"/>
  <c r="M204" i="44"/>
  <c r="M33" i="44"/>
  <c r="M233" i="44"/>
  <c r="M152" i="44"/>
  <c r="M253" i="44"/>
  <c r="M192" i="44"/>
  <c r="M9" i="44"/>
  <c r="M94" i="44"/>
  <c r="M265" i="44"/>
  <c r="M199" i="44"/>
  <c r="M131" i="44"/>
  <c r="M88" i="44"/>
  <c r="M260" i="44"/>
  <c r="M17" i="44"/>
  <c r="M147" i="44"/>
  <c r="M8" i="44"/>
  <c r="M172" i="44"/>
  <c r="M82" i="44"/>
  <c r="M11" i="44"/>
  <c r="M153" i="44"/>
  <c r="M142" i="44"/>
  <c r="M222" i="44"/>
  <c r="M51" i="44"/>
  <c r="M145" i="44"/>
  <c r="M53" i="44"/>
  <c r="M166" i="44"/>
  <c r="M76" i="44"/>
  <c r="M197" i="44"/>
  <c r="H173" i="44"/>
  <c r="L173" i="44"/>
  <c r="J173" i="44"/>
  <c r="M45" i="44"/>
  <c r="M139" i="44"/>
  <c r="M68" i="44"/>
  <c r="M21" i="44"/>
  <c r="M136" i="44"/>
  <c r="M65" i="44"/>
  <c r="M267" i="44"/>
  <c r="M193" i="44"/>
  <c r="M114" i="58"/>
  <c r="M133" i="58"/>
  <c r="M122" i="58"/>
  <c r="M62" i="58"/>
  <c r="M26" i="58"/>
  <c r="M118" i="58"/>
  <c r="M94" i="58"/>
  <c r="M70" i="58"/>
  <c r="M46" i="58"/>
  <c r="M117" i="58"/>
  <c r="M140" i="58"/>
  <c r="M80" i="58"/>
  <c r="M68" i="58"/>
  <c r="M56" i="58"/>
  <c r="F245" i="36"/>
  <c r="F270" i="36"/>
  <c r="F276" i="36"/>
  <c r="F278" i="36"/>
  <c r="F275" i="36"/>
  <c r="F247" i="36"/>
  <c r="F262" i="36"/>
  <c r="F264" i="36"/>
  <c r="F257" i="36"/>
  <c r="F266" i="36"/>
  <c r="F261" i="36"/>
  <c r="F254" i="36"/>
  <c r="F256" i="36"/>
  <c r="F255" i="36"/>
  <c r="F263" i="36"/>
  <c r="F285" i="36"/>
  <c r="F283" i="36"/>
  <c r="F282" i="36"/>
  <c r="F284" i="36"/>
  <c r="F251" i="36"/>
  <c r="F246" i="36"/>
  <c r="L67" i="53"/>
  <c r="L69" i="53"/>
  <c r="L66" i="53"/>
  <c r="M244" i="36" l="1"/>
  <c r="M68" i="53"/>
  <c r="M281" i="36"/>
  <c r="M249" i="36"/>
  <c r="M253" i="36"/>
  <c r="M67" i="53"/>
  <c r="M260" i="36"/>
  <c r="M268" i="36"/>
  <c r="M271" i="36"/>
  <c r="M280" i="36"/>
  <c r="M274" i="36"/>
  <c r="M277" i="36"/>
  <c r="M279" i="36"/>
  <c r="M269" i="36"/>
  <c r="L263" i="36"/>
  <c r="L255" i="36"/>
  <c r="L270" i="36"/>
  <c r="L278" i="36"/>
  <c r="L276" i="36"/>
  <c r="L246" i="36"/>
  <c r="L252" i="36"/>
  <c r="L254" i="36"/>
  <c r="L251" i="36"/>
  <c r="L250" i="36"/>
  <c r="L256" i="36"/>
  <c r="L261" i="36"/>
  <c r="L284" i="36"/>
  <c r="L265" i="36"/>
  <c r="L248" i="36"/>
  <c r="L257" i="36"/>
  <c r="L264" i="36"/>
  <c r="L282" i="36"/>
  <c r="L283" i="36"/>
  <c r="L262" i="36"/>
  <c r="L275" i="36"/>
  <c r="L245" i="36"/>
  <c r="L266" i="36"/>
  <c r="L285" i="36"/>
  <c r="L247" i="36"/>
  <c r="J245" i="36"/>
  <c r="H245" i="36"/>
  <c r="H255" i="36"/>
  <c r="J255" i="36"/>
  <c r="J254" i="36"/>
  <c r="H254" i="36"/>
  <c r="J246" i="36"/>
  <c r="H246" i="36"/>
  <c r="J250" i="36"/>
  <c r="H250" i="36"/>
  <c r="J282" i="36"/>
  <c r="H282" i="36"/>
  <c r="H257" i="36"/>
  <c r="J257" i="36"/>
  <c r="J283" i="36"/>
  <c r="H283" i="36"/>
  <c r="M70" i="53"/>
  <c r="M69" i="53"/>
  <c r="M62" i="53"/>
  <c r="M66" i="53"/>
  <c r="M63" i="53"/>
  <c r="M64" i="53"/>
  <c r="H263" i="36"/>
  <c r="J263" i="36"/>
  <c r="J256" i="36"/>
  <c r="H256" i="36"/>
  <c r="H252" i="36"/>
  <c r="J252" i="36"/>
  <c r="H285" i="36"/>
  <c r="J285" i="36"/>
  <c r="H247" i="36"/>
  <c r="J247" i="36"/>
  <c r="H275" i="36"/>
  <c r="J275" i="36"/>
  <c r="H262" i="36"/>
  <c r="J262" i="36"/>
  <c r="H261" i="36"/>
  <c r="J261" i="36"/>
  <c r="H278" i="36"/>
  <c r="J278" i="36"/>
  <c r="H276" i="36"/>
  <c r="J276" i="36"/>
  <c r="J248" i="36"/>
  <c r="H248" i="36"/>
  <c r="J284" i="36"/>
  <c r="H284" i="36"/>
  <c r="H266" i="36"/>
  <c r="J266" i="36"/>
  <c r="H251" i="36"/>
  <c r="J251" i="36"/>
  <c r="H264" i="36"/>
  <c r="J264" i="36"/>
  <c r="J270" i="36"/>
  <c r="H270" i="36"/>
  <c r="J265" i="36"/>
  <c r="H265" i="36"/>
  <c r="M173" i="44"/>
  <c r="F243" i="36"/>
  <c r="M250" i="36" l="1"/>
  <c r="M245" i="36"/>
  <c r="M256" i="36"/>
  <c r="M248" i="36"/>
  <c r="M283" i="36"/>
  <c r="M251" i="36"/>
  <c r="M270" i="36"/>
  <c r="M265" i="36"/>
  <c r="M284" i="36"/>
  <c r="M252" i="36"/>
  <c r="M255" i="36"/>
  <c r="M282" i="36"/>
  <c r="M276" i="36"/>
  <c r="M275" i="36"/>
  <c r="M264" i="36"/>
  <c r="M266" i="36"/>
  <c r="M247" i="36"/>
  <c r="M263" i="36"/>
  <c r="M278" i="36"/>
  <c r="M262" i="36"/>
  <c r="M257" i="36"/>
  <c r="M246" i="36"/>
  <c r="M285" i="36"/>
  <c r="M261" i="36"/>
  <c r="M254" i="36"/>
  <c r="L243" i="36"/>
  <c r="H243" i="36"/>
  <c r="J243" i="36"/>
  <c r="M243" i="36" l="1"/>
  <c r="F55" i="53"/>
  <c r="F154" i="53"/>
  <c r="F152" i="53"/>
  <c r="A152" i="53"/>
  <c r="A153" i="53" s="1"/>
  <c r="A154" i="53" s="1"/>
  <c r="A155" i="53" s="1"/>
  <c r="A156" i="53" s="1"/>
  <c r="F155" i="53"/>
  <c r="F164" i="53"/>
  <c r="A164" i="53"/>
  <c r="A165" i="53" s="1"/>
  <c r="A166" i="53" s="1"/>
  <c r="A167" i="53" s="1"/>
  <c r="A168" i="53" s="1"/>
  <c r="A169" i="53" s="1"/>
  <c r="F168" i="53"/>
  <c r="F162" i="53"/>
  <c r="A158" i="53"/>
  <c r="A159" i="53" s="1"/>
  <c r="A160" i="53" s="1"/>
  <c r="A161" i="53" s="1"/>
  <c r="A162" i="53" s="1"/>
  <c r="F160" i="53"/>
  <c r="F247" i="53"/>
  <c r="A248" i="53"/>
  <c r="A249" i="53" s="1"/>
  <c r="A250" i="53" s="1"/>
  <c r="A251" i="53" s="1"/>
  <c r="A252" i="53" s="1"/>
  <c r="F185" i="53"/>
  <c r="A220" i="36"/>
  <c r="A221" i="36" s="1"/>
  <c r="A222" i="36" s="1"/>
  <c r="A223" i="36" s="1"/>
  <c r="A224" i="36" s="1"/>
  <c r="F216" i="44"/>
  <c r="E18" i="41"/>
  <c r="F18" i="41" s="1"/>
  <c r="E17" i="41"/>
  <c r="F17" i="41" s="1"/>
  <c r="A17" i="41"/>
  <c r="A18" i="41" s="1"/>
  <c r="L16" i="41"/>
  <c r="J16" i="41"/>
  <c r="H55" i="53" l="1"/>
  <c r="J55" i="53"/>
  <c r="H154" i="53"/>
  <c r="J154" i="53"/>
  <c r="F249" i="53"/>
  <c r="F251" i="53"/>
  <c r="F248" i="53"/>
  <c r="F252" i="53"/>
  <c r="F250" i="53"/>
  <c r="H247" i="53"/>
  <c r="J247" i="53"/>
  <c r="J185" i="53"/>
  <c r="H185" i="53"/>
  <c r="F220" i="44"/>
  <c r="J160" i="53"/>
  <c r="H160" i="53"/>
  <c r="L162" i="53"/>
  <c r="J162" i="53"/>
  <c r="H162" i="53"/>
  <c r="H168" i="53"/>
  <c r="J168" i="53"/>
  <c r="L164" i="53"/>
  <c r="H164" i="53"/>
  <c r="J164" i="53"/>
  <c r="H155" i="53"/>
  <c r="J155" i="53"/>
  <c r="H152" i="53"/>
  <c r="J152" i="53"/>
  <c r="M16" i="41"/>
  <c r="L216" i="44"/>
  <c r="J216" i="44"/>
  <c r="H216" i="44"/>
  <c r="L166" i="53"/>
  <c r="M166" i="53" s="1"/>
  <c r="L247" i="53"/>
  <c r="F161" i="53"/>
  <c r="L155" i="53"/>
  <c r="F156" i="53"/>
  <c r="L154" i="53"/>
  <c r="F153" i="53"/>
  <c r="L151" i="53"/>
  <c r="M151" i="53" s="1"/>
  <c r="L152" i="53"/>
  <c r="L168" i="53"/>
  <c r="L160" i="53"/>
  <c r="F159" i="53"/>
  <c r="F165" i="53"/>
  <c r="L157" i="53"/>
  <c r="M157" i="53" s="1"/>
  <c r="L163" i="53"/>
  <c r="M163" i="53" s="1"/>
  <c r="F167" i="53"/>
  <c r="F169" i="53"/>
  <c r="F158" i="53"/>
  <c r="L18" i="41"/>
  <c r="M18" i="41" s="1"/>
  <c r="J17" i="41"/>
  <c r="L17" i="41"/>
  <c r="L248" i="53" l="1"/>
  <c r="L252" i="53"/>
  <c r="M247" i="53"/>
  <c r="L250" i="53"/>
  <c r="M154" i="53"/>
  <c r="M162" i="53"/>
  <c r="H250" i="53"/>
  <c r="J250" i="53"/>
  <c r="H252" i="53"/>
  <c r="J252" i="53"/>
  <c r="H248" i="53"/>
  <c r="J248" i="53"/>
  <c r="H251" i="53"/>
  <c r="J251" i="53"/>
  <c r="L251" i="53"/>
  <c r="M251" i="53" s="1"/>
  <c r="H249" i="53"/>
  <c r="J249" i="53"/>
  <c r="L249" i="53"/>
  <c r="M168" i="53"/>
  <c r="H165" i="53"/>
  <c r="J165" i="53"/>
  <c r="H153" i="53"/>
  <c r="J153" i="53"/>
  <c r="H169" i="53"/>
  <c r="J169" i="53"/>
  <c r="J159" i="53"/>
  <c r="H159" i="53"/>
  <c r="J158" i="53"/>
  <c r="H158" i="53"/>
  <c r="M152" i="53"/>
  <c r="H156" i="53"/>
  <c r="J156" i="53"/>
  <c r="H167" i="53"/>
  <c r="J167" i="53"/>
  <c r="M155" i="53"/>
  <c r="M164" i="53"/>
  <c r="L161" i="53"/>
  <c r="J161" i="53"/>
  <c r="H161" i="53"/>
  <c r="M160" i="53"/>
  <c r="M216" i="44"/>
  <c r="L156" i="53"/>
  <c r="L153" i="53"/>
  <c r="L158" i="53"/>
  <c r="L167" i="53"/>
  <c r="L159" i="53"/>
  <c r="L169" i="53"/>
  <c r="L165" i="53"/>
  <c r="M17" i="41"/>
  <c r="M250" i="53" l="1"/>
  <c r="M252" i="53"/>
  <c r="M249" i="53"/>
  <c r="M248" i="53"/>
  <c r="M159" i="53"/>
  <c r="M153" i="53"/>
  <c r="M169" i="53"/>
  <c r="M167" i="53"/>
  <c r="M156" i="53"/>
  <c r="M161" i="53"/>
  <c r="M158" i="53"/>
  <c r="M165" i="53"/>
  <c r="E27" i="53"/>
  <c r="E26" i="53"/>
  <c r="F253" i="53" l="1"/>
  <c r="F241" i="53"/>
  <c r="F236" i="53"/>
  <c r="F11" i="53"/>
  <c r="F24" i="53"/>
  <c r="F138" i="58"/>
  <c r="F127" i="58"/>
  <c r="F129" i="58"/>
  <c r="E128" i="58"/>
  <c r="A128" i="58"/>
  <c r="A129" i="58" s="1"/>
  <c r="F130" i="58"/>
  <c r="F125" i="58"/>
  <c r="E126" i="58"/>
  <c r="L177" i="53"/>
  <c r="M177" i="53" s="1"/>
  <c r="H13" i="59"/>
  <c r="M13" i="59" s="1"/>
  <c r="H21" i="59"/>
  <c r="M21" i="59" s="1"/>
  <c r="H29" i="59"/>
  <c r="H36" i="59"/>
  <c r="H41" i="59"/>
  <c r="H42" i="59"/>
  <c r="H43" i="59"/>
  <c r="H44" i="59"/>
  <c r="H45" i="59"/>
  <c r="H49" i="59"/>
  <c r="H50" i="59"/>
  <c r="H51" i="59"/>
  <c r="H56" i="59"/>
  <c r="A22" i="59"/>
  <c r="A23" i="59" s="1"/>
  <c r="A24" i="59" s="1"/>
  <c r="A25" i="59" s="1"/>
  <c r="A26" i="59" s="1"/>
  <c r="A27" i="59" s="1"/>
  <c r="A28" i="59" s="1"/>
  <c r="F28" i="59"/>
  <c r="F27" i="59"/>
  <c r="F26" i="59"/>
  <c r="F25" i="59"/>
  <c r="F24" i="59"/>
  <c r="F23" i="59"/>
  <c r="F22" i="59"/>
  <c r="F34" i="59"/>
  <c r="F10" i="59"/>
  <c r="F8" i="59"/>
  <c r="F17" i="59"/>
  <c r="A14" i="59"/>
  <c r="A15" i="59" s="1"/>
  <c r="A16" i="59" s="1"/>
  <c r="A17" i="59" s="1"/>
  <c r="A18" i="59" s="1"/>
  <c r="A19" i="59" s="1"/>
  <c r="F20" i="59"/>
  <c r="E19" i="59"/>
  <c r="F19" i="59" s="1"/>
  <c r="F18" i="59"/>
  <c r="F16" i="59"/>
  <c r="F15" i="59"/>
  <c r="E14" i="59"/>
  <c r="F14" i="59" s="1"/>
  <c r="L56" i="59"/>
  <c r="J56" i="59"/>
  <c r="A54" i="59"/>
  <c r="A55" i="59" s="1"/>
  <c r="A56" i="59" s="1"/>
  <c r="A57" i="59" s="1"/>
  <c r="A58" i="59" s="1"/>
  <c r="F53" i="59"/>
  <c r="L51" i="59"/>
  <c r="J51" i="59"/>
  <c r="L50" i="59"/>
  <c r="J50" i="59"/>
  <c r="L49" i="59"/>
  <c r="J49" i="59"/>
  <c r="A47" i="59"/>
  <c r="A48" i="59" s="1"/>
  <c r="A49" i="59" s="1"/>
  <c r="A50" i="59" s="1"/>
  <c r="A51" i="59" s="1"/>
  <c r="A52" i="59" s="1"/>
  <c r="F46" i="59"/>
  <c r="L42" i="59"/>
  <c r="J42" i="59"/>
  <c r="A42" i="59"/>
  <c r="A43" i="59" s="1"/>
  <c r="A44" i="59" s="1"/>
  <c r="A45" i="59" s="1"/>
  <c r="L41" i="59"/>
  <c r="J41" i="59"/>
  <c r="F40" i="59"/>
  <c r="F39" i="59"/>
  <c r="F38" i="59"/>
  <c r="F37" i="59"/>
  <c r="A37" i="59"/>
  <c r="A38" i="59" s="1"/>
  <c r="A39" i="59" s="1"/>
  <c r="A40" i="59" s="1"/>
  <c r="L36" i="59"/>
  <c r="J36" i="59"/>
  <c r="A35" i="59"/>
  <c r="E33" i="59"/>
  <c r="E32" i="59"/>
  <c r="F32" i="59" s="1"/>
  <c r="E31" i="59"/>
  <c r="E30" i="59"/>
  <c r="F30" i="59" s="1"/>
  <c r="A30" i="59"/>
  <c r="A31" i="59" s="1"/>
  <c r="A32" i="59" s="1"/>
  <c r="A33" i="59" s="1"/>
  <c r="A11" i="59"/>
  <c r="A12" i="59" s="1"/>
  <c r="A9" i="59"/>
  <c r="F109" i="58"/>
  <c r="F35" i="58"/>
  <c r="F34" i="58"/>
  <c r="F33" i="58"/>
  <c r="F32" i="58"/>
  <c r="A32" i="58"/>
  <c r="A33" i="58" s="1"/>
  <c r="A34" i="58" s="1"/>
  <c r="A35" i="58" s="1"/>
  <c r="F145" i="58"/>
  <c r="F144" i="58"/>
  <c r="F142" i="58"/>
  <c r="F141" i="58"/>
  <c r="A141" i="58"/>
  <c r="A142" i="58" s="1"/>
  <c r="A143" i="58" s="1"/>
  <c r="A144" i="58" s="1"/>
  <c r="A145" i="58" s="1"/>
  <c r="A139" i="58"/>
  <c r="E137" i="58"/>
  <c r="F137" i="58" s="1"/>
  <c r="F136" i="58"/>
  <c r="F135" i="58"/>
  <c r="E134" i="58"/>
  <c r="F134" i="58" s="1"/>
  <c r="A134" i="58"/>
  <c r="A135" i="58" s="1"/>
  <c r="A136" i="58" s="1"/>
  <c r="A137" i="58" s="1"/>
  <c r="E131" i="58"/>
  <c r="A131" i="58"/>
  <c r="A132" i="58" s="1"/>
  <c r="A126" i="58"/>
  <c r="F108" i="58"/>
  <c r="F107" i="58"/>
  <c r="F106" i="58"/>
  <c r="F105" i="58"/>
  <c r="A105" i="58"/>
  <c r="A106" i="58" s="1"/>
  <c r="A107" i="58" s="1"/>
  <c r="A108" i="58" s="1"/>
  <c r="A110" i="58"/>
  <c r="A111" i="58" s="1"/>
  <c r="A112" i="58" s="1"/>
  <c r="A113" i="58" s="1"/>
  <c r="A114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F93" i="58"/>
  <c r="F92" i="58"/>
  <c r="F91" i="58"/>
  <c r="F90" i="58"/>
  <c r="A90" i="58"/>
  <c r="A91" i="58" s="1"/>
  <c r="A92" i="58" s="1"/>
  <c r="A93" i="58" s="1"/>
  <c r="F98" i="58"/>
  <c r="F97" i="58"/>
  <c r="F96" i="58"/>
  <c r="F95" i="58"/>
  <c r="A95" i="58"/>
  <c r="A96" i="58" s="1"/>
  <c r="A97" i="58" s="1"/>
  <c r="A98" i="58" s="1"/>
  <c r="F103" i="58"/>
  <c r="F102" i="58"/>
  <c r="F101" i="58"/>
  <c r="F100" i="58"/>
  <c r="A100" i="58"/>
  <c r="A101" i="58" s="1"/>
  <c r="A102" i="58" s="1"/>
  <c r="A103" i="58" s="1"/>
  <c r="F79" i="58"/>
  <c r="F78" i="58"/>
  <c r="F77" i="58"/>
  <c r="F76" i="58"/>
  <c r="A76" i="58"/>
  <c r="A77" i="58" s="1"/>
  <c r="A78" i="58" s="1"/>
  <c r="A79" i="58" s="1"/>
  <c r="A65" i="58"/>
  <c r="A66" i="58" s="1"/>
  <c r="A67" i="58" s="1"/>
  <c r="A68" i="58" s="1"/>
  <c r="A69" i="58" s="1"/>
  <c r="A60" i="58"/>
  <c r="A61" i="58" s="1"/>
  <c r="A62" i="58" s="1"/>
  <c r="A63" i="58" s="1"/>
  <c r="A64" i="58" s="1"/>
  <c r="A70" i="58" s="1"/>
  <c r="A71" i="58" s="1"/>
  <c r="A72" i="58" s="1"/>
  <c r="A73" i="58" s="1"/>
  <c r="A74" i="58" s="1"/>
  <c r="F59" i="58"/>
  <c r="A52" i="58"/>
  <c r="A53" i="58" s="1"/>
  <c r="A54" i="58" s="1"/>
  <c r="A55" i="58" s="1"/>
  <c r="A56" i="58" s="1"/>
  <c r="A57" i="58" s="1"/>
  <c r="A58" i="58" s="1"/>
  <c r="F51" i="58"/>
  <c r="F50" i="58"/>
  <c r="F49" i="58"/>
  <c r="F48" i="58"/>
  <c r="F47" i="58"/>
  <c r="A47" i="58"/>
  <c r="A48" i="58" s="1"/>
  <c r="A49" i="58" s="1"/>
  <c r="A50" i="58" s="1"/>
  <c r="F40" i="58"/>
  <c r="F39" i="58"/>
  <c r="F38" i="58"/>
  <c r="F37" i="58"/>
  <c r="A37" i="58"/>
  <c r="A38" i="58" s="1"/>
  <c r="A39" i="58" s="1"/>
  <c r="A40" i="58" s="1"/>
  <c r="F25" i="58"/>
  <c r="F24" i="58"/>
  <c r="F23" i="58"/>
  <c r="F22" i="58"/>
  <c r="A22" i="58"/>
  <c r="A23" i="58" s="1"/>
  <c r="A24" i="58" s="1"/>
  <c r="A25" i="58" s="1"/>
  <c r="F45" i="58"/>
  <c r="F44" i="58"/>
  <c r="F43" i="58"/>
  <c r="F42" i="58"/>
  <c r="A42" i="58"/>
  <c r="A43" i="58" s="1"/>
  <c r="A44" i="58" s="1"/>
  <c r="A45" i="58" s="1"/>
  <c r="F30" i="58"/>
  <c r="F29" i="58"/>
  <c r="F28" i="58"/>
  <c r="F27" i="58"/>
  <c r="A27" i="58"/>
  <c r="A28" i="58" s="1"/>
  <c r="A29" i="58" s="1"/>
  <c r="A30" i="58" s="1"/>
  <c r="E14" i="58"/>
  <c r="F14" i="58" s="1"/>
  <c r="F13" i="58"/>
  <c r="F12" i="58"/>
  <c r="E11" i="58"/>
  <c r="F11" i="58" s="1"/>
  <c r="F10" i="58"/>
  <c r="A10" i="58"/>
  <c r="A11" i="58" s="1"/>
  <c r="A12" i="58" s="1"/>
  <c r="A13" i="58" s="1"/>
  <c r="A14" i="58" s="1"/>
  <c r="L9" i="58"/>
  <c r="J9" i="58"/>
  <c r="H9" i="58"/>
  <c r="E20" i="58"/>
  <c r="F20" i="58" s="1"/>
  <c r="F19" i="58"/>
  <c r="F18" i="58"/>
  <c r="E17" i="58"/>
  <c r="F17" i="58" s="1"/>
  <c r="F16" i="58"/>
  <c r="A16" i="58"/>
  <c r="A17" i="58" s="1"/>
  <c r="A18" i="58" s="1"/>
  <c r="A19" i="58" s="1"/>
  <c r="A20" i="58" s="1"/>
  <c r="E88" i="58"/>
  <c r="F88" i="58" s="1"/>
  <c r="F87" i="58"/>
  <c r="F86" i="58"/>
  <c r="F85" i="58"/>
  <c r="F84" i="58"/>
  <c r="A84" i="58"/>
  <c r="A85" i="58" s="1"/>
  <c r="A86" i="58" s="1"/>
  <c r="A87" i="58" s="1"/>
  <c r="A88" i="58" s="1"/>
  <c r="F82" i="58"/>
  <c r="E81" i="58"/>
  <c r="F81" i="58" s="1"/>
  <c r="A81" i="58"/>
  <c r="A82" i="58" s="1"/>
  <c r="F39" i="57"/>
  <c r="F27" i="57"/>
  <c r="F35" i="57"/>
  <c r="F34" i="57"/>
  <c r="F33" i="57"/>
  <c r="A33" i="57"/>
  <c r="A34" i="57" s="1"/>
  <c r="A35" i="57" s="1"/>
  <c r="L32" i="57"/>
  <c r="J32" i="57"/>
  <c r="H32" i="57"/>
  <c r="F14" i="57"/>
  <c r="L17" i="57"/>
  <c r="J17" i="57"/>
  <c r="H17" i="57"/>
  <c r="F19" i="57"/>
  <c r="F38" i="57"/>
  <c r="F37" i="57"/>
  <c r="A37" i="57"/>
  <c r="A38" i="57" s="1"/>
  <c r="A39" i="57" s="1"/>
  <c r="L36" i="57"/>
  <c r="J36" i="57"/>
  <c r="H36" i="57"/>
  <c r="L31" i="57"/>
  <c r="J31" i="57"/>
  <c r="H31" i="57"/>
  <c r="F30" i="57"/>
  <c r="F29" i="57"/>
  <c r="A29" i="57"/>
  <c r="A30" i="57" s="1"/>
  <c r="A31" i="57" s="1"/>
  <c r="L28" i="57"/>
  <c r="J28" i="57"/>
  <c r="H28" i="57"/>
  <c r="F26" i="57"/>
  <c r="F25" i="57"/>
  <c r="A25" i="57"/>
  <c r="A26" i="57" s="1"/>
  <c r="A27" i="57" s="1"/>
  <c r="L24" i="57"/>
  <c r="J24" i="57"/>
  <c r="H24" i="57"/>
  <c r="L23" i="57"/>
  <c r="J23" i="57"/>
  <c r="H23" i="57"/>
  <c r="L22" i="57"/>
  <c r="J22" i="57"/>
  <c r="H22" i="57"/>
  <c r="E21" i="57"/>
  <c r="E20" i="57"/>
  <c r="A20" i="57"/>
  <c r="A21" i="57" s="1"/>
  <c r="A22" i="57" s="1"/>
  <c r="A23" i="57" s="1"/>
  <c r="L18" i="57"/>
  <c r="J18" i="57"/>
  <c r="H18" i="57"/>
  <c r="A15" i="57"/>
  <c r="A16" i="57" s="1"/>
  <c r="A17" i="57" s="1"/>
  <c r="A18" i="57" s="1"/>
  <c r="L13" i="57"/>
  <c r="J13" i="57"/>
  <c r="H13" i="57"/>
  <c r="L12" i="57"/>
  <c r="J12" i="57"/>
  <c r="H12" i="57"/>
  <c r="F11" i="57"/>
  <c r="A11" i="57"/>
  <c r="A12" i="57" s="1"/>
  <c r="A13" i="57" s="1"/>
  <c r="J10" i="57"/>
  <c r="H10" i="57"/>
  <c r="J9" i="57"/>
  <c r="H9" i="57"/>
  <c r="F8" i="57"/>
  <c r="A8" i="57"/>
  <c r="A9" i="57" s="1"/>
  <c r="F128" i="58" l="1"/>
  <c r="F131" i="58"/>
  <c r="H14" i="57"/>
  <c r="M17" i="57"/>
  <c r="H8" i="59"/>
  <c r="L34" i="57"/>
  <c r="L34" i="59"/>
  <c r="J34" i="57"/>
  <c r="M12" i="57"/>
  <c r="J8" i="59"/>
  <c r="L8" i="59"/>
  <c r="F9" i="59"/>
  <c r="J9" i="59" s="1"/>
  <c r="H236" i="53"/>
  <c r="J236" i="53"/>
  <c r="F246" i="53"/>
  <c r="F245" i="53"/>
  <c r="F244" i="53"/>
  <c r="H241" i="53"/>
  <c r="J241" i="53"/>
  <c r="F256" i="53"/>
  <c r="H253" i="53"/>
  <c r="J253" i="53"/>
  <c r="H24" i="53"/>
  <c r="J24" i="53"/>
  <c r="H11" i="53"/>
  <c r="J11" i="53"/>
  <c r="L33" i="57"/>
  <c r="H25" i="57"/>
  <c r="H34" i="57"/>
  <c r="M13" i="57"/>
  <c r="L26" i="57"/>
  <c r="H19" i="57"/>
  <c r="L35" i="57"/>
  <c r="J8" i="57"/>
  <c r="L27" i="57"/>
  <c r="H39" i="57"/>
  <c r="H8" i="57"/>
  <c r="L37" i="57"/>
  <c r="F16" i="57"/>
  <c r="J29" i="57"/>
  <c r="L11" i="57"/>
  <c r="H38" i="57"/>
  <c r="L29" i="57"/>
  <c r="L30" i="57"/>
  <c r="H25" i="59"/>
  <c r="M25" i="59" s="1"/>
  <c r="H32" i="59"/>
  <c r="H18" i="59"/>
  <c r="M18" i="59" s="1"/>
  <c r="H40" i="59"/>
  <c r="H38" i="59"/>
  <c r="H15" i="59"/>
  <c r="H17" i="58"/>
  <c r="L17" i="58"/>
  <c r="J17" i="58"/>
  <c r="J18" i="58"/>
  <c r="H18" i="58"/>
  <c r="L18" i="58"/>
  <c r="J23" i="58"/>
  <c r="H23" i="58"/>
  <c r="L23" i="58"/>
  <c r="L50" i="58"/>
  <c r="J50" i="58"/>
  <c r="H50" i="58"/>
  <c r="H100" i="58"/>
  <c r="L100" i="58"/>
  <c r="J100" i="58"/>
  <c r="J92" i="58"/>
  <c r="H92" i="58"/>
  <c r="L92" i="58"/>
  <c r="J128" i="58"/>
  <c r="H128" i="58"/>
  <c r="L128" i="58"/>
  <c r="J19" i="58"/>
  <c r="H19" i="58"/>
  <c r="L19" i="58"/>
  <c r="H27" i="58"/>
  <c r="J27" i="58"/>
  <c r="L27" i="58"/>
  <c r="L24" i="58"/>
  <c r="H24" i="58"/>
  <c r="J24" i="58"/>
  <c r="F53" i="58"/>
  <c r="H51" i="58"/>
  <c r="J51" i="58"/>
  <c r="L51" i="58"/>
  <c r="H101" i="58"/>
  <c r="L101" i="58"/>
  <c r="J101" i="58"/>
  <c r="L93" i="58"/>
  <c r="J93" i="58"/>
  <c r="H93" i="58"/>
  <c r="L134" i="58"/>
  <c r="J134" i="58"/>
  <c r="H134" i="58"/>
  <c r="J32" i="58"/>
  <c r="H32" i="58"/>
  <c r="L32" i="58"/>
  <c r="J129" i="58"/>
  <c r="H129" i="58"/>
  <c r="L129" i="58"/>
  <c r="H16" i="58"/>
  <c r="L16" i="58"/>
  <c r="J16" i="58"/>
  <c r="J20" i="58"/>
  <c r="H20" i="58"/>
  <c r="L20" i="58"/>
  <c r="L25" i="58"/>
  <c r="J25" i="58"/>
  <c r="H25" i="58"/>
  <c r="J102" i="58"/>
  <c r="H102" i="58"/>
  <c r="L102" i="58"/>
  <c r="H135" i="58"/>
  <c r="J135" i="58"/>
  <c r="L135" i="58"/>
  <c r="J33" i="58"/>
  <c r="L33" i="58"/>
  <c r="H33" i="58"/>
  <c r="J127" i="58"/>
  <c r="H127" i="58"/>
  <c r="L127" i="58"/>
  <c r="J90" i="58"/>
  <c r="H90" i="58"/>
  <c r="L90" i="58"/>
  <c r="L49" i="58"/>
  <c r="J49" i="58"/>
  <c r="H49" i="58"/>
  <c r="H28" i="58"/>
  <c r="L28" i="58"/>
  <c r="J28" i="58"/>
  <c r="H29" i="58"/>
  <c r="L29" i="58"/>
  <c r="J29" i="58"/>
  <c r="F74" i="58"/>
  <c r="J59" i="58"/>
  <c r="H59" i="58"/>
  <c r="L59" i="58"/>
  <c r="J103" i="58"/>
  <c r="H103" i="58"/>
  <c r="L103" i="58"/>
  <c r="H136" i="58"/>
  <c r="L136" i="58"/>
  <c r="J136" i="58"/>
  <c r="J34" i="58"/>
  <c r="H34" i="58"/>
  <c r="L34" i="58"/>
  <c r="J138" i="58"/>
  <c r="H138" i="58"/>
  <c r="L138" i="58"/>
  <c r="L13" i="58"/>
  <c r="J13" i="58"/>
  <c r="H13" i="58"/>
  <c r="J22" i="58"/>
  <c r="H22" i="58"/>
  <c r="L22" i="58"/>
  <c r="L105" i="58"/>
  <c r="J105" i="58"/>
  <c r="H105" i="58"/>
  <c r="L85" i="58"/>
  <c r="J85" i="58"/>
  <c r="H85" i="58"/>
  <c r="L38" i="58"/>
  <c r="J38" i="58"/>
  <c r="H38" i="58"/>
  <c r="J95" i="58"/>
  <c r="H95" i="58"/>
  <c r="L95" i="58"/>
  <c r="J106" i="58"/>
  <c r="H106" i="58"/>
  <c r="L106" i="58"/>
  <c r="H112" i="58"/>
  <c r="M112" i="58" s="1"/>
  <c r="J130" i="58"/>
  <c r="H130" i="58"/>
  <c r="L130" i="58"/>
  <c r="F132" i="58"/>
  <c r="J81" i="58"/>
  <c r="L81" i="58"/>
  <c r="H81" i="58"/>
  <c r="L86" i="58"/>
  <c r="J86" i="58"/>
  <c r="H86" i="58"/>
  <c r="J42" i="58"/>
  <c r="H42" i="58"/>
  <c r="L42" i="58"/>
  <c r="H39" i="58"/>
  <c r="J39" i="58"/>
  <c r="L39" i="58"/>
  <c r="L96" i="58"/>
  <c r="H96" i="58"/>
  <c r="J96" i="58"/>
  <c r="J107" i="58"/>
  <c r="H107" i="58"/>
  <c r="L107" i="58"/>
  <c r="F139" i="58"/>
  <c r="L109" i="58"/>
  <c r="J109" i="58"/>
  <c r="H109" i="58"/>
  <c r="L144" i="58"/>
  <c r="J144" i="58"/>
  <c r="H144" i="58"/>
  <c r="J91" i="58"/>
  <c r="H91" i="58"/>
  <c r="L91" i="58"/>
  <c r="L84" i="58"/>
  <c r="H84" i="58"/>
  <c r="J84" i="58"/>
  <c r="L37" i="58"/>
  <c r="J37" i="58"/>
  <c r="H37" i="58"/>
  <c r="H87" i="58"/>
  <c r="J87" i="58"/>
  <c r="L87" i="58"/>
  <c r="J10" i="58"/>
  <c r="J43" i="58"/>
  <c r="H43" i="58"/>
  <c r="L43" i="58"/>
  <c r="H40" i="58"/>
  <c r="L40" i="58"/>
  <c r="J40" i="58"/>
  <c r="H76" i="58"/>
  <c r="L76" i="58"/>
  <c r="J76" i="58"/>
  <c r="L97" i="58"/>
  <c r="J97" i="58"/>
  <c r="H97" i="58"/>
  <c r="L108" i="58"/>
  <c r="H108" i="58"/>
  <c r="J108" i="58"/>
  <c r="L48" i="58"/>
  <c r="H48" i="58"/>
  <c r="J48" i="58"/>
  <c r="L14" i="58"/>
  <c r="J14" i="58"/>
  <c r="H14" i="58"/>
  <c r="J82" i="58"/>
  <c r="H82" i="58"/>
  <c r="L82" i="58"/>
  <c r="J30" i="58"/>
  <c r="H30" i="58"/>
  <c r="L30" i="58"/>
  <c r="H137" i="58"/>
  <c r="L137" i="58"/>
  <c r="J137" i="58"/>
  <c r="H88" i="58"/>
  <c r="L88" i="58"/>
  <c r="J88" i="58"/>
  <c r="J11" i="58"/>
  <c r="H11" i="58"/>
  <c r="L11" i="58"/>
  <c r="J44" i="58"/>
  <c r="H44" i="58"/>
  <c r="L44" i="58"/>
  <c r="H77" i="58"/>
  <c r="L77" i="58"/>
  <c r="J77" i="58"/>
  <c r="L98" i="58"/>
  <c r="J98" i="58"/>
  <c r="H98" i="58"/>
  <c r="J141" i="58"/>
  <c r="H141" i="58"/>
  <c r="L141" i="58"/>
  <c r="J79" i="58"/>
  <c r="H79" i="58"/>
  <c r="L79" i="58"/>
  <c r="L145" i="58"/>
  <c r="J145" i="58"/>
  <c r="H145" i="58"/>
  <c r="J35" i="58"/>
  <c r="H35" i="58"/>
  <c r="L35" i="58"/>
  <c r="L12" i="58"/>
  <c r="H12" i="58"/>
  <c r="J12" i="58"/>
  <c r="L45" i="58"/>
  <c r="J45" i="58"/>
  <c r="H45" i="58"/>
  <c r="J47" i="58"/>
  <c r="H47" i="58"/>
  <c r="L47" i="58"/>
  <c r="J78" i="58"/>
  <c r="H78" i="58"/>
  <c r="L78" i="58"/>
  <c r="J142" i="58"/>
  <c r="H142" i="58"/>
  <c r="L142" i="58"/>
  <c r="H125" i="58"/>
  <c r="L125" i="58"/>
  <c r="J125" i="58"/>
  <c r="J131" i="58"/>
  <c r="H131" i="58"/>
  <c r="L131" i="58"/>
  <c r="M56" i="59"/>
  <c r="F11" i="59"/>
  <c r="M51" i="59"/>
  <c r="F12" i="59"/>
  <c r="H24" i="59"/>
  <c r="M49" i="59"/>
  <c r="H16" i="59"/>
  <c r="M16" i="59" s="1"/>
  <c r="M50" i="59"/>
  <c r="M42" i="59"/>
  <c r="J34" i="59"/>
  <c r="M41" i="59"/>
  <c r="H37" i="59"/>
  <c r="J10" i="59"/>
  <c r="L23" i="59"/>
  <c r="M36" i="59"/>
  <c r="L10" i="59"/>
  <c r="F35" i="59"/>
  <c r="L24" i="59"/>
  <c r="H30" i="59"/>
  <c r="H20" i="59"/>
  <c r="M20" i="59" s="1"/>
  <c r="H19" i="59"/>
  <c r="M19" i="59" s="1"/>
  <c r="F54" i="59"/>
  <c r="H53" i="59"/>
  <c r="H17" i="59"/>
  <c r="M17" i="59" s="1"/>
  <c r="J22" i="59"/>
  <c r="H28" i="59"/>
  <c r="M28" i="59" s="1"/>
  <c r="L40" i="59"/>
  <c r="L22" i="59"/>
  <c r="H39" i="59"/>
  <c r="H27" i="59"/>
  <c r="M27" i="59" s="1"/>
  <c r="L32" i="59"/>
  <c r="J23" i="59"/>
  <c r="H26" i="59"/>
  <c r="M26" i="59" s="1"/>
  <c r="H14" i="59"/>
  <c r="L46" i="59"/>
  <c r="L38" i="59"/>
  <c r="H23" i="59"/>
  <c r="L15" i="59"/>
  <c r="H46" i="59"/>
  <c r="H34" i="59"/>
  <c r="H22" i="59"/>
  <c r="H10" i="59"/>
  <c r="L44" i="59"/>
  <c r="A20" i="59"/>
  <c r="L37" i="59"/>
  <c r="J43" i="59"/>
  <c r="J15" i="59"/>
  <c r="J14" i="59"/>
  <c r="L14" i="59"/>
  <c r="F31" i="59"/>
  <c r="L39" i="59"/>
  <c r="J39" i="59"/>
  <c r="J46" i="59"/>
  <c r="J32" i="59"/>
  <c r="L43" i="59"/>
  <c r="M8" i="59"/>
  <c r="J12" i="59"/>
  <c r="J29" i="59"/>
  <c r="J45" i="59"/>
  <c r="J37" i="59"/>
  <c r="L45" i="59"/>
  <c r="L30" i="59"/>
  <c r="J30" i="59"/>
  <c r="L29" i="59"/>
  <c r="J38" i="59"/>
  <c r="J40" i="59"/>
  <c r="F47" i="59"/>
  <c r="F33" i="59"/>
  <c r="F57" i="59"/>
  <c r="F52" i="59"/>
  <c r="F55" i="59"/>
  <c r="J53" i="59"/>
  <c r="F48" i="59"/>
  <c r="L53" i="59"/>
  <c r="F58" i="59"/>
  <c r="J44" i="59"/>
  <c r="M44" i="59" s="1"/>
  <c r="F60" i="58"/>
  <c r="F58" i="58"/>
  <c r="H10" i="58"/>
  <c r="L10" i="58"/>
  <c r="F61" i="58"/>
  <c r="M9" i="58"/>
  <c r="F52" i="58"/>
  <c r="F110" i="58"/>
  <c r="F126" i="58"/>
  <c r="F124" i="58"/>
  <c r="F111" i="58"/>
  <c r="L39" i="57"/>
  <c r="J39" i="57"/>
  <c r="M39" i="57" s="1"/>
  <c r="J27" i="57"/>
  <c r="H27" i="57"/>
  <c r="J25" i="57"/>
  <c r="L25" i="57"/>
  <c r="H35" i="57"/>
  <c r="M32" i="57"/>
  <c r="H33" i="57"/>
  <c r="M31" i="57"/>
  <c r="M10" i="57"/>
  <c r="M28" i="57"/>
  <c r="J33" i="57"/>
  <c r="J35" i="57"/>
  <c r="J14" i="57"/>
  <c r="L14" i="57"/>
  <c r="F15" i="57"/>
  <c r="M9" i="57"/>
  <c r="M18" i="57"/>
  <c r="M24" i="57"/>
  <c r="M22" i="57"/>
  <c r="J19" i="57"/>
  <c r="F21" i="57"/>
  <c r="L19" i="57"/>
  <c r="F20" i="57"/>
  <c r="M23" i="57"/>
  <c r="J38" i="57"/>
  <c r="M36" i="57"/>
  <c r="L38" i="57"/>
  <c r="H11" i="57"/>
  <c r="J11" i="57"/>
  <c r="J16" i="57"/>
  <c r="L16" i="57"/>
  <c r="L20" i="57"/>
  <c r="H20" i="57"/>
  <c r="H30" i="57"/>
  <c r="J30" i="57"/>
  <c r="H26" i="57"/>
  <c r="H37" i="57"/>
  <c r="J26" i="57"/>
  <c r="J37" i="57"/>
  <c r="H29" i="57"/>
  <c r="M98" i="58" l="1"/>
  <c r="J15" i="57"/>
  <c r="H15" i="57"/>
  <c r="L21" i="57"/>
  <c r="M34" i="57"/>
  <c r="J35" i="59"/>
  <c r="J21" i="57"/>
  <c r="H21" i="57"/>
  <c r="M14" i="57"/>
  <c r="M125" i="58"/>
  <c r="M43" i="58"/>
  <c r="M105" i="58"/>
  <c r="M134" i="58"/>
  <c r="M131" i="58"/>
  <c r="M12" i="58"/>
  <c r="M45" i="58"/>
  <c r="M38" i="58"/>
  <c r="H9" i="59"/>
  <c r="M25" i="57"/>
  <c r="M82" i="58"/>
  <c r="L11" i="59"/>
  <c r="M145" i="58"/>
  <c r="M108" i="58"/>
  <c r="M92" i="58"/>
  <c r="M17" i="58"/>
  <c r="M8" i="57"/>
  <c r="L9" i="59"/>
  <c r="M9" i="59" s="1"/>
  <c r="M96" i="58"/>
  <c r="M138" i="58"/>
  <c r="M129" i="58"/>
  <c r="M78" i="58"/>
  <c r="M137" i="58"/>
  <c r="M87" i="58"/>
  <c r="M103" i="58"/>
  <c r="M130" i="58"/>
  <c r="M37" i="58"/>
  <c r="J11" i="59"/>
  <c r="M144" i="58"/>
  <c r="M85" i="58"/>
  <c r="M18" i="58"/>
  <c r="H256" i="53"/>
  <c r="J256" i="53"/>
  <c r="J244" i="53"/>
  <c r="H244" i="53"/>
  <c r="J245" i="53"/>
  <c r="H245" i="53"/>
  <c r="J246" i="53"/>
  <c r="H246" i="53"/>
  <c r="M35" i="57"/>
  <c r="L15" i="57"/>
  <c r="M15" i="57" s="1"/>
  <c r="H16" i="57"/>
  <c r="J20" i="57"/>
  <c r="M20" i="57" s="1"/>
  <c r="M27" i="57"/>
  <c r="M29" i="57"/>
  <c r="H12" i="59"/>
  <c r="L12" i="59"/>
  <c r="M40" i="59"/>
  <c r="M10" i="59"/>
  <c r="M45" i="59"/>
  <c r="H11" i="59"/>
  <c r="M11" i="59" s="1"/>
  <c r="J54" i="59"/>
  <c r="M30" i="59"/>
  <c r="L35" i="59"/>
  <c r="M23" i="59"/>
  <c r="M39" i="59"/>
  <c r="H35" i="59"/>
  <c r="M29" i="59"/>
  <c r="M142" i="58"/>
  <c r="M11" i="58"/>
  <c r="M48" i="58"/>
  <c r="M136" i="58"/>
  <c r="M20" i="58"/>
  <c r="M32" i="58"/>
  <c r="M23" i="58"/>
  <c r="M30" i="58"/>
  <c r="J139" i="58"/>
  <c r="H139" i="58"/>
  <c r="L139" i="58"/>
  <c r="M39" i="58"/>
  <c r="M29" i="58"/>
  <c r="M90" i="58"/>
  <c r="M135" i="58"/>
  <c r="M101" i="58"/>
  <c r="J58" i="58"/>
  <c r="H58" i="58"/>
  <c r="L58" i="58"/>
  <c r="M76" i="58"/>
  <c r="L132" i="58"/>
  <c r="H132" i="58"/>
  <c r="J132" i="58"/>
  <c r="M95" i="58"/>
  <c r="M27" i="58"/>
  <c r="L60" i="58"/>
  <c r="H60" i="58"/>
  <c r="J60" i="58"/>
  <c r="M91" i="58"/>
  <c r="M107" i="58"/>
  <c r="H111" i="58"/>
  <c r="L111" i="58"/>
  <c r="J111" i="58"/>
  <c r="M79" i="58"/>
  <c r="M42" i="58"/>
  <c r="M28" i="58"/>
  <c r="M127" i="58"/>
  <c r="M102" i="58"/>
  <c r="M16" i="58"/>
  <c r="M51" i="58"/>
  <c r="M19" i="58"/>
  <c r="H124" i="58"/>
  <c r="L124" i="58"/>
  <c r="J124" i="58"/>
  <c r="M77" i="58"/>
  <c r="M88" i="58"/>
  <c r="M40" i="58"/>
  <c r="M86" i="58"/>
  <c r="M22" i="58"/>
  <c r="M34" i="58"/>
  <c r="M59" i="58"/>
  <c r="M49" i="58"/>
  <c r="M33" i="58"/>
  <c r="M25" i="58"/>
  <c r="M93" i="58"/>
  <c r="H53" i="58"/>
  <c r="L53" i="58"/>
  <c r="J53" i="58"/>
  <c r="M100" i="58"/>
  <c r="L61" i="58"/>
  <c r="J61" i="58"/>
  <c r="H61" i="58"/>
  <c r="J126" i="58"/>
  <c r="H126" i="58"/>
  <c r="L126" i="58"/>
  <c r="M14" i="58"/>
  <c r="M97" i="58"/>
  <c r="M24" i="58"/>
  <c r="M50" i="58"/>
  <c r="L110" i="58"/>
  <c r="J110" i="58"/>
  <c r="H110" i="58"/>
  <c r="M47" i="58"/>
  <c r="M35" i="58"/>
  <c r="M141" i="58"/>
  <c r="M128" i="58"/>
  <c r="H52" i="58"/>
  <c r="L52" i="58"/>
  <c r="J52" i="58"/>
  <c r="M44" i="58"/>
  <c r="M84" i="58"/>
  <c r="M109" i="58"/>
  <c r="M13" i="58"/>
  <c r="L74" i="58"/>
  <c r="J74" i="58"/>
  <c r="H74" i="58"/>
  <c r="M81" i="58"/>
  <c r="M106" i="58"/>
  <c r="M38" i="59"/>
  <c r="M32" i="59"/>
  <c r="M34" i="59"/>
  <c r="M24" i="59"/>
  <c r="M37" i="59"/>
  <c r="M15" i="59"/>
  <c r="H48" i="59"/>
  <c r="M53" i="59"/>
  <c r="H52" i="59"/>
  <c r="H57" i="59"/>
  <c r="H55" i="59"/>
  <c r="H54" i="59"/>
  <c r="L54" i="59"/>
  <c r="H33" i="59"/>
  <c r="L31" i="59"/>
  <c r="H31" i="59"/>
  <c r="M22" i="59"/>
  <c r="M14" i="59"/>
  <c r="H58" i="59"/>
  <c r="H47" i="59"/>
  <c r="M46" i="59"/>
  <c r="M43" i="59"/>
  <c r="J31" i="59"/>
  <c r="L48" i="59"/>
  <c r="J48" i="59"/>
  <c r="L33" i="59"/>
  <c r="J33" i="59"/>
  <c r="L47" i="59"/>
  <c r="J47" i="59"/>
  <c r="L55" i="59"/>
  <c r="J55" i="59"/>
  <c r="J58" i="59"/>
  <c r="L58" i="59"/>
  <c r="L52" i="59"/>
  <c r="J52" i="59"/>
  <c r="L57" i="59"/>
  <c r="J57" i="59"/>
  <c r="M10" i="58"/>
  <c r="M33" i="57"/>
  <c r="M11" i="57"/>
  <c r="M38" i="57"/>
  <c r="M37" i="57"/>
  <c r="M16" i="57"/>
  <c r="M19" i="57"/>
  <c r="H40" i="57"/>
  <c r="M41" i="57" s="1"/>
  <c r="L40" i="57"/>
  <c r="M30" i="57"/>
  <c r="M26" i="57"/>
  <c r="M35" i="59" l="1"/>
  <c r="M21" i="57"/>
  <c r="M12" i="59"/>
  <c r="J40" i="57"/>
  <c r="M43" i="57" s="1"/>
  <c r="H146" i="58"/>
  <c r="M147" i="58" s="1"/>
  <c r="J146" i="58"/>
  <c r="M74" i="58"/>
  <c r="L146" i="58"/>
  <c r="M40" i="57"/>
  <c r="M42" i="57" s="1"/>
  <c r="H59" i="59"/>
  <c r="M60" i="59" s="1"/>
  <c r="L59" i="59"/>
  <c r="J59" i="59"/>
  <c r="M60" i="58"/>
  <c r="M58" i="58"/>
  <c r="M139" i="58"/>
  <c r="M53" i="58"/>
  <c r="M126" i="58"/>
  <c r="M110" i="58"/>
  <c r="M61" i="58"/>
  <c r="M124" i="58"/>
  <c r="M111" i="58"/>
  <c r="M132" i="58"/>
  <c r="M52" i="58"/>
  <c r="M55" i="59"/>
  <c r="M54" i="59"/>
  <c r="M58" i="59"/>
  <c r="M31" i="59"/>
  <c r="M52" i="59"/>
  <c r="M57" i="59"/>
  <c r="M33" i="59"/>
  <c r="M48" i="59"/>
  <c r="M47" i="59"/>
  <c r="M146" i="58" l="1"/>
  <c r="M59" i="59"/>
  <c r="M61" i="59" s="1"/>
  <c r="M44" i="57"/>
  <c r="M45" i="57" l="1"/>
  <c r="M46" i="57" s="1"/>
  <c r="D7" i="52" s="1"/>
  <c r="M62" i="59"/>
  <c r="M63" i="59" s="1"/>
  <c r="M148" i="58"/>
  <c r="M149" i="58" s="1"/>
  <c r="M150" i="58"/>
  <c r="M151" i="58" s="1"/>
  <c r="M64" i="59" l="1"/>
  <c r="M65" i="59"/>
  <c r="D21" i="4" s="1"/>
  <c r="H21" i="4" s="1"/>
  <c r="M152" i="58"/>
  <c r="E8" i="52" s="1"/>
  <c r="A242" i="53" l="1"/>
  <c r="A243" i="53" s="1"/>
  <c r="A244" i="53" s="1"/>
  <c r="A245" i="53" s="1"/>
  <c r="A246" i="53" s="1"/>
  <c r="A254" i="53"/>
  <c r="A255" i="53" s="1"/>
  <c r="A256" i="53" s="1"/>
  <c r="A257" i="53" s="1"/>
  <c r="A258" i="53" s="1"/>
  <c r="A259" i="53" s="1"/>
  <c r="E201" i="53"/>
  <c r="F201" i="53" s="1"/>
  <c r="E200" i="53"/>
  <c r="F200" i="53" s="1"/>
  <c r="E199" i="53"/>
  <c r="F199" i="53" s="1"/>
  <c r="L198" i="53"/>
  <c r="M198" i="53" s="1"/>
  <c r="F197" i="53"/>
  <c r="E196" i="53"/>
  <c r="F196" i="53" s="1"/>
  <c r="E195" i="53"/>
  <c r="F195" i="53" s="1"/>
  <c r="L194" i="53"/>
  <c r="M194" i="53" s="1"/>
  <c r="A194" i="53"/>
  <c r="A198" i="53" s="1"/>
  <c r="A199" i="53" s="1"/>
  <c r="A200" i="53" s="1"/>
  <c r="A201" i="53" s="1"/>
  <c r="E187" i="53"/>
  <c r="E186" i="53"/>
  <c r="A186" i="53"/>
  <c r="A187" i="53" s="1"/>
  <c r="A188" i="53" s="1"/>
  <c r="A189" i="53" s="1"/>
  <c r="A190" i="53" s="1"/>
  <c r="A191" i="53" s="1"/>
  <c r="A192" i="53" s="1"/>
  <c r="A193" i="53" s="1"/>
  <c r="E210" i="53"/>
  <c r="F210" i="53" s="1"/>
  <c r="F209" i="53"/>
  <c r="F208" i="53"/>
  <c r="E207" i="53"/>
  <c r="F207" i="53" s="1"/>
  <c r="E206" i="53"/>
  <c r="F206" i="53" s="1"/>
  <c r="E205" i="53"/>
  <c r="F205" i="53" s="1"/>
  <c r="E204" i="53"/>
  <c r="F204" i="53" s="1"/>
  <c r="E203" i="53"/>
  <c r="F203" i="53" s="1"/>
  <c r="L202" i="53"/>
  <c r="M202" i="53" s="1"/>
  <c r="A203" i="53"/>
  <c r="A204" i="53" s="1"/>
  <c r="A205" i="53" s="1"/>
  <c r="A206" i="53" s="1"/>
  <c r="A207" i="53" s="1"/>
  <c r="A208" i="53" s="1"/>
  <c r="A209" i="53" s="1"/>
  <c r="A210" i="53" s="1"/>
  <c r="F219" i="53"/>
  <c r="E141" i="53"/>
  <c r="F141" i="53" s="1"/>
  <c r="E183" i="53"/>
  <c r="F183" i="53" s="1"/>
  <c r="F182" i="53"/>
  <c r="E181" i="53"/>
  <c r="F181" i="53" s="1"/>
  <c r="E180" i="53"/>
  <c r="F180" i="53" s="1"/>
  <c r="A180" i="53"/>
  <c r="A181" i="53" s="1"/>
  <c r="A182" i="53" s="1"/>
  <c r="A183" i="53" s="1"/>
  <c r="L179" i="53"/>
  <c r="M179" i="53" s="1"/>
  <c r="H219" i="53" l="1"/>
  <c r="J219" i="53"/>
  <c r="H205" i="53"/>
  <c r="J205" i="53"/>
  <c r="J196" i="53"/>
  <c r="H196" i="53"/>
  <c r="L206" i="53"/>
  <c r="J206" i="53"/>
  <c r="H206" i="53"/>
  <c r="L197" i="53"/>
  <c r="J197" i="53"/>
  <c r="H197" i="53"/>
  <c r="H204" i="53"/>
  <c r="J204" i="53"/>
  <c r="J195" i="53"/>
  <c r="H195" i="53"/>
  <c r="H181" i="53"/>
  <c r="J181" i="53"/>
  <c r="L182" i="53"/>
  <c r="J182" i="53"/>
  <c r="H182" i="53"/>
  <c r="J208" i="53"/>
  <c r="H208" i="53"/>
  <c r="H199" i="53"/>
  <c r="J199" i="53"/>
  <c r="H180" i="53"/>
  <c r="J180" i="53"/>
  <c r="H203" i="53"/>
  <c r="J203" i="53"/>
  <c r="L207" i="53"/>
  <c r="J207" i="53"/>
  <c r="H207" i="53"/>
  <c r="J183" i="53"/>
  <c r="H183" i="53"/>
  <c r="L209" i="53"/>
  <c r="J209" i="53"/>
  <c r="H209" i="53"/>
  <c r="H200" i="53"/>
  <c r="J200" i="53"/>
  <c r="F170" i="53"/>
  <c r="H141" i="53"/>
  <c r="J141" i="53"/>
  <c r="J210" i="53"/>
  <c r="H210" i="53"/>
  <c r="H201" i="53"/>
  <c r="J201" i="53"/>
  <c r="L244" i="53"/>
  <c r="M244" i="53" s="1"/>
  <c r="F243" i="53"/>
  <c r="L256" i="53"/>
  <c r="M256" i="53" s="1"/>
  <c r="F187" i="53"/>
  <c r="L201" i="53"/>
  <c r="F188" i="53"/>
  <c r="F189" i="53"/>
  <c r="F190" i="53"/>
  <c r="F191" i="53"/>
  <c r="L185" i="53"/>
  <c r="M185" i="53" s="1"/>
  <c r="F192" i="53"/>
  <c r="F193" i="53"/>
  <c r="F186" i="53"/>
  <c r="L196" i="53"/>
  <c r="L199" i="53"/>
  <c r="L200" i="53"/>
  <c r="A195" i="53"/>
  <c r="A196" i="53" s="1"/>
  <c r="A197" i="53" s="1"/>
  <c r="L195" i="53"/>
  <c r="L205" i="53"/>
  <c r="L208" i="53"/>
  <c r="L210" i="53"/>
  <c r="L203" i="53"/>
  <c r="L204" i="53"/>
  <c r="L180" i="53"/>
  <c r="L181" i="53"/>
  <c r="L183" i="53"/>
  <c r="M183" i="53" l="1"/>
  <c r="M206" i="53"/>
  <c r="M181" i="53"/>
  <c r="M180" i="53"/>
  <c r="M195" i="53"/>
  <c r="H187" i="53"/>
  <c r="J187" i="53"/>
  <c r="M207" i="53"/>
  <c r="M199" i="53"/>
  <c r="H170" i="53"/>
  <c r="J170" i="53"/>
  <c r="M208" i="53"/>
  <c r="M196" i="53"/>
  <c r="M210" i="53"/>
  <c r="H188" i="53"/>
  <c r="J188" i="53"/>
  <c r="M204" i="53"/>
  <c r="L193" i="53"/>
  <c r="H193" i="53"/>
  <c r="J193" i="53"/>
  <c r="M200" i="53"/>
  <c r="M182" i="53"/>
  <c r="J243" i="53"/>
  <c r="H243" i="53"/>
  <c r="H192" i="53"/>
  <c r="J192" i="53"/>
  <c r="M201" i="53"/>
  <c r="M203" i="53"/>
  <c r="M205" i="53"/>
  <c r="H191" i="53"/>
  <c r="J191" i="53"/>
  <c r="L190" i="53"/>
  <c r="H190" i="53"/>
  <c r="J190" i="53"/>
  <c r="L189" i="53"/>
  <c r="H189" i="53"/>
  <c r="J189" i="53"/>
  <c r="J186" i="53"/>
  <c r="H186" i="53"/>
  <c r="M209" i="53"/>
  <c r="M197" i="53"/>
  <c r="L241" i="53"/>
  <c r="M241" i="53" s="1"/>
  <c r="F242" i="53"/>
  <c r="L243" i="53"/>
  <c r="F255" i="53"/>
  <c r="F259" i="53"/>
  <c r="L253" i="53"/>
  <c r="M253" i="53" s="1"/>
  <c r="F258" i="53"/>
  <c r="F257" i="53"/>
  <c r="F254" i="53"/>
  <c r="L188" i="53"/>
  <c r="L187" i="53"/>
  <c r="L192" i="53"/>
  <c r="L191" i="53"/>
  <c r="L186" i="53"/>
  <c r="M186" i="53" l="1"/>
  <c r="M191" i="53"/>
  <c r="M189" i="53"/>
  <c r="M193" i="53"/>
  <c r="J258" i="53"/>
  <c r="H258" i="53"/>
  <c r="J255" i="53"/>
  <c r="H255" i="53"/>
  <c r="M192" i="53"/>
  <c r="H242" i="53"/>
  <c r="J242" i="53"/>
  <c r="M190" i="53"/>
  <c r="M243" i="53"/>
  <c r="M188" i="53"/>
  <c r="J257" i="53"/>
  <c r="H257" i="53"/>
  <c r="H259" i="53"/>
  <c r="J259" i="53"/>
  <c r="J254" i="53"/>
  <c r="H254" i="53"/>
  <c r="M187" i="53"/>
  <c r="L242" i="53"/>
  <c r="L246" i="53"/>
  <c r="M246" i="53" s="1"/>
  <c r="L245" i="53"/>
  <c r="M245" i="53" s="1"/>
  <c r="L255" i="53"/>
  <c r="L257" i="53"/>
  <c r="L254" i="53"/>
  <c r="L258" i="53"/>
  <c r="L259" i="53"/>
  <c r="M242" i="53" l="1"/>
  <c r="M255" i="53"/>
  <c r="M257" i="53"/>
  <c r="M259" i="53"/>
  <c r="M258" i="53"/>
  <c r="M254" i="53"/>
  <c r="F78" i="53"/>
  <c r="F94" i="53"/>
  <c r="A95" i="53"/>
  <c r="A96" i="53" s="1"/>
  <c r="A97" i="53" s="1"/>
  <c r="A98" i="53" s="1"/>
  <c r="A90" i="53"/>
  <c r="A91" i="53" s="1"/>
  <c r="A92" i="53" s="1"/>
  <c r="A93" i="53" s="1"/>
  <c r="F89" i="53"/>
  <c r="A287" i="53"/>
  <c r="A288" i="53" s="1"/>
  <c r="A289" i="53" s="1"/>
  <c r="A290" i="53" s="1"/>
  <c r="A291" i="53" s="1"/>
  <c r="A281" i="53"/>
  <c r="A282" i="53" s="1"/>
  <c r="A283" i="53" s="1"/>
  <c r="A284" i="53" s="1"/>
  <c r="A285" i="53" s="1"/>
  <c r="E278" i="53"/>
  <c r="E277" i="53"/>
  <c r="A274" i="53"/>
  <c r="A275" i="53" s="1"/>
  <c r="A276" i="53" s="1"/>
  <c r="A277" i="53" s="1"/>
  <c r="A278" i="53" s="1"/>
  <c r="A279" i="53" s="1"/>
  <c r="F273" i="53"/>
  <c r="F272" i="53"/>
  <c r="F271" i="53"/>
  <c r="F270" i="53"/>
  <c r="F269" i="53"/>
  <c r="F268" i="53"/>
  <c r="A268" i="53"/>
  <c r="A269" i="53" s="1"/>
  <c r="A270" i="53" s="1"/>
  <c r="A271" i="53" s="1"/>
  <c r="A272" i="53" s="1"/>
  <c r="L267" i="53"/>
  <c r="M267" i="53" s="1"/>
  <c r="A261" i="53"/>
  <c r="A262" i="53" s="1"/>
  <c r="A263" i="53" s="1"/>
  <c r="A264" i="53" s="1"/>
  <c r="A265" i="53" s="1"/>
  <c r="A266" i="53" s="1"/>
  <c r="A237" i="53"/>
  <c r="A238" i="53" s="1"/>
  <c r="A239" i="53" s="1"/>
  <c r="A240" i="53" s="1"/>
  <c r="F240" i="53"/>
  <c r="F235" i="53"/>
  <c r="F234" i="53"/>
  <c r="F233" i="53"/>
  <c r="A233" i="53"/>
  <c r="A234" i="53" s="1"/>
  <c r="A235" i="53" s="1"/>
  <c r="L232" i="53"/>
  <c r="M232" i="53" s="1"/>
  <c r="L231" i="53"/>
  <c r="M231" i="53" s="1"/>
  <c r="F230" i="53"/>
  <c r="L229" i="53"/>
  <c r="M229" i="53" s="1"/>
  <c r="F228" i="53"/>
  <c r="F227" i="53"/>
  <c r="F226" i="53"/>
  <c r="E225" i="53"/>
  <c r="F225" i="53" s="1"/>
  <c r="A225" i="53"/>
  <c r="A226" i="53" s="1"/>
  <c r="A227" i="53" s="1"/>
  <c r="A228" i="53" s="1"/>
  <c r="A229" i="53" s="1"/>
  <c r="A230" i="53" s="1"/>
  <c r="L224" i="53"/>
  <c r="M224" i="53" s="1"/>
  <c r="F223" i="53"/>
  <c r="F222" i="53"/>
  <c r="F221" i="53"/>
  <c r="E220" i="53"/>
  <c r="F220" i="53" s="1"/>
  <c r="A220" i="53"/>
  <c r="A221" i="53" s="1"/>
  <c r="A222" i="53" s="1"/>
  <c r="A223" i="53" s="1"/>
  <c r="L219" i="53"/>
  <c r="M219" i="53" s="1"/>
  <c r="A212" i="53"/>
  <c r="A213" i="53" s="1"/>
  <c r="A214" i="53" s="1"/>
  <c r="A215" i="53" s="1"/>
  <c r="A216" i="53" s="1"/>
  <c r="A217" i="53" s="1"/>
  <c r="A218" i="53" s="1"/>
  <c r="L184" i="53"/>
  <c r="M184" i="53" s="1"/>
  <c r="L178" i="53"/>
  <c r="M178" i="53" s="1"/>
  <c r="A171" i="53"/>
  <c r="A172" i="53" s="1"/>
  <c r="A173" i="53" s="1"/>
  <c r="A174" i="53" s="1"/>
  <c r="A175" i="53" s="1"/>
  <c r="A146" i="53"/>
  <c r="A147" i="53" s="1"/>
  <c r="A148" i="53" s="1"/>
  <c r="A149" i="53" s="1"/>
  <c r="A150" i="53" s="1"/>
  <c r="A142" i="53"/>
  <c r="A143" i="53" s="1"/>
  <c r="A144" i="53" s="1"/>
  <c r="L140" i="53"/>
  <c r="M140" i="53" s="1"/>
  <c r="A135" i="53"/>
  <c r="A136" i="53" s="1"/>
  <c r="A137" i="53" s="1"/>
  <c r="A138" i="53" s="1"/>
  <c r="A139" i="53" s="1"/>
  <c r="F138" i="53"/>
  <c r="A129" i="53"/>
  <c r="A130" i="53" s="1"/>
  <c r="A131" i="53" s="1"/>
  <c r="A132" i="53" s="1"/>
  <c r="A133" i="53" s="1"/>
  <c r="F131" i="53"/>
  <c r="E127" i="53"/>
  <c r="E126" i="53"/>
  <c r="E125" i="53"/>
  <c r="E124" i="53"/>
  <c r="A124" i="53"/>
  <c r="A125" i="53" s="1"/>
  <c r="A126" i="53" s="1"/>
  <c r="A127" i="53" s="1"/>
  <c r="E121" i="53"/>
  <c r="E120" i="53"/>
  <c r="A116" i="53"/>
  <c r="A117" i="53" s="1"/>
  <c r="A118" i="53" s="1"/>
  <c r="A119" i="53" s="1"/>
  <c r="A120" i="53" s="1"/>
  <c r="A121" i="53" s="1"/>
  <c r="A122" i="53" s="1"/>
  <c r="F118" i="53"/>
  <c r="A112" i="53"/>
  <c r="A113" i="53" s="1"/>
  <c r="A114" i="53" s="1"/>
  <c r="F114" i="53"/>
  <c r="L110" i="53"/>
  <c r="M110" i="53" s="1"/>
  <c r="E108" i="53"/>
  <c r="A105" i="53"/>
  <c r="A106" i="53" s="1"/>
  <c r="A107" i="53" s="1"/>
  <c r="A108" i="53" s="1"/>
  <c r="A109" i="53" s="1"/>
  <c r="A100" i="53"/>
  <c r="A101" i="53" s="1"/>
  <c r="A102" i="53" s="1"/>
  <c r="A103" i="53" s="1"/>
  <c r="L88" i="53"/>
  <c r="M88" i="53" s="1"/>
  <c r="A79" i="53"/>
  <c r="A80" i="53" s="1"/>
  <c r="A81" i="53" s="1"/>
  <c r="A82" i="53" s="1"/>
  <c r="A83" i="53" s="1"/>
  <c r="A84" i="53" s="1"/>
  <c r="A85" i="53" s="1"/>
  <c r="A86" i="53" s="1"/>
  <c r="A87" i="53" s="1"/>
  <c r="F77" i="53"/>
  <c r="E76" i="53"/>
  <c r="F76" i="53" s="1"/>
  <c r="F75" i="53"/>
  <c r="F74" i="53"/>
  <c r="F73" i="53"/>
  <c r="A73" i="53"/>
  <c r="A74" i="53" s="1"/>
  <c r="A75" i="53" s="1"/>
  <c r="A76" i="53" s="1"/>
  <c r="A77" i="53" s="1"/>
  <c r="L72" i="53"/>
  <c r="M72" i="53" s="1"/>
  <c r="L71" i="53"/>
  <c r="M71" i="53" s="1"/>
  <c r="F60" i="53"/>
  <c r="F59" i="53"/>
  <c r="F58" i="53"/>
  <c r="F57" i="53"/>
  <c r="F56" i="53"/>
  <c r="L55" i="53"/>
  <c r="M55" i="53" s="1"/>
  <c r="L54" i="53"/>
  <c r="M54" i="53" s="1"/>
  <c r="F53" i="53"/>
  <c r="F52" i="53"/>
  <c r="F51" i="53"/>
  <c r="A51" i="53"/>
  <c r="A52" i="53" s="1"/>
  <c r="A53" i="53" s="1"/>
  <c r="A54" i="53" s="1"/>
  <c r="A55" i="53" s="1"/>
  <c r="A56" i="53" s="1"/>
  <c r="A57" i="53" s="1"/>
  <c r="A58" i="53" s="1"/>
  <c r="A59" i="53" s="1"/>
  <c r="A60" i="53" s="1"/>
  <c r="L50" i="53"/>
  <c r="M50" i="53" s="1"/>
  <c r="F49" i="53"/>
  <c r="F48" i="53"/>
  <c r="F47" i="53"/>
  <c r="F46" i="53"/>
  <c r="F45" i="53"/>
  <c r="L44" i="53"/>
  <c r="M44" i="53" s="1"/>
  <c r="L43" i="53"/>
  <c r="M43" i="53" s="1"/>
  <c r="F42" i="53"/>
  <c r="F41" i="53"/>
  <c r="F40" i="53"/>
  <c r="A40" i="53"/>
  <c r="A41" i="53" s="1"/>
  <c r="A42" i="53" s="1"/>
  <c r="A43" i="53" s="1"/>
  <c r="A44" i="53" s="1"/>
  <c r="A45" i="53" s="1"/>
  <c r="A46" i="53" s="1"/>
  <c r="A47" i="53" s="1"/>
  <c r="A48" i="53" s="1"/>
  <c r="A49" i="53" s="1"/>
  <c r="L39" i="53"/>
  <c r="M39" i="53" s="1"/>
  <c r="F38" i="53"/>
  <c r="F36" i="53"/>
  <c r="F35" i="53"/>
  <c r="F34" i="53"/>
  <c r="F33" i="53"/>
  <c r="F32" i="53"/>
  <c r="F31" i="53"/>
  <c r="F30" i="53"/>
  <c r="A30" i="53"/>
  <c r="A31" i="53" s="1"/>
  <c r="A32" i="53" s="1"/>
  <c r="A33" i="53" s="1"/>
  <c r="A34" i="53" s="1"/>
  <c r="A35" i="53" s="1"/>
  <c r="A36" i="53" s="1"/>
  <c r="A37" i="53" s="1"/>
  <c r="A38" i="53" s="1"/>
  <c r="L29" i="53"/>
  <c r="M29" i="53" s="1"/>
  <c r="F28" i="53"/>
  <c r="F27" i="53"/>
  <c r="F26" i="53"/>
  <c r="F23" i="53"/>
  <c r="F22" i="53"/>
  <c r="F21" i="53"/>
  <c r="A21" i="53"/>
  <c r="A22" i="53" s="1"/>
  <c r="A23" i="53" s="1"/>
  <c r="A24" i="53" s="1"/>
  <c r="L20" i="53"/>
  <c r="M20" i="53" s="1"/>
  <c r="F19" i="53"/>
  <c r="F18" i="53"/>
  <c r="F17" i="53"/>
  <c r="A17" i="53"/>
  <c r="A18" i="53" s="1"/>
  <c r="A19" i="53" s="1"/>
  <c r="L16" i="53"/>
  <c r="M16" i="53" s="1"/>
  <c r="L15" i="53"/>
  <c r="M15" i="53" s="1"/>
  <c r="A14" i="53"/>
  <c r="A12" i="53"/>
  <c r="F12" i="53"/>
  <c r="F10" i="53"/>
  <c r="A10" i="53"/>
  <c r="L9" i="53"/>
  <c r="J9" i="53"/>
  <c r="F9" i="52"/>
  <c r="H10" i="53" l="1"/>
  <c r="J273" i="53"/>
  <c r="H273" i="53"/>
  <c r="J94" i="53"/>
  <c r="H94" i="53"/>
  <c r="F82" i="53"/>
  <c r="H78" i="53"/>
  <c r="J78" i="53"/>
  <c r="F90" i="53"/>
  <c r="J89" i="53"/>
  <c r="H89" i="53"/>
  <c r="J56" i="53"/>
  <c r="H56" i="53"/>
  <c r="L77" i="53"/>
  <c r="H77" i="53"/>
  <c r="J77" i="53"/>
  <c r="L222" i="53"/>
  <c r="J222" i="53"/>
  <c r="H222" i="53"/>
  <c r="J270" i="53"/>
  <c r="H270" i="53"/>
  <c r="J45" i="53"/>
  <c r="H45" i="53"/>
  <c r="J57" i="53"/>
  <c r="H57" i="53"/>
  <c r="J47" i="53"/>
  <c r="H47" i="53"/>
  <c r="J58" i="53"/>
  <c r="H58" i="53"/>
  <c r="J234" i="53"/>
  <c r="H234" i="53"/>
  <c r="H272" i="53"/>
  <c r="J272" i="53"/>
  <c r="L271" i="53"/>
  <c r="H271" i="53"/>
  <c r="J271" i="53"/>
  <c r="L23" i="53"/>
  <c r="J23" i="53"/>
  <c r="H23" i="53"/>
  <c r="L59" i="53"/>
  <c r="J59" i="53"/>
  <c r="H59" i="53"/>
  <c r="H235" i="53"/>
  <c r="J235" i="53"/>
  <c r="J34" i="53"/>
  <c r="H34" i="53"/>
  <c r="L36" i="53"/>
  <c r="H36" i="53"/>
  <c r="J36" i="53"/>
  <c r="L26" i="53"/>
  <c r="H26" i="53"/>
  <c r="J26" i="53"/>
  <c r="H38" i="53"/>
  <c r="J38" i="53"/>
  <c r="L49" i="53"/>
  <c r="H49" i="53"/>
  <c r="J49" i="53"/>
  <c r="L60" i="53"/>
  <c r="H60" i="53"/>
  <c r="J60" i="53"/>
  <c r="H225" i="53"/>
  <c r="J225" i="53"/>
  <c r="H240" i="53"/>
  <c r="J240" i="53"/>
  <c r="J32" i="53"/>
  <c r="H32" i="53"/>
  <c r="L221" i="53"/>
  <c r="J221" i="53"/>
  <c r="H221" i="53"/>
  <c r="L21" i="53"/>
  <c r="J21" i="53"/>
  <c r="H21" i="53"/>
  <c r="H223" i="53"/>
  <c r="J223" i="53"/>
  <c r="J35" i="53"/>
  <c r="H35" i="53"/>
  <c r="H48" i="53"/>
  <c r="J48" i="53"/>
  <c r="H27" i="53"/>
  <c r="J27" i="53"/>
  <c r="L226" i="53"/>
  <c r="H226" i="53"/>
  <c r="J226" i="53"/>
  <c r="L46" i="53"/>
  <c r="J46" i="53"/>
  <c r="H46" i="53"/>
  <c r="H227" i="53"/>
  <c r="J227" i="53"/>
  <c r="H40" i="53"/>
  <c r="J40" i="53"/>
  <c r="L51" i="53"/>
  <c r="H51" i="53"/>
  <c r="J51" i="53"/>
  <c r="L228" i="53"/>
  <c r="H228" i="53"/>
  <c r="J228" i="53"/>
  <c r="H76" i="53"/>
  <c r="J76" i="53"/>
  <c r="L33" i="53"/>
  <c r="J33" i="53"/>
  <c r="H33" i="53"/>
  <c r="H17" i="53"/>
  <c r="J17" i="53"/>
  <c r="H41" i="53"/>
  <c r="J41" i="53"/>
  <c r="H52" i="53"/>
  <c r="J52" i="53"/>
  <c r="L73" i="53"/>
  <c r="H73" i="53"/>
  <c r="J73" i="53"/>
  <c r="J114" i="53"/>
  <c r="H114" i="53"/>
  <c r="H131" i="53"/>
  <c r="J131" i="53"/>
  <c r="J269" i="53"/>
  <c r="H269" i="53"/>
  <c r="L22" i="53"/>
  <c r="J22" i="53"/>
  <c r="H22" i="53"/>
  <c r="L30" i="53"/>
  <c r="H30" i="53"/>
  <c r="J30" i="53"/>
  <c r="H42" i="53"/>
  <c r="J42" i="53"/>
  <c r="H53" i="53"/>
  <c r="J53" i="53"/>
  <c r="L74" i="53"/>
  <c r="H74" i="53"/>
  <c r="J74" i="53"/>
  <c r="H230" i="53"/>
  <c r="J230" i="53"/>
  <c r="L12" i="53"/>
  <c r="H12" i="53"/>
  <c r="J12" i="53"/>
  <c r="L233" i="53"/>
  <c r="J233" i="53"/>
  <c r="H233" i="53"/>
  <c r="L28" i="53"/>
  <c r="H28" i="53"/>
  <c r="J28" i="53"/>
  <c r="H18" i="53"/>
  <c r="J18" i="53"/>
  <c r="L19" i="53"/>
  <c r="J19" i="53"/>
  <c r="H19" i="53"/>
  <c r="H31" i="53"/>
  <c r="J31" i="53"/>
  <c r="H75" i="53"/>
  <c r="J75" i="53"/>
  <c r="H118" i="53"/>
  <c r="J118" i="53"/>
  <c r="J138" i="53"/>
  <c r="H138" i="53"/>
  <c r="H220" i="53"/>
  <c r="J220" i="53"/>
  <c r="J268" i="53"/>
  <c r="H268" i="53"/>
  <c r="A26" i="53"/>
  <c r="A27" i="53" s="1"/>
  <c r="A28" i="53" s="1"/>
  <c r="A25" i="53"/>
  <c r="L94" i="53"/>
  <c r="M94" i="53" s="1"/>
  <c r="F95" i="53"/>
  <c r="F96" i="53"/>
  <c r="F97" i="53"/>
  <c r="F98" i="53"/>
  <c r="F92" i="53"/>
  <c r="L89" i="53"/>
  <c r="L90" i="53"/>
  <c r="F91" i="53"/>
  <c r="F93" i="53"/>
  <c r="F84" i="53"/>
  <c r="F133" i="53"/>
  <c r="F132" i="53"/>
  <c r="L47" i="53"/>
  <c r="F274" i="53"/>
  <c r="F277" i="53"/>
  <c r="F81" i="53"/>
  <c r="L268" i="53"/>
  <c r="L269" i="53"/>
  <c r="L40" i="53"/>
  <c r="F139" i="53"/>
  <c r="L38" i="53"/>
  <c r="F237" i="53"/>
  <c r="L56" i="53"/>
  <c r="F238" i="53"/>
  <c r="F239" i="53"/>
  <c r="M9" i="53"/>
  <c r="L35" i="53"/>
  <c r="L13" i="53"/>
  <c r="M13" i="53" s="1"/>
  <c r="L53" i="53"/>
  <c r="L75" i="53"/>
  <c r="F120" i="53"/>
  <c r="L24" i="53"/>
  <c r="M24" i="53" s="1"/>
  <c r="L227" i="53"/>
  <c r="F121" i="53"/>
  <c r="L220" i="53"/>
  <c r="F14" i="53"/>
  <c r="F122" i="53"/>
  <c r="L48" i="53"/>
  <c r="L111" i="53"/>
  <c r="M111" i="53" s="1"/>
  <c r="F130" i="53"/>
  <c r="L270" i="53"/>
  <c r="F112" i="53"/>
  <c r="F117" i="53"/>
  <c r="F113" i="53"/>
  <c r="L31" i="53"/>
  <c r="L235" i="53"/>
  <c r="L52" i="53"/>
  <c r="L131" i="53"/>
  <c r="L225" i="53"/>
  <c r="L76" i="53"/>
  <c r="J10" i="53"/>
  <c r="F127" i="53"/>
  <c r="F125" i="53"/>
  <c r="L123" i="53"/>
  <c r="M123" i="53" s="1"/>
  <c r="L138" i="53"/>
  <c r="L18" i="53"/>
  <c r="F124" i="53"/>
  <c r="L27" i="53"/>
  <c r="L10" i="53"/>
  <c r="L42" i="53"/>
  <c r="L45" i="53"/>
  <c r="L58" i="53"/>
  <c r="L17" i="53"/>
  <c r="L11" i="53"/>
  <c r="M11" i="53" s="1"/>
  <c r="L34" i="53"/>
  <c r="L114" i="53"/>
  <c r="L118" i="53"/>
  <c r="F126" i="53"/>
  <c r="F144" i="53"/>
  <c r="F142" i="53"/>
  <c r="L141" i="53"/>
  <c r="M141" i="53" s="1"/>
  <c r="F143" i="53"/>
  <c r="L32" i="53"/>
  <c r="F79" i="53"/>
  <c r="F86" i="53"/>
  <c r="F135" i="53"/>
  <c r="L234" i="53"/>
  <c r="F149" i="53"/>
  <c r="F214" i="53"/>
  <c r="F212" i="53"/>
  <c r="F217" i="53"/>
  <c r="F215" i="53"/>
  <c r="L211" i="53"/>
  <c r="M211" i="53" s="1"/>
  <c r="F213" i="53"/>
  <c r="F218" i="53"/>
  <c r="F137" i="53"/>
  <c r="F216" i="53"/>
  <c r="F83" i="53"/>
  <c r="L115" i="53"/>
  <c r="M115" i="53" s="1"/>
  <c r="L128" i="53"/>
  <c r="M128" i="53" s="1"/>
  <c r="F147" i="53"/>
  <c r="L223" i="53"/>
  <c r="L145" i="53"/>
  <c r="M145" i="53" s="1"/>
  <c r="L272" i="53"/>
  <c r="F85" i="53"/>
  <c r="L41" i="53"/>
  <c r="L57" i="53"/>
  <c r="F80" i="53"/>
  <c r="F150" i="53"/>
  <c r="L230" i="53"/>
  <c r="F280" i="53"/>
  <c r="F278" i="53"/>
  <c r="L273" i="53"/>
  <c r="M273" i="53" s="1"/>
  <c r="F275" i="53"/>
  <c r="F279" i="53"/>
  <c r="F276" i="53"/>
  <c r="L78" i="53"/>
  <c r="M78" i="53" s="1"/>
  <c r="F87" i="53"/>
  <c r="F116" i="53"/>
  <c r="F129" i="53"/>
  <c r="F136" i="53"/>
  <c r="L134" i="53"/>
  <c r="M134" i="53" s="1"/>
  <c r="F148" i="53"/>
  <c r="L240" i="53"/>
  <c r="F146" i="53"/>
  <c r="F260" i="53"/>
  <c r="L236" i="53"/>
  <c r="M236" i="53" s="1"/>
  <c r="L15" i="48"/>
  <c r="L16" i="48"/>
  <c r="L20" i="48"/>
  <c r="L28" i="48"/>
  <c r="L38" i="48"/>
  <c r="L42" i="48"/>
  <c r="L43" i="48"/>
  <c r="L49" i="48"/>
  <c r="L60" i="48"/>
  <c r="L61" i="48"/>
  <c r="L77" i="48"/>
  <c r="L99" i="48"/>
  <c r="L142" i="48"/>
  <c r="L159" i="48"/>
  <c r="L166" i="48"/>
  <c r="L189" i="48"/>
  <c r="L190" i="48"/>
  <c r="L206" i="48"/>
  <c r="J15" i="48"/>
  <c r="J16" i="48"/>
  <c r="J20" i="48"/>
  <c r="J28" i="48"/>
  <c r="J38" i="48"/>
  <c r="J42" i="48"/>
  <c r="J43" i="48"/>
  <c r="J49" i="48"/>
  <c r="J60" i="48"/>
  <c r="J61" i="48"/>
  <c r="J77" i="48"/>
  <c r="J99" i="48"/>
  <c r="J142" i="48"/>
  <c r="J159" i="48"/>
  <c r="J166" i="48"/>
  <c r="J189" i="48"/>
  <c r="J190" i="48"/>
  <c r="J206" i="48"/>
  <c r="H15" i="48"/>
  <c r="H16" i="48"/>
  <c r="H20" i="48"/>
  <c r="H28" i="48"/>
  <c r="H38" i="48"/>
  <c r="H42" i="48"/>
  <c r="H43" i="48"/>
  <c r="H49" i="48"/>
  <c r="H60" i="48"/>
  <c r="H61" i="48"/>
  <c r="H77" i="48"/>
  <c r="H99" i="48"/>
  <c r="H142" i="48"/>
  <c r="H159" i="48"/>
  <c r="H166" i="48"/>
  <c r="H189" i="48"/>
  <c r="H190" i="48"/>
  <c r="H206" i="48"/>
  <c r="M89" i="53" l="1"/>
  <c r="H82" i="53"/>
  <c r="J82" i="53"/>
  <c r="J90" i="53"/>
  <c r="H90" i="53"/>
  <c r="M59" i="53"/>
  <c r="M222" i="53"/>
  <c r="M235" i="53"/>
  <c r="M131" i="53"/>
  <c r="M53" i="53"/>
  <c r="M46" i="53"/>
  <c r="M48" i="53"/>
  <c r="M221" i="53"/>
  <c r="M26" i="53"/>
  <c r="M76" i="53"/>
  <c r="M30" i="53"/>
  <c r="M233" i="53"/>
  <c r="M223" i="53"/>
  <c r="M49" i="53"/>
  <c r="M23" i="53"/>
  <c r="M21" i="53"/>
  <c r="M33" i="53"/>
  <c r="M18" i="53"/>
  <c r="M12" i="53"/>
  <c r="H142" i="53"/>
  <c r="J142" i="53"/>
  <c r="H132" i="53"/>
  <c r="J132" i="53"/>
  <c r="J279" i="53"/>
  <c r="H279" i="53"/>
  <c r="H217" i="53"/>
  <c r="J217" i="53"/>
  <c r="H144" i="53"/>
  <c r="J144" i="53"/>
  <c r="J124" i="53"/>
  <c r="H124" i="53"/>
  <c r="L133" i="53"/>
  <c r="H133" i="53"/>
  <c r="J133" i="53"/>
  <c r="M220" i="53"/>
  <c r="M74" i="53"/>
  <c r="M35" i="53"/>
  <c r="M60" i="53"/>
  <c r="M90" i="53"/>
  <c r="M47" i="53"/>
  <c r="H14" i="53"/>
  <c r="J14" i="53"/>
  <c r="M31" i="53"/>
  <c r="J126" i="53"/>
  <c r="H126" i="53"/>
  <c r="H121" i="53"/>
  <c r="J121" i="53"/>
  <c r="L84" i="53"/>
  <c r="H84" i="53"/>
  <c r="J84" i="53"/>
  <c r="M19" i="53"/>
  <c r="M114" i="53"/>
  <c r="M228" i="53"/>
  <c r="M32" i="53"/>
  <c r="M41" i="53"/>
  <c r="H275" i="53"/>
  <c r="J275" i="53"/>
  <c r="H146" i="53"/>
  <c r="J146" i="53"/>
  <c r="J147" i="53"/>
  <c r="H147" i="53"/>
  <c r="H214" i="53"/>
  <c r="J214" i="53"/>
  <c r="J93" i="53"/>
  <c r="H93" i="53"/>
  <c r="M138" i="53"/>
  <c r="M17" i="53"/>
  <c r="M226" i="53"/>
  <c r="M57" i="53"/>
  <c r="H85" i="53"/>
  <c r="J85" i="53"/>
  <c r="H215" i="53"/>
  <c r="J215" i="53"/>
  <c r="H260" i="53"/>
  <c r="J260" i="53"/>
  <c r="H212" i="53"/>
  <c r="J212" i="53"/>
  <c r="H237" i="53"/>
  <c r="J237" i="53"/>
  <c r="H278" i="53"/>
  <c r="J278" i="53"/>
  <c r="J149" i="53"/>
  <c r="H149" i="53"/>
  <c r="J113" i="53"/>
  <c r="H113" i="53"/>
  <c r="H139" i="53"/>
  <c r="J139" i="53"/>
  <c r="H91" i="53"/>
  <c r="J91" i="53"/>
  <c r="M22" i="53"/>
  <c r="M227" i="53"/>
  <c r="M36" i="53"/>
  <c r="H120" i="53"/>
  <c r="J120" i="53"/>
  <c r="M272" i="53"/>
  <c r="M77" i="53"/>
  <c r="H117" i="53"/>
  <c r="J117" i="53"/>
  <c r="J83" i="53"/>
  <c r="H83" i="53"/>
  <c r="J135" i="53"/>
  <c r="H135" i="53"/>
  <c r="J112" i="53"/>
  <c r="H112" i="53"/>
  <c r="M118" i="53"/>
  <c r="M73" i="53"/>
  <c r="M51" i="53"/>
  <c r="M240" i="53"/>
  <c r="M45" i="53"/>
  <c r="L95" i="53"/>
  <c r="J95" i="53"/>
  <c r="H95" i="53"/>
  <c r="H238" i="53"/>
  <c r="J238" i="53"/>
  <c r="M234" i="53"/>
  <c r="H122" i="53"/>
  <c r="J122" i="53"/>
  <c r="J280" i="53"/>
  <c r="H280" i="53"/>
  <c r="J150" i="53"/>
  <c r="H150" i="53"/>
  <c r="J92" i="53"/>
  <c r="H92" i="53"/>
  <c r="M27" i="53"/>
  <c r="M34" i="53"/>
  <c r="H129" i="53"/>
  <c r="J129" i="53"/>
  <c r="J80" i="53"/>
  <c r="H80" i="53"/>
  <c r="J137" i="53"/>
  <c r="H137" i="53"/>
  <c r="J79" i="53"/>
  <c r="H79" i="53"/>
  <c r="H127" i="53"/>
  <c r="J127" i="53"/>
  <c r="H130" i="53"/>
  <c r="J130" i="53"/>
  <c r="J81" i="53"/>
  <c r="H81" i="53"/>
  <c r="H98" i="53"/>
  <c r="J98" i="53"/>
  <c r="M268" i="53"/>
  <c r="M42" i="53"/>
  <c r="M269" i="53"/>
  <c r="M38" i="53"/>
  <c r="M56" i="53"/>
  <c r="H239" i="53"/>
  <c r="J239" i="53"/>
  <c r="H216" i="53"/>
  <c r="J216" i="53"/>
  <c r="J125" i="53"/>
  <c r="H125" i="53"/>
  <c r="H116" i="53"/>
  <c r="J116" i="53"/>
  <c r="H218" i="53"/>
  <c r="J218" i="53"/>
  <c r="H277" i="53"/>
  <c r="J277" i="53"/>
  <c r="L97" i="53"/>
  <c r="H97" i="53"/>
  <c r="J97" i="53"/>
  <c r="M75" i="53"/>
  <c r="M52" i="53"/>
  <c r="M225" i="53"/>
  <c r="M270" i="53"/>
  <c r="H276" i="53"/>
  <c r="J276" i="53"/>
  <c r="J148" i="53"/>
  <c r="H148" i="53"/>
  <c r="J136" i="53"/>
  <c r="H136" i="53"/>
  <c r="H86" i="53"/>
  <c r="J86" i="53"/>
  <c r="H87" i="53"/>
  <c r="J87" i="53"/>
  <c r="H213" i="53"/>
  <c r="J213" i="53"/>
  <c r="H143" i="53"/>
  <c r="J143" i="53"/>
  <c r="H274" i="53"/>
  <c r="J274" i="53"/>
  <c r="H96" i="53"/>
  <c r="J96" i="53"/>
  <c r="M28" i="53"/>
  <c r="M230" i="53"/>
  <c r="M40" i="53"/>
  <c r="M271" i="53"/>
  <c r="M58" i="53"/>
  <c r="H148" i="44"/>
  <c r="L176" i="53"/>
  <c r="M176" i="53" s="1"/>
  <c r="L96" i="53"/>
  <c r="L92" i="53"/>
  <c r="L98" i="53"/>
  <c r="L93" i="53"/>
  <c r="L91" i="53"/>
  <c r="L277" i="53"/>
  <c r="L132" i="53"/>
  <c r="L239" i="53"/>
  <c r="L139" i="53"/>
  <c r="L274" i="53"/>
  <c r="L238" i="53"/>
  <c r="L119" i="53"/>
  <c r="M119" i="53" s="1"/>
  <c r="L81" i="53"/>
  <c r="L122" i="53"/>
  <c r="L112" i="53"/>
  <c r="L237" i="53"/>
  <c r="M43" i="48"/>
  <c r="L120" i="53"/>
  <c r="L121" i="53"/>
  <c r="M10" i="53"/>
  <c r="L117" i="53"/>
  <c r="M190" i="48"/>
  <c r="L113" i="53"/>
  <c r="M28" i="48"/>
  <c r="M159" i="48"/>
  <c r="L130" i="53"/>
  <c r="L14" i="53"/>
  <c r="L212" i="53"/>
  <c r="L125" i="53"/>
  <c r="L79" i="53"/>
  <c r="L216" i="53"/>
  <c r="L214" i="53"/>
  <c r="M38" i="48"/>
  <c r="L129" i="53"/>
  <c r="L135" i="53"/>
  <c r="L127" i="53"/>
  <c r="F261" i="53"/>
  <c r="F266" i="53"/>
  <c r="L260" i="53"/>
  <c r="F262" i="53"/>
  <c r="F264" i="53"/>
  <c r="F263" i="53"/>
  <c r="F265" i="53"/>
  <c r="L276" i="53"/>
  <c r="L83" i="53"/>
  <c r="L149" i="53"/>
  <c r="L143" i="53"/>
  <c r="L37" i="53"/>
  <c r="M20" i="48"/>
  <c r="L279" i="53"/>
  <c r="L80" i="53"/>
  <c r="F175" i="53"/>
  <c r="F172" i="53"/>
  <c r="F174" i="53"/>
  <c r="F171" i="53"/>
  <c r="F173" i="53"/>
  <c r="L170" i="53"/>
  <c r="M170" i="53" s="1"/>
  <c r="F102" i="53"/>
  <c r="F100" i="53"/>
  <c r="F103" i="53"/>
  <c r="L99" i="53"/>
  <c r="M99" i="53" s="1"/>
  <c r="F101" i="53"/>
  <c r="L148" i="53"/>
  <c r="L116" i="53"/>
  <c r="L86" i="53"/>
  <c r="L150" i="53"/>
  <c r="L218" i="53"/>
  <c r="L142" i="53"/>
  <c r="L146" i="53"/>
  <c r="L275" i="53"/>
  <c r="L85" i="53"/>
  <c r="L147" i="53"/>
  <c r="L144" i="53"/>
  <c r="L217" i="53"/>
  <c r="L137" i="53"/>
  <c r="L213" i="53"/>
  <c r="L126" i="53"/>
  <c r="L87" i="53"/>
  <c r="L278" i="53"/>
  <c r="L136" i="53"/>
  <c r="L82" i="53"/>
  <c r="M82" i="53" s="1"/>
  <c r="F285" i="53"/>
  <c r="F283" i="53"/>
  <c r="F281" i="53"/>
  <c r="F286" i="53"/>
  <c r="F284" i="53"/>
  <c r="F282" i="53"/>
  <c r="L280" i="53"/>
  <c r="L215" i="53"/>
  <c r="L124" i="53"/>
  <c r="M77" i="48"/>
  <c r="M16" i="48"/>
  <c r="M142" i="48"/>
  <c r="M49" i="48"/>
  <c r="M206" i="48"/>
  <c r="M166" i="48"/>
  <c r="M99" i="48"/>
  <c r="M61" i="48"/>
  <c r="M60" i="48"/>
  <c r="M15" i="48"/>
  <c r="M42" i="48"/>
  <c r="M189" i="48"/>
  <c r="F171" i="44"/>
  <c r="F170" i="44"/>
  <c r="F169" i="44"/>
  <c r="F168" i="44"/>
  <c r="F167" i="44"/>
  <c r="A167" i="44"/>
  <c r="A168" i="44" s="1"/>
  <c r="A169" i="44" s="1"/>
  <c r="A170" i="44" s="1"/>
  <c r="A171" i="44" s="1"/>
  <c r="A160" i="44"/>
  <c r="A161" i="44" s="1"/>
  <c r="A162" i="44" s="1"/>
  <c r="A163" i="44" s="1"/>
  <c r="A164" i="44" s="1"/>
  <c r="A165" i="44" s="1"/>
  <c r="A157" i="44"/>
  <c r="A158" i="44" s="1"/>
  <c r="E155" i="44"/>
  <c r="F155" i="44" s="1"/>
  <c r="E154" i="44"/>
  <c r="F154" i="44" s="1"/>
  <c r="A154" i="44"/>
  <c r="A155" i="44" s="1"/>
  <c r="L11" i="46"/>
  <c r="L12" i="46"/>
  <c r="L13" i="46"/>
  <c r="L16" i="46"/>
  <c r="L17" i="46"/>
  <c r="L20" i="46"/>
  <c r="L21" i="46"/>
  <c r="L25" i="46"/>
  <c r="L26" i="46"/>
  <c r="L30" i="46"/>
  <c r="L34" i="46"/>
  <c r="J11" i="46"/>
  <c r="J12" i="46"/>
  <c r="J13" i="46"/>
  <c r="J16" i="46"/>
  <c r="J17" i="46"/>
  <c r="J20" i="46"/>
  <c r="J21" i="46"/>
  <c r="J25" i="46"/>
  <c r="J26" i="46"/>
  <c r="J30" i="46"/>
  <c r="J34" i="46"/>
  <c r="H11" i="46"/>
  <c r="H12" i="46"/>
  <c r="H13" i="46"/>
  <c r="H16" i="46"/>
  <c r="H17" i="46"/>
  <c r="H20" i="46"/>
  <c r="H21" i="46"/>
  <c r="H25" i="46"/>
  <c r="H26" i="46"/>
  <c r="H30" i="46"/>
  <c r="H34" i="46"/>
  <c r="L8" i="51"/>
  <c r="L30" i="51"/>
  <c r="L36" i="51"/>
  <c r="L39" i="51"/>
  <c r="L74" i="51"/>
  <c r="L75" i="51"/>
  <c r="L82" i="51"/>
  <c r="L85" i="51"/>
  <c r="L90" i="51"/>
  <c r="L99" i="51"/>
  <c r="L104" i="51"/>
  <c r="L109" i="51"/>
  <c r="L114" i="51"/>
  <c r="L117" i="51"/>
  <c r="L120" i="51"/>
  <c r="L123" i="51"/>
  <c r="L138" i="51"/>
  <c r="L141" i="51"/>
  <c r="L145" i="51"/>
  <c r="L147" i="51"/>
  <c r="L154" i="51"/>
  <c r="L155" i="51"/>
  <c r="L156" i="51"/>
  <c r="J8" i="51"/>
  <c r="J30" i="51"/>
  <c r="J36" i="51"/>
  <c r="J39" i="51"/>
  <c r="J74" i="51"/>
  <c r="J75" i="51"/>
  <c r="J82" i="51"/>
  <c r="J85" i="51"/>
  <c r="J90" i="51"/>
  <c r="J99" i="51"/>
  <c r="J104" i="51"/>
  <c r="J109" i="51"/>
  <c r="J114" i="51"/>
  <c r="J117" i="51"/>
  <c r="J120" i="51"/>
  <c r="J123" i="51"/>
  <c r="J138" i="51"/>
  <c r="J141" i="51"/>
  <c r="J145" i="51"/>
  <c r="J147" i="51"/>
  <c r="J154" i="51"/>
  <c r="J155" i="51"/>
  <c r="J156" i="51"/>
  <c r="H8" i="51"/>
  <c r="H30" i="51"/>
  <c r="H36" i="51"/>
  <c r="H39" i="51"/>
  <c r="H74" i="51"/>
  <c r="H75" i="51"/>
  <c r="H82" i="51"/>
  <c r="H85" i="51"/>
  <c r="H90" i="51"/>
  <c r="H99" i="51"/>
  <c r="H104" i="51"/>
  <c r="H109" i="51"/>
  <c r="H114" i="51"/>
  <c r="H117" i="51"/>
  <c r="H120" i="51"/>
  <c r="H123" i="51"/>
  <c r="H138" i="51"/>
  <c r="H141" i="51"/>
  <c r="H145" i="51"/>
  <c r="H147" i="51"/>
  <c r="H154" i="51"/>
  <c r="H155" i="51"/>
  <c r="H156" i="51"/>
  <c r="F9" i="49"/>
  <c r="A65" i="41"/>
  <c r="F134" i="44"/>
  <c r="F133" i="44"/>
  <c r="A133" i="44"/>
  <c r="A134" i="44" s="1"/>
  <c r="F204" i="36"/>
  <c r="F203" i="36"/>
  <c r="F202" i="36"/>
  <c r="F197" i="36"/>
  <c r="A225" i="36"/>
  <c r="A229" i="36" s="1"/>
  <c r="A230" i="36" s="1"/>
  <c r="A231" i="36" s="1"/>
  <c r="A232" i="36" s="1"/>
  <c r="A233" i="36" s="1"/>
  <c r="A234" i="36" s="1"/>
  <c r="A213" i="36"/>
  <c r="A214" i="36" s="1"/>
  <c r="A215" i="36" s="1"/>
  <c r="A216" i="36" s="1"/>
  <c r="A217" i="36" s="1"/>
  <c r="A218" i="36" s="1"/>
  <c r="A198" i="36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E195" i="36"/>
  <c r="A193" i="36"/>
  <c r="A194" i="36" s="1"/>
  <c r="A195" i="36" s="1"/>
  <c r="A196" i="36" s="1"/>
  <c r="A191" i="36"/>
  <c r="A189" i="36"/>
  <c r="A185" i="36"/>
  <c r="A186" i="36" s="1"/>
  <c r="A187" i="36" s="1"/>
  <c r="F158" i="36"/>
  <c r="F157" i="36"/>
  <c r="F156" i="36"/>
  <c r="A173" i="36"/>
  <c r="A174" i="36" s="1"/>
  <c r="A175" i="36" s="1"/>
  <c r="A176" i="36" s="1"/>
  <c r="A167" i="36"/>
  <c r="A168" i="36" s="1"/>
  <c r="A169" i="36" s="1"/>
  <c r="A170" i="36" s="1"/>
  <c r="A171" i="36" s="1"/>
  <c r="A172" i="36" s="1"/>
  <c r="F166" i="36"/>
  <c r="F164" i="36"/>
  <c r="F163" i="36"/>
  <c r="F162" i="36"/>
  <c r="F161" i="36"/>
  <c r="F160" i="36"/>
  <c r="F159" i="36"/>
  <c r="F155" i="36"/>
  <c r="F154" i="36"/>
  <c r="F153" i="36"/>
  <c r="F152" i="36"/>
  <c r="A152" i="36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E149" i="36"/>
  <c r="A147" i="36"/>
  <c r="A148" i="36" s="1"/>
  <c r="A149" i="36" s="1"/>
  <c r="A150" i="36" s="1"/>
  <c r="F146" i="36"/>
  <c r="A145" i="36"/>
  <c r="A143" i="36"/>
  <c r="A139" i="36"/>
  <c r="A140" i="36" s="1"/>
  <c r="A141" i="36" s="1"/>
  <c r="F138" i="36"/>
  <c r="A127" i="36"/>
  <c r="F124" i="36"/>
  <c r="F112" i="36"/>
  <c r="F111" i="36"/>
  <c r="A121" i="36"/>
  <c r="A122" i="36" s="1"/>
  <c r="A123" i="36" s="1"/>
  <c r="A124" i="36" s="1"/>
  <c r="A125" i="36" s="1"/>
  <c r="A126" i="36" s="1"/>
  <c r="F118" i="36"/>
  <c r="F117" i="36"/>
  <c r="F116" i="36"/>
  <c r="F115" i="36"/>
  <c r="F114" i="36"/>
  <c r="F113" i="36"/>
  <c r="F108" i="36"/>
  <c r="F106" i="36"/>
  <c r="A106" i="36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F109" i="36"/>
  <c r="E103" i="36"/>
  <c r="A101" i="36"/>
  <c r="A102" i="36" s="1"/>
  <c r="A103" i="36" s="1"/>
  <c r="A104" i="36" s="1"/>
  <c r="F100" i="36"/>
  <c r="A99" i="36"/>
  <c r="A97" i="36"/>
  <c r="A93" i="36"/>
  <c r="A94" i="36" s="1"/>
  <c r="A95" i="36" s="1"/>
  <c r="F92" i="36"/>
  <c r="A78" i="36"/>
  <c r="A79" i="36" s="1"/>
  <c r="A80" i="36" s="1"/>
  <c r="A81" i="36" s="1"/>
  <c r="A82" i="36" s="1"/>
  <c r="A83" i="36" s="1"/>
  <c r="A37" i="36"/>
  <c r="A38" i="36" s="1"/>
  <c r="A39" i="36" s="1"/>
  <c r="A40" i="36" s="1"/>
  <c r="A41" i="36" s="1"/>
  <c r="A42" i="36" s="1"/>
  <c r="L158" i="36" l="1"/>
  <c r="L112" i="36"/>
  <c r="H197" i="36"/>
  <c r="J197" i="36"/>
  <c r="L197" i="36"/>
  <c r="L202" i="36"/>
  <c r="L111" i="36"/>
  <c r="L203" i="36"/>
  <c r="L204" i="36"/>
  <c r="L156" i="36"/>
  <c r="L157" i="36"/>
  <c r="L152" i="36"/>
  <c r="J152" i="36"/>
  <c r="H152" i="36"/>
  <c r="L153" i="36"/>
  <c r="J153" i="36"/>
  <c r="H153" i="36"/>
  <c r="L108" i="36"/>
  <c r="L113" i="36"/>
  <c r="J92" i="36"/>
  <c r="L92" i="36"/>
  <c r="H92" i="36"/>
  <c r="L114" i="36"/>
  <c r="L154" i="36"/>
  <c r="L166" i="36"/>
  <c r="L115" i="36"/>
  <c r="J155" i="36"/>
  <c r="H155" i="36"/>
  <c r="L155" i="36"/>
  <c r="L138" i="36"/>
  <c r="J138" i="36"/>
  <c r="H138" i="36"/>
  <c r="L117" i="36"/>
  <c r="L160" i="36"/>
  <c r="H100" i="36"/>
  <c r="L100" i="36"/>
  <c r="J100" i="36"/>
  <c r="L118" i="36"/>
  <c r="L161" i="36"/>
  <c r="L116" i="36"/>
  <c r="L162" i="36"/>
  <c r="J106" i="36"/>
  <c r="L106" i="36"/>
  <c r="H106" i="36"/>
  <c r="L159" i="36"/>
  <c r="H146" i="36"/>
  <c r="L146" i="36"/>
  <c r="J146" i="36"/>
  <c r="L163" i="36"/>
  <c r="L109" i="36"/>
  <c r="J109" i="36"/>
  <c r="H109" i="36"/>
  <c r="L164" i="36"/>
  <c r="H166" i="36"/>
  <c r="J166" i="36"/>
  <c r="M92" i="53"/>
  <c r="M133" i="53"/>
  <c r="M279" i="53"/>
  <c r="M217" i="53"/>
  <c r="M213" i="53"/>
  <c r="M79" i="53"/>
  <c r="M122" i="53"/>
  <c r="M126" i="53"/>
  <c r="M277" i="53"/>
  <c r="M216" i="53"/>
  <c r="M146" i="53"/>
  <c r="M93" i="53"/>
  <c r="M95" i="53"/>
  <c r="H284" i="53"/>
  <c r="J284" i="53"/>
  <c r="J101" i="53"/>
  <c r="H101" i="53"/>
  <c r="J266" i="53"/>
  <c r="H266" i="53"/>
  <c r="M98" i="53"/>
  <c r="M117" i="53"/>
  <c r="M149" i="53"/>
  <c r="H286" i="53"/>
  <c r="J286" i="53"/>
  <c r="M96" i="53"/>
  <c r="M87" i="53"/>
  <c r="M276" i="53"/>
  <c r="M81" i="53"/>
  <c r="J282" i="53"/>
  <c r="H282" i="53"/>
  <c r="H261" i="53"/>
  <c r="J261" i="53"/>
  <c r="H283" i="53"/>
  <c r="J283" i="53"/>
  <c r="J100" i="53"/>
  <c r="H100" i="53"/>
  <c r="M137" i="53"/>
  <c r="M238" i="53"/>
  <c r="M112" i="53"/>
  <c r="M91" i="53"/>
  <c r="M278" i="53"/>
  <c r="M215" i="53"/>
  <c r="M14" i="53"/>
  <c r="H285" i="53"/>
  <c r="J285" i="53"/>
  <c r="J102" i="53"/>
  <c r="H102" i="53"/>
  <c r="M274" i="53"/>
  <c r="M218" i="53"/>
  <c r="M239" i="53"/>
  <c r="M275" i="53"/>
  <c r="M86" i="53"/>
  <c r="M80" i="53"/>
  <c r="M150" i="53"/>
  <c r="M135" i="53"/>
  <c r="M120" i="53"/>
  <c r="M84" i="53"/>
  <c r="M124" i="53"/>
  <c r="M132" i="53"/>
  <c r="J173" i="53"/>
  <c r="H173" i="53"/>
  <c r="M130" i="53"/>
  <c r="M237" i="53"/>
  <c r="M148" i="53"/>
  <c r="J171" i="53"/>
  <c r="H171" i="53"/>
  <c r="H265" i="53"/>
  <c r="J265" i="53"/>
  <c r="M280" i="53"/>
  <c r="M139" i="53"/>
  <c r="M85" i="53"/>
  <c r="M214" i="53"/>
  <c r="J174" i="53"/>
  <c r="H174" i="53"/>
  <c r="H263" i="53"/>
  <c r="J263" i="53"/>
  <c r="M143" i="53"/>
  <c r="M136" i="53"/>
  <c r="M116" i="53"/>
  <c r="M121" i="53"/>
  <c r="M144" i="53"/>
  <c r="M142" i="53"/>
  <c r="M260" i="53"/>
  <c r="H103" i="53"/>
  <c r="J103" i="53"/>
  <c r="J172" i="53"/>
  <c r="H172" i="53"/>
  <c r="H264" i="53"/>
  <c r="J264" i="53"/>
  <c r="M129" i="53"/>
  <c r="M83" i="53"/>
  <c r="M113" i="53"/>
  <c r="M147" i="53"/>
  <c r="J281" i="53"/>
  <c r="H281" i="53"/>
  <c r="H175" i="53"/>
  <c r="J175" i="53"/>
  <c r="H262" i="53"/>
  <c r="J262" i="53"/>
  <c r="M97" i="53"/>
  <c r="M125" i="53"/>
  <c r="M127" i="53"/>
  <c r="M212" i="53"/>
  <c r="J113" i="36"/>
  <c r="H113" i="36"/>
  <c r="J216" i="36"/>
  <c r="H216" i="36"/>
  <c r="J112" i="36"/>
  <c r="H112" i="36"/>
  <c r="J40" i="36"/>
  <c r="H40" i="36"/>
  <c r="J114" i="36"/>
  <c r="H114" i="36"/>
  <c r="J124" i="36"/>
  <c r="H124" i="36"/>
  <c r="F130" i="36"/>
  <c r="J118" i="36"/>
  <c r="H118" i="36"/>
  <c r="J159" i="36"/>
  <c r="H159" i="36"/>
  <c r="J160" i="36"/>
  <c r="H160" i="36"/>
  <c r="J117" i="36"/>
  <c r="H117" i="36"/>
  <c r="J161" i="36"/>
  <c r="H161" i="36"/>
  <c r="F209" i="36"/>
  <c r="J154" i="36"/>
  <c r="H154" i="36"/>
  <c r="F140" i="36"/>
  <c r="F148" i="36"/>
  <c r="H162" i="36"/>
  <c r="J162" i="36"/>
  <c r="J202" i="36"/>
  <c r="H202" i="36"/>
  <c r="F101" i="36"/>
  <c r="J67" i="36"/>
  <c r="H67" i="36"/>
  <c r="J163" i="36"/>
  <c r="H163" i="36"/>
  <c r="J156" i="36"/>
  <c r="H156" i="36"/>
  <c r="J203" i="36"/>
  <c r="H203" i="36"/>
  <c r="H115" i="36"/>
  <c r="J115" i="36"/>
  <c r="J116" i="36"/>
  <c r="H116" i="36"/>
  <c r="J39" i="36"/>
  <c r="H39" i="36"/>
  <c r="J68" i="36"/>
  <c r="H68" i="36"/>
  <c r="J108" i="36"/>
  <c r="H108" i="36"/>
  <c r="H164" i="36"/>
  <c r="J164" i="36"/>
  <c r="J157" i="36"/>
  <c r="H157" i="36"/>
  <c r="H204" i="36"/>
  <c r="J204" i="36"/>
  <c r="F176" i="36"/>
  <c r="J69" i="36"/>
  <c r="H69" i="36"/>
  <c r="F94" i="36"/>
  <c r="J111" i="36"/>
  <c r="H111" i="36"/>
  <c r="J158" i="36"/>
  <c r="H158" i="36"/>
  <c r="F61" i="41"/>
  <c r="F60" i="41"/>
  <c r="F64" i="41"/>
  <c r="F62" i="41"/>
  <c r="F63" i="41"/>
  <c r="M37" i="53"/>
  <c r="L134" i="44"/>
  <c r="J134" i="44"/>
  <c r="H134" i="44"/>
  <c r="L154" i="44"/>
  <c r="H154" i="44"/>
  <c r="J154" i="44"/>
  <c r="L155" i="44"/>
  <c r="J155" i="44"/>
  <c r="H155" i="44"/>
  <c r="L156" i="44"/>
  <c r="J156" i="44"/>
  <c r="H156" i="44"/>
  <c r="L167" i="44"/>
  <c r="J167" i="44"/>
  <c r="H167" i="44"/>
  <c r="L133" i="44"/>
  <c r="J133" i="44"/>
  <c r="H133" i="44"/>
  <c r="L168" i="44"/>
  <c r="J168" i="44"/>
  <c r="H168" i="44"/>
  <c r="L169" i="44"/>
  <c r="H169" i="44"/>
  <c r="J169" i="44"/>
  <c r="J170" i="44"/>
  <c r="L170" i="44"/>
  <c r="H170" i="44"/>
  <c r="L171" i="44"/>
  <c r="H171" i="44"/>
  <c r="J171" i="44"/>
  <c r="F163" i="44"/>
  <c r="L159" i="44"/>
  <c r="J159" i="44"/>
  <c r="H159" i="44"/>
  <c r="M30" i="46"/>
  <c r="M34" i="46"/>
  <c r="M11" i="46"/>
  <c r="M16" i="46"/>
  <c r="M20" i="46"/>
  <c r="F210" i="36"/>
  <c r="M25" i="46"/>
  <c r="M17" i="46"/>
  <c r="M21" i="46"/>
  <c r="M13" i="46"/>
  <c r="M26" i="46"/>
  <c r="M12" i="46"/>
  <c r="F201" i="36"/>
  <c r="L124" i="36"/>
  <c r="M30" i="51"/>
  <c r="F199" i="36"/>
  <c r="F200" i="36"/>
  <c r="M104" i="51"/>
  <c r="F192" i="36"/>
  <c r="M155" i="51"/>
  <c r="M99" i="51"/>
  <c r="M74" i="51"/>
  <c r="M147" i="51"/>
  <c r="M39" i="51"/>
  <c r="M85" i="51"/>
  <c r="M138" i="51"/>
  <c r="M82" i="51"/>
  <c r="L281" i="53"/>
  <c r="F107" i="53"/>
  <c r="F105" i="53"/>
  <c r="F108" i="53"/>
  <c r="L104" i="53"/>
  <c r="M104" i="53" s="1"/>
  <c r="F106" i="53"/>
  <c r="F109" i="53"/>
  <c r="L283" i="53"/>
  <c r="L171" i="53"/>
  <c r="F212" i="36"/>
  <c r="L285" i="53"/>
  <c r="L174" i="53"/>
  <c r="L266" i="53"/>
  <c r="M114" i="51"/>
  <c r="M36" i="51"/>
  <c r="L101" i="53"/>
  <c r="L172" i="53"/>
  <c r="L261" i="53"/>
  <c r="L175" i="53"/>
  <c r="L103" i="53"/>
  <c r="L265" i="53"/>
  <c r="M75" i="51"/>
  <c r="L100" i="53"/>
  <c r="L263" i="53"/>
  <c r="M90" i="51"/>
  <c r="L282" i="53"/>
  <c r="L102" i="53"/>
  <c r="L264" i="53"/>
  <c r="M117" i="51"/>
  <c r="M8" i="51"/>
  <c r="L284" i="53"/>
  <c r="F287" i="53"/>
  <c r="F290" i="53"/>
  <c r="F288" i="53"/>
  <c r="F291" i="53"/>
  <c r="L286" i="53"/>
  <c r="F289" i="53"/>
  <c r="L173" i="53"/>
  <c r="L262" i="53"/>
  <c r="F165" i="44"/>
  <c r="F157" i="44"/>
  <c r="F162" i="44"/>
  <c r="F164" i="44"/>
  <c r="F160" i="44"/>
  <c r="A128" i="36"/>
  <c r="A129" i="36" s="1"/>
  <c r="A130" i="36" s="1"/>
  <c r="F104" i="36"/>
  <c r="F149" i="36"/>
  <c r="F150" i="36"/>
  <c r="A226" i="36"/>
  <c r="A227" i="36" s="1"/>
  <c r="A228" i="36" s="1"/>
  <c r="F93" i="36"/>
  <c r="F158" i="44"/>
  <c r="F161" i="44"/>
  <c r="M156" i="51"/>
  <c r="M141" i="51"/>
  <c r="M145" i="51"/>
  <c r="M123" i="51"/>
  <c r="M154" i="51"/>
  <c r="M120" i="51"/>
  <c r="M109" i="51"/>
  <c r="F205" i="36"/>
  <c r="F206" i="36"/>
  <c r="F184" i="36"/>
  <c r="F207" i="36"/>
  <c r="F198" i="36"/>
  <c r="F208" i="36"/>
  <c r="F226" i="36"/>
  <c r="F228" i="36"/>
  <c r="F128" i="36"/>
  <c r="F174" i="36"/>
  <c r="F171" i="36"/>
  <c r="F167" i="36"/>
  <c r="F168" i="36"/>
  <c r="F147" i="36"/>
  <c r="F139" i="36"/>
  <c r="F141" i="36"/>
  <c r="F172" i="36"/>
  <c r="F142" i="36"/>
  <c r="F103" i="36"/>
  <c r="F95" i="36"/>
  <c r="F120" i="36"/>
  <c r="F102" i="36"/>
  <c r="F96" i="36"/>
  <c r="F107" i="36"/>
  <c r="A178" i="36" l="1"/>
  <c r="A179" i="36" s="1"/>
  <c r="A180" i="36" s="1"/>
  <c r="A181" i="36" s="1"/>
  <c r="A182" i="36" s="1"/>
  <c r="M39" i="36"/>
  <c r="M161" i="36"/>
  <c r="M124" i="36"/>
  <c r="M197" i="36"/>
  <c r="M159" i="36"/>
  <c r="M153" i="36"/>
  <c r="M154" i="36"/>
  <c r="M202" i="36"/>
  <c r="M157" i="36"/>
  <c r="M160" i="36"/>
  <c r="M40" i="36"/>
  <c r="M158" i="36"/>
  <c r="M203" i="36"/>
  <c r="M116" i="36"/>
  <c r="M117" i="36"/>
  <c r="M114" i="36"/>
  <c r="M111" i="36"/>
  <c r="M156" i="36"/>
  <c r="M216" i="36"/>
  <c r="M166" i="36"/>
  <c r="M138" i="36"/>
  <c r="M109" i="36"/>
  <c r="M204" i="36"/>
  <c r="M155" i="36"/>
  <c r="M115" i="36"/>
  <c r="M162" i="36"/>
  <c r="M112" i="36"/>
  <c r="M164" i="36"/>
  <c r="M146" i="36"/>
  <c r="M108" i="36"/>
  <c r="M118" i="36"/>
  <c r="M106" i="36"/>
  <c r="M100" i="36"/>
  <c r="M152" i="36"/>
  <c r="M163" i="36"/>
  <c r="M113" i="36"/>
  <c r="M92" i="36"/>
  <c r="L226" i="36"/>
  <c r="L210" i="36"/>
  <c r="L208" i="36"/>
  <c r="L212" i="36"/>
  <c r="J96" i="36"/>
  <c r="L96" i="36"/>
  <c r="H96" i="36"/>
  <c r="J198" i="36"/>
  <c r="L198" i="36"/>
  <c r="H198" i="36"/>
  <c r="L207" i="36"/>
  <c r="J94" i="36"/>
  <c r="L94" i="36"/>
  <c r="H94" i="36"/>
  <c r="H148" i="36"/>
  <c r="L148" i="36"/>
  <c r="J148" i="36"/>
  <c r="J201" i="36"/>
  <c r="L201" i="36"/>
  <c r="H201" i="36"/>
  <c r="H147" i="36"/>
  <c r="L147" i="36"/>
  <c r="J147" i="36"/>
  <c r="L184" i="36"/>
  <c r="J184" i="36"/>
  <c r="H184" i="36"/>
  <c r="L140" i="36"/>
  <c r="J140" i="36"/>
  <c r="H140" i="36"/>
  <c r="L228" i="36"/>
  <c r="J102" i="36"/>
  <c r="H102" i="36"/>
  <c r="L102" i="36"/>
  <c r="J95" i="36"/>
  <c r="L95" i="36"/>
  <c r="H95" i="36"/>
  <c r="L167" i="36"/>
  <c r="L168" i="36"/>
  <c r="L150" i="36"/>
  <c r="H192" i="36"/>
  <c r="L192" i="36"/>
  <c r="J192" i="36"/>
  <c r="L176" i="36"/>
  <c r="L209" i="36"/>
  <c r="L130" i="36"/>
  <c r="L139" i="36"/>
  <c r="J139" i="36"/>
  <c r="H139" i="36"/>
  <c r="J93" i="36"/>
  <c r="L93" i="36"/>
  <c r="H93" i="36"/>
  <c r="L103" i="36"/>
  <c r="J142" i="36"/>
  <c r="L142" i="36"/>
  <c r="H142" i="36"/>
  <c r="L174" i="36"/>
  <c r="L149" i="36"/>
  <c r="L206" i="36"/>
  <c r="L205" i="36"/>
  <c r="L171" i="36"/>
  <c r="L172" i="36"/>
  <c r="L104" i="36"/>
  <c r="L200" i="36"/>
  <c r="J107" i="36"/>
  <c r="L107" i="36"/>
  <c r="H107" i="36"/>
  <c r="L141" i="36"/>
  <c r="J141" i="36"/>
  <c r="H141" i="36"/>
  <c r="J199" i="36"/>
  <c r="L199" i="36"/>
  <c r="H199" i="36"/>
  <c r="H101" i="36"/>
  <c r="J101" i="36"/>
  <c r="L101" i="36"/>
  <c r="H120" i="36"/>
  <c r="J120" i="36"/>
  <c r="L120" i="36"/>
  <c r="J128" i="36"/>
  <c r="L128" i="36"/>
  <c r="H128" i="36"/>
  <c r="F219" i="36"/>
  <c r="J212" i="36"/>
  <c r="H212" i="36"/>
  <c r="J168" i="36"/>
  <c r="H168" i="36"/>
  <c r="H167" i="36"/>
  <c r="J167" i="36"/>
  <c r="J174" i="36"/>
  <c r="H174" i="36"/>
  <c r="H226" i="36"/>
  <c r="J226" i="36"/>
  <c r="M100" i="53"/>
  <c r="M172" i="53"/>
  <c r="M266" i="53"/>
  <c r="M175" i="53"/>
  <c r="M265" i="53"/>
  <c r="H109" i="53"/>
  <c r="J109" i="53"/>
  <c r="M281" i="53"/>
  <c r="M263" i="53"/>
  <c r="M171" i="53"/>
  <c r="H288" i="53"/>
  <c r="J288" i="53"/>
  <c r="M285" i="53"/>
  <c r="J291" i="53"/>
  <c r="H291" i="53"/>
  <c r="H106" i="53"/>
  <c r="J106" i="53"/>
  <c r="H290" i="53"/>
  <c r="J290" i="53"/>
  <c r="H108" i="53"/>
  <c r="J108" i="53"/>
  <c r="M103" i="53"/>
  <c r="M174" i="53"/>
  <c r="M101" i="53"/>
  <c r="H105" i="53"/>
  <c r="J105" i="53"/>
  <c r="M283" i="53"/>
  <c r="H107" i="53"/>
  <c r="J107" i="53"/>
  <c r="M286" i="53"/>
  <c r="M262" i="53"/>
  <c r="M284" i="53"/>
  <c r="H287" i="53"/>
  <c r="J287" i="53"/>
  <c r="M264" i="53"/>
  <c r="M173" i="53"/>
  <c r="M282" i="53"/>
  <c r="M102" i="53"/>
  <c r="H289" i="53"/>
  <c r="J289" i="53"/>
  <c r="M261" i="53"/>
  <c r="F83" i="36"/>
  <c r="F82" i="36"/>
  <c r="J209" i="36"/>
  <c r="H209" i="36"/>
  <c r="H206" i="36"/>
  <c r="J206" i="36"/>
  <c r="J200" i="36"/>
  <c r="H200" i="36"/>
  <c r="J172" i="36"/>
  <c r="H172" i="36"/>
  <c r="J228" i="36"/>
  <c r="H228" i="36"/>
  <c r="J227" i="36"/>
  <c r="H227" i="36"/>
  <c r="H129" i="36"/>
  <c r="J129" i="36"/>
  <c r="J130" i="36"/>
  <c r="H130" i="36"/>
  <c r="F188" i="36"/>
  <c r="J176" i="36"/>
  <c r="H176" i="36"/>
  <c r="J205" i="36"/>
  <c r="H205" i="36"/>
  <c r="J208" i="36"/>
  <c r="H208" i="36"/>
  <c r="H150" i="36"/>
  <c r="J150" i="36"/>
  <c r="J171" i="36"/>
  <c r="H171" i="36"/>
  <c r="J149" i="36"/>
  <c r="H149" i="36"/>
  <c r="J103" i="36"/>
  <c r="H103" i="36"/>
  <c r="J207" i="36"/>
  <c r="H207" i="36"/>
  <c r="J104" i="36"/>
  <c r="H104" i="36"/>
  <c r="J175" i="36"/>
  <c r="H175" i="36"/>
  <c r="J210" i="36"/>
  <c r="H210" i="36"/>
  <c r="M170" i="44"/>
  <c r="M168" i="44"/>
  <c r="M133" i="44"/>
  <c r="M155" i="44"/>
  <c r="L63" i="41"/>
  <c r="J63" i="41"/>
  <c r="H63" i="41"/>
  <c r="J62" i="41"/>
  <c r="H62" i="41"/>
  <c r="L62" i="41"/>
  <c r="J61" i="41"/>
  <c r="L61" i="41"/>
  <c r="H61" i="41"/>
  <c r="J64" i="41"/>
  <c r="L64" i="41"/>
  <c r="H64" i="41"/>
  <c r="H60" i="41"/>
  <c r="L60" i="41"/>
  <c r="J60" i="41"/>
  <c r="F67" i="41"/>
  <c r="M154" i="44"/>
  <c r="M169" i="44"/>
  <c r="H162" i="44"/>
  <c r="L162" i="44"/>
  <c r="J162" i="44"/>
  <c r="M171" i="44"/>
  <c r="M156" i="44"/>
  <c r="L157" i="44"/>
  <c r="J157" i="44"/>
  <c r="H157" i="44"/>
  <c r="J165" i="44"/>
  <c r="H165" i="44"/>
  <c r="L165" i="44"/>
  <c r="L164" i="44"/>
  <c r="J164" i="44"/>
  <c r="H164" i="44"/>
  <c r="L158" i="44"/>
  <c r="J158" i="44"/>
  <c r="H158" i="44"/>
  <c r="M134" i="44"/>
  <c r="M167" i="44"/>
  <c r="L163" i="44"/>
  <c r="J163" i="44"/>
  <c r="H163" i="44"/>
  <c r="J161" i="44"/>
  <c r="L161" i="44"/>
  <c r="H161" i="44"/>
  <c r="J160" i="44"/>
  <c r="L160" i="44"/>
  <c r="H160" i="44"/>
  <c r="M159" i="44"/>
  <c r="F232" i="36"/>
  <c r="L65" i="41"/>
  <c r="F193" i="36"/>
  <c r="F194" i="36"/>
  <c r="G7" i="52"/>
  <c r="F213" i="36"/>
  <c r="J65" i="41"/>
  <c r="F214" i="36"/>
  <c r="F66" i="41"/>
  <c r="F70" i="41"/>
  <c r="F187" i="36"/>
  <c r="F217" i="36"/>
  <c r="F195" i="36"/>
  <c r="F196" i="36"/>
  <c r="F218" i="36"/>
  <c r="L287" i="53"/>
  <c r="F69" i="41"/>
  <c r="L109" i="53"/>
  <c r="L289" i="53"/>
  <c r="L106" i="53"/>
  <c r="L291" i="53"/>
  <c r="L108" i="53"/>
  <c r="L288" i="53"/>
  <c r="L105" i="53"/>
  <c r="L290" i="53"/>
  <c r="L107" i="53"/>
  <c r="F144" i="36"/>
  <c r="F38" i="36"/>
  <c r="F186" i="36"/>
  <c r="F185" i="36"/>
  <c r="F233" i="36"/>
  <c r="F230" i="36"/>
  <c r="F234" i="36"/>
  <c r="F231" i="36"/>
  <c r="F143" i="36"/>
  <c r="L129" i="36"/>
  <c r="F97" i="36"/>
  <c r="F98" i="36"/>
  <c r="F122" i="36"/>
  <c r="F125" i="36"/>
  <c r="F126" i="36"/>
  <c r="F121" i="36"/>
  <c r="F79" i="36"/>
  <c r="F78" i="36"/>
  <c r="F42" i="36"/>
  <c r="F37" i="36"/>
  <c r="F186" i="44"/>
  <c r="F183" i="44"/>
  <c r="A187" i="44"/>
  <c r="A188" i="44" s="1"/>
  <c r="A189" i="44" s="1"/>
  <c r="A190" i="44" s="1"/>
  <c r="A191" i="44" s="1"/>
  <c r="A180" i="44"/>
  <c r="A181" i="44" s="1"/>
  <c r="A182" i="44" s="1"/>
  <c r="A183" i="44" s="1"/>
  <c r="A184" i="44" s="1"/>
  <c r="A185" i="44" s="1"/>
  <c r="F178" i="44"/>
  <c r="F177" i="44"/>
  <c r="F176" i="44"/>
  <c r="F175" i="44"/>
  <c r="F174" i="44"/>
  <c r="A174" i="44"/>
  <c r="A175" i="44" s="1"/>
  <c r="A176" i="44" s="1"/>
  <c r="A177" i="44" s="1"/>
  <c r="A178" i="44" s="1"/>
  <c r="A148" i="44"/>
  <c r="F141" i="44"/>
  <c r="F140" i="44"/>
  <c r="A140" i="44"/>
  <c r="A141" i="44" s="1"/>
  <c r="F151" i="44"/>
  <c r="F150" i="44"/>
  <c r="A150" i="44"/>
  <c r="A151" i="44" s="1"/>
  <c r="A146" i="44"/>
  <c r="F144" i="44"/>
  <c r="F143" i="44"/>
  <c r="A143" i="44"/>
  <c r="A144" i="44" s="1"/>
  <c r="F138" i="44"/>
  <c r="F137" i="44"/>
  <c r="A137" i="44"/>
  <c r="A138" i="44" s="1"/>
  <c r="F152" i="51"/>
  <c r="A153" i="51"/>
  <c r="A154" i="51" s="1"/>
  <c r="A155" i="51" s="1"/>
  <c r="A156" i="51" s="1"/>
  <c r="F151" i="51"/>
  <c r="F150" i="51"/>
  <c r="F149" i="51"/>
  <c r="F148" i="51"/>
  <c r="A148" i="51"/>
  <c r="A149" i="51" s="1"/>
  <c r="A150" i="51" s="1"/>
  <c r="A151" i="51" s="1"/>
  <c r="F144" i="51"/>
  <c r="F143" i="51"/>
  <c r="F142" i="51"/>
  <c r="A142" i="51"/>
  <c r="A143" i="51" s="1"/>
  <c r="A144" i="51" s="1"/>
  <c r="A145" i="51" s="1"/>
  <c r="A146" i="51" s="1"/>
  <c r="F112" i="51"/>
  <c r="A137" i="51"/>
  <c r="A138" i="51" s="1"/>
  <c r="A139" i="51" s="1"/>
  <c r="A140" i="51" s="1"/>
  <c r="F135" i="51"/>
  <c r="F124" i="51"/>
  <c r="F122" i="51"/>
  <c r="F121" i="51"/>
  <c r="A121" i="51"/>
  <c r="A122" i="51" s="1"/>
  <c r="A123" i="51" s="1"/>
  <c r="A124" i="51" s="1"/>
  <c r="F115" i="51"/>
  <c r="A118" i="51"/>
  <c r="A119" i="51" s="1"/>
  <c r="F116" i="51"/>
  <c r="F107" i="51"/>
  <c r="F106" i="51"/>
  <c r="F105" i="51"/>
  <c r="A105" i="51"/>
  <c r="A106" i="51" s="1"/>
  <c r="A107" i="51" s="1"/>
  <c r="A108" i="51" s="1"/>
  <c r="F102" i="51"/>
  <c r="F101" i="51"/>
  <c r="F100" i="51"/>
  <c r="A100" i="51"/>
  <c r="A101" i="51" s="1"/>
  <c r="A102" i="51" s="1"/>
  <c r="A103" i="51" s="1"/>
  <c r="F95" i="51"/>
  <c r="A96" i="51"/>
  <c r="A97" i="51" s="1"/>
  <c r="A98" i="51" s="1"/>
  <c r="F88" i="51"/>
  <c r="F93" i="51"/>
  <c r="F92" i="51"/>
  <c r="F91" i="51"/>
  <c r="A91" i="51"/>
  <c r="A92" i="51" s="1"/>
  <c r="A93" i="51" s="1"/>
  <c r="A94" i="51" s="1"/>
  <c r="A89" i="51"/>
  <c r="E87" i="51"/>
  <c r="F87" i="51" s="1"/>
  <c r="E86" i="51"/>
  <c r="F86" i="51" s="1"/>
  <c r="A86" i="51"/>
  <c r="A87" i="51" s="1"/>
  <c r="E84" i="51"/>
  <c r="F84" i="51" s="1"/>
  <c r="E83" i="51"/>
  <c r="F83" i="51" s="1"/>
  <c r="A83" i="51"/>
  <c r="A84" i="51" s="1"/>
  <c r="A81" i="51"/>
  <c r="F80" i="51"/>
  <c r="E79" i="51"/>
  <c r="F79" i="51" s="1"/>
  <c r="E78" i="51"/>
  <c r="F78" i="51" s="1"/>
  <c r="E77" i="51"/>
  <c r="F77" i="51" s="1"/>
  <c r="E76" i="51"/>
  <c r="F76" i="51" s="1"/>
  <c r="A76" i="51"/>
  <c r="A77" i="51" s="1"/>
  <c r="A78" i="51" s="1"/>
  <c r="A79" i="51" s="1"/>
  <c r="F38" i="51"/>
  <c r="F37" i="51"/>
  <c r="A37" i="51"/>
  <c r="A38" i="51" s="1"/>
  <c r="A39" i="51" s="1"/>
  <c r="F33" i="51"/>
  <c r="F32" i="51"/>
  <c r="F31" i="51"/>
  <c r="A31" i="51"/>
  <c r="A32" i="51" s="1"/>
  <c r="A33" i="51" s="1"/>
  <c r="A34" i="51" s="1"/>
  <c r="A35" i="51" s="1"/>
  <c r="F14" i="50"/>
  <c r="M61" i="50"/>
  <c r="F46" i="50"/>
  <c r="F45" i="50"/>
  <c r="F44" i="50"/>
  <c r="F43" i="50"/>
  <c r="A43" i="50"/>
  <c r="A44" i="50" s="1"/>
  <c r="A45" i="50" s="1"/>
  <c r="A46" i="50" s="1"/>
  <c r="L42" i="50"/>
  <c r="J42" i="50"/>
  <c r="H42" i="50"/>
  <c r="F51" i="50"/>
  <c r="F50" i="50"/>
  <c r="F49" i="50"/>
  <c r="F48" i="50"/>
  <c r="A48" i="50"/>
  <c r="A49" i="50" s="1"/>
  <c r="A50" i="50" s="1"/>
  <c r="A51" i="50" s="1"/>
  <c r="L47" i="50"/>
  <c r="J47" i="50"/>
  <c r="H47" i="50"/>
  <c r="F15" i="50"/>
  <c r="F13" i="50"/>
  <c r="F12" i="50"/>
  <c r="A12" i="50"/>
  <c r="A13" i="50" s="1"/>
  <c r="A14" i="50" s="1"/>
  <c r="A15" i="50" s="1"/>
  <c r="L11" i="50"/>
  <c r="J11" i="50"/>
  <c r="H11" i="50"/>
  <c r="L16" i="50"/>
  <c r="L21" i="50"/>
  <c r="L26" i="50"/>
  <c r="L31" i="50"/>
  <c r="J16" i="50"/>
  <c r="J21" i="50"/>
  <c r="J26" i="50"/>
  <c r="J31" i="50"/>
  <c r="H16" i="50"/>
  <c r="H21" i="50"/>
  <c r="H26" i="50"/>
  <c r="H31" i="50"/>
  <c r="F24" i="50"/>
  <c r="F23" i="50"/>
  <c r="F22" i="50"/>
  <c r="A22" i="50"/>
  <c r="A23" i="50" s="1"/>
  <c r="A24" i="50" s="1"/>
  <c r="A25" i="50" s="1"/>
  <c r="F35" i="50"/>
  <c r="F34" i="50"/>
  <c r="F33" i="50"/>
  <c r="F32" i="50"/>
  <c r="A32" i="50"/>
  <c r="A33" i="50" s="1"/>
  <c r="A34" i="50" s="1"/>
  <c r="A35" i="50" s="1"/>
  <c r="F30" i="50"/>
  <c r="F29" i="50"/>
  <c r="F28" i="50"/>
  <c r="F27" i="50"/>
  <c r="A27" i="50"/>
  <c r="A28" i="50" s="1"/>
  <c r="A29" i="50" s="1"/>
  <c r="A30" i="50" s="1"/>
  <c r="F20" i="50"/>
  <c r="F19" i="50"/>
  <c r="F18" i="50"/>
  <c r="F17" i="50"/>
  <c r="A17" i="50"/>
  <c r="A18" i="50" s="1"/>
  <c r="A19" i="50" s="1"/>
  <c r="A20" i="50" s="1"/>
  <c r="F10" i="50"/>
  <c r="F9" i="50"/>
  <c r="F8" i="50"/>
  <c r="A8" i="50"/>
  <c r="A9" i="50" s="1"/>
  <c r="A10" i="50" s="1"/>
  <c r="L7" i="50"/>
  <c r="J7" i="50"/>
  <c r="H7" i="50"/>
  <c r="L39" i="50"/>
  <c r="J39" i="50"/>
  <c r="H39" i="50"/>
  <c r="A37" i="50"/>
  <c r="A38" i="50" s="1"/>
  <c r="A39" i="50" s="1"/>
  <c r="A40" i="50" s="1"/>
  <c r="A41" i="50" s="1"/>
  <c r="F36" i="50"/>
  <c r="F167" i="48"/>
  <c r="A168" i="48"/>
  <c r="A169" i="48" s="1"/>
  <c r="A170" i="48" s="1"/>
  <c r="A171" i="48" s="1"/>
  <c r="A172" i="48" s="1"/>
  <c r="F24" i="48"/>
  <c r="F37" i="48"/>
  <c r="F35" i="48"/>
  <c r="F34" i="48"/>
  <c r="F33" i="48"/>
  <c r="F31" i="48"/>
  <c r="F30" i="48"/>
  <c r="F29" i="48"/>
  <c r="A29" i="48"/>
  <c r="A30" i="48" s="1"/>
  <c r="A31" i="48" s="1"/>
  <c r="A32" i="48" s="1"/>
  <c r="A33" i="48" s="1"/>
  <c r="A34" i="48" s="1"/>
  <c r="A35" i="48" s="1"/>
  <c r="A36" i="48" s="1"/>
  <c r="A37" i="48" s="1"/>
  <c r="F27" i="48"/>
  <c r="F26" i="48"/>
  <c r="F25" i="48"/>
  <c r="F23" i="48"/>
  <c r="F22" i="48"/>
  <c r="F21" i="48"/>
  <c r="A21" i="48"/>
  <c r="A22" i="48" s="1"/>
  <c r="A23" i="48" s="1"/>
  <c r="A24" i="48" s="1"/>
  <c r="A25" i="48" s="1"/>
  <c r="A26" i="48" s="1"/>
  <c r="F67" i="48"/>
  <c r="F212" i="48"/>
  <c r="F194" i="48"/>
  <c r="E190" i="48"/>
  <c r="E194" i="48" s="1"/>
  <c r="A174" i="48"/>
  <c r="A175" i="48" s="1"/>
  <c r="A176" i="48" s="1"/>
  <c r="A177" i="48" s="1"/>
  <c r="A178" i="48" s="1"/>
  <c r="A179" i="48" s="1"/>
  <c r="A180" i="48" s="1"/>
  <c r="F173" i="48"/>
  <c r="E175" i="48"/>
  <c r="F220" i="36" l="1"/>
  <c r="M175" i="36"/>
  <c r="H294" i="53"/>
  <c r="M295" i="53" s="1"/>
  <c r="M104" i="36"/>
  <c r="M168" i="36"/>
  <c r="M207" i="36"/>
  <c r="M96" i="36"/>
  <c r="M128" i="36"/>
  <c r="M148" i="36"/>
  <c r="M149" i="36"/>
  <c r="M227" i="36"/>
  <c r="M140" i="36"/>
  <c r="M201" i="36"/>
  <c r="M228" i="36"/>
  <c r="M200" i="36"/>
  <c r="M167" i="36"/>
  <c r="M210" i="36"/>
  <c r="M205" i="36"/>
  <c r="M226" i="36"/>
  <c r="M141" i="36"/>
  <c r="M93" i="36"/>
  <c r="M102" i="36"/>
  <c r="M147" i="36"/>
  <c r="M129" i="36"/>
  <c r="M171" i="36"/>
  <c r="M172" i="36"/>
  <c r="M174" i="36"/>
  <c r="M192" i="36"/>
  <c r="M120" i="36"/>
  <c r="M107" i="36"/>
  <c r="M139" i="36"/>
  <c r="M94" i="36"/>
  <c r="M176" i="36"/>
  <c r="M206" i="36"/>
  <c r="M150" i="36"/>
  <c r="M209" i="36"/>
  <c r="M212" i="36"/>
  <c r="M184" i="36"/>
  <c r="M198" i="36"/>
  <c r="M103" i="36"/>
  <c r="M208" i="36"/>
  <c r="M130" i="36"/>
  <c r="M101" i="36"/>
  <c r="M142" i="36"/>
  <c r="M95" i="36"/>
  <c r="F224" i="36"/>
  <c r="M199" i="36"/>
  <c r="F222" i="36"/>
  <c r="F223" i="36"/>
  <c r="L98" i="36"/>
  <c r="H98" i="36"/>
  <c r="J98" i="36"/>
  <c r="H144" i="36"/>
  <c r="L144" i="36"/>
  <c r="J144" i="36"/>
  <c r="L218" i="36"/>
  <c r="L214" i="36"/>
  <c r="H231" i="36"/>
  <c r="L231" i="36"/>
  <c r="J231" i="36"/>
  <c r="L234" i="36"/>
  <c r="F221" i="36"/>
  <c r="L232" i="36"/>
  <c r="L97" i="36"/>
  <c r="H97" i="36"/>
  <c r="J97" i="36"/>
  <c r="J143" i="36"/>
  <c r="H143" i="36"/>
  <c r="L143" i="36"/>
  <c r="H230" i="36"/>
  <c r="L230" i="36"/>
  <c r="J230" i="36"/>
  <c r="L196" i="36"/>
  <c r="L213" i="36"/>
  <c r="L233" i="36"/>
  <c r="L195" i="36"/>
  <c r="L220" i="36"/>
  <c r="L219" i="36"/>
  <c r="L42" i="36"/>
  <c r="J185" i="36"/>
  <c r="H185" i="36"/>
  <c r="L185" i="36"/>
  <c r="L217" i="36"/>
  <c r="H194" i="36"/>
  <c r="L194" i="36"/>
  <c r="J194" i="36"/>
  <c r="J186" i="36"/>
  <c r="H186" i="36"/>
  <c r="L186" i="36"/>
  <c r="F189" i="36"/>
  <c r="J188" i="36"/>
  <c r="H188" i="36"/>
  <c r="L188" i="36"/>
  <c r="L38" i="36"/>
  <c r="H193" i="36"/>
  <c r="L193" i="36"/>
  <c r="J193" i="36"/>
  <c r="J187" i="36"/>
  <c r="H187" i="36"/>
  <c r="L187" i="36"/>
  <c r="H122" i="36"/>
  <c r="J122" i="36"/>
  <c r="L122" i="36"/>
  <c r="L37" i="36"/>
  <c r="L78" i="36"/>
  <c r="L83" i="36"/>
  <c r="L79" i="36"/>
  <c r="H121" i="36"/>
  <c r="J121" i="36"/>
  <c r="L121" i="36"/>
  <c r="L82" i="36"/>
  <c r="H220" i="36"/>
  <c r="J220" i="36"/>
  <c r="J214" i="36"/>
  <c r="H214" i="36"/>
  <c r="J213" i="36"/>
  <c r="H213" i="36"/>
  <c r="H219" i="36"/>
  <c r="J219" i="36"/>
  <c r="J79" i="36"/>
  <c r="H79" i="36"/>
  <c r="H78" i="36"/>
  <c r="J78" i="36"/>
  <c r="H38" i="36"/>
  <c r="J38" i="36"/>
  <c r="H37" i="36"/>
  <c r="J37" i="36"/>
  <c r="F98" i="51"/>
  <c r="M289" i="53"/>
  <c r="M288" i="53"/>
  <c r="M290" i="53"/>
  <c r="M107" i="53"/>
  <c r="M105" i="53"/>
  <c r="M106" i="53"/>
  <c r="M109" i="53"/>
  <c r="M287" i="53"/>
  <c r="M291" i="53"/>
  <c r="L294" i="53"/>
  <c r="J294" i="53"/>
  <c r="M108" i="53"/>
  <c r="F190" i="36"/>
  <c r="H82" i="36"/>
  <c r="J82" i="36"/>
  <c r="H83" i="36"/>
  <c r="J83" i="36"/>
  <c r="H41" i="36"/>
  <c r="J41" i="36"/>
  <c r="J196" i="36"/>
  <c r="H196" i="36"/>
  <c r="J218" i="36"/>
  <c r="H218" i="36"/>
  <c r="J126" i="36"/>
  <c r="H126" i="36"/>
  <c r="J195" i="36"/>
  <c r="H195" i="36"/>
  <c r="J232" i="36"/>
  <c r="H232" i="36"/>
  <c r="J233" i="36"/>
  <c r="H233" i="36"/>
  <c r="J125" i="36"/>
  <c r="H125" i="36"/>
  <c r="J217" i="36"/>
  <c r="H217" i="36"/>
  <c r="H42" i="36"/>
  <c r="J42" i="36"/>
  <c r="H234" i="36"/>
  <c r="J234" i="36"/>
  <c r="M158" i="44"/>
  <c r="F180" i="48"/>
  <c r="F179" i="48"/>
  <c r="F178" i="48"/>
  <c r="H67" i="41"/>
  <c r="J67" i="41"/>
  <c r="L67" i="41"/>
  <c r="M61" i="41"/>
  <c r="M63" i="41"/>
  <c r="M64" i="41"/>
  <c r="M62" i="41"/>
  <c r="M60" i="41"/>
  <c r="L68" i="41"/>
  <c r="M164" i="44"/>
  <c r="M160" i="44"/>
  <c r="M157" i="44"/>
  <c r="L140" i="44"/>
  <c r="J140" i="44"/>
  <c r="H140" i="44"/>
  <c r="J177" i="44"/>
  <c r="L177" i="44"/>
  <c r="H177" i="44"/>
  <c r="L137" i="44"/>
  <c r="J137" i="44"/>
  <c r="H137" i="44"/>
  <c r="L141" i="44"/>
  <c r="J141" i="44"/>
  <c r="H141" i="44"/>
  <c r="J178" i="44"/>
  <c r="L178" i="44"/>
  <c r="H178" i="44"/>
  <c r="L138" i="44"/>
  <c r="J138" i="44"/>
  <c r="H138" i="44"/>
  <c r="M162" i="44"/>
  <c r="J148" i="44"/>
  <c r="M148" i="44" s="1"/>
  <c r="L143" i="44"/>
  <c r="J143" i="44"/>
  <c r="H143" i="44"/>
  <c r="J144" i="44"/>
  <c r="L144" i="44"/>
  <c r="H144" i="44"/>
  <c r="L179" i="44"/>
  <c r="J179" i="44"/>
  <c r="H179" i="44"/>
  <c r="F189" i="44"/>
  <c r="L186" i="44"/>
  <c r="J186" i="44"/>
  <c r="H186" i="44"/>
  <c r="J146" i="44"/>
  <c r="M146" i="44" s="1"/>
  <c r="L176" i="44"/>
  <c r="J176" i="44"/>
  <c r="H176" i="44"/>
  <c r="M163" i="44"/>
  <c r="M165" i="44"/>
  <c r="L150" i="44"/>
  <c r="J150" i="44"/>
  <c r="H150" i="44"/>
  <c r="L174" i="44"/>
  <c r="H174" i="44"/>
  <c r="J174" i="44"/>
  <c r="L151" i="44"/>
  <c r="J151" i="44"/>
  <c r="H151" i="44"/>
  <c r="L175" i="44"/>
  <c r="J175" i="44"/>
  <c r="H175" i="44"/>
  <c r="M161" i="44"/>
  <c r="J66" i="41"/>
  <c r="M65" i="41"/>
  <c r="J68" i="41"/>
  <c r="H66" i="41"/>
  <c r="H68" i="41"/>
  <c r="L70" i="41"/>
  <c r="L66" i="41"/>
  <c r="H70" i="41"/>
  <c r="J70" i="41"/>
  <c r="F97" i="51"/>
  <c r="F145" i="36"/>
  <c r="H173" i="48"/>
  <c r="J173" i="48"/>
  <c r="L173" i="48"/>
  <c r="F172" i="48"/>
  <c r="H167" i="48"/>
  <c r="J167" i="48"/>
  <c r="L167" i="48"/>
  <c r="L69" i="41"/>
  <c r="J69" i="41"/>
  <c r="H69" i="41"/>
  <c r="F199" i="48"/>
  <c r="L194" i="48"/>
  <c r="H194" i="48"/>
  <c r="J194" i="48"/>
  <c r="J212" i="48"/>
  <c r="L212" i="48"/>
  <c r="H212" i="48"/>
  <c r="H67" i="48"/>
  <c r="J67" i="48"/>
  <c r="L67" i="48"/>
  <c r="F187" i="44"/>
  <c r="F188" i="44"/>
  <c r="H27" i="50"/>
  <c r="L28" i="50"/>
  <c r="L49" i="50"/>
  <c r="L14" i="50"/>
  <c r="L29" i="50"/>
  <c r="L50" i="50"/>
  <c r="H30" i="50"/>
  <c r="J48" i="50"/>
  <c r="H32" i="50"/>
  <c r="L12" i="50"/>
  <c r="H33" i="50"/>
  <c r="L13" i="50"/>
  <c r="L17" i="50"/>
  <c r="J34" i="50"/>
  <c r="H15" i="50"/>
  <c r="H18" i="50"/>
  <c r="J35" i="50"/>
  <c r="L43" i="50"/>
  <c r="L19" i="50"/>
  <c r="L44" i="50"/>
  <c r="H20" i="50"/>
  <c r="J22" i="50"/>
  <c r="L45" i="50"/>
  <c r="F41" i="50"/>
  <c r="J23" i="50"/>
  <c r="L46" i="50"/>
  <c r="H37" i="48"/>
  <c r="J37" i="48"/>
  <c r="L37" i="48"/>
  <c r="H32" i="48"/>
  <c r="J32" i="48"/>
  <c r="L32" i="48"/>
  <c r="H25" i="48"/>
  <c r="J25" i="48"/>
  <c r="L25" i="48"/>
  <c r="H24" i="48"/>
  <c r="J24" i="48"/>
  <c r="L24" i="48"/>
  <c r="J23" i="48"/>
  <c r="L23" i="48"/>
  <c r="H23" i="48"/>
  <c r="L26" i="48"/>
  <c r="H26" i="48"/>
  <c r="J26" i="48"/>
  <c r="L27" i="48"/>
  <c r="H27" i="48"/>
  <c r="J27" i="48"/>
  <c r="H29" i="48"/>
  <c r="L29" i="48"/>
  <c r="J29" i="48"/>
  <c r="H30" i="48"/>
  <c r="L30" i="48"/>
  <c r="J30" i="48"/>
  <c r="J22" i="48"/>
  <c r="L22" i="48"/>
  <c r="H22" i="48"/>
  <c r="H31" i="48"/>
  <c r="L31" i="48"/>
  <c r="J31" i="48"/>
  <c r="L33" i="48"/>
  <c r="H33" i="48"/>
  <c r="J33" i="48"/>
  <c r="J34" i="48"/>
  <c r="L34" i="48"/>
  <c r="H34" i="48"/>
  <c r="L21" i="48"/>
  <c r="H21" i="48"/>
  <c r="J21" i="48"/>
  <c r="J35" i="48"/>
  <c r="L35" i="48"/>
  <c r="H35" i="48"/>
  <c r="L91" i="51"/>
  <c r="H91" i="51"/>
  <c r="J91" i="51"/>
  <c r="H33" i="51"/>
  <c r="J33" i="51"/>
  <c r="L33" i="51"/>
  <c r="L92" i="51"/>
  <c r="H92" i="51"/>
  <c r="J92" i="51"/>
  <c r="J106" i="51"/>
  <c r="L106" i="51"/>
  <c r="H106" i="51"/>
  <c r="F153" i="51"/>
  <c r="J152" i="51"/>
  <c r="L152" i="51"/>
  <c r="H152" i="51"/>
  <c r="L105" i="51"/>
  <c r="J105" i="51"/>
  <c r="H105" i="51"/>
  <c r="L83" i="51"/>
  <c r="H83" i="51"/>
  <c r="J83" i="51"/>
  <c r="F94" i="51"/>
  <c r="L93" i="51"/>
  <c r="J93" i="51"/>
  <c r="H93" i="51"/>
  <c r="J107" i="51"/>
  <c r="L107" i="51"/>
  <c r="H107" i="51"/>
  <c r="H112" i="51"/>
  <c r="J112" i="51"/>
  <c r="L112" i="51"/>
  <c r="H88" i="51"/>
  <c r="J88" i="51"/>
  <c r="L88" i="51"/>
  <c r="L84" i="51"/>
  <c r="H84" i="51"/>
  <c r="J84" i="51"/>
  <c r="L37" i="51"/>
  <c r="H37" i="51"/>
  <c r="J37" i="51"/>
  <c r="L116" i="51"/>
  <c r="H116" i="51"/>
  <c r="J116" i="51"/>
  <c r="H142" i="51"/>
  <c r="J142" i="51"/>
  <c r="L142" i="51"/>
  <c r="L38" i="51"/>
  <c r="J38" i="51"/>
  <c r="H38" i="51"/>
  <c r="H143" i="51"/>
  <c r="J143" i="51"/>
  <c r="L143" i="51"/>
  <c r="F136" i="51"/>
  <c r="L135" i="51"/>
  <c r="H135" i="51"/>
  <c r="J135" i="51"/>
  <c r="J86" i="51"/>
  <c r="L86" i="51"/>
  <c r="H86" i="51"/>
  <c r="F96" i="51"/>
  <c r="J95" i="51"/>
  <c r="L95" i="51"/>
  <c r="H95" i="51"/>
  <c r="H144" i="51"/>
  <c r="J144" i="51"/>
  <c r="L144" i="51"/>
  <c r="H32" i="51"/>
  <c r="J32" i="51"/>
  <c r="L32" i="51"/>
  <c r="J87" i="51"/>
  <c r="L87" i="51"/>
  <c r="H87" i="51"/>
  <c r="L115" i="51"/>
  <c r="H115" i="51"/>
  <c r="J115" i="51"/>
  <c r="H76" i="51"/>
  <c r="J76" i="51"/>
  <c r="L76" i="51"/>
  <c r="H77" i="51"/>
  <c r="J77" i="51"/>
  <c r="L77" i="51"/>
  <c r="H100" i="51"/>
  <c r="J100" i="51"/>
  <c r="L100" i="51"/>
  <c r="L148" i="51"/>
  <c r="H148" i="51"/>
  <c r="J148" i="51"/>
  <c r="H78" i="51"/>
  <c r="J78" i="51"/>
  <c r="L78" i="51"/>
  <c r="H101" i="51"/>
  <c r="J101" i="51"/>
  <c r="L101" i="51"/>
  <c r="H121" i="51"/>
  <c r="J121" i="51"/>
  <c r="L121" i="51"/>
  <c r="L149" i="51"/>
  <c r="H149" i="51"/>
  <c r="J149" i="51"/>
  <c r="H102" i="51"/>
  <c r="L102" i="51"/>
  <c r="J102" i="51"/>
  <c r="H122" i="51"/>
  <c r="J122" i="51"/>
  <c r="L122" i="51"/>
  <c r="L150" i="51"/>
  <c r="J150" i="51"/>
  <c r="H150" i="51"/>
  <c r="H79" i="51"/>
  <c r="J79" i="51"/>
  <c r="L79" i="51"/>
  <c r="H31" i="51"/>
  <c r="J31" i="51"/>
  <c r="L31" i="51"/>
  <c r="F81" i="51"/>
  <c r="H80" i="51"/>
  <c r="J80" i="51"/>
  <c r="L80" i="51"/>
  <c r="H124" i="51"/>
  <c r="J124" i="51"/>
  <c r="L124" i="51"/>
  <c r="J151" i="51"/>
  <c r="L151" i="51"/>
  <c r="H151" i="51"/>
  <c r="F190" i="44"/>
  <c r="F185" i="44"/>
  <c r="F191" i="44"/>
  <c r="L126" i="36"/>
  <c r="L125" i="36"/>
  <c r="F99" i="36"/>
  <c r="F180" i="44"/>
  <c r="F184" i="44"/>
  <c r="F181" i="44"/>
  <c r="F110" i="51"/>
  <c r="F139" i="51"/>
  <c r="F137" i="51"/>
  <c r="F113" i="51"/>
  <c r="F118" i="51"/>
  <c r="F119" i="51"/>
  <c r="F111" i="51"/>
  <c r="F140" i="51"/>
  <c r="F89" i="51"/>
  <c r="J9" i="50"/>
  <c r="L15" i="50"/>
  <c r="J45" i="50"/>
  <c r="H14" i="50"/>
  <c r="J44" i="50"/>
  <c r="J43" i="50"/>
  <c r="H44" i="50"/>
  <c r="M42" i="50"/>
  <c r="H46" i="50"/>
  <c r="J46" i="50"/>
  <c r="H43" i="50"/>
  <c r="H45" i="50"/>
  <c r="J33" i="50"/>
  <c r="L20" i="50"/>
  <c r="J18" i="50"/>
  <c r="J50" i="50"/>
  <c r="H17" i="50"/>
  <c r="J12" i="50"/>
  <c r="H35" i="50"/>
  <c r="H50" i="50"/>
  <c r="H29" i="50"/>
  <c r="L18" i="50"/>
  <c r="M47" i="50"/>
  <c r="L10" i="50"/>
  <c r="J10" i="50"/>
  <c r="L51" i="50"/>
  <c r="L48" i="50"/>
  <c r="H49" i="50"/>
  <c r="J49" i="50"/>
  <c r="H51" i="50"/>
  <c r="J51" i="50"/>
  <c r="H48" i="50"/>
  <c r="L33" i="50"/>
  <c r="L32" i="50"/>
  <c r="J30" i="50"/>
  <c r="L30" i="50"/>
  <c r="L27" i="50"/>
  <c r="H24" i="50"/>
  <c r="H23" i="50"/>
  <c r="J32" i="50"/>
  <c r="J20" i="50"/>
  <c r="M11" i="50"/>
  <c r="H34" i="50"/>
  <c r="H22" i="50"/>
  <c r="J19" i="50"/>
  <c r="L24" i="50"/>
  <c r="J29" i="50"/>
  <c r="J17" i="50"/>
  <c r="L35" i="50"/>
  <c r="L23" i="50"/>
  <c r="H19" i="50"/>
  <c r="J28" i="50"/>
  <c r="L34" i="50"/>
  <c r="L22" i="50"/>
  <c r="J27" i="50"/>
  <c r="H28" i="50"/>
  <c r="H36" i="50"/>
  <c r="J24" i="50"/>
  <c r="J13" i="50"/>
  <c r="F37" i="50"/>
  <c r="J15" i="50"/>
  <c r="H13" i="50"/>
  <c r="H12" i="50"/>
  <c r="M31" i="50"/>
  <c r="M26" i="50"/>
  <c r="M21" i="50"/>
  <c r="M16" i="50"/>
  <c r="M7" i="50"/>
  <c r="J36" i="50"/>
  <c r="H9" i="50"/>
  <c r="L9" i="50"/>
  <c r="M39" i="50"/>
  <c r="H8" i="50"/>
  <c r="J8" i="50"/>
  <c r="L8" i="50"/>
  <c r="H10" i="50"/>
  <c r="F40" i="50"/>
  <c r="F38" i="50"/>
  <c r="L36" i="50"/>
  <c r="F169" i="48"/>
  <c r="F171" i="48"/>
  <c r="F168" i="48"/>
  <c r="F170" i="48"/>
  <c r="A27" i="48"/>
  <c r="F175" i="48"/>
  <c r="F174" i="48"/>
  <c r="F176" i="48"/>
  <c r="F177" i="48"/>
  <c r="E173" i="48"/>
  <c r="M67" i="41" l="1"/>
  <c r="J224" i="36"/>
  <c r="L224" i="36"/>
  <c r="J222" i="36"/>
  <c r="M294" i="53"/>
  <c r="M296" i="53" s="1"/>
  <c r="M218" i="36"/>
  <c r="L222" i="36"/>
  <c r="H222" i="36"/>
  <c r="M230" i="36"/>
  <c r="M232" i="36"/>
  <c r="H224" i="36"/>
  <c r="M224" i="36" s="1"/>
  <c r="M187" i="36"/>
  <c r="M144" i="36"/>
  <c r="M214" i="36"/>
  <c r="M37" i="36"/>
  <c r="M78" i="36"/>
  <c r="M220" i="36"/>
  <c r="M234" i="36"/>
  <c r="M193" i="36"/>
  <c r="H221" i="36"/>
  <c r="M42" i="36"/>
  <c r="M125" i="36"/>
  <c r="M38" i="36"/>
  <c r="M143" i="36"/>
  <c r="M231" i="36"/>
  <c r="M121" i="36"/>
  <c r="M233" i="36"/>
  <c r="M82" i="36"/>
  <c r="M194" i="36"/>
  <c r="M98" i="36"/>
  <c r="J223" i="36"/>
  <c r="M196" i="36"/>
  <c r="M79" i="36"/>
  <c r="M97" i="36"/>
  <c r="M83" i="36"/>
  <c r="M185" i="36"/>
  <c r="M41" i="36"/>
  <c r="M122" i="36"/>
  <c r="M195" i="36"/>
  <c r="M219" i="36"/>
  <c r="M126" i="36"/>
  <c r="M217" i="36"/>
  <c r="M213" i="36"/>
  <c r="M188" i="36"/>
  <c r="M186" i="36"/>
  <c r="L223" i="36"/>
  <c r="H223" i="36"/>
  <c r="J221" i="36"/>
  <c r="H190" i="36"/>
  <c r="L190" i="36"/>
  <c r="J190" i="36"/>
  <c r="L99" i="36"/>
  <c r="H99" i="36"/>
  <c r="J99" i="36"/>
  <c r="L221" i="36"/>
  <c r="J189" i="36"/>
  <c r="H189" i="36"/>
  <c r="L189" i="36"/>
  <c r="H145" i="36"/>
  <c r="L145" i="36"/>
  <c r="J145" i="36"/>
  <c r="H41" i="50"/>
  <c r="L97" i="51"/>
  <c r="J98" i="51"/>
  <c r="L98" i="51"/>
  <c r="H98" i="51"/>
  <c r="F191" i="36"/>
  <c r="M151" i="44"/>
  <c r="M140" i="44"/>
  <c r="M175" i="44"/>
  <c r="M138" i="44"/>
  <c r="M150" i="44"/>
  <c r="M178" i="44"/>
  <c r="H179" i="48"/>
  <c r="L199" i="48"/>
  <c r="M141" i="44"/>
  <c r="M177" i="44"/>
  <c r="M176" i="44"/>
  <c r="L191" i="44"/>
  <c r="J191" i="44"/>
  <c r="H191" i="44"/>
  <c r="M174" i="44"/>
  <c r="M186" i="44"/>
  <c r="M179" i="44"/>
  <c r="L185" i="44"/>
  <c r="H185" i="44"/>
  <c r="J185" i="44"/>
  <c r="L189" i="44"/>
  <c r="J189" i="44"/>
  <c r="H189" i="44"/>
  <c r="L182" i="44"/>
  <c r="H182" i="44"/>
  <c r="J182" i="44"/>
  <c r="J181" i="44"/>
  <c r="L181" i="44"/>
  <c r="H181" i="44"/>
  <c r="J190" i="44"/>
  <c r="H190" i="44"/>
  <c r="L190" i="44"/>
  <c r="M144" i="44"/>
  <c r="J184" i="44"/>
  <c r="H184" i="44"/>
  <c r="L184" i="44"/>
  <c r="L188" i="44"/>
  <c r="H188" i="44"/>
  <c r="J188" i="44"/>
  <c r="L180" i="44"/>
  <c r="J180" i="44"/>
  <c r="H180" i="44"/>
  <c r="L187" i="44"/>
  <c r="J187" i="44"/>
  <c r="H187" i="44"/>
  <c r="J183" i="44"/>
  <c r="L183" i="44"/>
  <c r="H183" i="44"/>
  <c r="M143" i="44"/>
  <c r="M137" i="44"/>
  <c r="M14" i="50"/>
  <c r="M68" i="41"/>
  <c r="M66" i="41"/>
  <c r="L172" i="48"/>
  <c r="L179" i="48"/>
  <c r="H25" i="50"/>
  <c r="M70" i="41"/>
  <c r="J179" i="48"/>
  <c r="J25" i="50"/>
  <c r="J97" i="51"/>
  <c r="H97" i="51"/>
  <c r="J199" i="48"/>
  <c r="H199" i="48"/>
  <c r="J172" i="48"/>
  <c r="H172" i="48"/>
  <c r="M26" i="48"/>
  <c r="M67" i="48"/>
  <c r="M194" i="48"/>
  <c r="M22" i="48"/>
  <c r="M23" i="48"/>
  <c r="M173" i="48"/>
  <c r="E9" i="52"/>
  <c r="G8" i="52"/>
  <c r="M148" i="51"/>
  <c r="M115" i="51"/>
  <c r="M107" i="51"/>
  <c r="M91" i="51"/>
  <c r="M212" i="48"/>
  <c r="M149" i="51"/>
  <c r="M84" i="51"/>
  <c r="M92" i="51"/>
  <c r="M69" i="41"/>
  <c r="M167" i="48"/>
  <c r="M151" i="51"/>
  <c r="M31" i="51"/>
  <c r="M95" i="51"/>
  <c r="M15" i="50"/>
  <c r="M45" i="50"/>
  <c r="J41" i="50"/>
  <c r="M44" i="50"/>
  <c r="H37" i="50"/>
  <c r="M12" i="50"/>
  <c r="L25" i="50"/>
  <c r="L41" i="50"/>
  <c r="M35" i="48"/>
  <c r="M34" i="48"/>
  <c r="M30" i="48"/>
  <c r="H177" i="48"/>
  <c r="J177" i="48"/>
  <c r="L177" i="48"/>
  <c r="M21" i="48"/>
  <c r="H169" i="48"/>
  <c r="L169" i="48"/>
  <c r="J169" i="48"/>
  <c r="L178" i="48"/>
  <c r="H178" i="48"/>
  <c r="J178" i="48"/>
  <c r="M25" i="48"/>
  <c r="J176" i="48"/>
  <c r="L176" i="48"/>
  <c r="H176" i="48"/>
  <c r="L180" i="48"/>
  <c r="H180" i="48"/>
  <c r="J180" i="48"/>
  <c r="M29" i="48"/>
  <c r="M32" i="48"/>
  <c r="J175" i="48"/>
  <c r="L175" i="48"/>
  <c r="H175" i="48"/>
  <c r="M33" i="48"/>
  <c r="L171" i="48"/>
  <c r="H171" i="48"/>
  <c r="J171" i="48"/>
  <c r="M24" i="48"/>
  <c r="H174" i="48"/>
  <c r="J174" i="48"/>
  <c r="L174" i="48"/>
  <c r="M37" i="48"/>
  <c r="H36" i="48"/>
  <c r="J36" i="48"/>
  <c r="L36" i="48"/>
  <c r="J170" i="48"/>
  <c r="L170" i="48"/>
  <c r="H170" i="48"/>
  <c r="H168" i="48"/>
  <c r="L168" i="48"/>
  <c r="J168" i="48"/>
  <c r="M31" i="48"/>
  <c r="M27" i="48"/>
  <c r="H110" i="51"/>
  <c r="J110" i="51"/>
  <c r="L110" i="51"/>
  <c r="M93" i="51"/>
  <c r="M78" i="51"/>
  <c r="M100" i="51"/>
  <c r="M87" i="51"/>
  <c r="L136" i="51"/>
  <c r="H136" i="51"/>
  <c r="J136" i="51"/>
  <c r="M142" i="51"/>
  <c r="M105" i="51"/>
  <c r="M122" i="51"/>
  <c r="J96" i="51"/>
  <c r="L96" i="51"/>
  <c r="H96" i="51"/>
  <c r="M116" i="51"/>
  <c r="J94" i="51"/>
  <c r="L94" i="51"/>
  <c r="H94" i="51"/>
  <c r="M121" i="51"/>
  <c r="M77" i="51"/>
  <c r="M76" i="51"/>
  <c r="M143" i="51"/>
  <c r="M88" i="51"/>
  <c r="M33" i="51"/>
  <c r="M79" i="51"/>
  <c r="M83" i="51"/>
  <c r="H35" i="51"/>
  <c r="J35" i="51"/>
  <c r="L35" i="51"/>
  <c r="H111" i="51"/>
  <c r="J111" i="51"/>
  <c r="L111" i="51"/>
  <c r="M102" i="51"/>
  <c r="M86" i="51"/>
  <c r="M37" i="51"/>
  <c r="M152" i="51"/>
  <c r="J140" i="51"/>
  <c r="L140" i="51"/>
  <c r="H140" i="51"/>
  <c r="J119" i="51"/>
  <c r="L119" i="51"/>
  <c r="H119" i="51"/>
  <c r="M124" i="51"/>
  <c r="L103" i="51"/>
  <c r="H103" i="51"/>
  <c r="J103" i="51"/>
  <c r="M101" i="51"/>
  <c r="M32" i="51"/>
  <c r="M112" i="51"/>
  <c r="J153" i="51"/>
  <c r="L153" i="51"/>
  <c r="H153" i="51"/>
  <c r="H89" i="51"/>
  <c r="J89" i="51"/>
  <c r="L89" i="51"/>
  <c r="J118" i="51"/>
  <c r="L118" i="51"/>
  <c r="H118" i="51"/>
  <c r="M38" i="51"/>
  <c r="M106" i="51"/>
  <c r="H113" i="51"/>
  <c r="J113" i="51"/>
  <c r="L113" i="51"/>
  <c r="M80" i="51"/>
  <c r="M150" i="51"/>
  <c r="M144" i="51"/>
  <c r="L137" i="51"/>
  <c r="H137" i="51"/>
  <c r="J137" i="51"/>
  <c r="J139" i="51"/>
  <c r="L139" i="51"/>
  <c r="H139" i="51"/>
  <c r="H81" i="51"/>
  <c r="J81" i="51"/>
  <c r="L81" i="51"/>
  <c r="H146" i="51"/>
  <c r="J146" i="51"/>
  <c r="L146" i="51"/>
  <c r="M135" i="51"/>
  <c r="J108" i="51"/>
  <c r="L108" i="51"/>
  <c r="H108" i="51"/>
  <c r="M43" i="50"/>
  <c r="M46" i="50"/>
  <c r="M20" i="50"/>
  <c r="M18" i="50"/>
  <c r="M29" i="50"/>
  <c r="M50" i="50"/>
  <c r="M17" i="50"/>
  <c r="M35" i="50"/>
  <c r="J37" i="50"/>
  <c r="M10" i="50"/>
  <c r="M33" i="50"/>
  <c r="M19" i="50"/>
  <c r="M30" i="50"/>
  <c r="M27" i="50"/>
  <c r="M13" i="50"/>
  <c r="M48" i="50"/>
  <c r="M22" i="50"/>
  <c r="M51" i="50"/>
  <c r="M32" i="50"/>
  <c r="M49" i="50"/>
  <c r="M34" i="50"/>
  <c r="M28" i="50"/>
  <c r="M23" i="50"/>
  <c r="M24" i="50"/>
  <c r="M36" i="50"/>
  <c r="L37" i="50"/>
  <c r="M9" i="50"/>
  <c r="M8" i="50"/>
  <c r="L40" i="50"/>
  <c r="J40" i="50"/>
  <c r="H40" i="50"/>
  <c r="L38" i="50"/>
  <c r="J38" i="50"/>
  <c r="H38" i="50"/>
  <c r="M297" i="53" l="1"/>
  <c r="M298" i="53" s="1"/>
  <c r="M222" i="36"/>
  <c r="M145" i="36"/>
  <c r="M99" i="36"/>
  <c r="M189" i="36"/>
  <c r="M223" i="36"/>
  <c r="M190" i="36"/>
  <c r="M221" i="36"/>
  <c r="L191" i="36"/>
  <c r="J191" i="36"/>
  <c r="H191" i="36"/>
  <c r="M98" i="51"/>
  <c r="M183" i="44"/>
  <c r="M180" i="44"/>
  <c r="M181" i="44"/>
  <c r="M191" i="44"/>
  <c r="M182" i="44"/>
  <c r="M187" i="44"/>
  <c r="M184" i="44"/>
  <c r="M190" i="44"/>
  <c r="M189" i="44"/>
  <c r="M188" i="44"/>
  <c r="M185" i="44"/>
  <c r="M179" i="48"/>
  <c r="M25" i="50"/>
  <c r="M172" i="48"/>
  <c r="M97" i="51"/>
  <c r="M199" i="48"/>
  <c r="M41" i="50"/>
  <c r="M110" i="51"/>
  <c r="M103" i="51"/>
  <c r="M89" i="51"/>
  <c r="M119" i="51"/>
  <c r="M81" i="51"/>
  <c r="M118" i="51"/>
  <c r="M175" i="48"/>
  <c r="M178" i="48"/>
  <c r="M170" i="48"/>
  <c r="M169" i="48"/>
  <c r="M36" i="48"/>
  <c r="M180" i="48"/>
  <c r="M177" i="48"/>
  <c r="M171" i="48"/>
  <c r="M168" i="48"/>
  <c r="M174" i="48"/>
  <c r="M176" i="48"/>
  <c r="M153" i="51"/>
  <c r="M111" i="51"/>
  <c r="M146" i="51"/>
  <c r="M94" i="51"/>
  <c r="M139" i="51"/>
  <c r="M35" i="51"/>
  <c r="M136" i="51"/>
  <c r="M140" i="51"/>
  <c r="M108" i="51"/>
  <c r="M137" i="51"/>
  <c r="J173" i="51"/>
  <c r="L173" i="51"/>
  <c r="H173" i="51"/>
  <c r="M174" i="51" s="1"/>
  <c r="M96" i="51"/>
  <c r="M113" i="51"/>
  <c r="J52" i="50"/>
  <c r="H52" i="50"/>
  <c r="M53" i="50" s="1"/>
  <c r="L52" i="50"/>
  <c r="M37" i="50"/>
  <c r="M40" i="50"/>
  <c r="M38" i="50"/>
  <c r="M299" i="53" l="1"/>
  <c r="M300" i="53" s="1"/>
  <c r="M191" i="36"/>
  <c r="M173" i="51"/>
  <c r="M52" i="50"/>
  <c r="E3" i="53" l="1"/>
  <c r="D6" i="52"/>
  <c r="M175" i="51"/>
  <c r="M176" i="51" s="1"/>
  <c r="M54" i="50"/>
  <c r="M55" i="50" s="1"/>
  <c r="D9" i="52" l="1"/>
  <c r="G6" i="52"/>
  <c r="G9" i="52" s="1"/>
  <c r="D20" i="4" s="1"/>
  <c r="H20" i="4"/>
  <c r="M177" i="51"/>
  <c r="M178" i="51" s="1"/>
  <c r="M56" i="50"/>
  <c r="M57" i="50" s="1"/>
  <c r="M179" i="51" l="1"/>
  <c r="D19" i="4" s="1"/>
  <c r="H19" i="4" s="1"/>
  <c r="M58" i="50"/>
  <c r="M62" i="50" s="1"/>
  <c r="D7" i="49" s="1"/>
  <c r="G7" i="49" s="1"/>
  <c r="F160" i="48" l="1"/>
  <c r="A161" i="48"/>
  <c r="A162" i="48" s="1"/>
  <c r="A163" i="48" s="1"/>
  <c r="A164" i="48" s="1"/>
  <c r="A165" i="48" s="1"/>
  <c r="F147" i="48"/>
  <c r="F143" i="48"/>
  <c r="E143" i="48"/>
  <c r="F129" i="48"/>
  <c r="F123" i="48"/>
  <c r="F117" i="48"/>
  <c r="F112" i="48"/>
  <c r="F104" i="48"/>
  <c r="F100" i="48"/>
  <c r="E116" i="48"/>
  <c r="E115" i="48"/>
  <c r="E114" i="48"/>
  <c r="E113" i="48"/>
  <c r="A113" i="48"/>
  <c r="A114" i="48" s="1"/>
  <c r="A115" i="48" s="1"/>
  <c r="A116" i="48" s="1"/>
  <c r="E110" i="48"/>
  <c r="E109" i="48"/>
  <c r="A105" i="48"/>
  <c r="A106" i="48" s="1"/>
  <c r="A107" i="48" s="1"/>
  <c r="A108" i="48" s="1"/>
  <c r="A109" i="48" s="1"/>
  <c r="A110" i="48" s="1"/>
  <c r="A111" i="48" s="1"/>
  <c r="A101" i="48"/>
  <c r="A102" i="48" s="1"/>
  <c r="A103" i="48" s="1"/>
  <c r="F83" i="48"/>
  <c r="F78" i="48"/>
  <c r="F218" i="48"/>
  <c r="E217" i="48"/>
  <c r="F217" i="48" s="1"/>
  <c r="E216" i="48"/>
  <c r="F216" i="48" s="1"/>
  <c r="F215" i="48"/>
  <c r="F214" i="48"/>
  <c r="F213" i="48"/>
  <c r="A213" i="48"/>
  <c r="A214" i="48" s="1"/>
  <c r="A215" i="48" s="1"/>
  <c r="A216" i="48" s="1"/>
  <c r="A217" i="48" s="1"/>
  <c r="A218" i="48" s="1"/>
  <c r="A207" i="48"/>
  <c r="A208" i="48" s="1"/>
  <c r="A209" i="48" s="1"/>
  <c r="A210" i="48" s="1"/>
  <c r="A211" i="48" s="1"/>
  <c r="F211" i="48"/>
  <c r="A200" i="48"/>
  <c r="A201" i="48" s="1"/>
  <c r="A202" i="48" s="1"/>
  <c r="A203" i="48" s="1"/>
  <c r="A204" i="48" s="1"/>
  <c r="A205" i="48" s="1"/>
  <c r="F198" i="48"/>
  <c r="F197" i="48"/>
  <c r="F196" i="48"/>
  <c r="F195" i="48"/>
  <c r="A195" i="48"/>
  <c r="A196" i="48" s="1"/>
  <c r="A197" i="48" s="1"/>
  <c r="A198" i="48" s="1"/>
  <c r="A191" i="48"/>
  <c r="A192" i="48" s="1"/>
  <c r="A193" i="48" s="1"/>
  <c r="A182" i="48"/>
  <c r="A183" i="48" s="1"/>
  <c r="A184" i="48" s="1"/>
  <c r="A185" i="48" s="1"/>
  <c r="A186" i="48" s="1"/>
  <c r="A187" i="48" s="1"/>
  <c r="A188" i="48" s="1"/>
  <c r="A154" i="48"/>
  <c r="A155" i="48" s="1"/>
  <c r="A156" i="48" s="1"/>
  <c r="A157" i="48" s="1"/>
  <c r="A158" i="48" s="1"/>
  <c r="A148" i="48"/>
  <c r="A149" i="48" s="1"/>
  <c r="A150" i="48" s="1"/>
  <c r="A151" i="48" s="1"/>
  <c r="A152" i="48" s="1"/>
  <c r="A144" i="48"/>
  <c r="A145" i="48" s="1"/>
  <c r="A146" i="48" s="1"/>
  <c r="E133" i="48"/>
  <c r="A130" i="48"/>
  <c r="A131" i="48" s="1"/>
  <c r="A132" i="48" s="1"/>
  <c r="A133" i="48" s="1"/>
  <c r="A134" i="48" s="1"/>
  <c r="A124" i="48"/>
  <c r="A125" i="48" s="1"/>
  <c r="A126" i="48" s="1"/>
  <c r="A127" i="48" s="1"/>
  <c r="A128" i="48" s="1"/>
  <c r="A118" i="48"/>
  <c r="A119" i="48" s="1"/>
  <c r="A120" i="48" s="1"/>
  <c r="A121" i="48" s="1"/>
  <c r="A122" i="48" s="1"/>
  <c r="E97" i="48"/>
  <c r="A94" i="48"/>
  <c r="A95" i="48" s="1"/>
  <c r="A96" i="48" s="1"/>
  <c r="A97" i="48" s="1"/>
  <c r="A98" i="48" s="1"/>
  <c r="A89" i="48"/>
  <c r="A90" i="48" s="1"/>
  <c r="A91" i="48" s="1"/>
  <c r="A92" i="48" s="1"/>
  <c r="A84" i="48"/>
  <c r="A85" i="48" s="1"/>
  <c r="A86" i="48" s="1"/>
  <c r="A87" i="48" s="1"/>
  <c r="A79" i="48"/>
  <c r="A80" i="48" s="1"/>
  <c r="A81" i="48" s="1"/>
  <c r="A82" i="48" s="1"/>
  <c r="F76" i="48"/>
  <c r="F75" i="48"/>
  <c r="F74" i="48"/>
  <c r="F73" i="48"/>
  <c r="F72" i="48"/>
  <c r="F71" i="48"/>
  <c r="F70" i="48"/>
  <c r="F69" i="48"/>
  <c r="F68" i="48"/>
  <c r="A68" i="48"/>
  <c r="A69" i="48" s="1"/>
  <c r="A70" i="48" s="1"/>
  <c r="A71" i="48" s="1"/>
  <c r="A72" i="48" s="1"/>
  <c r="A73" i="48" s="1"/>
  <c r="A74" i="48" s="1"/>
  <c r="A75" i="48" s="1"/>
  <c r="A76" i="48" s="1"/>
  <c r="F66" i="48"/>
  <c r="E65" i="48"/>
  <c r="F65" i="48" s="1"/>
  <c r="F64" i="48"/>
  <c r="F63" i="48"/>
  <c r="F62" i="48"/>
  <c r="A62" i="48"/>
  <c r="A63" i="48" s="1"/>
  <c r="A64" i="48" s="1"/>
  <c r="A65" i="48" s="1"/>
  <c r="A66" i="48" s="1"/>
  <c r="F59" i="48"/>
  <c r="F58" i="48"/>
  <c r="F57" i="48"/>
  <c r="F56" i="48"/>
  <c r="F55" i="48"/>
  <c r="F54" i="48"/>
  <c r="F53" i="48"/>
  <c r="F52" i="48"/>
  <c r="F51" i="48"/>
  <c r="F50" i="48"/>
  <c r="A50" i="48"/>
  <c r="A51" i="48" s="1"/>
  <c r="A52" i="48" s="1"/>
  <c r="A53" i="48" s="1"/>
  <c r="A54" i="48" s="1"/>
  <c r="A55" i="48" s="1"/>
  <c r="A56" i="48" s="1"/>
  <c r="A57" i="48" s="1"/>
  <c r="A58" i="48" s="1"/>
  <c r="A59" i="48" s="1"/>
  <c r="F48" i="48"/>
  <c r="F47" i="48"/>
  <c r="F46" i="48"/>
  <c r="F45" i="48"/>
  <c r="F44" i="48"/>
  <c r="F41" i="48"/>
  <c r="F40" i="48"/>
  <c r="F39" i="48"/>
  <c r="A39" i="48"/>
  <c r="A40" i="48" s="1"/>
  <c r="A41" i="48" s="1"/>
  <c r="A42" i="48" s="1"/>
  <c r="A43" i="48" s="1"/>
  <c r="A44" i="48" s="1"/>
  <c r="A45" i="48" s="1"/>
  <c r="A46" i="48" s="1"/>
  <c r="A47" i="48" s="1"/>
  <c r="A48" i="48" s="1"/>
  <c r="F19" i="48"/>
  <c r="F18" i="48"/>
  <c r="F17" i="48"/>
  <c r="A17" i="48"/>
  <c r="A18" i="48" s="1"/>
  <c r="A19" i="48" s="1"/>
  <c r="E14" i="48"/>
  <c r="A14" i="48"/>
  <c r="F13" i="48"/>
  <c r="A12" i="48"/>
  <c r="F11" i="48"/>
  <c r="F10" i="48"/>
  <c r="A10" i="48"/>
  <c r="L9" i="48"/>
  <c r="J9" i="48"/>
  <c r="F8" i="46"/>
  <c r="F37" i="46"/>
  <c r="F36" i="46"/>
  <c r="F35" i="46"/>
  <c r="A35" i="46"/>
  <c r="A36" i="46" s="1"/>
  <c r="A37" i="46" s="1"/>
  <c r="F33" i="46"/>
  <c r="E32" i="46"/>
  <c r="F32" i="46" s="1"/>
  <c r="F31" i="46"/>
  <c r="A31" i="46"/>
  <c r="A32" i="46" s="1"/>
  <c r="A33" i="46" s="1"/>
  <c r="F29" i="46"/>
  <c r="F28" i="46"/>
  <c r="F27" i="46"/>
  <c r="A27" i="46"/>
  <c r="A28" i="46" s="1"/>
  <c r="A29" i="46" s="1"/>
  <c r="F24" i="46"/>
  <c r="D25" i="46"/>
  <c r="D24" i="46"/>
  <c r="A22" i="46"/>
  <c r="A23" i="46" s="1"/>
  <c r="A24" i="46" s="1"/>
  <c r="A25" i="46" s="1"/>
  <c r="F23" i="46"/>
  <c r="F19" i="46"/>
  <c r="F18" i="46"/>
  <c r="A18" i="46"/>
  <c r="A19" i="46" s="1"/>
  <c r="A20" i="46" s="1"/>
  <c r="F15" i="46"/>
  <c r="F14" i="46"/>
  <c r="A14" i="46"/>
  <c r="A15" i="46" s="1"/>
  <c r="A16" i="46" s="1"/>
  <c r="F22" i="45"/>
  <c r="H11" i="45"/>
  <c r="H12" i="45"/>
  <c r="H13" i="45"/>
  <c r="H14" i="45"/>
  <c r="H15" i="45"/>
  <c r="H16" i="45"/>
  <c r="H17" i="45"/>
  <c r="H25" i="45"/>
  <c r="H26" i="45"/>
  <c r="H27" i="45"/>
  <c r="H28" i="45"/>
  <c r="H29" i="45"/>
  <c r="H33" i="45"/>
  <c r="H36" i="45"/>
  <c r="H40" i="45"/>
  <c r="H41" i="45"/>
  <c r="H45" i="45"/>
  <c r="H46" i="45"/>
  <c r="H50" i="45"/>
  <c r="H51" i="45"/>
  <c r="H52" i="45"/>
  <c r="H55" i="45"/>
  <c r="H56" i="45"/>
  <c r="H59" i="45"/>
  <c r="H60" i="45"/>
  <c r="H61" i="45"/>
  <c r="H63" i="45"/>
  <c r="H69" i="45"/>
  <c r="J11" i="45"/>
  <c r="J12" i="45"/>
  <c r="J13" i="45"/>
  <c r="J14" i="45"/>
  <c r="J15" i="45"/>
  <c r="J16" i="45"/>
  <c r="J17" i="45"/>
  <c r="J25" i="45"/>
  <c r="J26" i="45"/>
  <c r="J27" i="45"/>
  <c r="J28" i="45"/>
  <c r="J29" i="45"/>
  <c r="J33" i="45"/>
  <c r="J36" i="45"/>
  <c r="J40" i="45"/>
  <c r="J41" i="45"/>
  <c r="J45" i="45"/>
  <c r="J46" i="45"/>
  <c r="J50" i="45"/>
  <c r="J51" i="45"/>
  <c r="J52" i="45"/>
  <c r="J55" i="45"/>
  <c r="J56" i="45"/>
  <c r="J59" i="45"/>
  <c r="J60" i="45"/>
  <c r="J61" i="45"/>
  <c r="J63" i="45"/>
  <c r="J69" i="45"/>
  <c r="L11" i="45"/>
  <c r="L12" i="45"/>
  <c r="L13" i="45"/>
  <c r="L14" i="45"/>
  <c r="L15" i="45"/>
  <c r="L16" i="45"/>
  <c r="L17" i="45"/>
  <c r="L25" i="45"/>
  <c r="L26" i="45"/>
  <c r="L27" i="45"/>
  <c r="L28" i="45"/>
  <c r="L29" i="45"/>
  <c r="L33" i="45"/>
  <c r="L36" i="45"/>
  <c r="L40" i="45"/>
  <c r="L41" i="45"/>
  <c r="L45" i="45"/>
  <c r="L46" i="45"/>
  <c r="L50" i="45"/>
  <c r="L51" i="45"/>
  <c r="L52" i="45"/>
  <c r="L55" i="45"/>
  <c r="L56" i="45"/>
  <c r="L59" i="45"/>
  <c r="L60" i="45"/>
  <c r="L61" i="45"/>
  <c r="L63" i="45"/>
  <c r="L69" i="45"/>
  <c r="F70" i="45"/>
  <c r="A66" i="45"/>
  <c r="A67" i="45" s="1"/>
  <c r="A68" i="45" s="1"/>
  <c r="F54" i="45"/>
  <c r="F53" i="45"/>
  <c r="A53" i="45"/>
  <c r="A54" i="45" s="1"/>
  <c r="A55" i="45" s="1"/>
  <c r="J53" i="45" l="1"/>
  <c r="F81" i="48"/>
  <c r="F134" i="48"/>
  <c r="F144" i="48"/>
  <c r="F164" i="48"/>
  <c r="F185" i="48"/>
  <c r="F182" i="48"/>
  <c r="F187" i="48"/>
  <c r="F184" i="48"/>
  <c r="F183" i="48"/>
  <c r="F186" i="48"/>
  <c r="F188" i="48"/>
  <c r="J22" i="45"/>
  <c r="F161" i="48"/>
  <c r="F163" i="48"/>
  <c r="M41" i="45"/>
  <c r="M28" i="45"/>
  <c r="M40" i="45"/>
  <c r="H53" i="45"/>
  <c r="F121" i="48"/>
  <c r="H117" i="48"/>
  <c r="J117" i="48"/>
  <c r="L117" i="48"/>
  <c r="H123" i="48"/>
  <c r="J123" i="48"/>
  <c r="L123" i="48"/>
  <c r="L36" i="46"/>
  <c r="H36" i="46"/>
  <c r="J36" i="46"/>
  <c r="H129" i="48"/>
  <c r="J129" i="48"/>
  <c r="L129" i="48"/>
  <c r="L24" i="46"/>
  <c r="H24" i="46"/>
  <c r="J24" i="46"/>
  <c r="L37" i="46"/>
  <c r="H37" i="46"/>
  <c r="J37" i="46"/>
  <c r="L143" i="48"/>
  <c r="H143" i="48"/>
  <c r="J143" i="48"/>
  <c r="M27" i="45"/>
  <c r="L22" i="45"/>
  <c r="M60" i="45"/>
  <c r="J27" i="46"/>
  <c r="L27" i="46"/>
  <c r="H27" i="46"/>
  <c r="H53" i="48"/>
  <c r="J53" i="48"/>
  <c r="L53" i="48"/>
  <c r="F150" i="48"/>
  <c r="L147" i="48"/>
  <c r="H147" i="48"/>
  <c r="J147" i="48"/>
  <c r="L70" i="45"/>
  <c r="M51" i="45"/>
  <c r="L14" i="46"/>
  <c r="H14" i="46"/>
  <c r="J14" i="46"/>
  <c r="J28" i="46"/>
  <c r="L28" i="46"/>
  <c r="H28" i="46"/>
  <c r="H54" i="48"/>
  <c r="J54" i="48"/>
  <c r="L54" i="48"/>
  <c r="M46" i="45"/>
  <c r="M33" i="45"/>
  <c r="M29" i="45"/>
  <c r="H22" i="45"/>
  <c r="J15" i="46"/>
  <c r="L15" i="46"/>
  <c r="H15" i="46"/>
  <c r="J29" i="46"/>
  <c r="L29" i="46"/>
  <c r="H29" i="46"/>
  <c r="H11" i="48"/>
  <c r="J11" i="48"/>
  <c r="L11" i="48"/>
  <c r="L35" i="46"/>
  <c r="H35" i="46"/>
  <c r="J35" i="46"/>
  <c r="M16" i="45"/>
  <c r="J18" i="46"/>
  <c r="L18" i="46"/>
  <c r="H18" i="46"/>
  <c r="H31" i="46"/>
  <c r="J31" i="46"/>
  <c r="L31" i="46"/>
  <c r="H13" i="48"/>
  <c r="J13" i="48"/>
  <c r="L13" i="48"/>
  <c r="L78" i="48"/>
  <c r="H78" i="48"/>
  <c r="J78" i="48"/>
  <c r="F103" i="48"/>
  <c r="J100" i="48"/>
  <c r="L100" i="48"/>
  <c r="H100" i="48"/>
  <c r="H54" i="45"/>
  <c r="H19" i="46"/>
  <c r="J19" i="46"/>
  <c r="L19" i="46"/>
  <c r="H32" i="46"/>
  <c r="J32" i="46"/>
  <c r="L32" i="46"/>
  <c r="F149" i="48"/>
  <c r="L83" i="48"/>
  <c r="H83" i="48"/>
  <c r="J83" i="48"/>
  <c r="F105" i="48"/>
  <c r="J104" i="48"/>
  <c r="H104" i="48"/>
  <c r="L104" i="48"/>
  <c r="F162" i="48"/>
  <c r="L160" i="48"/>
  <c r="J160" i="48"/>
  <c r="H160" i="48"/>
  <c r="L53" i="45"/>
  <c r="L23" i="46"/>
  <c r="H23" i="46"/>
  <c r="J23" i="46"/>
  <c r="H33" i="46"/>
  <c r="J33" i="46"/>
  <c r="L33" i="46"/>
  <c r="F151" i="48"/>
  <c r="H112" i="48"/>
  <c r="J112" i="48"/>
  <c r="L112" i="48"/>
  <c r="H181" i="48"/>
  <c r="J181" i="48"/>
  <c r="L181" i="48"/>
  <c r="M13" i="45"/>
  <c r="M15" i="45"/>
  <c r="H48" i="48"/>
  <c r="L48" i="48"/>
  <c r="J48" i="48"/>
  <c r="H73" i="48"/>
  <c r="J73" i="48"/>
  <c r="L73" i="48"/>
  <c r="L218" i="48"/>
  <c r="J218" i="48"/>
  <c r="H218" i="48"/>
  <c r="L211" i="48"/>
  <c r="J211" i="48"/>
  <c r="H211" i="48"/>
  <c r="L19" i="48"/>
  <c r="H19" i="48"/>
  <c r="J19" i="48"/>
  <c r="H51" i="48"/>
  <c r="J51" i="48"/>
  <c r="L51" i="48"/>
  <c r="L64" i="48"/>
  <c r="H64" i="48"/>
  <c r="J64" i="48"/>
  <c r="L76" i="48"/>
  <c r="H76" i="48"/>
  <c r="J76" i="48"/>
  <c r="H134" i="48"/>
  <c r="L134" i="48"/>
  <c r="J134" i="48"/>
  <c r="H74" i="48"/>
  <c r="J74" i="48"/>
  <c r="L74" i="48"/>
  <c r="L63" i="48"/>
  <c r="H63" i="48"/>
  <c r="J63" i="48"/>
  <c r="H39" i="48"/>
  <c r="J39" i="48"/>
  <c r="L39" i="48"/>
  <c r="H66" i="48"/>
  <c r="L66" i="48"/>
  <c r="J66" i="48"/>
  <c r="H213" i="48"/>
  <c r="J213" i="48"/>
  <c r="L213" i="48"/>
  <c r="H17" i="48"/>
  <c r="J17" i="48"/>
  <c r="L17" i="48"/>
  <c r="L62" i="48"/>
  <c r="H62" i="48"/>
  <c r="J62" i="48"/>
  <c r="H50" i="48"/>
  <c r="J50" i="48"/>
  <c r="L50" i="48"/>
  <c r="L10" i="48"/>
  <c r="L40" i="48"/>
  <c r="H40" i="48"/>
  <c r="J40" i="48"/>
  <c r="H214" i="48"/>
  <c r="J214" i="48"/>
  <c r="L214" i="48"/>
  <c r="L18" i="48"/>
  <c r="H18" i="48"/>
  <c r="J18" i="48"/>
  <c r="H75" i="48"/>
  <c r="J75" i="48"/>
  <c r="L75" i="48"/>
  <c r="H52" i="48"/>
  <c r="J52" i="48"/>
  <c r="L52" i="48"/>
  <c r="H65" i="48"/>
  <c r="L65" i="48"/>
  <c r="J65" i="48"/>
  <c r="L41" i="48"/>
  <c r="H41" i="48"/>
  <c r="J41" i="48"/>
  <c r="L55" i="48"/>
  <c r="H55" i="48"/>
  <c r="J55" i="48"/>
  <c r="H68" i="48"/>
  <c r="J68" i="48"/>
  <c r="L68" i="48"/>
  <c r="J144" i="48"/>
  <c r="L144" i="48"/>
  <c r="H215" i="48"/>
  <c r="J215" i="48"/>
  <c r="L215" i="48"/>
  <c r="H198" i="48"/>
  <c r="J198" i="48"/>
  <c r="L198" i="48"/>
  <c r="L44" i="48"/>
  <c r="H44" i="48"/>
  <c r="J44" i="48"/>
  <c r="L56" i="48"/>
  <c r="H56" i="48"/>
  <c r="J56" i="48"/>
  <c r="L69" i="48"/>
  <c r="H69" i="48"/>
  <c r="J69" i="48"/>
  <c r="H164" i="48"/>
  <c r="J70" i="48"/>
  <c r="L70" i="48"/>
  <c r="H70" i="48"/>
  <c r="J196" i="48"/>
  <c r="L196" i="48"/>
  <c r="H196" i="48"/>
  <c r="L45" i="48"/>
  <c r="H45" i="48"/>
  <c r="J45" i="48"/>
  <c r="L57" i="48"/>
  <c r="H57" i="48"/>
  <c r="J57" i="48"/>
  <c r="L195" i="48"/>
  <c r="H195" i="48"/>
  <c r="J195" i="48"/>
  <c r="L216" i="48"/>
  <c r="H216" i="48"/>
  <c r="J216" i="48"/>
  <c r="J46" i="48"/>
  <c r="L46" i="48"/>
  <c r="H46" i="48"/>
  <c r="J58" i="48"/>
  <c r="L58" i="48"/>
  <c r="H58" i="48"/>
  <c r="J71" i="48"/>
  <c r="L71" i="48"/>
  <c r="H71" i="48"/>
  <c r="L47" i="48"/>
  <c r="J47" i="48"/>
  <c r="H47" i="48"/>
  <c r="J59" i="48"/>
  <c r="L59" i="48"/>
  <c r="H59" i="48"/>
  <c r="H72" i="48"/>
  <c r="J72" i="48"/>
  <c r="L72" i="48"/>
  <c r="J197" i="48"/>
  <c r="L197" i="48"/>
  <c r="H197" i="48"/>
  <c r="L217" i="48"/>
  <c r="H217" i="48"/>
  <c r="J217" i="48"/>
  <c r="F153" i="48"/>
  <c r="F113" i="48"/>
  <c r="F114" i="48"/>
  <c r="F165" i="48"/>
  <c r="F109" i="48"/>
  <c r="F82" i="48"/>
  <c r="F148" i="48"/>
  <c r="F152" i="48"/>
  <c r="F110" i="48"/>
  <c r="F79" i="48"/>
  <c r="F202" i="48"/>
  <c r="F88" i="48"/>
  <c r="F116" i="48"/>
  <c r="F130" i="48"/>
  <c r="F132" i="48"/>
  <c r="F133" i="48"/>
  <c r="F125" i="48"/>
  <c r="F193" i="48"/>
  <c r="F126" i="48"/>
  <c r="F200" i="48"/>
  <c r="F205" i="48"/>
  <c r="F102" i="48"/>
  <c r="F115" i="48"/>
  <c r="F101" i="48"/>
  <c r="F14" i="48"/>
  <c r="F124" i="48"/>
  <c r="F131" i="48"/>
  <c r="F208" i="48"/>
  <c r="F127" i="48"/>
  <c r="F210" i="48"/>
  <c r="F111" i="48"/>
  <c r="F118" i="48"/>
  <c r="F128" i="48"/>
  <c r="F145" i="48"/>
  <c r="F203" i="48"/>
  <c r="F146" i="48"/>
  <c r="F204" i="48"/>
  <c r="H10" i="48"/>
  <c r="F191" i="48"/>
  <c r="F107" i="48"/>
  <c r="F106" i="48"/>
  <c r="F108" i="48"/>
  <c r="F119" i="48"/>
  <c r="M9" i="48"/>
  <c r="F12" i="48"/>
  <c r="F120" i="48"/>
  <c r="J10" i="48"/>
  <c r="F201" i="48"/>
  <c r="F122" i="48"/>
  <c r="F87" i="48"/>
  <c r="F85" i="48"/>
  <c r="F86" i="48"/>
  <c r="F84" i="48"/>
  <c r="F80" i="48"/>
  <c r="F192" i="48"/>
  <c r="F207" i="48"/>
  <c r="F209" i="48"/>
  <c r="F22" i="46"/>
  <c r="M52" i="45"/>
  <c r="M36" i="45"/>
  <c r="L54" i="45"/>
  <c r="M59" i="45"/>
  <c r="M45" i="45"/>
  <c r="M55" i="45"/>
  <c r="J54" i="45"/>
  <c r="M17" i="45"/>
  <c r="M14" i="45"/>
  <c r="M61" i="45"/>
  <c r="M50" i="45"/>
  <c r="M26" i="45"/>
  <c r="M12" i="45"/>
  <c r="M25" i="45"/>
  <c r="J70" i="45"/>
  <c r="H70" i="45"/>
  <c r="M56" i="45"/>
  <c r="M69" i="45"/>
  <c r="M63" i="45"/>
  <c r="M11" i="45"/>
  <c r="H144" i="48" l="1"/>
  <c r="H81" i="48"/>
  <c r="L81" i="48"/>
  <c r="J188" i="48"/>
  <c r="J186" i="48"/>
  <c r="J164" i="48"/>
  <c r="L164" i="48"/>
  <c r="J81" i="48"/>
  <c r="J150" i="48"/>
  <c r="H105" i="48"/>
  <c r="L185" i="48"/>
  <c r="H103" i="48"/>
  <c r="H161" i="48"/>
  <c r="L149" i="48"/>
  <c r="H187" i="48"/>
  <c r="J187" i="48"/>
  <c r="L121" i="48"/>
  <c r="L187" i="48"/>
  <c r="L182" i="48"/>
  <c r="L151" i="48"/>
  <c r="J151" i="48"/>
  <c r="H151" i="48"/>
  <c r="H185" i="48"/>
  <c r="J185" i="48"/>
  <c r="H186" i="48"/>
  <c r="L163" i="48"/>
  <c r="H188" i="48"/>
  <c r="J162" i="48"/>
  <c r="J161" i="48"/>
  <c r="L162" i="48"/>
  <c r="H162" i="48"/>
  <c r="L161" i="48"/>
  <c r="L188" i="48"/>
  <c r="M53" i="45"/>
  <c r="J184" i="48"/>
  <c r="H150" i="48"/>
  <c r="J149" i="48"/>
  <c r="L150" i="48"/>
  <c r="H149" i="48"/>
  <c r="H182" i="48"/>
  <c r="J182" i="48"/>
  <c r="H184" i="48"/>
  <c r="L184" i="48"/>
  <c r="L186" i="48"/>
  <c r="M29" i="46"/>
  <c r="M27" i="46"/>
  <c r="J163" i="48"/>
  <c r="L105" i="48"/>
  <c r="H163" i="48"/>
  <c r="J121" i="48"/>
  <c r="J105" i="48"/>
  <c r="H121" i="48"/>
  <c r="M211" i="48"/>
  <c r="L103" i="48"/>
  <c r="J103" i="48"/>
  <c r="M213" i="48"/>
  <c r="M22" i="45"/>
  <c r="M100" i="48"/>
  <c r="M217" i="48"/>
  <c r="M83" i="48"/>
  <c r="M15" i="46"/>
  <c r="M28" i="46"/>
  <c r="M160" i="48"/>
  <c r="M55" i="48"/>
  <c r="M218" i="48"/>
  <c r="M181" i="48"/>
  <c r="M23" i="46"/>
  <c r="M104" i="48"/>
  <c r="M78" i="48"/>
  <c r="M37" i="46"/>
  <c r="M36" i="46"/>
  <c r="M59" i="48"/>
  <c r="M58" i="48"/>
  <c r="M144" i="48"/>
  <c r="M19" i="46"/>
  <c r="M54" i="48"/>
  <c r="M147" i="48"/>
  <c r="M24" i="46"/>
  <c r="M112" i="48"/>
  <c r="M13" i="48"/>
  <c r="M35" i="46"/>
  <c r="M123" i="48"/>
  <c r="H22" i="46"/>
  <c r="J22" i="46"/>
  <c r="L22" i="46"/>
  <c r="M143" i="48"/>
  <c r="M39" i="48"/>
  <c r="M51" i="48"/>
  <c r="M14" i="46"/>
  <c r="M129" i="48"/>
  <c r="M70" i="45"/>
  <c r="M197" i="48"/>
  <c r="M71" i="48"/>
  <c r="M75" i="48"/>
  <c r="M33" i="46"/>
  <c r="M31" i="46"/>
  <c r="M117" i="48"/>
  <c r="M54" i="45"/>
  <c r="M32" i="46"/>
  <c r="M18" i="46"/>
  <c r="M11" i="48"/>
  <c r="M53" i="48"/>
  <c r="M66" i="48"/>
  <c r="M64" i="48"/>
  <c r="M47" i="48"/>
  <c r="M46" i="48"/>
  <c r="M196" i="48"/>
  <c r="M70" i="48"/>
  <c r="M48" i="48"/>
  <c r="L87" i="48"/>
  <c r="H87" i="48"/>
  <c r="J87" i="48"/>
  <c r="H127" i="48"/>
  <c r="J127" i="48"/>
  <c r="L127" i="48"/>
  <c r="J200" i="48"/>
  <c r="L200" i="48"/>
  <c r="H200" i="48"/>
  <c r="H152" i="48"/>
  <c r="L152" i="48"/>
  <c r="J152" i="48"/>
  <c r="M72" i="48"/>
  <c r="M198" i="48"/>
  <c r="M62" i="48"/>
  <c r="H148" i="48"/>
  <c r="J148" i="48"/>
  <c r="L148" i="48"/>
  <c r="M214" i="48"/>
  <c r="H193" i="48"/>
  <c r="L193" i="48"/>
  <c r="J193" i="48"/>
  <c r="J82" i="48"/>
  <c r="L82" i="48"/>
  <c r="H82" i="48"/>
  <c r="M69" i="48"/>
  <c r="L110" i="48"/>
  <c r="H110" i="48"/>
  <c r="J110" i="48"/>
  <c r="L209" i="48"/>
  <c r="J209" i="48"/>
  <c r="H209" i="48"/>
  <c r="L204" i="48"/>
  <c r="H204" i="48"/>
  <c r="J204" i="48"/>
  <c r="J208" i="48"/>
  <c r="L208" i="48"/>
  <c r="H208" i="48"/>
  <c r="J125" i="48"/>
  <c r="L125" i="48"/>
  <c r="H125" i="48"/>
  <c r="L109" i="48"/>
  <c r="H109" i="48"/>
  <c r="J109" i="48"/>
  <c r="M76" i="48"/>
  <c r="M68" i="48"/>
  <c r="M63" i="48"/>
  <c r="H201" i="48"/>
  <c r="J201" i="48"/>
  <c r="L201" i="48"/>
  <c r="L207" i="48"/>
  <c r="H207" i="48"/>
  <c r="J207" i="48"/>
  <c r="H120" i="48"/>
  <c r="J120" i="48"/>
  <c r="L120" i="48"/>
  <c r="H146" i="48"/>
  <c r="J146" i="48"/>
  <c r="L146" i="48"/>
  <c r="H133" i="48"/>
  <c r="L133" i="48"/>
  <c r="J133" i="48"/>
  <c r="L165" i="48"/>
  <c r="H165" i="48"/>
  <c r="J165" i="48"/>
  <c r="M56" i="48"/>
  <c r="M17" i="48"/>
  <c r="M19" i="48"/>
  <c r="J126" i="48"/>
  <c r="L126" i="48"/>
  <c r="H126" i="48"/>
  <c r="M215" i="48"/>
  <c r="H192" i="48"/>
  <c r="L192" i="48"/>
  <c r="J192" i="48"/>
  <c r="H12" i="48"/>
  <c r="L12" i="48"/>
  <c r="J12" i="48"/>
  <c r="L203" i="48"/>
  <c r="H203" i="48"/>
  <c r="J203" i="48"/>
  <c r="L131" i="48"/>
  <c r="H131" i="48"/>
  <c r="J131" i="48"/>
  <c r="H132" i="48"/>
  <c r="L132" i="48"/>
  <c r="J132" i="48"/>
  <c r="L114" i="48"/>
  <c r="J114" i="48"/>
  <c r="H114" i="48"/>
  <c r="M65" i="48"/>
  <c r="M50" i="48"/>
  <c r="M81" i="48"/>
  <c r="M74" i="48"/>
  <c r="M73" i="48"/>
  <c r="L85" i="48"/>
  <c r="H85" i="48"/>
  <c r="J85" i="48"/>
  <c r="L80" i="48"/>
  <c r="H80" i="48"/>
  <c r="J80" i="48"/>
  <c r="J145" i="48"/>
  <c r="L145" i="48"/>
  <c r="H145" i="48"/>
  <c r="L124" i="48"/>
  <c r="H124" i="48"/>
  <c r="J124" i="48"/>
  <c r="L130" i="48"/>
  <c r="H130" i="48"/>
  <c r="J130" i="48"/>
  <c r="J113" i="48"/>
  <c r="L113" i="48"/>
  <c r="H113" i="48"/>
  <c r="M216" i="48"/>
  <c r="M57" i="48"/>
  <c r="M18" i="48"/>
  <c r="L205" i="48"/>
  <c r="H205" i="48"/>
  <c r="J205" i="48"/>
  <c r="H119" i="48"/>
  <c r="J119" i="48"/>
  <c r="L119" i="48"/>
  <c r="H14" i="48"/>
  <c r="J14" i="48"/>
  <c r="L14" i="48"/>
  <c r="H116" i="48"/>
  <c r="L116" i="48"/>
  <c r="J116" i="48"/>
  <c r="L183" i="48"/>
  <c r="H183" i="48"/>
  <c r="J183" i="48"/>
  <c r="M134" i="48"/>
  <c r="H118" i="48"/>
  <c r="J118" i="48"/>
  <c r="L118" i="48"/>
  <c r="J101" i="48"/>
  <c r="L101" i="48"/>
  <c r="H101" i="48"/>
  <c r="L88" i="48"/>
  <c r="H88" i="48"/>
  <c r="J88" i="48"/>
  <c r="L153" i="48"/>
  <c r="H153" i="48"/>
  <c r="J153" i="48"/>
  <c r="M44" i="48"/>
  <c r="M41" i="48"/>
  <c r="M40" i="48"/>
  <c r="L107" i="48"/>
  <c r="H107" i="48"/>
  <c r="J107" i="48"/>
  <c r="H191" i="48"/>
  <c r="L191" i="48"/>
  <c r="J191" i="48"/>
  <c r="H84" i="48"/>
  <c r="J84" i="48"/>
  <c r="L84" i="48"/>
  <c r="L108" i="48"/>
  <c r="H108" i="48"/>
  <c r="J108" i="48"/>
  <c r="L111" i="48"/>
  <c r="H111" i="48"/>
  <c r="J111" i="48"/>
  <c r="H115" i="48"/>
  <c r="L115" i="48"/>
  <c r="J115" i="48"/>
  <c r="L202" i="48"/>
  <c r="H202" i="48"/>
  <c r="J202" i="48"/>
  <c r="M52" i="48"/>
  <c r="H210" i="48"/>
  <c r="L210" i="48"/>
  <c r="J210" i="48"/>
  <c r="L122" i="48"/>
  <c r="H122" i="48"/>
  <c r="J122" i="48"/>
  <c r="H128" i="48"/>
  <c r="J128" i="48"/>
  <c r="L128" i="48"/>
  <c r="L86" i="48"/>
  <c r="H86" i="48"/>
  <c r="J86" i="48"/>
  <c r="H106" i="48"/>
  <c r="J106" i="48"/>
  <c r="L106" i="48"/>
  <c r="J102" i="48"/>
  <c r="L102" i="48"/>
  <c r="H102" i="48"/>
  <c r="L79" i="48"/>
  <c r="H79" i="48"/>
  <c r="J79" i="48"/>
  <c r="M195" i="48"/>
  <c r="M45" i="48"/>
  <c r="F157" i="48"/>
  <c r="F156" i="48"/>
  <c r="M10" i="48"/>
  <c r="F158" i="48"/>
  <c r="F154" i="48"/>
  <c r="F155" i="48"/>
  <c r="F91" i="48"/>
  <c r="F89" i="48"/>
  <c r="F93" i="48"/>
  <c r="F92" i="48"/>
  <c r="F90" i="48"/>
  <c r="M164" i="48" l="1"/>
  <c r="M151" i="48"/>
  <c r="M187" i="48"/>
  <c r="M185" i="48"/>
  <c r="M188" i="48"/>
  <c r="M186" i="48"/>
  <c r="M161" i="48"/>
  <c r="M162" i="48"/>
  <c r="M103" i="48"/>
  <c r="M182" i="48"/>
  <c r="M121" i="48"/>
  <c r="M149" i="48"/>
  <c r="M163" i="48"/>
  <c r="M150" i="48"/>
  <c r="M105" i="48"/>
  <c r="M184" i="48"/>
  <c r="M146" i="48"/>
  <c r="M102" i="48"/>
  <c r="M106" i="48"/>
  <c r="M101" i="48"/>
  <c r="M125" i="48"/>
  <c r="M209" i="48"/>
  <c r="M126" i="48"/>
  <c r="M115" i="48"/>
  <c r="M131" i="48"/>
  <c r="M192" i="48"/>
  <c r="M208" i="48"/>
  <c r="M22" i="46"/>
  <c r="M84" i="48"/>
  <c r="M183" i="48"/>
  <c r="M85" i="48"/>
  <c r="M152" i="48"/>
  <c r="M201" i="48"/>
  <c r="M87" i="48"/>
  <c r="M203" i="48"/>
  <c r="M148" i="48"/>
  <c r="M118" i="48"/>
  <c r="M191" i="48"/>
  <c r="M127" i="48"/>
  <c r="M132" i="48"/>
  <c r="M12" i="48"/>
  <c r="M128" i="48"/>
  <c r="M80" i="48"/>
  <c r="H158" i="48"/>
  <c r="L158" i="48"/>
  <c r="J158" i="48"/>
  <c r="M111" i="48"/>
  <c r="M88" i="48"/>
  <c r="M116" i="48"/>
  <c r="M205" i="48"/>
  <c r="M109" i="48"/>
  <c r="M204" i="48"/>
  <c r="M82" i="48"/>
  <c r="M130" i="48"/>
  <c r="M207" i="48"/>
  <c r="L155" i="48"/>
  <c r="H155" i="48"/>
  <c r="J155" i="48"/>
  <c r="L157" i="48"/>
  <c r="J157" i="48"/>
  <c r="H157" i="48"/>
  <c r="L154" i="48"/>
  <c r="H154" i="48"/>
  <c r="J154" i="48"/>
  <c r="J156" i="48"/>
  <c r="L156" i="48"/>
  <c r="H156" i="48"/>
  <c r="M79" i="48"/>
  <c r="M122" i="48"/>
  <c r="M202" i="48"/>
  <c r="M108" i="48"/>
  <c r="M114" i="48"/>
  <c r="M165" i="48"/>
  <c r="M200" i="48"/>
  <c r="M14" i="48"/>
  <c r="M124" i="48"/>
  <c r="H91" i="48"/>
  <c r="J91" i="48"/>
  <c r="L91" i="48"/>
  <c r="J90" i="48"/>
  <c r="L90" i="48"/>
  <c r="H90" i="48"/>
  <c r="M113" i="48"/>
  <c r="M145" i="48"/>
  <c r="H92" i="48"/>
  <c r="J92" i="48"/>
  <c r="L92" i="48"/>
  <c r="L93" i="48"/>
  <c r="H93" i="48"/>
  <c r="J93" i="48"/>
  <c r="M86" i="48"/>
  <c r="M153" i="48"/>
  <c r="M133" i="48"/>
  <c r="M110" i="48"/>
  <c r="M193" i="48"/>
  <c r="J89" i="48"/>
  <c r="L89" i="48"/>
  <c r="H89" i="48"/>
  <c r="M210" i="48"/>
  <c r="M107" i="48"/>
  <c r="M119" i="48"/>
  <c r="M120" i="48"/>
  <c r="F97" i="48"/>
  <c r="F95" i="48"/>
  <c r="F98" i="48"/>
  <c r="F96" i="48"/>
  <c r="F94" i="48"/>
  <c r="M156" i="48" l="1"/>
  <c r="M90" i="48"/>
  <c r="M92" i="48"/>
  <c r="H98" i="48"/>
  <c r="L98" i="48"/>
  <c r="J98" i="48"/>
  <c r="L95" i="48"/>
  <c r="H95" i="48"/>
  <c r="J95" i="48"/>
  <c r="M155" i="48"/>
  <c r="M154" i="48"/>
  <c r="H97" i="48"/>
  <c r="L97" i="48"/>
  <c r="J97" i="48"/>
  <c r="M93" i="48"/>
  <c r="M157" i="48"/>
  <c r="M89" i="48"/>
  <c r="L94" i="48"/>
  <c r="H94" i="48"/>
  <c r="J94" i="48"/>
  <c r="M158" i="48"/>
  <c r="M91" i="48"/>
  <c r="H96" i="48"/>
  <c r="L96" i="48"/>
  <c r="J96" i="48"/>
  <c r="M97" i="48" l="1"/>
  <c r="M96" i="48"/>
  <c r="M98" i="48"/>
  <c r="M219" i="48" s="1"/>
  <c r="M95" i="48"/>
  <c r="M94" i="48"/>
  <c r="H219" i="48"/>
  <c r="M220" i="48" s="1"/>
  <c r="J219" i="48"/>
  <c r="L219" i="48"/>
  <c r="M221" i="48" l="1"/>
  <c r="M222" i="48" l="1"/>
  <c r="M223" i="48" s="1"/>
  <c r="M224" i="48" l="1"/>
  <c r="M225" i="48" s="1"/>
  <c r="A64" i="45"/>
  <c r="F64" i="45"/>
  <c r="F62" i="45"/>
  <c r="F57" i="45"/>
  <c r="A57" i="45"/>
  <c r="A58" i="45" s="1"/>
  <c r="A59" i="45" s="1"/>
  <c r="A60" i="45" s="1"/>
  <c r="A61" i="45" s="1"/>
  <c r="A62" i="45" s="1"/>
  <c r="A48" i="45"/>
  <c r="A49" i="45" s="1"/>
  <c r="A50" i="45" s="1"/>
  <c r="A51" i="45" s="1"/>
  <c r="F47" i="45"/>
  <c r="E44" i="45"/>
  <c r="A43" i="45"/>
  <c r="A44" i="45" s="1"/>
  <c r="A45" i="45" s="1"/>
  <c r="A46" i="45" s="1"/>
  <c r="F42" i="45"/>
  <c r="A38" i="45"/>
  <c r="A39" i="45" s="1"/>
  <c r="A40" i="45" s="1"/>
  <c r="A41" i="45" s="1"/>
  <c r="F37" i="45"/>
  <c r="F35" i="45"/>
  <c r="F34" i="45"/>
  <c r="A34" i="45"/>
  <c r="A35" i="45" s="1"/>
  <c r="A36" i="45" s="1"/>
  <c r="F32" i="45"/>
  <c r="F31" i="45"/>
  <c r="F30" i="45"/>
  <c r="A30" i="45"/>
  <c r="A31" i="45" s="1"/>
  <c r="A32" i="45" s="1"/>
  <c r="A23" i="45"/>
  <c r="A24" i="45" s="1"/>
  <c r="A25" i="45" s="1"/>
  <c r="A26" i="45" s="1"/>
  <c r="A27" i="45" s="1"/>
  <c r="A28" i="45" s="1"/>
  <c r="F21" i="45"/>
  <c r="F20" i="45"/>
  <c r="F19" i="45"/>
  <c r="F18" i="45"/>
  <c r="A18" i="45"/>
  <c r="A19" i="45" s="1"/>
  <c r="A20" i="45" s="1"/>
  <c r="A21" i="45" s="1"/>
  <c r="F8" i="45"/>
  <c r="F10" i="46"/>
  <c r="F9" i="46"/>
  <c r="A9" i="46"/>
  <c r="A10" i="46" s="1"/>
  <c r="A11" i="46" s="1"/>
  <c r="A12" i="46" s="1"/>
  <c r="A9" i="45"/>
  <c r="A10" i="45" s="1"/>
  <c r="A11" i="45" s="1"/>
  <c r="A12" i="45" s="1"/>
  <c r="A13" i="45" s="1"/>
  <c r="A14" i="45" s="1"/>
  <c r="A15" i="45" s="1"/>
  <c r="A16" i="45" s="1"/>
  <c r="F99" i="44"/>
  <c r="F98" i="44"/>
  <c r="F97" i="44"/>
  <c r="F96" i="44"/>
  <c r="F95" i="44"/>
  <c r="A95" i="44"/>
  <c r="A96" i="44" s="1"/>
  <c r="A97" i="44" s="1"/>
  <c r="A98" i="44" s="1"/>
  <c r="A99" i="44" s="1"/>
  <c r="F93" i="44"/>
  <c r="F92" i="44"/>
  <c r="F91" i="44"/>
  <c r="F90" i="44"/>
  <c r="F89" i="44"/>
  <c r="A89" i="44"/>
  <c r="A90" i="44" s="1"/>
  <c r="A91" i="44" s="1"/>
  <c r="A92" i="44" s="1"/>
  <c r="A93" i="44" s="1"/>
  <c r="F87" i="44"/>
  <c r="F86" i="44"/>
  <c r="F85" i="44"/>
  <c r="F84" i="44"/>
  <c r="F83" i="44"/>
  <c r="A83" i="44"/>
  <c r="A84" i="44" s="1"/>
  <c r="A85" i="44" s="1"/>
  <c r="A86" i="44" s="1"/>
  <c r="A87" i="44" s="1"/>
  <c r="A77" i="44"/>
  <c r="A78" i="44" s="1"/>
  <c r="A79" i="44" s="1"/>
  <c r="A80" i="44" s="1"/>
  <c r="A81" i="44" s="1"/>
  <c r="F81" i="44"/>
  <c r="A60" i="41"/>
  <c r="A61" i="41" s="1"/>
  <c r="A62" i="41" s="1"/>
  <c r="A63" i="41" s="1"/>
  <c r="A64" i="41" s="1"/>
  <c r="L59" i="41"/>
  <c r="J59" i="41"/>
  <c r="H59" i="41"/>
  <c r="F272" i="44"/>
  <c r="F271" i="44"/>
  <c r="F269" i="44"/>
  <c r="F268" i="44"/>
  <c r="A268" i="44"/>
  <c r="A269" i="44" s="1"/>
  <c r="A270" i="44" s="1"/>
  <c r="A271" i="44" s="1"/>
  <c r="A272" i="44" s="1"/>
  <c r="F266" i="44"/>
  <c r="A266" i="44"/>
  <c r="E264" i="44"/>
  <c r="F264" i="44" s="1"/>
  <c r="F263" i="44"/>
  <c r="F262" i="44"/>
  <c r="E261" i="44"/>
  <c r="F261" i="44" s="1"/>
  <c r="A261" i="44"/>
  <c r="A262" i="44" s="1"/>
  <c r="A263" i="44" s="1"/>
  <c r="A264" i="44" s="1"/>
  <c r="A259" i="44"/>
  <c r="F257" i="44"/>
  <c r="F256" i="44"/>
  <c r="F255" i="44"/>
  <c r="F254" i="44"/>
  <c r="A254" i="44"/>
  <c r="A255" i="44" s="1"/>
  <c r="A256" i="44" s="1"/>
  <c r="A257" i="44" s="1"/>
  <c r="F252" i="44"/>
  <c r="F251" i="44"/>
  <c r="F250" i="44"/>
  <c r="F249" i="44"/>
  <c r="A249" i="44"/>
  <c r="A250" i="44" s="1"/>
  <c r="A251" i="44" s="1"/>
  <c r="A252" i="44" s="1"/>
  <c r="E231" i="44"/>
  <c r="A228" i="44"/>
  <c r="A229" i="44" s="1"/>
  <c r="A230" i="44" s="1"/>
  <c r="A231" i="44" s="1"/>
  <c r="A232" i="44" s="1"/>
  <c r="A223" i="44"/>
  <c r="A224" i="44" s="1"/>
  <c r="A225" i="44" s="1"/>
  <c r="A226" i="44" s="1"/>
  <c r="A217" i="44"/>
  <c r="A218" i="44" s="1"/>
  <c r="A219" i="44" s="1"/>
  <c r="A220" i="44" s="1"/>
  <c r="A221" i="44" s="1"/>
  <c r="E215" i="44"/>
  <c r="F215" i="44" s="1"/>
  <c r="E214" i="44"/>
  <c r="F214" i="44" s="1"/>
  <c r="E213" i="44"/>
  <c r="F213" i="44" s="1"/>
  <c r="E212" i="44"/>
  <c r="F212" i="44" s="1"/>
  <c r="A212" i="44"/>
  <c r="A213" i="44" s="1"/>
  <c r="A214" i="44" s="1"/>
  <c r="A215" i="44" s="1"/>
  <c r="F210" i="44"/>
  <c r="F209" i="44"/>
  <c r="F206" i="44"/>
  <c r="F205" i="44"/>
  <c r="A205" i="44"/>
  <c r="A206" i="44" s="1"/>
  <c r="A207" i="44" s="1"/>
  <c r="A208" i="44" s="1"/>
  <c r="A209" i="44" s="1"/>
  <c r="A210" i="44" s="1"/>
  <c r="F203" i="44"/>
  <c r="F202" i="44"/>
  <c r="F201" i="44"/>
  <c r="F200" i="44"/>
  <c r="A200" i="44"/>
  <c r="A201" i="44" s="1"/>
  <c r="A202" i="44" s="1"/>
  <c r="A203" i="44" s="1"/>
  <c r="F198" i="44"/>
  <c r="A198" i="44"/>
  <c r="A196" i="44"/>
  <c r="F195" i="44"/>
  <c r="F194" i="44"/>
  <c r="A194" i="44"/>
  <c r="D6" i="49" l="1"/>
  <c r="E3" i="48"/>
  <c r="F10" i="45"/>
  <c r="L209" i="44"/>
  <c r="L213" i="44"/>
  <c r="J213" i="44"/>
  <c r="H213" i="44"/>
  <c r="L91" i="44"/>
  <c r="J91" i="44"/>
  <c r="H91" i="44"/>
  <c r="L268" i="44"/>
  <c r="J268" i="44"/>
  <c r="H268" i="44"/>
  <c r="L81" i="44"/>
  <c r="J81" i="44"/>
  <c r="H81" i="44"/>
  <c r="L92" i="44"/>
  <c r="J92" i="44"/>
  <c r="H92" i="44"/>
  <c r="L266" i="44"/>
  <c r="J266" i="44"/>
  <c r="H266" i="44"/>
  <c r="L269" i="44"/>
  <c r="J269" i="44"/>
  <c r="H269" i="44"/>
  <c r="L93" i="44"/>
  <c r="J93" i="44"/>
  <c r="H93" i="44"/>
  <c r="L257" i="44"/>
  <c r="H257" i="44"/>
  <c r="J257" i="44"/>
  <c r="L194" i="44"/>
  <c r="J194" i="44"/>
  <c r="H194" i="44"/>
  <c r="L90" i="44"/>
  <c r="J90" i="44"/>
  <c r="H90" i="44"/>
  <c r="H258" i="44"/>
  <c r="J258" i="44"/>
  <c r="L258" i="44"/>
  <c r="L215" i="44"/>
  <c r="J215" i="44"/>
  <c r="H215" i="44"/>
  <c r="L206" i="44"/>
  <c r="J206" i="44"/>
  <c r="H206" i="44"/>
  <c r="J220" i="44"/>
  <c r="L220" i="44"/>
  <c r="H220" i="44"/>
  <c r="J250" i="44"/>
  <c r="L250" i="44"/>
  <c r="H250" i="44"/>
  <c r="J272" i="44"/>
  <c r="H272" i="44"/>
  <c r="L272" i="44"/>
  <c r="L83" i="44"/>
  <c r="J83" i="44"/>
  <c r="H83" i="44"/>
  <c r="L95" i="44"/>
  <c r="J95" i="44"/>
  <c r="H95" i="44"/>
  <c r="L212" i="44"/>
  <c r="J212" i="44"/>
  <c r="H212" i="44"/>
  <c r="L251" i="44"/>
  <c r="J251" i="44"/>
  <c r="H251" i="44"/>
  <c r="J84" i="44"/>
  <c r="L84" i="44"/>
  <c r="H84" i="44"/>
  <c r="J96" i="44"/>
  <c r="L96" i="44"/>
  <c r="H96" i="44"/>
  <c r="L203" i="44"/>
  <c r="J203" i="44"/>
  <c r="H203" i="44"/>
  <c r="L252" i="44"/>
  <c r="J252" i="44"/>
  <c r="H252" i="44"/>
  <c r="J261" i="44"/>
  <c r="L261" i="44"/>
  <c r="H261" i="44"/>
  <c r="J85" i="44"/>
  <c r="L85" i="44"/>
  <c r="H85" i="44"/>
  <c r="J97" i="44"/>
  <c r="L97" i="44"/>
  <c r="H97" i="44"/>
  <c r="L202" i="44"/>
  <c r="H202" i="44"/>
  <c r="J202" i="44"/>
  <c r="L249" i="44"/>
  <c r="J249" i="44"/>
  <c r="H249" i="44"/>
  <c r="J262" i="44"/>
  <c r="L262" i="44"/>
  <c r="H262" i="44"/>
  <c r="L86" i="44"/>
  <c r="H86" i="44"/>
  <c r="J86" i="44"/>
  <c r="L98" i="44"/>
  <c r="H98" i="44"/>
  <c r="J98" i="44"/>
  <c r="L195" i="44"/>
  <c r="J195" i="44"/>
  <c r="H195" i="44"/>
  <c r="L227" i="44"/>
  <c r="J227" i="44"/>
  <c r="H227" i="44"/>
  <c r="J254" i="44"/>
  <c r="L254" i="44"/>
  <c r="H254" i="44"/>
  <c r="J263" i="44"/>
  <c r="L263" i="44"/>
  <c r="H263" i="44"/>
  <c r="L87" i="44"/>
  <c r="J87" i="44"/>
  <c r="H87" i="44"/>
  <c r="L99" i="44"/>
  <c r="J99" i="44"/>
  <c r="H99" i="44"/>
  <c r="H205" i="44"/>
  <c r="L205" i="44"/>
  <c r="J205" i="44"/>
  <c r="J271" i="44"/>
  <c r="L271" i="44"/>
  <c r="H271" i="44"/>
  <c r="J209" i="44"/>
  <c r="H209" i="44"/>
  <c r="J200" i="44"/>
  <c r="L200" i="44"/>
  <c r="H200" i="44"/>
  <c r="L255" i="44"/>
  <c r="H255" i="44"/>
  <c r="J255" i="44"/>
  <c r="L264" i="44"/>
  <c r="J264" i="44"/>
  <c r="H264" i="44"/>
  <c r="L214" i="44"/>
  <c r="J214" i="44"/>
  <c r="H214" i="44"/>
  <c r="L198" i="44"/>
  <c r="J198" i="44"/>
  <c r="H198" i="44"/>
  <c r="L210" i="44"/>
  <c r="J210" i="44"/>
  <c r="H210" i="44"/>
  <c r="J201" i="44"/>
  <c r="L201" i="44"/>
  <c r="H201" i="44"/>
  <c r="L256" i="44"/>
  <c r="J256" i="44"/>
  <c r="H256" i="44"/>
  <c r="L89" i="44"/>
  <c r="H89" i="44"/>
  <c r="J89" i="44"/>
  <c r="L9" i="46"/>
  <c r="J10" i="46"/>
  <c r="L10" i="46"/>
  <c r="H10" i="46"/>
  <c r="F219" i="44"/>
  <c r="F228" i="44"/>
  <c r="F226" i="44"/>
  <c r="M59" i="41"/>
  <c r="A66" i="41"/>
  <c r="A67" i="41" s="1"/>
  <c r="A68" i="41" s="1"/>
  <c r="A69" i="41" s="1"/>
  <c r="A70" i="41" s="1"/>
  <c r="F229" i="44"/>
  <c r="F230" i="44"/>
  <c r="F231" i="44"/>
  <c r="F232" i="44"/>
  <c r="F259" i="44"/>
  <c r="L30" i="45"/>
  <c r="H30" i="45"/>
  <c r="J30" i="45"/>
  <c r="L47" i="45"/>
  <c r="H47" i="45"/>
  <c r="J47" i="45"/>
  <c r="L31" i="45"/>
  <c r="H31" i="45"/>
  <c r="J31" i="45"/>
  <c r="L32" i="45"/>
  <c r="H32" i="45"/>
  <c r="J32" i="45"/>
  <c r="L10" i="45"/>
  <c r="H10" i="45"/>
  <c r="J10" i="45"/>
  <c r="H57" i="45"/>
  <c r="J57" i="45"/>
  <c r="L57" i="45"/>
  <c r="H34" i="45"/>
  <c r="J34" i="45"/>
  <c r="L34" i="45"/>
  <c r="L62" i="45"/>
  <c r="H62" i="45"/>
  <c r="J62" i="45"/>
  <c r="L18" i="45"/>
  <c r="H18" i="45"/>
  <c r="J18" i="45"/>
  <c r="J19" i="45"/>
  <c r="H19" i="45"/>
  <c r="L19" i="45"/>
  <c r="L37" i="45"/>
  <c r="H37" i="45"/>
  <c r="J37" i="45"/>
  <c r="L35" i="45"/>
  <c r="H35" i="45"/>
  <c r="J35" i="45"/>
  <c r="H20" i="45"/>
  <c r="J20" i="45"/>
  <c r="L20" i="45"/>
  <c r="L64" i="45"/>
  <c r="H64" i="45"/>
  <c r="J64" i="45"/>
  <c r="L21" i="45"/>
  <c r="H21" i="45"/>
  <c r="J21" i="45"/>
  <c r="F43" i="45"/>
  <c r="L42" i="45"/>
  <c r="H42" i="45"/>
  <c r="J42" i="45"/>
  <c r="F58" i="45"/>
  <c r="F48" i="45"/>
  <c r="F49" i="45"/>
  <c r="F44" i="45"/>
  <c r="J8" i="45"/>
  <c r="L8" i="45"/>
  <c r="H8" i="45"/>
  <c r="F9" i="45"/>
  <c r="F38" i="45"/>
  <c r="F39" i="45"/>
  <c r="F23" i="45"/>
  <c r="F24" i="45"/>
  <c r="H9" i="46"/>
  <c r="J9" i="46"/>
  <c r="F80" i="44"/>
  <c r="F78" i="44"/>
  <c r="F77" i="44"/>
  <c r="F79" i="44"/>
  <c r="F223" i="44"/>
  <c r="F224" i="44"/>
  <c r="F225" i="44"/>
  <c r="F221" i="44"/>
  <c r="F217" i="44"/>
  <c r="F218" i="44"/>
  <c r="F196" i="44"/>
  <c r="D9" i="49" l="1"/>
  <c r="G6" i="49"/>
  <c r="M194" i="44"/>
  <c r="H61" i="46"/>
  <c r="M62" i="46" s="1"/>
  <c r="M271" i="44"/>
  <c r="M215" i="44"/>
  <c r="M198" i="44"/>
  <c r="M269" i="44"/>
  <c r="M250" i="44"/>
  <c r="M92" i="44"/>
  <c r="L61" i="46"/>
  <c r="J61" i="46"/>
  <c r="M64" i="46" s="1"/>
  <c r="M227" i="44"/>
  <c r="M249" i="44"/>
  <c r="M214" i="44"/>
  <c r="M87" i="44"/>
  <c r="M203" i="44"/>
  <c r="M251" i="44"/>
  <c r="M85" i="44"/>
  <c r="M83" i="44"/>
  <c r="M91" i="44"/>
  <c r="M96" i="44"/>
  <c r="M81" i="44"/>
  <c r="M200" i="44"/>
  <c r="M261" i="44"/>
  <c r="M212" i="44"/>
  <c r="M220" i="44"/>
  <c r="M213" i="44"/>
  <c r="M201" i="44"/>
  <c r="M263" i="44"/>
  <c r="M262" i="44"/>
  <c r="M256" i="44"/>
  <c r="M99" i="44"/>
  <c r="M252" i="44"/>
  <c r="M95" i="44"/>
  <c r="M268" i="44"/>
  <c r="M210" i="44"/>
  <c r="M264" i="44"/>
  <c r="M209" i="44"/>
  <c r="M254" i="44"/>
  <c r="M195" i="44"/>
  <c r="M97" i="44"/>
  <c r="M84" i="44"/>
  <c r="M206" i="44"/>
  <c r="M90" i="44"/>
  <c r="M93" i="44"/>
  <c r="M266" i="44"/>
  <c r="J221" i="44"/>
  <c r="L221" i="44"/>
  <c r="H221" i="44"/>
  <c r="M98" i="44"/>
  <c r="L224" i="44"/>
  <c r="J224" i="44"/>
  <c r="H224" i="44"/>
  <c r="L226" i="44"/>
  <c r="J226" i="44"/>
  <c r="H226" i="44"/>
  <c r="L223" i="44"/>
  <c r="J223" i="44"/>
  <c r="H223" i="44"/>
  <c r="L228" i="44"/>
  <c r="J228" i="44"/>
  <c r="H228" i="44"/>
  <c r="L79" i="44"/>
  <c r="J79" i="44"/>
  <c r="H79" i="44"/>
  <c r="L259" i="44"/>
  <c r="J259" i="44"/>
  <c r="H259" i="44"/>
  <c r="M255" i="44"/>
  <c r="M86" i="44"/>
  <c r="H77" i="44"/>
  <c r="J77" i="44"/>
  <c r="L77" i="44"/>
  <c r="J232" i="44"/>
  <c r="L232" i="44"/>
  <c r="H232" i="44"/>
  <c r="J225" i="44"/>
  <c r="L225" i="44"/>
  <c r="H225" i="44"/>
  <c r="L196" i="44"/>
  <c r="J196" i="44"/>
  <c r="H196" i="44"/>
  <c r="J231" i="44"/>
  <c r="L231" i="44"/>
  <c r="H231" i="44"/>
  <c r="L80" i="44"/>
  <c r="H80" i="44"/>
  <c r="J80" i="44"/>
  <c r="L229" i="44"/>
  <c r="J229" i="44"/>
  <c r="H229" i="44"/>
  <c r="M89" i="44"/>
  <c r="M202" i="44"/>
  <c r="M272" i="44"/>
  <c r="M257" i="44"/>
  <c r="L270" i="44"/>
  <c r="J270" i="44"/>
  <c r="H270" i="44"/>
  <c r="L219" i="44"/>
  <c r="J219" i="44"/>
  <c r="H219" i="44"/>
  <c r="L78" i="44"/>
  <c r="J78" i="44"/>
  <c r="H78" i="44"/>
  <c r="L230" i="44"/>
  <c r="J230" i="44"/>
  <c r="H230" i="44"/>
  <c r="L218" i="44"/>
  <c r="J218" i="44"/>
  <c r="H218" i="44"/>
  <c r="L217" i="44"/>
  <c r="J217" i="44"/>
  <c r="H217" i="44"/>
  <c r="M205" i="44"/>
  <c r="M258" i="44"/>
  <c r="M10" i="46"/>
  <c r="L9" i="45"/>
  <c r="M21" i="45"/>
  <c r="M62" i="45"/>
  <c r="M37" i="45"/>
  <c r="M20" i="45"/>
  <c r="M19" i="45"/>
  <c r="M18" i="45"/>
  <c r="M34" i="45"/>
  <c r="M32" i="45"/>
  <c r="M31" i="45"/>
  <c r="L49" i="45"/>
  <c r="H49" i="45"/>
  <c r="J49" i="45"/>
  <c r="M64" i="45"/>
  <c r="L58" i="45"/>
  <c r="H58" i="45"/>
  <c r="J58" i="45"/>
  <c r="M47" i="45"/>
  <c r="M42" i="45"/>
  <c r="M57" i="45"/>
  <c r="L44" i="45"/>
  <c r="H44" i="45"/>
  <c r="J44" i="45"/>
  <c r="L39" i="45"/>
  <c r="H39" i="45"/>
  <c r="J39" i="45"/>
  <c r="L38" i="45"/>
  <c r="H38" i="45"/>
  <c r="J38" i="45"/>
  <c r="M10" i="45"/>
  <c r="M30" i="45"/>
  <c r="L48" i="45"/>
  <c r="H48" i="45"/>
  <c r="J48" i="45"/>
  <c r="L43" i="45"/>
  <c r="H43" i="45"/>
  <c r="J43" i="45"/>
  <c r="M35" i="45"/>
  <c r="H23" i="45"/>
  <c r="L23" i="45"/>
  <c r="J23" i="45"/>
  <c r="L24" i="45"/>
  <c r="H24" i="45"/>
  <c r="J24" i="45"/>
  <c r="M8" i="45"/>
  <c r="J9" i="45"/>
  <c r="H9" i="45"/>
  <c r="M9" i="46"/>
  <c r="M61" i="46" l="1"/>
  <c r="M63" i="46" s="1"/>
  <c r="M65" i="46" s="1"/>
  <c r="M66" i="46" s="1"/>
  <c r="M67" i="46" s="1"/>
  <c r="M221" i="44"/>
  <c r="M217" i="44"/>
  <c r="M231" i="44"/>
  <c r="M232" i="44"/>
  <c r="M78" i="44"/>
  <c r="M270" i="44"/>
  <c r="M228" i="44"/>
  <c r="M224" i="44"/>
  <c r="M230" i="44"/>
  <c r="M259" i="44"/>
  <c r="M223" i="44"/>
  <c r="M225" i="44"/>
  <c r="M196" i="44"/>
  <c r="M77" i="44"/>
  <c r="M80" i="44"/>
  <c r="M226" i="44"/>
  <c r="M218" i="44"/>
  <c r="M219" i="44"/>
  <c r="M229" i="44"/>
  <c r="M79" i="44"/>
  <c r="M39" i="45"/>
  <c r="M38" i="45"/>
  <c r="M58" i="45"/>
  <c r="M43" i="45"/>
  <c r="M49" i="45"/>
  <c r="M48" i="45"/>
  <c r="M44" i="45"/>
  <c r="M24" i="45"/>
  <c r="M23" i="45"/>
  <c r="M9" i="45"/>
  <c r="D17" i="4" l="1"/>
  <c r="H17" i="4" s="1"/>
  <c r="E3" i="46"/>
  <c r="F62" i="44" l="1"/>
  <c r="A62" i="44"/>
  <c r="F24" i="44"/>
  <c r="E23" i="44"/>
  <c r="F23" i="44" s="1"/>
  <c r="E22" i="44"/>
  <c r="F22" i="44" s="1"/>
  <c r="F20" i="44"/>
  <c r="F18" i="44"/>
  <c r="A18" i="44"/>
  <c r="A19" i="44" s="1"/>
  <c r="A20" i="44" s="1"/>
  <c r="A21" i="44" s="1"/>
  <c r="A22" i="44" s="1"/>
  <c r="A23" i="44" s="1"/>
  <c r="A24" i="44" s="1"/>
  <c r="F29" i="44"/>
  <c r="F28" i="44"/>
  <c r="E27" i="44"/>
  <c r="F27" i="44" s="1"/>
  <c r="F26" i="44"/>
  <c r="A26" i="44"/>
  <c r="A27" i="44" s="1"/>
  <c r="A28" i="44" s="1"/>
  <c r="A29" i="44" s="1"/>
  <c r="F16" i="44"/>
  <c r="F15" i="44"/>
  <c r="F14" i="44"/>
  <c r="F13" i="44"/>
  <c r="F12" i="44"/>
  <c r="A12" i="44"/>
  <c r="A13" i="44" s="1"/>
  <c r="A14" i="44" s="1"/>
  <c r="A15" i="44" s="1"/>
  <c r="A16" i="44" s="1"/>
  <c r="F10" i="44"/>
  <c r="A10" i="44"/>
  <c r="F32" i="44"/>
  <c r="A32" i="44"/>
  <c r="L31" i="44"/>
  <c r="J31" i="44"/>
  <c r="F49" i="44"/>
  <c r="F48" i="44"/>
  <c r="E47" i="44"/>
  <c r="F47" i="44" s="1"/>
  <c r="F46" i="44"/>
  <c r="A46" i="44"/>
  <c r="A47" i="44" s="1"/>
  <c r="A48" i="44" s="1"/>
  <c r="A49" i="44" s="1"/>
  <c r="F38" i="44"/>
  <c r="F36" i="44"/>
  <c r="A34" i="44"/>
  <c r="A35" i="44" s="1"/>
  <c r="A36" i="44" s="1"/>
  <c r="A37" i="44" s="1"/>
  <c r="A38" i="44" s="1"/>
  <c r="F37" i="44"/>
  <c r="L30" i="44"/>
  <c r="J30" i="44"/>
  <c r="H30" i="44"/>
  <c r="F59" i="44"/>
  <c r="F58" i="44"/>
  <c r="F56" i="44"/>
  <c r="F55" i="44"/>
  <c r="F54" i="44"/>
  <c r="A54" i="44"/>
  <c r="A55" i="44" s="1"/>
  <c r="A56" i="44" s="1"/>
  <c r="A57" i="44" s="1"/>
  <c r="A58" i="44" s="1"/>
  <c r="A59" i="44" s="1"/>
  <c r="F52" i="44"/>
  <c r="A52" i="44"/>
  <c r="F73" i="44"/>
  <c r="F72" i="44"/>
  <c r="F71" i="44"/>
  <c r="F70" i="44"/>
  <c r="F69" i="44"/>
  <c r="A69" i="44"/>
  <c r="A70" i="44" s="1"/>
  <c r="A71" i="44" s="1"/>
  <c r="A72" i="44" s="1"/>
  <c r="A73" i="44" s="1"/>
  <c r="F67" i="44"/>
  <c r="E66" i="44"/>
  <c r="F66" i="44" s="1"/>
  <c r="A66" i="44"/>
  <c r="A67" i="44" s="1"/>
  <c r="E64" i="44"/>
  <c r="F64" i="44" s="1"/>
  <c r="A64" i="44"/>
  <c r="F68" i="42"/>
  <c r="F67" i="42"/>
  <c r="F66" i="42"/>
  <c r="F65" i="42"/>
  <c r="F64" i="42"/>
  <c r="A64" i="42"/>
  <c r="A65" i="42" s="1"/>
  <c r="A66" i="42" s="1"/>
  <c r="A67" i="42" s="1"/>
  <c r="A68" i="42" s="1"/>
  <c r="L63" i="42"/>
  <c r="J63" i="42"/>
  <c r="H63" i="42"/>
  <c r="F94" i="41"/>
  <c r="F93" i="41"/>
  <c r="F92" i="41"/>
  <c r="F91" i="41"/>
  <c r="F90" i="41"/>
  <c r="A90" i="41"/>
  <c r="A91" i="41" s="1"/>
  <c r="A92" i="41" s="1"/>
  <c r="A93" i="41" s="1"/>
  <c r="A94" i="41" s="1"/>
  <c r="L89" i="41"/>
  <c r="J89" i="41"/>
  <c r="H89" i="41"/>
  <c r="A79" i="41"/>
  <c r="A80" i="41" s="1"/>
  <c r="A81" i="41" s="1"/>
  <c r="A82" i="41" s="1"/>
  <c r="A83" i="41" s="1"/>
  <c r="J78" i="41"/>
  <c r="F62" i="42"/>
  <c r="F61" i="42"/>
  <c r="F60" i="42"/>
  <c r="F59" i="42"/>
  <c r="F58" i="42"/>
  <c r="F57" i="42"/>
  <c r="A57" i="42"/>
  <c r="A58" i="42" s="1"/>
  <c r="A59" i="42" s="1"/>
  <c r="A60" i="42" s="1"/>
  <c r="A61" i="42" s="1"/>
  <c r="A62" i="42" s="1"/>
  <c r="L56" i="42"/>
  <c r="J56" i="42"/>
  <c r="H56" i="42"/>
  <c r="A39" i="41"/>
  <c r="F38" i="41"/>
  <c r="F37" i="41"/>
  <c r="A37" i="41"/>
  <c r="L36" i="41"/>
  <c r="J36" i="41"/>
  <c r="H36" i="41"/>
  <c r="F54" i="42"/>
  <c r="L53" i="42"/>
  <c r="J53" i="42"/>
  <c r="H53" i="42"/>
  <c r="F52" i="42"/>
  <c r="F51" i="42"/>
  <c r="E50" i="42"/>
  <c r="F50" i="42" s="1"/>
  <c r="E49" i="42"/>
  <c r="F49" i="42" s="1"/>
  <c r="A49" i="42"/>
  <c r="A50" i="42" s="1"/>
  <c r="A51" i="42" s="1"/>
  <c r="A52" i="42" s="1"/>
  <c r="A53" i="42" s="1"/>
  <c r="A54" i="42" s="1"/>
  <c r="L48" i="42"/>
  <c r="J48" i="42"/>
  <c r="H48" i="42"/>
  <c r="E45" i="42"/>
  <c r="E44" i="42"/>
  <c r="F44" i="42" s="1"/>
  <c r="A44" i="42"/>
  <c r="A45" i="42" s="1"/>
  <c r="A46" i="42" s="1"/>
  <c r="A47" i="42" s="1"/>
  <c r="J43" i="42"/>
  <c r="L43" i="42"/>
  <c r="F42" i="42"/>
  <c r="F41" i="42"/>
  <c r="F40" i="42"/>
  <c r="F39" i="42"/>
  <c r="F38" i="42"/>
  <c r="F37" i="42"/>
  <c r="F36" i="42"/>
  <c r="A36" i="42"/>
  <c r="A37" i="42" s="1"/>
  <c r="A38" i="42" s="1"/>
  <c r="A39" i="42" s="1"/>
  <c r="A40" i="42" s="1"/>
  <c r="A41" i="42" s="1"/>
  <c r="A42" i="42" s="1"/>
  <c r="L35" i="42"/>
  <c r="J35" i="42"/>
  <c r="H35" i="42"/>
  <c r="A25" i="41"/>
  <c r="A26" i="41" s="1"/>
  <c r="A27" i="41" s="1"/>
  <c r="A28" i="41" s="1"/>
  <c r="A29" i="41" s="1"/>
  <c r="A30" i="41" s="1"/>
  <c r="A31" i="41" s="1"/>
  <c r="A32" i="41" s="1"/>
  <c r="A33" i="41" s="1"/>
  <c r="A34" i="41" s="1"/>
  <c r="F27" i="41"/>
  <c r="E34" i="41"/>
  <c r="F34" i="41" s="1"/>
  <c r="F33" i="41"/>
  <c r="F32" i="41"/>
  <c r="E31" i="41"/>
  <c r="F31" i="41" s="1"/>
  <c r="E30" i="41"/>
  <c r="F30" i="41" s="1"/>
  <c r="E26" i="41"/>
  <c r="F26" i="41" s="1"/>
  <c r="F25" i="41"/>
  <c r="L24" i="41"/>
  <c r="J24" i="41"/>
  <c r="H24" i="41"/>
  <c r="A76" i="41"/>
  <c r="A77" i="41" s="1"/>
  <c r="E74" i="41"/>
  <c r="F74" i="41" s="1"/>
  <c r="E73" i="41"/>
  <c r="F73" i="41" s="1"/>
  <c r="A20" i="41"/>
  <c r="A21" i="41" s="1"/>
  <c r="F12" i="41"/>
  <c r="A73" i="41"/>
  <c r="A74" i="41" s="1"/>
  <c r="L72" i="41"/>
  <c r="J72" i="41"/>
  <c r="F55" i="41"/>
  <c r="A53" i="41"/>
  <c r="A54" i="41" s="1"/>
  <c r="A55" i="41" s="1"/>
  <c r="A56" i="41" s="1"/>
  <c r="A57" i="41" s="1"/>
  <c r="F44" i="41"/>
  <c r="E50" i="41"/>
  <c r="E49" i="41"/>
  <c r="A45" i="41"/>
  <c r="A46" i="41" s="1"/>
  <c r="A47" i="41" s="1"/>
  <c r="A48" i="41" s="1"/>
  <c r="A49" i="41" s="1"/>
  <c r="A50" i="41" s="1"/>
  <c r="A51" i="41" s="1"/>
  <c r="A41" i="41"/>
  <c r="A42" i="41" s="1"/>
  <c r="A43" i="41" s="1"/>
  <c r="L30" i="41" l="1"/>
  <c r="L31" i="41"/>
  <c r="L32" i="41"/>
  <c r="L33" i="41"/>
  <c r="L34" i="41"/>
  <c r="L24" i="44"/>
  <c r="H24" i="44"/>
  <c r="J24" i="44"/>
  <c r="L36" i="44"/>
  <c r="H36" i="44"/>
  <c r="J36" i="44"/>
  <c r="J37" i="44"/>
  <c r="L37" i="44"/>
  <c r="H37" i="44"/>
  <c r="L38" i="44"/>
  <c r="H38" i="44"/>
  <c r="J38" i="44"/>
  <c r="L12" i="44"/>
  <c r="H12" i="44"/>
  <c r="J12" i="44"/>
  <c r="L26" i="44"/>
  <c r="H26" i="44"/>
  <c r="J26" i="44"/>
  <c r="L52" i="44"/>
  <c r="J52" i="44"/>
  <c r="H52" i="44"/>
  <c r="J13" i="44"/>
  <c r="L13" i="44"/>
  <c r="H13" i="44"/>
  <c r="L27" i="44"/>
  <c r="J27" i="44"/>
  <c r="H27" i="44"/>
  <c r="L64" i="44"/>
  <c r="J64" i="44"/>
  <c r="H64" i="44"/>
  <c r="L14" i="44"/>
  <c r="H14" i="44"/>
  <c r="J14" i="44"/>
  <c r="L28" i="44"/>
  <c r="J28" i="44"/>
  <c r="H28" i="44"/>
  <c r="J70" i="44"/>
  <c r="L70" i="44"/>
  <c r="H70" i="44"/>
  <c r="J58" i="44"/>
  <c r="L58" i="44"/>
  <c r="H58" i="44"/>
  <c r="L59" i="44"/>
  <c r="J59" i="44"/>
  <c r="H59" i="44"/>
  <c r="J54" i="44"/>
  <c r="H54" i="44"/>
  <c r="L54" i="44"/>
  <c r="L46" i="44"/>
  <c r="J46" i="44"/>
  <c r="H46" i="44"/>
  <c r="H15" i="44"/>
  <c r="J15" i="44"/>
  <c r="L15" i="44"/>
  <c r="J29" i="44"/>
  <c r="L29" i="44"/>
  <c r="H29" i="44"/>
  <c r="L66" i="44"/>
  <c r="J66" i="44"/>
  <c r="H66" i="44"/>
  <c r="L47" i="44"/>
  <c r="J47" i="44"/>
  <c r="H47" i="44"/>
  <c r="J10" i="44"/>
  <c r="L10" i="44"/>
  <c r="H10" i="44"/>
  <c r="J16" i="44"/>
  <c r="L16" i="44"/>
  <c r="H16" i="44"/>
  <c r="L23" i="44"/>
  <c r="J23" i="44"/>
  <c r="H23" i="44"/>
  <c r="L67" i="44"/>
  <c r="J67" i="44"/>
  <c r="H67" i="44"/>
  <c r="L55" i="44"/>
  <c r="J55" i="44"/>
  <c r="H55" i="44"/>
  <c r="L48" i="44"/>
  <c r="H48" i="44"/>
  <c r="J48" i="44"/>
  <c r="H18" i="44"/>
  <c r="L18" i="44"/>
  <c r="J18" i="44"/>
  <c r="J72" i="44"/>
  <c r="L72" i="44"/>
  <c r="H72" i="44"/>
  <c r="L56" i="44"/>
  <c r="J56" i="44"/>
  <c r="H56" i="44"/>
  <c r="H49" i="44"/>
  <c r="L49" i="44"/>
  <c r="J49" i="44"/>
  <c r="L20" i="44"/>
  <c r="H20" i="44"/>
  <c r="J20" i="44"/>
  <c r="J62" i="44"/>
  <c r="L62" i="44"/>
  <c r="H62" i="44"/>
  <c r="J71" i="44"/>
  <c r="L71" i="44"/>
  <c r="H71" i="44"/>
  <c r="J73" i="44"/>
  <c r="L73" i="44"/>
  <c r="H73" i="44"/>
  <c r="J69" i="44"/>
  <c r="L69" i="44"/>
  <c r="H69" i="44"/>
  <c r="L57" i="44"/>
  <c r="J57" i="44"/>
  <c r="H57" i="44"/>
  <c r="L22" i="44"/>
  <c r="J22" i="44"/>
  <c r="H22" i="44"/>
  <c r="L40" i="42"/>
  <c r="J64" i="42"/>
  <c r="J41" i="42"/>
  <c r="L65" i="42"/>
  <c r="L42" i="42"/>
  <c r="H51" i="42"/>
  <c r="L57" i="42"/>
  <c r="L66" i="42"/>
  <c r="L52" i="42"/>
  <c r="H58" i="42"/>
  <c r="L67" i="42"/>
  <c r="L59" i="42"/>
  <c r="L68" i="42"/>
  <c r="H60" i="42"/>
  <c r="L37" i="41"/>
  <c r="L61" i="42"/>
  <c r="L54" i="42"/>
  <c r="F39" i="41"/>
  <c r="H62" i="42"/>
  <c r="F41" i="41"/>
  <c r="L73" i="41"/>
  <c r="L36" i="42"/>
  <c r="L12" i="41"/>
  <c r="M12" i="41" s="1"/>
  <c r="F48" i="41"/>
  <c r="L74" i="41"/>
  <c r="J33" i="41"/>
  <c r="J37" i="42"/>
  <c r="J29" i="41"/>
  <c r="L38" i="42"/>
  <c r="J75" i="41"/>
  <c r="J39" i="42"/>
  <c r="J90" i="41"/>
  <c r="J91" i="41"/>
  <c r="J93" i="41"/>
  <c r="J92" i="41"/>
  <c r="J94" i="41"/>
  <c r="M35" i="42"/>
  <c r="M89" i="41"/>
  <c r="J57" i="42"/>
  <c r="M63" i="42"/>
  <c r="L64" i="42"/>
  <c r="H68" i="42"/>
  <c r="J68" i="42"/>
  <c r="H65" i="42"/>
  <c r="J65" i="42"/>
  <c r="H59" i="42"/>
  <c r="H66" i="42"/>
  <c r="J66" i="42"/>
  <c r="H64" i="42"/>
  <c r="H67" i="42"/>
  <c r="J67" i="42"/>
  <c r="L93" i="41"/>
  <c r="H38" i="41"/>
  <c r="H93" i="41"/>
  <c r="J38" i="41"/>
  <c r="L38" i="41"/>
  <c r="H90" i="41"/>
  <c r="L90" i="41"/>
  <c r="H94" i="41"/>
  <c r="L94" i="41"/>
  <c r="H91" i="41"/>
  <c r="L78" i="41"/>
  <c r="L91" i="41"/>
  <c r="H92" i="41"/>
  <c r="J37" i="41"/>
  <c r="L92" i="41"/>
  <c r="M36" i="41"/>
  <c r="F19" i="44"/>
  <c r="M30" i="44"/>
  <c r="F34" i="44"/>
  <c r="M31" i="44"/>
  <c r="L32" i="44"/>
  <c r="H32" i="44"/>
  <c r="J32" i="44"/>
  <c r="F35" i="44"/>
  <c r="F82" i="41"/>
  <c r="F79" i="41"/>
  <c r="F83" i="41"/>
  <c r="F80" i="41"/>
  <c r="H78" i="41"/>
  <c r="J62" i="42"/>
  <c r="J58" i="42"/>
  <c r="L62" i="42"/>
  <c r="L58" i="42"/>
  <c r="J59" i="42"/>
  <c r="M56" i="42"/>
  <c r="L60" i="42"/>
  <c r="H61" i="42"/>
  <c r="J60" i="42"/>
  <c r="H57" i="42"/>
  <c r="J61" i="42"/>
  <c r="H37" i="41"/>
  <c r="H41" i="42"/>
  <c r="L41" i="42"/>
  <c r="H37" i="42"/>
  <c r="J52" i="42"/>
  <c r="H39" i="42"/>
  <c r="F45" i="42"/>
  <c r="M53" i="42"/>
  <c r="F47" i="42"/>
  <c r="M48" i="42"/>
  <c r="J49" i="42"/>
  <c r="H49" i="42"/>
  <c r="L49" i="42"/>
  <c r="L50" i="42"/>
  <c r="J50" i="42"/>
  <c r="H50" i="42"/>
  <c r="L44" i="42"/>
  <c r="J44" i="42"/>
  <c r="H44" i="42"/>
  <c r="L37" i="42"/>
  <c r="L39" i="42"/>
  <c r="J51" i="42"/>
  <c r="L51" i="42"/>
  <c r="H38" i="42"/>
  <c r="H40" i="42"/>
  <c r="H42" i="42"/>
  <c r="F46" i="42"/>
  <c r="H54" i="42"/>
  <c r="H36" i="42"/>
  <c r="J36" i="42"/>
  <c r="J38" i="42"/>
  <c r="J40" i="42"/>
  <c r="J42" i="42"/>
  <c r="H52" i="42"/>
  <c r="J54" i="42"/>
  <c r="H43" i="42"/>
  <c r="M43" i="42" s="1"/>
  <c r="L75" i="41"/>
  <c r="H29" i="41"/>
  <c r="J32" i="41"/>
  <c r="J31" i="41"/>
  <c r="J30" i="41"/>
  <c r="H33" i="41"/>
  <c r="M24" i="41"/>
  <c r="L26" i="41"/>
  <c r="J26" i="41"/>
  <c r="H26" i="41"/>
  <c r="H30" i="41"/>
  <c r="H31" i="41"/>
  <c r="L25" i="41"/>
  <c r="J25" i="41"/>
  <c r="H25" i="41"/>
  <c r="J34" i="41"/>
  <c r="H34" i="41"/>
  <c r="L27" i="41"/>
  <c r="J27" i="41"/>
  <c r="H27" i="41"/>
  <c r="H32" i="41"/>
  <c r="F76" i="41"/>
  <c r="F77" i="41"/>
  <c r="H75" i="41"/>
  <c r="M72" i="41"/>
  <c r="J73" i="41"/>
  <c r="J74" i="41"/>
  <c r="F51" i="41"/>
  <c r="L52" i="41"/>
  <c r="J52" i="41"/>
  <c r="H52" i="41"/>
  <c r="F54" i="41"/>
  <c r="F53" i="41"/>
  <c r="F57" i="41"/>
  <c r="F56" i="41"/>
  <c r="H55" i="41"/>
  <c r="J55" i="41"/>
  <c r="L55" i="41"/>
  <c r="F49" i="41"/>
  <c r="F50" i="41"/>
  <c r="F43" i="41"/>
  <c r="F46" i="41"/>
  <c r="F42" i="41"/>
  <c r="H40" i="41"/>
  <c r="J44" i="41"/>
  <c r="J40" i="41"/>
  <c r="L44" i="41"/>
  <c r="H44" i="41"/>
  <c r="L40" i="41"/>
  <c r="F45" i="41"/>
  <c r="F47" i="41"/>
  <c r="F11" i="41"/>
  <c r="A11" i="41"/>
  <c r="A12" i="41" s="1"/>
  <c r="L10" i="41"/>
  <c r="J10" i="41"/>
  <c r="L69" i="36"/>
  <c r="M69" i="36" s="1"/>
  <c r="L68" i="36"/>
  <c r="M68" i="36" s="1"/>
  <c r="L67" i="36"/>
  <c r="M67" i="36" s="1"/>
  <c r="F30" i="36"/>
  <c r="E35" i="36"/>
  <c r="E34" i="36"/>
  <c r="E33" i="36"/>
  <c r="E29" i="36"/>
  <c r="A28" i="36"/>
  <c r="A29" i="36" s="1"/>
  <c r="A30" i="36" s="1"/>
  <c r="A31" i="36" s="1"/>
  <c r="A32" i="36" s="1"/>
  <c r="A33" i="36" s="1"/>
  <c r="A34" i="36" s="1"/>
  <c r="A35" i="36" s="1"/>
  <c r="E20" i="36"/>
  <c r="A18" i="36"/>
  <c r="A19" i="36" s="1"/>
  <c r="A20" i="36" s="1"/>
  <c r="A21" i="36" s="1"/>
  <c r="F26" i="36"/>
  <c r="E25" i="36"/>
  <c r="F25" i="36" s="1"/>
  <c r="F24" i="36"/>
  <c r="F23" i="36"/>
  <c r="A23" i="36"/>
  <c r="A24" i="36" s="1"/>
  <c r="A25" i="36" s="1"/>
  <c r="A26" i="36" s="1"/>
  <c r="A16" i="36"/>
  <c r="A14" i="36"/>
  <c r="M29" i="41" l="1"/>
  <c r="M34" i="41"/>
  <c r="M32" i="41"/>
  <c r="M23" i="44"/>
  <c r="M28" i="44"/>
  <c r="M56" i="44"/>
  <c r="L30" i="36"/>
  <c r="L24" i="36"/>
  <c r="H23" i="36"/>
  <c r="L23" i="36"/>
  <c r="J23" i="36"/>
  <c r="L25" i="36"/>
  <c r="L26" i="36"/>
  <c r="H24" i="36"/>
  <c r="J24" i="36"/>
  <c r="M10" i="44"/>
  <c r="M46" i="44"/>
  <c r="F12" i="36"/>
  <c r="F11" i="36"/>
  <c r="F10" i="36"/>
  <c r="H30" i="36"/>
  <c r="J30" i="36"/>
  <c r="J25" i="36"/>
  <c r="H25" i="36"/>
  <c r="J26" i="36"/>
  <c r="H26" i="36"/>
  <c r="H32" i="36"/>
  <c r="J32" i="36"/>
  <c r="M58" i="44"/>
  <c r="M72" i="44"/>
  <c r="M13" i="44"/>
  <c r="M67" i="44"/>
  <c r="M16" i="44"/>
  <c r="M66" i="44"/>
  <c r="M59" i="44"/>
  <c r="M64" i="44"/>
  <c r="M62" i="44"/>
  <c r="M22" i="44"/>
  <c r="M57" i="44"/>
  <c r="M52" i="44"/>
  <c r="M37" i="44"/>
  <c r="M55" i="44"/>
  <c r="M47" i="44"/>
  <c r="M29" i="44"/>
  <c r="M70" i="44"/>
  <c r="M27" i="44"/>
  <c r="M57" i="42"/>
  <c r="J47" i="42"/>
  <c r="M33" i="41"/>
  <c r="M31" i="41"/>
  <c r="M30" i="41"/>
  <c r="H39" i="41"/>
  <c r="M73" i="44"/>
  <c r="M24" i="44"/>
  <c r="M18" i="44"/>
  <c r="M15" i="44"/>
  <c r="L19" i="44"/>
  <c r="H19" i="44"/>
  <c r="J19" i="44"/>
  <c r="M48" i="44"/>
  <c r="M38" i="44"/>
  <c r="M20" i="44"/>
  <c r="M36" i="44"/>
  <c r="M49" i="44"/>
  <c r="M32" i="44"/>
  <c r="M26" i="44"/>
  <c r="L34" i="44"/>
  <c r="J34" i="44"/>
  <c r="H34" i="44"/>
  <c r="L35" i="44"/>
  <c r="J35" i="44"/>
  <c r="H35" i="44"/>
  <c r="M69" i="44"/>
  <c r="M71" i="44"/>
  <c r="M54" i="44"/>
  <c r="M14" i="44"/>
  <c r="M12" i="44"/>
  <c r="M73" i="41"/>
  <c r="J39" i="41"/>
  <c r="H41" i="41"/>
  <c r="L41" i="41"/>
  <c r="J41" i="41"/>
  <c r="M65" i="42"/>
  <c r="M74" i="41"/>
  <c r="M44" i="42"/>
  <c r="J11" i="41"/>
  <c r="H19" i="41"/>
  <c r="J43" i="41"/>
  <c r="H45" i="42"/>
  <c r="L50" i="41"/>
  <c r="J51" i="41"/>
  <c r="L39" i="41"/>
  <c r="H49" i="41"/>
  <c r="H47" i="42"/>
  <c r="H77" i="41"/>
  <c r="H76" i="41"/>
  <c r="M90" i="41"/>
  <c r="M93" i="41"/>
  <c r="M91" i="41"/>
  <c r="M58" i="42"/>
  <c r="M64" i="42"/>
  <c r="M94" i="41"/>
  <c r="M37" i="41"/>
  <c r="M92" i="41"/>
  <c r="M59" i="42"/>
  <c r="L45" i="42"/>
  <c r="M67" i="42"/>
  <c r="M61" i="42"/>
  <c r="M66" i="42"/>
  <c r="M39" i="42"/>
  <c r="M52" i="42"/>
  <c r="M68" i="42"/>
  <c r="M78" i="41"/>
  <c r="M38" i="41"/>
  <c r="M60" i="42"/>
  <c r="M62" i="42"/>
  <c r="J80" i="41"/>
  <c r="H80" i="41"/>
  <c r="L80" i="41"/>
  <c r="L83" i="41"/>
  <c r="H83" i="41"/>
  <c r="L81" i="41"/>
  <c r="H81" i="41"/>
  <c r="L79" i="41"/>
  <c r="J79" i="41"/>
  <c r="H79" i="41"/>
  <c r="L82" i="41"/>
  <c r="J82" i="41"/>
  <c r="H82" i="41"/>
  <c r="M41" i="42"/>
  <c r="M49" i="42"/>
  <c r="M51" i="42"/>
  <c r="L47" i="42"/>
  <c r="M38" i="42"/>
  <c r="M36" i="42"/>
  <c r="J45" i="42"/>
  <c r="M50" i="42"/>
  <c r="M42" i="42"/>
  <c r="M37" i="42"/>
  <c r="M54" i="42"/>
  <c r="L46" i="42"/>
  <c r="J46" i="42"/>
  <c r="H46" i="42"/>
  <c r="M40" i="42"/>
  <c r="J76" i="41"/>
  <c r="M75" i="41"/>
  <c r="J77" i="41"/>
  <c r="M26" i="41"/>
  <c r="L76" i="41"/>
  <c r="M27" i="41"/>
  <c r="M25" i="41"/>
  <c r="L77" i="41"/>
  <c r="M52" i="41"/>
  <c r="H51" i="41"/>
  <c r="L51" i="41"/>
  <c r="M10" i="41"/>
  <c r="J19" i="41"/>
  <c r="F20" i="41"/>
  <c r="L19" i="41"/>
  <c r="M55" i="41"/>
  <c r="L56" i="41"/>
  <c r="J56" i="41"/>
  <c r="H56" i="41"/>
  <c r="J57" i="41"/>
  <c r="L57" i="41"/>
  <c r="H57" i="41"/>
  <c r="H53" i="41"/>
  <c r="L53" i="41"/>
  <c r="J53" i="41"/>
  <c r="L54" i="41"/>
  <c r="J54" i="41"/>
  <c r="H54" i="41"/>
  <c r="L49" i="41"/>
  <c r="J49" i="41"/>
  <c r="H50" i="41"/>
  <c r="J50" i="41"/>
  <c r="L43" i="41"/>
  <c r="H43" i="41"/>
  <c r="M40" i="41"/>
  <c r="L42" i="41"/>
  <c r="J42" i="41"/>
  <c r="H42" i="41"/>
  <c r="L46" i="41"/>
  <c r="J46" i="41"/>
  <c r="H46" i="41"/>
  <c r="L47" i="41"/>
  <c r="J47" i="41"/>
  <c r="H47" i="41"/>
  <c r="M44" i="41"/>
  <c r="L45" i="41"/>
  <c r="J45" i="41"/>
  <c r="H45" i="41"/>
  <c r="H48" i="41"/>
  <c r="L48" i="41"/>
  <c r="J48" i="41"/>
  <c r="F21" i="41"/>
  <c r="L11" i="41"/>
  <c r="F17" i="36"/>
  <c r="F35" i="36"/>
  <c r="F28" i="36"/>
  <c r="F29" i="36"/>
  <c r="F33" i="36"/>
  <c r="F34" i="36"/>
  <c r="F66" i="36"/>
  <c r="J280" i="44" l="1"/>
  <c r="M26" i="36"/>
  <c r="M32" i="36"/>
  <c r="M24" i="36"/>
  <c r="M25" i="36"/>
  <c r="M30" i="36"/>
  <c r="M23" i="36"/>
  <c r="L29" i="36"/>
  <c r="L34" i="36"/>
  <c r="L33" i="36"/>
  <c r="L17" i="36"/>
  <c r="L35" i="36"/>
  <c r="L10" i="36"/>
  <c r="J11" i="36"/>
  <c r="L11" i="36"/>
  <c r="H11" i="36"/>
  <c r="J12" i="36"/>
  <c r="L12" i="36"/>
  <c r="H12" i="36"/>
  <c r="L28" i="36"/>
  <c r="L66" i="36"/>
  <c r="H66" i="36"/>
  <c r="J66" i="36"/>
  <c r="J17" i="36"/>
  <c r="H17" i="36"/>
  <c r="J29" i="36"/>
  <c r="H29" i="36"/>
  <c r="H28" i="36"/>
  <c r="J28" i="36"/>
  <c r="H280" i="44"/>
  <c r="M281" i="44" s="1"/>
  <c r="L280" i="44"/>
  <c r="J10" i="36"/>
  <c r="H10" i="36"/>
  <c r="J35" i="36"/>
  <c r="H35" i="36"/>
  <c r="J34" i="36"/>
  <c r="H34" i="36"/>
  <c r="J33" i="36"/>
  <c r="H33" i="36"/>
  <c r="M35" i="44"/>
  <c r="L81" i="42"/>
  <c r="J81" i="42"/>
  <c r="H81" i="42"/>
  <c r="M82" i="42" s="1"/>
  <c r="M34" i="44"/>
  <c r="M19" i="44"/>
  <c r="M47" i="42"/>
  <c r="M39" i="41"/>
  <c r="M41" i="41"/>
  <c r="M11" i="41"/>
  <c r="L21" i="41"/>
  <c r="J20" i="41"/>
  <c r="M45" i="42"/>
  <c r="M83" i="41"/>
  <c r="M81" i="41"/>
  <c r="M80" i="41"/>
  <c r="M82" i="41"/>
  <c r="M79" i="41"/>
  <c r="M46" i="42"/>
  <c r="M76" i="41"/>
  <c r="J21" i="41"/>
  <c r="M77" i="41"/>
  <c r="M51" i="41"/>
  <c r="M45" i="41"/>
  <c r="M19" i="41"/>
  <c r="H21" i="41"/>
  <c r="M49" i="41"/>
  <c r="L20" i="41"/>
  <c r="H20" i="41"/>
  <c r="M54" i="41"/>
  <c r="M53" i="41"/>
  <c r="M57" i="41"/>
  <c r="M56" i="41"/>
  <c r="M50" i="41"/>
  <c r="M43" i="41"/>
  <c r="M42" i="41"/>
  <c r="M47" i="41"/>
  <c r="M48" i="41"/>
  <c r="M46" i="41"/>
  <c r="F20" i="36"/>
  <c r="F19" i="36"/>
  <c r="F14" i="36"/>
  <c r="F18" i="36"/>
  <c r="F21" i="36"/>
  <c r="H95" i="41" l="1"/>
  <c r="M96" i="41" s="1"/>
  <c r="M81" i="42"/>
  <c r="M12" i="36"/>
  <c r="M33" i="36"/>
  <c r="M29" i="36"/>
  <c r="M35" i="36"/>
  <c r="M28" i="36"/>
  <c r="M34" i="36"/>
  <c r="M17" i="36"/>
  <c r="M66" i="36"/>
  <c r="M11" i="36"/>
  <c r="J14" i="36"/>
  <c r="L14" i="36"/>
  <c r="H14" i="36"/>
  <c r="L19" i="36"/>
  <c r="L18" i="36"/>
  <c r="J18" i="36"/>
  <c r="H18" i="36"/>
  <c r="J19" i="36"/>
  <c r="H19" i="36"/>
  <c r="M280" i="44"/>
  <c r="M282" i="44" s="1"/>
  <c r="M283" i="44" s="1"/>
  <c r="M284" i="44" s="1"/>
  <c r="M10" i="36"/>
  <c r="H20" i="36"/>
  <c r="J20" i="36"/>
  <c r="H21" i="36"/>
  <c r="J21" i="36"/>
  <c r="L95" i="41"/>
  <c r="J95" i="41"/>
  <c r="L20" i="36"/>
  <c r="M21" i="41"/>
  <c r="M20" i="41"/>
  <c r="F16" i="36"/>
  <c r="L21" i="36"/>
  <c r="M95" i="41" l="1"/>
  <c r="M18" i="36"/>
  <c r="M14" i="36"/>
  <c r="M21" i="36"/>
  <c r="M20" i="36"/>
  <c r="M19" i="36"/>
  <c r="L16" i="36"/>
  <c r="H16" i="36"/>
  <c r="J16" i="36"/>
  <c r="M285" i="44"/>
  <c r="M286" i="44" s="1"/>
  <c r="M83" i="42"/>
  <c r="M84" i="42" s="1"/>
  <c r="M85" i="42" s="1"/>
  <c r="M16" i="36" l="1"/>
  <c r="E3" i="44"/>
  <c r="D14" i="4"/>
  <c r="H14" i="4" s="1"/>
  <c r="M86" i="42"/>
  <c r="M87" i="42" s="1"/>
  <c r="D11" i="4" s="1"/>
  <c r="H11" i="4" s="1"/>
  <c r="M97" i="41"/>
  <c r="M98" i="41" s="1"/>
  <c r="M99" i="41" l="1"/>
  <c r="M100" i="41" l="1"/>
  <c r="M101" i="41" s="1"/>
  <c r="D10" i="4" s="1"/>
  <c r="J11" i="37" l="1"/>
  <c r="J12" i="37"/>
  <c r="J14" i="37"/>
  <c r="J15" i="37"/>
  <c r="J16" i="37"/>
  <c r="J19" i="37"/>
  <c r="J20" i="37"/>
  <c r="J21" i="37"/>
  <c r="J24" i="37"/>
  <c r="J25" i="37"/>
  <c r="J26" i="37"/>
  <c r="J29" i="37"/>
  <c r="J30" i="37"/>
  <c r="J33" i="37"/>
  <c r="J34" i="37"/>
  <c r="J37" i="37"/>
  <c r="L14" i="37"/>
  <c r="L15" i="37"/>
  <c r="L16" i="37"/>
  <c r="L19" i="37"/>
  <c r="L20" i="37"/>
  <c r="L21" i="37"/>
  <c r="L24" i="37"/>
  <c r="L25" i="37"/>
  <c r="L26" i="37"/>
  <c r="L29" i="37"/>
  <c r="L30" i="37"/>
  <c r="L33" i="37"/>
  <c r="L34" i="37"/>
  <c r="L37" i="37"/>
  <c r="H11" i="37"/>
  <c r="H12" i="37"/>
  <c r="H14" i="37"/>
  <c r="H15" i="37"/>
  <c r="H16" i="37"/>
  <c r="H19" i="37"/>
  <c r="H20" i="37"/>
  <c r="H21" i="37"/>
  <c r="H24" i="37"/>
  <c r="H25" i="37"/>
  <c r="H26" i="37"/>
  <c r="H29" i="37"/>
  <c r="H30" i="37"/>
  <c r="H33" i="37"/>
  <c r="H34" i="37"/>
  <c r="H37" i="37"/>
  <c r="F36" i="37"/>
  <c r="F35" i="37"/>
  <c r="A35" i="37"/>
  <c r="A36" i="37" s="1"/>
  <c r="A37" i="37" s="1"/>
  <c r="F32" i="37"/>
  <c r="F31" i="37"/>
  <c r="A31" i="37"/>
  <c r="A32" i="37" s="1"/>
  <c r="A33" i="37" s="1"/>
  <c r="F28" i="37"/>
  <c r="F27" i="37"/>
  <c r="A27" i="37"/>
  <c r="A28" i="37" s="1"/>
  <c r="A29" i="37" s="1"/>
  <c r="E23" i="37"/>
  <c r="F23" i="37" s="1"/>
  <c r="E22" i="37"/>
  <c r="F22" i="37" s="1"/>
  <c r="A22" i="37"/>
  <c r="A23" i="37" s="1"/>
  <c r="A24" i="37" s="1"/>
  <c r="A25" i="37" s="1"/>
  <c r="F18" i="37"/>
  <c r="F17" i="37"/>
  <c r="A17" i="37"/>
  <c r="A18" i="37" s="1"/>
  <c r="A19" i="37" s="1"/>
  <c r="A20" i="37" s="1"/>
  <c r="F13" i="37"/>
  <c r="A13" i="37"/>
  <c r="A14" i="37" s="1"/>
  <c r="A15" i="37" s="1"/>
  <c r="F10" i="37"/>
  <c r="A10" i="37"/>
  <c r="A11" i="37" s="1"/>
  <c r="A63" i="36"/>
  <c r="A64" i="36" s="1"/>
  <c r="A65" i="36" s="1"/>
  <c r="F61" i="36"/>
  <c r="E60" i="36"/>
  <c r="F60" i="36" s="1"/>
  <c r="F59" i="36"/>
  <c r="F58" i="36"/>
  <c r="A58" i="36"/>
  <c r="A59" i="36" s="1"/>
  <c r="A60" i="36" s="1"/>
  <c r="A61" i="36" s="1"/>
  <c r="A51" i="36"/>
  <c r="A49" i="36"/>
  <c r="F47" i="36"/>
  <c r="F46" i="36"/>
  <c r="F45" i="36"/>
  <c r="A45" i="36"/>
  <c r="A46" i="36" s="1"/>
  <c r="A47" i="36" s="1"/>
  <c r="H13" i="37" l="1"/>
  <c r="H28" i="37"/>
  <c r="H27" i="37"/>
  <c r="H18" i="37"/>
  <c r="L32" i="37"/>
  <c r="H31" i="37"/>
  <c r="L22" i="37"/>
  <c r="H23" i="37"/>
  <c r="H35" i="37"/>
  <c r="H17" i="37"/>
  <c r="H36" i="37"/>
  <c r="H46" i="36"/>
  <c r="J46" i="36"/>
  <c r="L46" i="36"/>
  <c r="J47" i="36"/>
  <c r="L47" i="36"/>
  <c r="H47" i="36"/>
  <c r="H45" i="36"/>
  <c r="J45" i="36"/>
  <c r="L45" i="36"/>
  <c r="L59" i="36"/>
  <c r="L60" i="36"/>
  <c r="L58" i="36"/>
  <c r="H58" i="36"/>
  <c r="J58" i="36"/>
  <c r="L61" i="36"/>
  <c r="J59" i="36"/>
  <c r="H59" i="36"/>
  <c r="J61" i="36"/>
  <c r="H61" i="36"/>
  <c r="J60" i="36"/>
  <c r="H60" i="36"/>
  <c r="M11" i="37"/>
  <c r="M25" i="37"/>
  <c r="M26" i="37"/>
  <c r="J23" i="37"/>
  <c r="M19" i="37"/>
  <c r="J22" i="37"/>
  <c r="M16" i="37"/>
  <c r="L28" i="37"/>
  <c r="M21" i="37"/>
  <c r="L27" i="37"/>
  <c r="M14" i="37"/>
  <c r="M15" i="37"/>
  <c r="M29" i="37"/>
  <c r="J10" i="37"/>
  <c r="L23" i="37"/>
  <c r="L13" i="37"/>
  <c r="J27" i="37"/>
  <c r="M37" i="37"/>
  <c r="M34" i="37"/>
  <c r="M33" i="37"/>
  <c r="J32" i="37"/>
  <c r="H32" i="37"/>
  <c r="M30" i="37"/>
  <c r="M20" i="37"/>
  <c r="A66" i="36"/>
  <c r="J31" i="37"/>
  <c r="H22" i="37"/>
  <c r="L36" i="37"/>
  <c r="J18" i="37"/>
  <c r="L35" i="37"/>
  <c r="J17" i="37"/>
  <c r="J28" i="37"/>
  <c r="M28" i="37" s="1"/>
  <c r="L17" i="37"/>
  <c r="J35" i="37"/>
  <c r="L31" i="37"/>
  <c r="J13" i="37"/>
  <c r="L18" i="37"/>
  <c r="J36" i="37"/>
  <c r="M12" i="37"/>
  <c r="F50" i="36"/>
  <c r="M24" i="37"/>
  <c r="H10" i="37"/>
  <c r="F49" i="36"/>
  <c r="F72" i="36"/>
  <c r="F74" i="36"/>
  <c r="F76" i="36"/>
  <c r="F63" i="36"/>
  <c r="F65" i="36"/>
  <c r="F71" i="36"/>
  <c r="F73" i="36"/>
  <c r="F75" i="36"/>
  <c r="F64" i="36"/>
  <c r="M47" i="36" l="1"/>
  <c r="M27" i="37"/>
  <c r="M32" i="37"/>
  <c r="M61" i="36"/>
  <c r="M60" i="36"/>
  <c r="M45" i="36"/>
  <c r="M59" i="36"/>
  <c r="M58" i="36"/>
  <c r="M46" i="36"/>
  <c r="L63" i="36"/>
  <c r="L64" i="36"/>
  <c r="J49" i="36"/>
  <c r="L49" i="36"/>
  <c r="H49" i="36"/>
  <c r="L50" i="36"/>
  <c r="H50" i="36"/>
  <c r="J50" i="36"/>
  <c r="H64" i="36"/>
  <c r="J64" i="36"/>
  <c r="H63" i="36"/>
  <c r="J63" i="36"/>
  <c r="J65" i="36"/>
  <c r="H65" i="36"/>
  <c r="J74" i="36"/>
  <c r="H74" i="36"/>
  <c r="J72" i="36"/>
  <c r="H72" i="36"/>
  <c r="J76" i="36"/>
  <c r="H76" i="36"/>
  <c r="J75" i="36"/>
  <c r="H75" i="36"/>
  <c r="H73" i="36"/>
  <c r="J73" i="36"/>
  <c r="J71" i="36"/>
  <c r="H71" i="36"/>
  <c r="M18" i="37"/>
  <c r="M13" i="37"/>
  <c r="M35" i="37"/>
  <c r="M36" i="37"/>
  <c r="M22" i="37"/>
  <c r="M31" i="37"/>
  <c r="M23" i="37"/>
  <c r="L38" i="37"/>
  <c r="M17" i="37"/>
  <c r="A67" i="36"/>
  <c r="A68" i="36" s="1"/>
  <c r="A69" i="36" s="1"/>
  <c r="A70" i="36" s="1"/>
  <c r="A71" i="36" s="1"/>
  <c r="A72" i="36" s="1"/>
  <c r="A73" i="36" s="1"/>
  <c r="A74" i="36" s="1"/>
  <c r="A75" i="36" s="1"/>
  <c r="A76" i="36" s="1"/>
  <c r="H38" i="37"/>
  <c r="M39" i="37" s="1"/>
  <c r="M10" i="37"/>
  <c r="J38" i="37"/>
  <c r="M41" i="37" s="1"/>
  <c r="L76" i="36"/>
  <c r="L72" i="36"/>
  <c r="L74" i="36"/>
  <c r="L75" i="36"/>
  <c r="L71" i="36"/>
  <c r="L65" i="36"/>
  <c r="L73" i="36"/>
  <c r="F51" i="36"/>
  <c r="M75" i="36" l="1"/>
  <c r="M76" i="36"/>
  <c r="M72" i="36"/>
  <c r="M63" i="36"/>
  <c r="M73" i="36"/>
  <c r="M50" i="36"/>
  <c r="M64" i="36"/>
  <c r="M71" i="36"/>
  <c r="M74" i="36"/>
  <c r="M65" i="36"/>
  <c r="M49" i="36"/>
  <c r="L51" i="36"/>
  <c r="L286" i="36" s="1"/>
  <c r="H51" i="36"/>
  <c r="J51" i="36"/>
  <c r="J286" i="36" s="1"/>
  <c r="M38" i="37"/>
  <c r="M40" i="37" s="1"/>
  <c r="D4" i="37"/>
  <c r="M51" i="36" l="1"/>
  <c r="H286" i="36"/>
  <c r="M287" i="36" s="1"/>
  <c r="M42" i="37"/>
  <c r="M44" i="37" l="1"/>
  <c r="E8" i="49" s="1"/>
  <c r="G8" i="49" s="1"/>
  <c r="G9" i="49" s="1"/>
  <c r="D18" i="4" s="1"/>
  <c r="H18" i="4" s="1"/>
  <c r="M43" i="37"/>
  <c r="M286" i="36"/>
  <c r="D3" i="37"/>
  <c r="E9" i="49"/>
  <c r="H10" i="4" l="1"/>
  <c r="M288" i="36" l="1"/>
  <c r="M289" i="36" s="1"/>
  <c r="M290" i="36" s="1"/>
  <c r="M291" i="36" s="1"/>
  <c r="M292" i="36" s="1"/>
  <c r="D13" i="4" l="1"/>
  <c r="E3" i="36"/>
  <c r="H13" i="4" l="1"/>
  <c r="L68" i="45" l="1"/>
  <c r="J68" i="45"/>
  <c r="H68" i="45"/>
  <c r="L65" i="45"/>
  <c r="M68" i="45" l="1"/>
  <c r="J65" i="45"/>
  <c r="H65" i="45"/>
  <c r="M65" i="45" s="1"/>
  <c r="F66" i="45"/>
  <c r="F67" i="45"/>
  <c r="L67" i="45" l="1"/>
  <c r="H67" i="45"/>
  <c r="J67" i="45"/>
  <c r="J66" i="45"/>
  <c r="J71" i="45" s="1"/>
  <c r="H66" i="45"/>
  <c r="L66" i="45"/>
  <c r="L71" i="45" s="1"/>
  <c r="B26" i="4" l="1"/>
  <c r="G26" i="4" s="1"/>
  <c r="M74" i="45"/>
  <c r="H71" i="45"/>
  <c r="M72" i="45" s="1"/>
  <c r="M66" i="45"/>
  <c r="M67" i="45"/>
  <c r="M71" i="45" l="1"/>
  <c r="M73" i="45" s="1"/>
  <c r="M75" i="45" s="1"/>
  <c r="H26" i="4"/>
  <c r="M76" i="45" l="1"/>
  <c r="M77" i="45" s="1"/>
  <c r="D16" i="4" l="1"/>
  <c r="H16" i="4" s="1"/>
  <c r="H22" i="4" s="1"/>
  <c r="H23" i="4" s="1"/>
  <c r="E3" i="45"/>
  <c r="D22" i="4" l="1"/>
  <c r="G25" i="4"/>
  <c r="G27" i="4" s="1"/>
  <c r="G28" i="4" s="1"/>
  <c r="G29" i="4" s="1"/>
  <c r="H24" i="4"/>
  <c r="H25" i="4" s="1"/>
  <c r="H27" i="4" s="1"/>
  <c r="H28" i="4" s="1"/>
  <c r="H29" i="4" s="1"/>
  <c r="H32" i="4" s="1"/>
  <c r="F2" i="4" l="1"/>
</calcChain>
</file>

<file path=xl/sharedStrings.xml><?xml version="1.0" encoding="utf-8"?>
<sst xmlns="http://schemas.openxmlformats.org/spreadsheetml/2006/main" count="4478" uniqueCount="875">
  <si>
    <t>სახარჯთაღრიცხვო ღირებულება</t>
  </si>
  <si>
    <t xml:space="preserve">ლარი </t>
  </si>
  <si>
    <t>საფუძველი</t>
  </si>
  <si>
    <t>სამუშაოებისა და დანახარჯების დასახელება</t>
  </si>
  <si>
    <t xml:space="preserve">განზომილების ერთეული </t>
  </si>
  <si>
    <t>რაოდენობა</t>
  </si>
  <si>
    <t>მასალა</t>
  </si>
  <si>
    <t>განზომილების ერთეულზე</t>
  </si>
  <si>
    <t>საპროექტო მონაცემზე</t>
  </si>
  <si>
    <t>ერთეული</t>
  </si>
  <si>
    <t>სულ</t>
  </si>
  <si>
    <t>ცალი</t>
  </si>
  <si>
    <t>შრომითი დანახარჯი</t>
  </si>
  <si>
    <t>კაც/სთ</t>
  </si>
  <si>
    <t>ლარი</t>
  </si>
  <si>
    <t>კბმ</t>
  </si>
  <si>
    <t>ტ</t>
  </si>
  <si>
    <t>გრუნტის დამუშავება ხელით</t>
  </si>
  <si>
    <t>ყალიბის ფარი სისქე 25მმ</t>
  </si>
  <si>
    <t xml:space="preserve">ფიცარი ჩამოგანილი 40 მმ  სისქის  </t>
  </si>
  <si>
    <t>პრ</t>
  </si>
  <si>
    <t>კგ</t>
  </si>
  <si>
    <t xml:space="preserve">ლითონის ელემენტების გაწმენდა   დაგრუნტვა </t>
  </si>
  <si>
    <t xml:space="preserve">შრომითი დანახარჯი  </t>
  </si>
  <si>
    <t xml:space="preserve">გრუნტი ლითონის ზედაპირების </t>
  </si>
  <si>
    <t>გამხსნელი</t>
  </si>
  <si>
    <t>ლითონის ელემენტების შეღებვა   ანტიკოროზიული საღებავით 2-ჯერ</t>
  </si>
  <si>
    <t xml:space="preserve">ანტიკოროზიული საღებავი </t>
  </si>
  <si>
    <t>ოლიფა</t>
  </si>
  <si>
    <t xml:space="preserve">ჯამი </t>
  </si>
  <si>
    <t>გეგმიური დაგროვება</t>
  </si>
  <si>
    <t xml:space="preserve">სულ ხარჯთაღრიცხვით </t>
  </si>
  <si>
    <t xml:space="preserve">                        ნაკრები სახარჯთაღრიცხვო გაანგარიშება                </t>
  </si>
  <si>
    <t>ხარჯთაღიცხვის ნომერი</t>
  </si>
  <si>
    <t>ობიექტისს სამუშაოს და ხარჯების დასახელება</t>
  </si>
  <si>
    <t xml:space="preserve"> სახრჯთაღრიცხვო  ღირებულება</t>
  </si>
  <si>
    <t>დანადგარი, მოწყობილობები, ავეჯი, ინვენტარი</t>
  </si>
  <si>
    <t>სხვადასხვა ხარჯები</t>
  </si>
  <si>
    <t>საერთო სახარჯთაღრიცხვო  ღირებულება</t>
  </si>
  <si>
    <t>ჯამი</t>
  </si>
  <si>
    <t>დამატებით ღირებულებაზე გადასახადი 18 %</t>
  </si>
  <si>
    <t>სულ კრებსითი სახარჯთაღრიცხვო ღირებულება</t>
  </si>
  <si>
    <t>ქვიშა</t>
  </si>
  <si>
    <t>კვმ</t>
  </si>
  <si>
    <t>1</t>
  </si>
  <si>
    <t>2</t>
  </si>
  <si>
    <t>3</t>
  </si>
  <si>
    <t>4</t>
  </si>
  <si>
    <t>5</t>
  </si>
  <si>
    <t>ც</t>
  </si>
  <si>
    <t>შრომის დანახარჯები</t>
  </si>
  <si>
    <t>მანქანები</t>
  </si>
  <si>
    <t>ლ</t>
  </si>
  <si>
    <t>ავტომატური ამომრთველების მონტაჟი და მისი  მომზადება  ჩართვისთვის</t>
  </si>
  <si>
    <t xml:space="preserve">შრომითი დანახარჯები </t>
  </si>
  <si>
    <t>მ</t>
  </si>
  <si>
    <t>100 მ</t>
  </si>
  <si>
    <t>ზედნადები ხარჯები შრომითი დანახარჯებიდან</t>
  </si>
  <si>
    <t>გეგმიური დაგროვება 8%</t>
  </si>
  <si>
    <t>ღორღი</t>
  </si>
  <si>
    <t>კაც.სთ</t>
  </si>
  <si>
    <t>კუბ.მ</t>
  </si>
  <si>
    <t>მან/სთ</t>
  </si>
  <si>
    <t>მ2</t>
  </si>
  <si>
    <t>ტონა</t>
  </si>
  <si>
    <t xml:space="preserve"> სხვადასხვა მასალა</t>
  </si>
  <si>
    <t>ხელფასი</t>
  </si>
  <si>
    <t>სახარჯთაღრიცხვო ჯამი</t>
  </si>
  <si>
    <t>კომპ</t>
  </si>
  <si>
    <t>შრომითი დანახარჯები</t>
  </si>
  <si>
    <t>სხვა მასალები</t>
  </si>
  <si>
    <t>ზედნადები ხარჯები  შრომით დანახარჯებზე 65%</t>
  </si>
  <si>
    <t>მანქანა-მექანიზმები</t>
  </si>
  <si>
    <t>გრუნტის უკუჩაყრა</t>
  </si>
  <si>
    <t>ბეტონი B20</t>
  </si>
  <si>
    <t>ბეტონი B25</t>
  </si>
  <si>
    <t>ფიცარი ჩამოგანილი II ხ. 40მმ  და მეტი</t>
  </si>
  <si>
    <t xml:space="preserve">იგივე  40მმ  </t>
  </si>
  <si>
    <t>ცემენტის ხსნარი წყობის</t>
  </si>
  <si>
    <t>ელექტროდი</t>
  </si>
  <si>
    <t>ლითონის კარის ბლოკი</t>
  </si>
  <si>
    <t>ყალიბის ფარი სიქე 40 მმ</t>
  </si>
  <si>
    <t>ფიცარი ჩამოგანილი III ხარისხის 40 მმ  და მეტი</t>
  </si>
  <si>
    <t>წებო ცემენტი</t>
  </si>
  <si>
    <t xml:space="preserve">შიდა ფერდოების მოწყობა კარ-ფანჯრებზე </t>
  </si>
  <si>
    <t xml:space="preserve">ცემენტის დუღაბი </t>
  </si>
  <si>
    <t>მარალხარისხოვანი ბათქაშის მოწყობა  კედლებზე</t>
  </si>
  <si>
    <t>საღებავი წყალემულსია</t>
  </si>
  <si>
    <t>ლურსმანი სამშენებლო</t>
  </si>
  <si>
    <t xml:space="preserve">ხე მასალა </t>
  </si>
  <si>
    <t xml:space="preserve">ნაჭედი </t>
  </si>
  <si>
    <t>-</t>
  </si>
  <si>
    <t>მეტალოკრამიტის შურუპი</t>
  </si>
  <si>
    <t xml:space="preserve"> 100 გრძმ</t>
  </si>
  <si>
    <t>სამაგრი ლითონის</t>
  </si>
  <si>
    <t>ფერადი თუნუქის   ღარი</t>
  </si>
  <si>
    <t>ფერადი თუნუქის  მუხლი და სხვა</t>
  </si>
  <si>
    <t xml:space="preserve">გარე ფერდოების მოწყობა </t>
  </si>
  <si>
    <t>გ/მ</t>
  </si>
  <si>
    <t>ცემენტის დუღაბი</t>
  </si>
  <si>
    <t xml:space="preserve">ბათქაშის მოწყობა გარე კედლებზე </t>
  </si>
  <si>
    <t>ცემენტის ტუმბი  3 კბმ/სთ</t>
  </si>
  <si>
    <t>საღებავი წყალემულსიური ფასადის</t>
  </si>
  <si>
    <t>ლითონის დეტალი ხარაჩოსთვის</t>
  </si>
  <si>
    <t>ტნ</t>
  </si>
  <si>
    <t>ხის  დეტალი ხარაჩოსთვის</t>
  </si>
  <si>
    <t>ფიცარი</t>
  </si>
  <si>
    <t>კვ.მ.</t>
  </si>
  <si>
    <t>სამონტაჟო ელემენტები</t>
  </si>
  <si>
    <t>ჭანჭიკი უხეში, ნორმ. და მაღალი სიზუსტის</t>
  </si>
  <si>
    <t>გრძ.მ.</t>
  </si>
  <si>
    <t>ცემენტი ~მ300~</t>
  </si>
  <si>
    <t xml:space="preserve">ფერადი თუნუქის წყალსაწრეტი მილის მოწყობა  </t>
  </si>
  <si>
    <t xml:space="preserve">ფერადი თუნუქის  წყალშემკრები ღარის  მოწყობა  </t>
  </si>
  <si>
    <t xml:space="preserve">ფერადი თუნუქის მილი </t>
  </si>
  <si>
    <t xml:space="preserve">ფერადი თუნუქის  ძაბრი </t>
  </si>
  <si>
    <t>საფუძვლის მოწყობა  ღორღით დატკეპნით</t>
  </si>
  <si>
    <t xml:space="preserve">სხვა მანქანები </t>
  </si>
  <si>
    <t>ბეტონი B15</t>
  </si>
  <si>
    <t xml:space="preserve">სხვა მასალები </t>
  </si>
  <si>
    <t xml:space="preserve">              </t>
  </si>
  <si>
    <t>კვ.მ</t>
  </si>
  <si>
    <t>7</t>
  </si>
  <si>
    <t>8</t>
  </si>
  <si>
    <t>ზედმეტი გრუნტის   გატანა 5 კმ მანძილზე</t>
  </si>
  <si>
    <t xml:space="preserve">ინვენტარული ხარაჩოს დაყენება და დაშლა </t>
  </si>
  <si>
    <t>ხელფასის თანხები</t>
  </si>
  <si>
    <t>6</t>
  </si>
  <si>
    <t>9</t>
  </si>
  <si>
    <t>10</t>
  </si>
  <si>
    <t>11</t>
  </si>
  <si>
    <t>მ3</t>
  </si>
  <si>
    <t>სახარჯთაღრიცხვო ხელფასი</t>
  </si>
  <si>
    <t xml:space="preserve"> შრომითი დანახარჯი</t>
  </si>
  <si>
    <t>კომპ.</t>
  </si>
  <si>
    <t xml:space="preserve"> გრ.მ</t>
  </si>
  <si>
    <t>წყალი</t>
  </si>
  <si>
    <t>კუბმ</t>
  </si>
  <si>
    <t>100 კუბმ</t>
  </si>
  <si>
    <t>ქვიშა-ხრეშოვანი ნარევი</t>
  </si>
  <si>
    <t>სხვადასხვა მანქანები</t>
  </si>
  <si>
    <t>გრუნტის უკუჩაყრა  და ზედმეტი გრუნტის ადგილზე გასწორება</t>
  </si>
  <si>
    <t>ლოკალური უწყისის ჯამი:</t>
  </si>
  <si>
    <t xml:space="preserve"> ჯამი</t>
  </si>
  <si>
    <t xml:space="preserve">ზედანადები ხარჯები </t>
  </si>
  <si>
    <t xml:space="preserve">გეგმიური დაგროვება </t>
  </si>
  <si>
    <t>N</t>
  </si>
  <si>
    <t>სახარჯთაღრიცხვო მოგება 8%</t>
  </si>
  <si>
    <t>სამშენებლო სამონტაჟო   სამუშაოები</t>
  </si>
  <si>
    <t xml:space="preserve">სამშენებლო მასალების ტრანსპორტირება </t>
  </si>
  <si>
    <t>მანქ/სთ</t>
  </si>
  <si>
    <t>ყალიბის ფარი სისქე 40 მმ</t>
  </si>
  <si>
    <t xml:space="preserve">   დამკვეთი:   </t>
  </si>
  <si>
    <t>#</t>
  </si>
  <si>
    <t>სამშენებლო სამუშაოები</t>
  </si>
  <si>
    <t xml:space="preserve">თავი 1. მიწის სამუშაოები  </t>
  </si>
  <si>
    <t xml:space="preserve">მან/სთ </t>
  </si>
  <si>
    <t>ზედმეტი გრუნტის   გატანა 10 კმ მანძილზე</t>
  </si>
  <si>
    <t>ტრანსპორტირება 10 კმ მანძილზე</t>
  </si>
  <si>
    <t>ბულდოზერი  59 (80)კვტ</t>
  </si>
  <si>
    <t>მანქ.სთ</t>
  </si>
  <si>
    <t>თავი 2. რკინა – ბეტონის სამუშაოები</t>
  </si>
  <si>
    <t xml:space="preserve">რ/ბეტონის გადახურვის  ფილის მოწყობა ბეტონი  B-25 კლასის </t>
  </si>
  <si>
    <t xml:space="preserve">ფიცარი ჩამოგანილი II ხარისხის 25-32მმ </t>
  </si>
  <si>
    <t>ფიცარი ჩამოგანილი II ხარისხის  40 მმ  და მეტი</t>
  </si>
  <si>
    <t>ფიცარი ჩამოგანილი  III ხარისხი 40 მმ  და მეტი</t>
  </si>
  <si>
    <t xml:space="preserve">ფიცარი ჩამოგანილი III ხარ. 40მმ  </t>
  </si>
  <si>
    <t>ჰიდროსაიზოლაციო მასალა</t>
  </si>
  <si>
    <t>ავტო ამწე</t>
  </si>
  <si>
    <t>ლითონის სამონტაჟო ელემენტები</t>
  </si>
  <si>
    <t>ანკერი   არმატურა  А500C</t>
  </si>
  <si>
    <t>ჭანჭიკები</t>
  </si>
  <si>
    <t xml:space="preserve">თავი 3. კედლები </t>
  </si>
  <si>
    <t xml:space="preserve">  კედლების ამოშენება ბეტონი წვრილი საკედლე ბლოკებით 39X19X19 სმ  კედლის სისქე 40სმ  </t>
  </si>
  <si>
    <t xml:space="preserve">საკედლე  ბლოკი 39X19X19სმ  </t>
  </si>
  <si>
    <t xml:space="preserve">მონოლითური  რ/ბეტონის  ზღუდარების მოწყობა   ბეტონი  B-25 კლასის  </t>
  </si>
  <si>
    <t>თავი 4. კარ-ფანჯრები</t>
  </si>
  <si>
    <t>გრძმ</t>
  </si>
  <si>
    <t>თავი 5. იატაკები</t>
  </si>
  <si>
    <t>ცემენტის მჭიმის მოწყობა ლითონის ბადეზე</t>
  </si>
  <si>
    <t>ბადე ლითონის</t>
  </si>
  <si>
    <t xml:space="preserve">არაპრიალა ზედაპირის მქონე ინდუსტრიული გრანიტის    ფილების  მოწყობა იატაკებზე წებო ცემენტით </t>
  </si>
  <si>
    <t>ინდუსტრიული გრანიტი არაპრიალა ზედაპირით</t>
  </si>
  <si>
    <t xml:space="preserve"> პლინტუსების მოწყობა</t>
  </si>
  <si>
    <t>შიდა  კედლების დამუშავება და მაღალხარისხოვანი შეღებვა წყალემულსიის საღებავით (ფერდოების ჩათვლით)</t>
  </si>
  <si>
    <t xml:space="preserve">ფითხი ზეთოვანი - წებოვანი </t>
  </si>
  <si>
    <t>თავი 7. სახურავი</t>
  </si>
  <si>
    <t>გლუვი, ფერადი თუნუქის ფურცლები 0,45 მმ</t>
  </si>
  <si>
    <t>ფასადის   კედლების დამუშავება წყალმედეგი გრუნტით და  მაღალხარისხოვანი შეღებვა წყალმედეგი ფასადის საღებავით</t>
  </si>
  <si>
    <t>გრუნტი წყალმედეგი</t>
  </si>
  <si>
    <t>ფითხი ფასადის</t>
  </si>
  <si>
    <t>ლოკალურ რესურსული ჯამი</t>
  </si>
  <si>
    <t>ტრანსპორტირების ხარჯები მასალებიდან</t>
  </si>
  <si>
    <t xml:space="preserve">ზედნადები ხარჯები </t>
  </si>
  <si>
    <t>სამუშაოს და ხარჯების დასახელება</t>
  </si>
  <si>
    <t>განზომილების ერთეული ლარი</t>
  </si>
  <si>
    <t>სამშ. სამონტაჟო სამუშ.</t>
  </si>
  <si>
    <t>დანადგარები, მოწყობილობები და ინვენტარი</t>
  </si>
  <si>
    <t>სხვა ხარჯები</t>
  </si>
  <si>
    <t xml:space="preserve">სულ </t>
  </si>
  <si>
    <t>ელ. სამონტაჟო სამუშაოები</t>
  </si>
  <si>
    <t>ამწე საავტომობილო სვლაზე 6,3ტ</t>
  </si>
  <si>
    <t>ჯალამბარი (ლიბიოტკა) 3ტ ელექტრორევერსიული</t>
  </si>
  <si>
    <t>მეტრი</t>
  </si>
  <si>
    <t>კომპლ</t>
  </si>
  <si>
    <t>ჯამი თავი II</t>
  </si>
  <si>
    <t>ჯამი I + II</t>
  </si>
  <si>
    <t xml:space="preserve">გრძ/მ </t>
  </si>
  <si>
    <t>13</t>
  </si>
  <si>
    <t>14</t>
  </si>
  <si>
    <t>15</t>
  </si>
  <si>
    <t>16</t>
  </si>
  <si>
    <t>ვენტილების მოწყობა</t>
  </si>
  <si>
    <t>kac/sT</t>
  </si>
  <si>
    <t>გრუნტის დამუშავება ტრანშეაში</t>
  </si>
  <si>
    <t xml:space="preserve"> გრუნტის გათხრა ექსკავატორით   დატვირთვით ავტოთვითმცლელზე </t>
  </si>
  <si>
    <t>იგივე ხელით 10%</t>
  </si>
  <si>
    <t>თხრილის შევსება</t>
  </si>
  <si>
    <t>ბალასტი</t>
  </si>
  <si>
    <t>ტრასპორტირება</t>
  </si>
  <si>
    <t>ფილტრის მოწყობა</t>
  </si>
  <si>
    <t>ფილტრი მექანიკური თითბერის</t>
  </si>
  <si>
    <t>უკუსარქველის მონტაჟი</t>
  </si>
  <si>
    <t>უკუსარქველი 40 მმ</t>
  </si>
  <si>
    <t>ჭანჭიკები და ქანჩები</t>
  </si>
  <si>
    <t>სხვადასხვა მასალები</t>
  </si>
  <si>
    <t>მანომეტრის  მონტაჟი</t>
  </si>
  <si>
    <t>მანომეტრი</t>
  </si>
  <si>
    <t>ფასონური ნაწილები</t>
  </si>
  <si>
    <t xml:space="preserve">გოფრირებული ცეცხლგამძლე მილის გაყვანა  </t>
  </si>
  <si>
    <t xml:space="preserve"> სპილენძის კაბელი ორმაგი იზოლაციით N2XH-J 3x2.5</t>
  </si>
  <si>
    <t>ელ კაბელების მონტაჟი</t>
  </si>
  <si>
    <t>ღეროს და ზოლოვანას შემაერთებელი დეტალი</t>
  </si>
  <si>
    <t>ზოლოვანას ჯვარედინული შემაერთებელი დეტალი</t>
  </si>
  <si>
    <t>ჰორიზონტალური დამიწების კონტურის მოწყობა</t>
  </si>
  <si>
    <t xml:space="preserve"> ელ. გამანაწილებელი  ფარის მოწყობა </t>
  </si>
  <si>
    <t>მოთუთიებული ზოლოვანა  40X4</t>
  </si>
  <si>
    <t>ჭანჭიკი საყელურით და ქანჩით</t>
  </si>
  <si>
    <t>მასტიკა/ემულსია</t>
  </si>
  <si>
    <t>კედლების გრუნტთან შეხების ადგილებში ვერტიკალური ჰიდროიზოლაციის ბიტუმის მასტიკით</t>
  </si>
  <si>
    <t>ქვიშოვანი საფარის მოწყობა მილის ირგვლივ</t>
  </si>
  <si>
    <t>ხე მასალა</t>
  </si>
  <si>
    <t>გაზინთული ძენძი</t>
  </si>
  <si>
    <t>ბეტონი ბ.7,5</t>
  </si>
  <si>
    <t>ქვიშა ხრეში</t>
  </si>
  <si>
    <t>შეჭრა</t>
  </si>
  <si>
    <t>ანტიკოროზიული საღებავი</t>
  </si>
  <si>
    <t>სატრანსპორტო ხარჯები მასალებიდან</t>
  </si>
  <si>
    <t>საპენსიო დანაზოგი  2%</t>
  </si>
  <si>
    <t>ძირითადი ობიექტები</t>
  </si>
  <si>
    <t>ტერიტორიის კეთილმოწყობა</t>
  </si>
  <si>
    <t xml:space="preserve"> არმატურა  АIII დ8</t>
  </si>
  <si>
    <t>გლუვი ფურცლები ფერადი</t>
  </si>
  <si>
    <t xml:space="preserve">შრომითი დანახარჯი </t>
  </si>
  <si>
    <t xml:space="preserve">ავტოგრეიდერი საშ. ტიპის 79 კვტ. </t>
  </si>
  <si>
    <t>საგზაო სატკეპნი 18ტ</t>
  </si>
  <si>
    <t>სარწყავი მანქანა 6000 ლ</t>
  </si>
  <si>
    <t xml:space="preserve"> საფუძვლის მოწყობა ღორღით ფილის  საფარის ქვეშ სისქე 10 სმ დატკეპვნით</t>
  </si>
  <si>
    <t>ღორღი ფრაქცია 5-20 მმ</t>
  </si>
  <si>
    <t xml:space="preserve">გ/მ </t>
  </si>
  <si>
    <t xml:space="preserve">ცემენტის დუღაბი  </t>
  </si>
  <si>
    <t>უკუჩაყრა</t>
  </si>
  <si>
    <t>გამწვანბისათვის საჭირო ტერიტორიის მოსწორება</t>
  </si>
  <si>
    <t>კ/სთ</t>
  </si>
  <si>
    <t>კორდი</t>
  </si>
  <si>
    <t xml:space="preserve">ნაგვის ურნა </t>
  </si>
  <si>
    <t xml:space="preserve">მანქანები </t>
  </si>
  <si>
    <t xml:space="preserve">გრუნტის დამუშავება   ექსკავატორით  დახრილი ზედაპირის (ფერდობის ) მოსწორებით დატვირთვა ავტოთვითმცლელზე </t>
  </si>
  <si>
    <t>შრომითი რესურსი</t>
  </si>
  <si>
    <t>ტრანსპორტირება</t>
  </si>
  <si>
    <t>საფუძვლის მოწყობა და ტერიტორიის მოსწორება</t>
  </si>
  <si>
    <t xml:space="preserve">რ/ბეტონის  საყრენი კედლების  მოწყობა </t>
  </si>
  <si>
    <t>არმატურა აIII</t>
  </si>
  <si>
    <t xml:space="preserve">ძელაკი III ხ.  40-60 მმ </t>
  </si>
  <si>
    <t xml:space="preserve">ფიცარი ჩამოგანილი III ხ.  40 მმ  </t>
  </si>
  <si>
    <t>სამშენებლო ქანჩი</t>
  </si>
  <si>
    <t xml:space="preserve">ელექტროდი </t>
  </si>
  <si>
    <t>საფუძვლის მოწყობა  ქვიშა/ღორღით, დატკეპნით</t>
  </si>
  <si>
    <t>მონოლითური  რ/ბეტონის სარტყელის  მოწყობა   ბეტონი  B-25 კლასის</t>
  </si>
  <si>
    <t xml:space="preserve">ლითონის კარის  კ-1 - ის მოწყობა  </t>
  </si>
  <si>
    <t>მეტალოპლასტმასის  ფანჯრების  მოწყობა აქსესუარებით</t>
  </si>
  <si>
    <t>მეტალოპლასტმასის ფანჯრები</t>
  </si>
  <si>
    <t>თავი 6. შიდა მოპირკეთება</t>
  </si>
  <si>
    <t>თავი 7. ჭერები</t>
  </si>
  <si>
    <t xml:space="preserve"> საკაბელო შემყვანის მოწყობა შენობაში  პლასტმასის სქელკედლიან მილში დ-50 მმ</t>
  </si>
  <si>
    <t>პლასტმასის სქელკედლიანი მილი დ-50 მმ</t>
  </si>
  <si>
    <t>შემყვან-გამანაწილებელი კარადის  მონტაჟი და მისი  მომზადება  ჩართვისთვის</t>
  </si>
  <si>
    <t>გამანაწ. კარადა 16 ა სამფ. ავტომატით კომპლ-ში</t>
  </si>
  <si>
    <t>ავტომატური ამომრთველის მონტაჟი და მისი  მომზადება  ჩართვისთვის</t>
  </si>
  <si>
    <t>ერთფაზიანი ავტომატური ამომრთველი       16 ა-ზე</t>
  </si>
  <si>
    <t>ძრავის დაცვის ერთფაზიანი 2 პ ავტომატური ამომრთველი       16 ა-ზე</t>
  </si>
  <si>
    <t xml:space="preserve">სპილენძისძარღვიანი  სადენის  გაყვანა  ბათქაშის  ქვეშ </t>
  </si>
  <si>
    <t>სადენი სპილენძის ძარღვით  კვეთით 3X1,5 კვ მმ</t>
  </si>
  <si>
    <t>სადენი  კვეთით 3X2,5 კვ მმ</t>
  </si>
  <si>
    <t>ჰერმეტული  ტიპის  ჩამრთველის  მონტაჟი</t>
  </si>
  <si>
    <t>ჰერმეტული  ტიპის  ჩამრთველი ორკლავიშიანი</t>
  </si>
  <si>
    <t>ჰერმეტული  ტიპის   შტეპსელური  როზეტის  მონტაჟი</t>
  </si>
  <si>
    <t>ჰერმეტული  ტიპის შტეფსელური როზეტი დამიწებით</t>
  </si>
  <si>
    <t xml:space="preserve">ზედნადები ხარჯები სამონტაჟო 75 % თანხაზე </t>
  </si>
  <si>
    <t>გეგმიური დაგროვება 8 %</t>
  </si>
  <si>
    <t xml:space="preserve"> ჰერმეტული სანათის მონტაჟი</t>
  </si>
  <si>
    <t xml:space="preserve"> დახურული Led ტიპის სანათი </t>
  </si>
  <si>
    <t>თავი 8. ფასადი</t>
  </si>
  <si>
    <t>გარე ბაქნის მოწყობა ბეტონი  B-15</t>
  </si>
  <si>
    <t xml:space="preserve">გრუნტის დამუშავება ხელით </t>
  </si>
  <si>
    <t xml:space="preserve">  ლარი</t>
  </si>
  <si>
    <t>ჰიდროიზოლაციის მოწყობა</t>
  </si>
  <si>
    <t>შრომითი რესურსები</t>
  </si>
  <si>
    <t>ველოსადგომის მოწყობა</t>
  </si>
  <si>
    <t>ველოსადგომის მოწყობა (იხ. პროექტი)</t>
  </si>
  <si>
    <t xml:space="preserve">რ/ ბეტონის არმირებული იატაკის მოწყობა  ბეტონი  B-25 კლასის  </t>
  </si>
  <si>
    <t>მაღალხარისხოვანი ბათქაშის მოწყობა  კედლებზე</t>
  </si>
  <si>
    <t>ბეტონის ტუმბო</t>
  </si>
  <si>
    <t xml:space="preserve"> არმატურა  АIII დ10</t>
  </si>
  <si>
    <t>არსებული მოპირკეთების ფილების დემონტაჟი კვარცხლბეგიდან (ბაზალტი)</t>
  </si>
  <si>
    <t xml:space="preserve">სამშენებლო ნარჩენების დატვირთვა და ტრანსპორტირება 10 კმ-დე მანძილზე </t>
  </si>
  <si>
    <t xml:space="preserve">კვარცხლბეგის მოპირკეთება ბუნებრივი მარმარილოს ფილებით სისქით </t>
  </si>
  <si>
    <t>მარმარილოს ფილა სისქით 2 სმ</t>
  </si>
  <si>
    <t>მარმარილოს ფილა სისქით 4 სმ</t>
  </si>
  <si>
    <t>სამაგრი დეტალები</t>
  </si>
  <si>
    <t>არსებული სახურავის დაშლა</t>
  </si>
  <si>
    <t xml:space="preserve">რ/ ბეტონის სარინელის მოწყობა  ბეტონი  B-20 კლასის  </t>
  </si>
  <si>
    <t>სარინელზე რიყის ქვით მოპირკეთება</t>
  </si>
  <si>
    <t>რიყის ქვა</t>
  </si>
  <si>
    <t xml:space="preserve">კრამიტი </t>
  </si>
  <si>
    <t>კრამიტის კეხი</t>
  </si>
  <si>
    <t>შურუპი 1 კვმ-ზე 6 ცალი</t>
  </si>
  <si>
    <t>კრამიტის  სახურავის მოწყობა</t>
  </si>
  <si>
    <t>პარაპეტების  შემოსვა გლუვი თუნუქით</t>
  </si>
  <si>
    <t>გლუვი, ფერადი თუნუქის ფურცლები 0,5 მმ</t>
  </si>
  <si>
    <t>გრუნტის მოჭრა</t>
  </si>
  <si>
    <t>ტრანსპორტირება 5 კმ მანძილზე</t>
  </si>
  <si>
    <t>ფითხი ხის</t>
  </si>
  <si>
    <t>სხვა  მასალები</t>
  </si>
  <si>
    <t>აგურის და რიყის ბრტყელი ქვით მოპირკეთებული კედლის გალაქვა</t>
  </si>
  <si>
    <t>აგურის და რიყის ბრტყელი ქვით მოპირკეთებული კედლის აღდგენა ადგილ ადგილ</t>
  </si>
  <si>
    <t>აგური</t>
  </si>
  <si>
    <t>ქ. ყვარელში, ,,ილიას გორაზე" ილია ჭავჭავაძის ძეგლის მიმდებარედ ტურისტული რეკრეაციული არეალის მოწყობაზე</t>
  </si>
  <si>
    <t>ქ. ყვარელში, ,,ილიას გორაზე" ილია ჭავჭავაძის ძეგლის მიმდებარედ ტურისტული რეკრეაციული არეალის მოწყობაზე დამხმარე შენობა</t>
  </si>
  <si>
    <t>გრუნტის მოჭრა 25 სმ</t>
  </si>
  <si>
    <t xml:space="preserve"> ქვიშის საფუძვლის მოწყობა ბეტონის დეკორატიული ფილების მოსაწყობად   სისქე 10 სმ დატკეპვნით</t>
  </si>
  <si>
    <t>ქვაფენილის ფილები სისქე 80 მმ</t>
  </si>
  <si>
    <t>გრუნტის მოჭრა 20 სმ</t>
  </si>
  <si>
    <t>რკინაბეტონის ფილის მოწყობა</t>
  </si>
  <si>
    <t>გრუნტის შეტანა ტერიტორიაზე</t>
  </si>
  <si>
    <t>ბაზალტის ბორდიური 150X300 მმ</t>
  </si>
  <si>
    <t>ღორღის საფუძვლის მოწყობა</t>
  </si>
  <si>
    <t>კუბ.მ.</t>
  </si>
  <si>
    <t>ცხაურის ღირებულება</t>
  </si>
  <si>
    <t>კგ.</t>
  </si>
  <si>
    <t>კედლის დეკორატიული სანათი</t>
  </si>
  <si>
    <t>გარე მონ. კამერა 4 მმ ლინზით</t>
  </si>
  <si>
    <t>სანათების მოწყობა</t>
  </si>
  <si>
    <t>36-W. RGB 90*</t>
  </si>
  <si>
    <t>კედლის 17x78 ზომის დეკორატიული სანათი #1</t>
  </si>
  <si>
    <t>სკვერის დეკორატიული სანათი #2 (18x73)</t>
  </si>
  <si>
    <t>სკვერის დეკორატიული სანათი #3 (22x60)</t>
  </si>
  <si>
    <t>თეთრი ფერის ლედ სანათი</t>
  </si>
  <si>
    <t>საანკერე სჭვალი</t>
  </si>
  <si>
    <t>ლედ სანათი გამჭირვალე სილიკონის მილში</t>
  </si>
  <si>
    <t>ლენტური ლედ სანათის მოწყობა</t>
  </si>
  <si>
    <t>ლენტური განათების  მოწყობა</t>
  </si>
  <si>
    <t>ალუმინის პროფილი პლაფონით 120*35</t>
  </si>
  <si>
    <t>ორგმინის პლაფონი ბეჭდების განათებისთვის</t>
  </si>
  <si>
    <t xml:space="preserve"> ელ. ფარი  </t>
  </si>
  <si>
    <t xml:space="preserve">გამანაწილებელი კარადა </t>
  </si>
  <si>
    <t xml:space="preserve">გარე სამონტაჟო მთავარი გამანაწილებელი კარადა მოწყობა </t>
  </si>
  <si>
    <t xml:space="preserve"> სპილენძის კაბელი ორმაგი იზოლაციით N2XH-J 3x3.5</t>
  </si>
  <si>
    <t>ავტომატური ამომრთვლი სამფაზა 64ა</t>
  </si>
  <si>
    <t>ავტომატური ამომრთვლი ერთფაზა 16ა</t>
  </si>
  <si>
    <t>m</t>
  </si>
  <si>
    <t>დამიწების  ელექტროდების მონტაჟი</t>
  </si>
  <si>
    <t>დამიწიების ელექტროდი კუთხოვანა 50*50*5 Ll-2.5</t>
  </si>
  <si>
    <t>ქვიშის საგები ფენის მოწყობა</t>
  </si>
  <si>
    <t>განათების ბოძი</t>
  </si>
  <si>
    <t>16 არხიანი DVR (ანუ მიმღები)</t>
  </si>
  <si>
    <t>დენის წყარო 220 ვ/12</t>
  </si>
  <si>
    <t>სადენის გაყვანა</t>
  </si>
  <si>
    <t>კაბელი UTF cat 5E</t>
  </si>
  <si>
    <t>გოფრირებული საიზოლაციო მილი დ10</t>
  </si>
  <si>
    <t xml:space="preserve">ადაპტერი (WI-FI) </t>
  </si>
  <si>
    <t xml:space="preserve">შრომის დანახარჯი </t>
  </si>
  <si>
    <t>ინტერნეტის სადენის გაყვანა  FTP cat5E 4x2</t>
  </si>
  <si>
    <t>ინტერნეტის სადენი  FTP cat5E 4x2</t>
  </si>
  <si>
    <t>ინტერნეტის გამანაწილებელი ადაპტერი</t>
  </si>
  <si>
    <t>ინტერნეტის გამანაწილებელი ადაპტერის მოწყობა</t>
  </si>
  <si>
    <t>გარე მონ. კამერა 2.8 მმ ლინზით</t>
  </si>
  <si>
    <t>სატუმბო სადგურის მშენებლობაზე</t>
  </si>
  <si>
    <t>ჭერების დამუშავება და შეფითხვნა, შეღებვა</t>
  </si>
  <si>
    <t>ფითხი ზეთოვანი - წებოვანი</t>
  </si>
  <si>
    <t>რულონური ჰიდროიზოლაცია ქვედა ფენა</t>
  </si>
  <si>
    <t>პრაიმერი</t>
  </si>
  <si>
    <t>გაზი</t>
  </si>
  <si>
    <t xml:space="preserve"> შუბლების შემოსვა გლუვი თუნუქით</t>
  </si>
  <si>
    <t xml:space="preserve">ბეტონის  ლენტური საძირკვლის მოწყობა ბეტონი  B-20 კლასის  </t>
  </si>
  <si>
    <t>ბეტონი B-20</t>
  </si>
  <si>
    <t xml:space="preserve">რ/ბეტონის სვეტის  (გულანების) მოწყობა  ბეტონი (B-25) </t>
  </si>
  <si>
    <t xml:space="preserve">ბეტონი(B-25) </t>
  </si>
  <si>
    <t xml:space="preserve">ფიცარი ჩამოგანილი II ხ.  40 მმ  </t>
  </si>
  <si>
    <t xml:space="preserve">იგივე  III ხ.  40 მმ  </t>
  </si>
  <si>
    <t>ელექტროდი ე-42</t>
  </si>
  <si>
    <t xml:space="preserve"> არმატურა А-III</t>
  </si>
  <si>
    <t>ცემენტის მჭიმის მოწყობა ქანობით</t>
  </si>
  <si>
    <t>ჰორიზონტალური  ტუმბო აგრეგატის მონტაჟი Q=30.0 კბმ H=100 მ N=7.50 კვტ</t>
  </si>
  <si>
    <t>ვიბრო კომპენსატორის მონტაჟი</t>
  </si>
  <si>
    <t>თუჯის ურდული პოლიეთილენის მილყელებით   DN 80</t>
  </si>
  <si>
    <t>თუჯის ურდული  Ø80</t>
  </si>
  <si>
    <t>ფოლადის მილის მონტაჟი, მილი დ89*5</t>
  </si>
  <si>
    <t>ფოლადის  მილი დ89*5</t>
  </si>
  <si>
    <t>ფოლადის  სამკაპი  დ89*89*89</t>
  </si>
  <si>
    <t>დ89 მმ მილის სამაგრები</t>
  </si>
  <si>
    <t>უკუსარქველი 80  მმ მილტუჩით</t>
  </si>
  <si>
    <t xml:space="preserve">ფოლადის  90* მუხლი ST- D89  </t>
  </si>
  <si>
    <t>თავი  II მოწყობილობები</t>
  </si>
  <si>
    <t>ვიბრო კომპენსატორი</t>
  </si>
  <si>
    <t xml:space="preserve">ქვიშის საგების მოწყობა </t>
  </si>
  <si>
    <t>ზედმეტი გუნტის   გატანა 10 კმ მანძილზე</t>
  </si>
  <si>
    <t>მანიშნებელი ლენტა</t>
  </si>
  <si>
    <t>მანიშნებელი ლენტის მოწყობა</t>
  </si>
  <si>
    <t>წყლის  მილი   დ75</t>
  </si>
  <si>
    <t>წყლის  მილი  დ75</t>
  </si>
  <si>
    <t>წყლის  მილი  დ90</t>
  </si>
  <si>
    <t>წყლის  მილი   დ90</t>
  </si>
  <si>
    <t>წყლის  მილი  დ32 პნ10</t>
  </si>
  <si>
    <t>წყლის  მილი   დ32 პნ10</t>
  </si>
  <si>
    <t>ჩამკეტი  ვენტილი</t>
  </si>
  <si>
    <t>წყალმზომის მოწყობა</t>
  </si>
  <si>
    <t>წყალმზომი</t>
  </si>
  <si>
    <t>რეზინის   მილი  დ20 მმ</t>
  </si>
  <si>
    <t>მუხლი დ20</t>
  </si>
  <si>
    <t>პლასტმასის ჭების მოწყობა სახურავით კომპექტში</t>
  </si>
  <si>
    <t>პლასტმასის ჭები  სახურავით კომპექტში 55*55*55</t>
  </si>
  <si>
    <t>სპლინკერების მოწყობა</t>
  </si>
  <si>
    <t>სპლინკერი პლასტმასის, მბრუნავი, ორი კუთხური ინჟექტორით, მორწყვის ფართობი 78 მ2 საშ. დიამეტრი 10 მ</t>
  </si>
  <si>
    <t>სპლინკერი პლასტმასის, მბრუნავი, ორი კუთხური ინჟექტორით, მორწყვის ფართობი 190 მ2 საშ. დიამეტრი 12 მ</t>
  </si>
  <si>
    <t>სპლინკერი პლასტმასის, მბრუნავი, ორი კუთხური ინჟექტორით, მორწყვის ფართობი 120 მ2 საშ. დიამეტრი 9 მ</t>
  </si>
  <si>
    <t>დარაჯის ჯიხურის შეძენა და მონტაჟი</t>
  </si>
  <si>
    <t>150*150*4 კვადრატული მილი</t>
  </si>
  <si>
    <t xml:space="preserve">ლითონის ფურცელი </t>
  </si>
  <si>
    <t>პერგოლაზე  ლითონის ტროსების მოწყობა ჰორიზონტალები</t>
  </si>
  <si>
    <t>ლითონის ტროსები</t>
  </si>
  <si>
    <t>მოძრაობის შემზღუდველი ბარიერები</t>
  </si>
  <si>
    <t>დეკორაცია ,, ნიშნობის ბეჭდების" მოწყობა</t>
  </si>
  <si>
    <t>დეკორაცია ,, ნიშნობის ბეჭდები" (იხ. პროექტი)</t>
  </si>
  <si>
    <t>ლ.რ.ხ. #1</t>
  </si>
  <si>
    <t>ლ.რ.ხ. #2</t>
  </si>
  <si>
    <t>დამხმარე შენობის სარემონტო სამუშაოებზე</t>
  </si>
  <si>
    <t>სატუმბი სადგურის სამშენებლო სამუშაოებზე</t>
  </si>
  <si>
    <t>ლ.რ.ხ. #4</t>
  </si>
  <si>
    <t>ლ.რ.ხ. #5</t>
  </si>
  <si>
    <t>ლ.რ.ხ. #6</t>
  </si>
  <si>
    <t>ლ.რ.ხ. #7</t>
  </si>
  <si>
    <t>გარე ელექტროობა</t>
  </si>
  <si>
    <t>გარე წყალსადენი</t>
  </si>
  <si>
    <t>ლ.რ.ხ. #8</t>
  </si>
  <si>
    <t>წებოცემენტი</t>
  </si>
  <si>
    <t>დეკორატიული ფილა 40 მმ</t>
  </si>
  <si>
    <t>დეკორატიული ფილა 20 მმ</t>
  </si>
  <si>
    <t>2.2 მოსაპირკეთებელი სამუშაოები</t>
  </si>
  <si>
    <t>საყრდენი კედლის მოპირკეთება ტრავეტინით</t>
  </si>
  <si>
    <t>ტრავეტინის ფილა  20 მმ</t>
  </si>
  <si>
    <t>ტრავეტინის ფილა  50 მმ</t>
  </si>
  <si>
    <t>#1 ბილიკზე საყრდენი კედელი 1</t>
  </si>
  <si>
    <t>#1 ბილიკზე საყრდენი კედელი 2</t>
  </si>
  <si>
    <t>#2 ბილიკზე საყრდენი კედელი 1,2,3,4,5,</t>
  </si>
  <si>
    <t>ლოკალურ-რესურსული ხარჯთაღრიცხვა #4</t>
  </si>
  <si>
    <t>ტერიტორიაზე საყრდენი კედლები და კიბეები</t>
  </si>
  <si>
    <t>ლ.რ.ხ. #9</t>
  </si>
  <si>
    <t>ტექნოლოგიური ნაწილი</t>
  </si>
  <si>
    <t>ლოკალურ-რესურსული ხარჯთაღრიცხვა #6</t>
  </si>
  <si>
    <t>ქ. ყვარელში, ,,ილიას გორაზე" ილია ჭავჭავაძის ძეგლის მიმდებარედ ტურისტული რეკრეაციული არეალის მოწყობაზე გარე ელექტროობა</t>
  </si>
  <si>
    <t>ქალაქ ყვარელში "ილიას გორაზე" ილია ჭავჭავაძის ძეგლის მიმდებარედ ტურისტული რეკრიაციული
არიალის ვიდეომონიტორინგის და ინტერნეტის ქსელის</t>
  </si>
  <si>
    <t>ვიდეომონიტორინგის და ინტერნეტის ქსელი</t>
  </si>
  <si>
    <t>თავი 1. გარე წყალსადენის ქსელი</t>
  </si>
  <si>
    <t>ქ. ყვარელში, ,,ილიას გორაზე" ილია ჭავჭავაძის ძეგლის მიმდებარედ ტურისტული რეკრეაციული არეალის მოწყობაზე საყრდენი კედლები და კიბეები</t>
  </si>
  <si>
    <t xml:space="preserve"> არმატურა А-I</t>
  </si>
  <si>
    <t>ქ. ყვარელში, ,,ილიას გორაზე" ილია ჭავჭავაძის ძეგლის მიმდებარედ ტურისტული რეკრეაციული არეალის მოწყობაზე ტერიტორიის კეთილმოწყობაზე</t>
  </si>
  <si>
    <t>ზედმეტი გუნტის   გატანა 5 კმ მანძილზე</t>
  </si>
  <si>
    <t xml:space="preserve"> ბოძის მონტაჟი სანათებისთვის </t>
  </si>
  <si>
    <t>ლ.რ.ხ. #10</t>
  </si>
  <si>
    <t>სანკვანძი გარე (ცალკემდგომი)</t>
  </si>
  <si>
    <t>ლ.რ.ხ.#10/1</t>
  </si>
  <si>
    <t>ლ.რ.ხ.#10/2</t>
  </si>
  <si>
    <t>ლ.რ.ხ.#10/3</t>
  </si>
  <si>
    <t>ალუმინის (შავი) ფანჯრების  მოწყობა აქსესუარებით</t>
  </si>
  <si>
    <t>ალუმინის (შავი) ფანჯრები</t>
  </si>
  <si>
    <t>ალუმინის (შავი) კარების  მოწყობა აქსესუარებით</t>
  </si>
  <si>
    <t>ალუმინის (შავი) კარები</t>
  </si>
  <si>
    <t>შეკიდული ჭერის მოწყობა ამსტრონგით</t>
  </si>
  <si>
    <t>ამსტრონგი  ფილები კარკასით კომპლექტში</t>
  </si>
  <si>
    <t>პარაპეტის  შემოსვა გლუვი თუნუქით</t>
  </si>
  <si>
    <t xml:space="preserve"> ფერადი პროფილირებული 0,5 მმ სისქის</t>
  </si>
  <si>
    <t>მეტალოკრამიტის შურუპი 1 კვმ-ზე 6 ცალი</t>
  </si>
  <si>
    <t xml:space="preserve"> ხის სანივნივე  სისტემის მოწყობა</t>
  </si>
  <si>
    <t xml:space="preserve">ხე მასალა  </t>
  </si>
  <si>
    <t>პასტა ანტისეპტიკური</t>
  </si>
  <si>
    <t>ტოლი</t>
  </si>
  <si>
    <t>შესაკრავი მავთული</t>
  </si>
  <si>
    <t>ხის კონსტრუქციების ანტისეპტირება</t>
  </si>
  <si>
    <t xml:space="preserve">ხსნარი ანტისეპტიკური         </t>
  </si>
  <si>
    <t>ხის კონსტრუქციების დამუშავება ხანძარსაწინააღმდეგო ხსნარით</t>
  </si>
  <si>
    <t xml:space="preserve">ხსნარი ცეცხლგამძლე          </t>
  </si>
  <si>
    <t>ფერადი პროფილირებული  სახურავის მოწყობა სისქით 0.5 მმ</t>
  </si>
  <si>
    <t>პერგოლას  ლითონის კონსტრუქციის მოწყობა (ჩარჩო)</t>
  </si>
  <si>
    <t>სადენი  კვეთით 4X35 კვ მმ</t>
  </si>
  <si>
    <t>გამანაწილებელი კოლოფების მონტაჟი</t>
  </si>
  <si>
    <t xml:space="preserve">გამანაწილებელი კოლოფი </t>
  </si>
  <si>
    <t>სანათების მონტაჟი სენსორული ტიპის</t>
  </si>
  <si>
    <t>სენსორული განათება</t>
  </si>
  <si>
    <t>იატაკებში და კედლებში ხვრელების მოწყობა</t>
  </si>
  <si>
    <t>ხვრელების აღდგენა ცემენტის ხსნარით</t>
  </si>
  <si>
    <t>წვრილმარცვლოვანი         ბეტონი ბ.25</t>
  </si>
  <si>
    <t>სამშენებლო ლურსმანი</t>
  </si>
  <si>
    <t xml:space="preserve">წყალმომარაგების მილების გაყვანა </t>
  </si>
  <si>
    <t>მილი წყლის (ცხელი /ცივი)  PP100 PN16   d32</t>
  </si>
  <si>
    <t>მილის სამაგრები  d32</t>
  </si>
  <si>
    <t>მილი წყლის (ცხელი /ცივი)  PP100 PN16   d25</t>
  </si>
  <si>
    <t>მილის სამაგრები  d25</t>
  </si>
  <si>
    <t>ხელსაბანი  სიფონით კომპლექტში</t>
  </si>
  <si>
    <t>ხელსაბანის  დაყენება (შშმ პირებისათვის) სიფონით კომპლექტში</t>
  </si>
  <si>
    <t xml:space="preserve">ხელსაბანი (შშმ პირებისათვის) სიფონით </t>
  </si>
  <si>
    <t>უნიტაზის მოწყობა  სიფონით კომპლექტში</t>
  </si>
  <si>
    <t>უნიტაზი    სიფონით კომპლექტში</t>
  </si>
  <si>
    <t>უნიტაზის მოწყობა  სიფონით კომპლექტში შშმ პირებისთვის</t>
  </si>
  <si>
    <t>უნიტაზი    სიფონით კომპლექტში შშმ პირებისათვის</t>
  </si>
  <si>
    <t xml:space="preserve"> შემრევის დაყენება ხელსაბანებისათვის</t>
  </si>
  <si>
    <t xml:space="preserve">შემრევი ხელსაბანის </t>
  </si>
  <si>
    <t>12</t>
  </si>
  <si>
    <t xml:space="preserve"> Ø20 მმ ვენტილი პლ. სფერული</t>
  </si>
  <si>
    <t xml:space="preserve"> Ø25 მმ ვენტილი პლ. სფერული</t>
  </si>
  <si>
    <t xml:space="preserve"> Ø32 მმ ვენტილი პლ. სფერული</t>
  </si>
  <si>
    <t>3/8"  ვენტილი თითბერის მონიკელებული</t>
  </si>
  <si>
    <t>პლასტმასის ფასონური ნაწილები</t>
  </si>
  <si>
    <t>სამკაპი 20*20*20</t>
  </si>
  <si>
    <t>სამკაპი 25*25*25</t>
  </si>
  <si>
    <t>სამკაპი 32*32*32</t>
  </si>
  <si>
    <t>გადამყვანი 25*20</t>
  </si>
  <si>
    <t>გადამყვანი 25*32</t>
  </si>
  <si>
    <t>ქურო დ20</t>
  </si>
  <si>
    <t>ქურო დ25</t>
  </si>
  <si>
    <t>ქურო დ32</t>
  </si>
  <si>
    <t>ქურო პოლიპ/მეტალი დ20*1/2"</t>
  </si>
  <si>
    <t xml:space="preserve">არსებულ წყლის ქსელში შეჭრა დ-63 (მაკომპლექტებელი ნაწილებით) </t>
  </si>
  <si>
    <t>გრ.მ</t>
  </si>
  <si>
    <t>საკანალიზაციო მილების მოწყობა დ100 მმ</t>
  </si>
  <si>
    <t>საკანალიზაციო პლასტმასის მილი ф100 მმ</t>
  </si>
  <si>
    <t>საკანალიზაციო მილების მოწყობა დ50 მმ</t>
  </si>
  <si>
    <t>საკანალიზაციო პლასტმასის მილი  ф50 მმ</t>
  </si>
  <si>
    <t>სამკაპი 50*50*50</t>
  </si>
  <si>
    <t>სამკაპი 100*100*100</t>
  </si>
  <si>
    <t>სამკაპი 100*50*100</t>
  </si>
  <si>
    <t>გამწმენდი დ100</t>
  </si>
  <si>
    <t>გადამყვანი პლ/კან.  100*50</t>
  </si>
  <si>
    <t xml:space="preserve">  ტრაპის  მონტაჟი</t>
  </si>
  <si>
    <t>ტრაპი დ50 მმ</t>
  </si>
  <si>
    <t>კანალიზაციის მილის ჩადება ტრანშეა  150 მმ</t>
  </si>
  <si>
    <t>საკანალიზაციო პლ. მილი სნ4, პპ-ნ დ150 მმ</t>
  </si>
  <si>
    <t>არსებულ კანალიზაციის ქსელში შეჭრა (მაკომპლექტებელი ნაწილებით) დ-150</t>
  </si>
  <si>
    <t>არსებულ ქსელზე მიერთება</t>
  </si>
  <si>
    <t>დაერთ</t>
  </si>
  <si>
    <t>ბეტონი</t>
  </si>
  <si>
    <t xml:space="preserve">პლასტმასის ფასონური ნაწილები  </t>
  </si>
  <si>
    <t>უნაგირი 100*40 მმ</t>
  </si>
  <si>
    <t>ქურო პოლიპ. დ40</t>
  </si>
  <si>
    <t>ხელსაბანის  მოწყობა  სიფონით კომლექტში (ოვალური)</t>
  </si>
  <si>
    <t>ხელსაბანის  მოწყობა  სიფონით კომლექტში (მართკუთხა)</t>
  </si>
  <si>
    <t>გოფრირებული საკანალიზაციო მილების მოწყობა დ150 მმ</t>
  </si>
  <si>
    <t>საკანალიზაციო პლასტმასის მილი გოფრირებული  ф150 მმ</t>
  </si>
  <si>
    <t>მუხლი უიტაზის</t>
  </si>
  <si>
    <t>წყლის მილის მუხლი დ25</t>
  </si>
  <si>
    <t>წყლის მილის გამანაწილებელი დ25</t>
  </si>
  <si>
    <t>წყლის მილის გადასაბმელი 32*25</t>
  </si>
  <si>
    <t>სანტექნიკური სამუშაოები</t>
  </si>
  <si>
    <t>ელ სამონტაჟო სამუსაოები</t>
  </si>
  <si>
    <t>თავი 1. შენობის წყალსადენი და კანალიზაცია</t>
  </si>
  <si>
    <t>სეპტიკური სალექარი</t>
  </si>
  <si>
    <t>გრუნტის სამუშაოები</t>
  </si>
  <si>
    <t xml:space="preserve">ფუძის (ბალიშის) მოწყობა ქვიშა-ხრეშოვანი ნარევით </t>
  </si>
  <si>
    <t>ფარი ყალიბის</t>
  </si>
  <si>
    <t xml:space="preserve"> სხვადასხვა მასალები</t>
  </si>
  <si>
    <t xml:space="preserve">რკინაბეტონის კედლებისა და ძირის ჩამოსხმა </t>
  </si>
  <si>
    <t>დახერხილი ხე მასალა</t>
  </si>
  <si>
    <t>ბეტონი B-25 წვრილმარცვლოვანი</t>
  </si>
  <si>
    <t>არმატურა დ10</t>
  </si>
  <si>
    <t xml:space="preserve">  ხუფის მოწყობა </t>
  </si>
  <si>
    <t>ლითონის კონსტრუქციების მოწყობა</t>
  </si>
  <si>
    <t xml:space="preserve"> შრომითი დანახარჯი </t>
  </si>
  <si>
    <t>მობილური ამწე 1,02+0,31=1,33</t>
  </si>
  <si>
    <t xml:space="preserve"> მანქანები </t>
  </si>
  <si>
    <t>შველერი #18</t>
  </si>
  <si>
    <t>სამონტაჟო ელემენტი</t>
  </si>
  <si>
    <t>სეპტიკური სალექარის მოწყობაზე</t>
  </si>
  <si>
    <t>ლ.რ.ხ.#3/1</t>
  </si>
  <si>
    <t>ლ.რ.ხ.#3/2</t>
  </si>
  <si>
    <t>ლ.რ.ხ.#3/3</t>
  </si>
  <si>
    <t>ხის ფაქტურიანი კომპაქტლამინატის მოპირკეთებით ხელსაბანის ჩასაშენებელი სადგამის მოწყობა, გრანიტის ზედაპირით</t>
  </si>
  <si>
    <t>შშმ პირის საყრდენი ინვენტარის მოწყობა</t>
  </si>
  <si>
    <t>ქვიშახრეშოვანი  საფარის მოწყობა მილის ირგვლივ</t>
  </si>
  <si>
    <t>ქვიშა/ხრეში</t>
  </si>
  <si>
    <t>კედლის მოპირკეთება ტრავეტინით</t>
  </si>
  <si>
    <t xml:space="preserve">ფასადის მოპირკეთება ბუნებრივი გრანიტის  ფილებით სისქით </t>
  </si>
  <si>
    <t>გრანიტის ფილა სისქით 2 სმ</t>
  </si>
  <si>
    <t xml:space="preserve">რკინა/ბეტონის ლენტური  საძირკვლის მოწყობა ბეტონი  B-20 კლასის  </t>
  </si>
  <si>
    <t>სპეც. ლაქი</t>
  </si>
  <si>
    <t xml:space="preserve">ფითხი </t>
  </si>
  <si>
    <t>დარაჯის ჯიხური ზომებით 2x3 მ  H=2.40 მ</t>
  </si>
  <si>
    <t>თავი 1.  სადემონტაჟო სამუსაოები</t>
  </si>
  <si>
    <t>არსებული სარინელის დემონტაჟი</t>
  </si>
  <si>
    <t>ქ. ყვარელში, ,,ილიას გორაზე" ილია ჭავჭავაძის ძეგლის მიმდებარედ ტურისტული რეკრეაციული არეალის მოწყობაზე სამლოცველო (ეკლესიის) რეაბილიტაციაზე</t>
  </si>
  <si>
    <t>სამლოცველოს (ეკლესია) სარემონტო სამუშაოებზე</t>
  </si>
  <si>
    <t>ლოკალურ-რესურსული ხარჯთაღრიცხვა N2</t>
  </si>
  <si>
    <t>ლოკალურ-რესურსული ხარჯთაღრიცხვა N1</t>
  </si>
  <si>
    <t>ხის ზედაპირის მოწყობა სკამებზე , ხის წიბოების დაოვალურდეს და  დამუშავდეს  ფრეზით</t>
  </si>
  <si>
    <t>ხის ზეთი სპეც.</t>
  </si>
  <si>
    <t>ხე მასალა ფიჭვი თერმომოდიფიცირებული</t>
  </si>
  <si>
    <t>ხის  ელემენტების დამუსავება და შეღებვა ხის ზეთით  2-ჯერ გადაღებვით</t>
  </si>
  <si>
    <t xml:space="preserve"> ჭის  ხუფის მოწყობა  სპეც. პლასტმასის</t>
  </si>
  <si>
    <t>პოლიმერული ხუფი ბეტონის ჩარჩოთი</t>
  </si>
  <si>
    <t>ტრავერტინის ფილების დამუშავება სპეც. ლაქით</t>
  </si>
  <si>
    <t xml:space="preserve">კედლების  მოპირკეთება ბუნებრივი გრანიტის  ფილებით სისქით </t>
  </si>
  <si>
    <t>რ/ბეტონის  საყრენი კედლების  მოწყობა (1,2)</t>
  </si>
  <si>
    <t>რ/ბეტონის  საყრენი კედლების  მოწყობა (3)</t>
  </si>
  <si>
    <t>18</t>
  </si>
  <si>
    <t>24</t>
  </si>
  <si>
    <t>რეზერვი გაუთვალისწინებელ ხარჯებზე 3%</t>
  </si>
  <si>
    <t>ელ. ქსელზე მიერთების საფასური</t>
  </si>
  <si>
    <t>სულ ჯამი</t>
  </si>
  <si>
    <t>ქაფი</t>
  </si>
  <si>
    <t>კირ ცემენტის ხსნარით</t>
  </si>
  <si>
    <t>შემზღუდველი ბარიერები</t>
  </si>
  <si>
    <t>სამლოცველო (ეკლესიის) რეაბილიტაციაზე</t>
  </si>
  <si>
    <t>არსებული კარის დემონტაჟი</t>
  </si>
  <si>
    <t>თავი 2. სამშენებლო  სამუშაოები</t>
  </si>
  <si>
    <t>2.1 სახურავი</t>
  </si>
  <si>
    <t>2.2 სარინელის მოწყობა</t>
  </si>
  <si>
    <t>ბადე არმირების 150X150X4</t>
  </si>
  <si>
    <t>2.3. კარის მოწყოობის სამუშაოები</t>
  </si>
  <si>
    <t xml:space="preserve">ახალი კარის მოწყობა </t>
  </si>
  <si>
    <t>სპეც. ხის მასალების დასამუშავებელი ზეთით</t>
  </si>
  <si>
    <t>2.4 ფასადის სამუშაოები</t>
  </si>
  <si>
    <t>ჰიდროიზოლაცია იზოლანი</t>
  </si>
  <si>
    <t xml:space="preserve"> ფერადი მეტალოკრამიტის სახურავის 0,5 მმ სისქის</t>
  </si>
  <si>
    <t>ფერადი მეტალოკრამიტის  სახურავის მოწყობა სისქით 0.5 მმ ხის მოლარტყვის მოწყობით</t>
  </si>
  <si>
    <t>ფასადზე  ალუკობონდის პანელების მოწყობა (ხის ფაქტურით)</t>
  </si>
  <si>
    <t>ალუკობონდის პანელები   ქვეკონსტრუქციით (ხის ფაქტურით)</t>
  </si>
  <si>
    <t>1.1. სახურავის მოწყობის სამუშაოები</t>
  </si>
  <si>
    <t>1.2. ფასადი</t>
  </si>
  <si>
    <t xml:space="preserve"> სახურავის მოწყობა  3 ფენა რულონური იზოლაციით</t>
  </si>
  <si>
    <t>ბადე ლითონის 20X20X0.4</t>
  </si>
  <si>
    <t>ტუმბოების საფუძვლის მოწყობა ბეტონით  ბეტონი  B-15</t>
  </si>
  <si>
    <t>ქვაფენილის ფილები  20 მმ (გრანიტის გრანულებისგან დამზადებული იხ. პროექტი)</t>
  </si>
  <si>
    <t>კორდის  დამზადება, ტრანსპორტირება და დაგება (4 სმ )</t>
  </si>
  <si>
    <t>ლოკალურ-რესურსული ხარჯთაღრიცხვა #3</t>
  </si>
  <si>
    <t>ქ. ყვარელში, ,,ილიას გორაზე" ილია ჭავჭავაძის ძეგლის მიმდებარედ ტურისტული რეკრეაციული არეალის მოწყობაზე ტერიტორიის კეთილმოწყობაზე პერგოლას მოწყობაზე</t>
  </si>
  <si>
    <t>1.3. არსებული ლითონის კარის და ჯვრის  გადაღებვა</t>
  </si>
  <si>
    <t>ლ.რ.ხ. #3</t>
  </si>
  <si>
    <t>სასმელიი წყლის შადრევანი</t>
  </si>
  <si>
    <t>წყლის შადრევანი</t>
  </si>
  <si>
    <t>ნაწრთობი მინის მოაჯირის მოწყობა (მოაჯირი 1) იხ. პროექტი</t>
  </si>
  <si>
    <t>ნაწრთობი მინის  მოაჯირი იხ. პროექტი</t>
  </si>
  <si>
    <t>ნაწრთობი მინის მოაჯირის მოწყობა (მოაჯირი 2) იხ. პროექტი</t>
  </si>
  <si>
    <t>ნაწრთობი მინის მოაჯირის მოწყობა (მოაჯირი 3) იხ. პროექტი</t>
  </si>
  <si>
    <t xml:space="preserve">ლითონის ღობის მოაჯირის მოწყობა (მოაჯირი 4) სპეც.  შეღებვა (ღუმელში) ფხვნილის საღებავით </t>
  </si>
  <si>
    <t xml:space="preserve">ლითონის ღობის მოაჯირი სპეც.  შეღებვა (ღუმელში) ფხვნილის საღებავით </t>
  </si>
  <si>
    <t>ლაქი ნიტრო  ქვის</t>
  </si>
  <si>
    <t>ლაქი ქვის</t>
  </si>
  <si>
    <t xml:space="preserve">არმატურა დ10 </t>
  </si>
  <si>
    <t>არმატურა დ8</t>
  </si>
  <si>
    <t>კანალიზაციის მილის ჩადება ტრანშეა  250 მმ</t>
  </si>
  <si>
    <t>საკანალიზაციო პლ. მილი სნ8, პპ-ნ დ250 მმ</t>
  </si>
  <si>
    <t>გოფრირებული მილი Ø 32</t>
  </si>
  <si>
    <t>გოფრირებული მილის 32 ანი კლიფსები სარტყელით</t>
  </si>
  <si>
    <t>სფეროსებრი ტუია thuja (ghobe shape) - სიმაღლე არანაკლებ 120 სმ, ღეროს დიამეტრი არანაკლებ 3 სმ</t>
  </si>
  <si>
    <t>ბზა სფეროსებრი  - სიმაღლე არანაკლებ 60 სმ, ვარჯის დიამეტრი არანაკლებ 60 სმ</t>
  </si>
  <si>
    <t>იაპონური აზალია - წითელი -სიმაღლე არანაკლებ 60 სმ, ვარჯის დიამეტრი არანაკლებ 60 სმ</t>
  </si>
  <si>
    <t>იაპონური აზალია - ნარინჯისფერ-წითელი - სიმაღლე არანაკლებ 60 სმ, ვარჯის დიამეტრი არანაკლებ 60 სმ</t>
  </si>
  <si>
    <t>იაპონური აზალია - თეთრი - სიმაღლე არანაკლებ 60 სმ, ვარჯის დიამეტრი არანაკლებ 60 სმ</t>
  </si>
  <si>
    <t>ვისტერია  - სიმაღლე არანაკლებ 3 მ, ღეროს  დიამეტრი არანაკლებ 5 სმ</t>
  </si>
  <si>
    <t xml:space="preserve"> არმატურა  АIII დ14</t>
  </si>
  <si>
    <t>ქვიშა-ხრეში</t>
  </si>
  <si>
    <t xml:space="preserve">რკინაბეტონის კიბე  ( #1-1, 1-2, 1-3, 1-4, 1-5, 1-6, 1-7)  მოწყობა ბეტონი  B-25 კლასის  </t>
  </si>
  <si>
    <t>მოპირკეთება დეკორატიული ფილებით (გრანიტის გრანულები ზომით 1-3 მმ, UHPC ტექნოლოგიით დამზადებული ცემენტი, პლასტიფიკატორები, ფიბროარმირება</t>
  </si>
  <si>
    <t xml:space="preserve">გრუნტის დამუშავება   ექსკავატორით    დატვირთვა ავტოთვითმცლელზე </t>
  </si>
  <si>
    <t>უკუჩაყრა ბალასტით</t>
  </si>
  <si>
    <t>თავი 1. რკინაბეტონის კიბე  ( #1-1, 1-2, 1-3, 1-4, 1-5, 1-6, 1-7), 2, 3, 4, 5, 6   მოწყობა</t>
  </si>
  <si>
    <t xml:space="preserve">იგივე ხელით </t>
  </si>
  <si>
    <t>თავი 2. რკინაბეტონის კედლები</t>
  </si>
  <si>
    <t xml:space="preserve"> არმატურა  АIII დ12</t>
  </si>
  <si>
    <t>ხუფი ბეტონის ჩარჩოთი</t>
  </si>
  <si>
    <t>სანკვანძის ელ სამონტაჟო სამუშაოებზე</t>
  </si>
  <si>
    <t>სანკვანძის მშენებლობაზე</t>
  </si>
  <si>
    <t>სანკვანძის მშენებლობაზე შიგა წყალმომარაგება და საკანალიზაციო ქსელზე</t>
  </si>
  <si>
    <t>შენობაზე წარწერიანი აბრას მოწყობა  ზომებში 50*50 მოწყობა (პევეხა) მასალისაგან</t>
  </si>
  <si>
    <t>შედა სანკვანძის კარებზე აბრა ლოგოთი მოწყობა</t>
  </si>
  <si>
    <t>წყლის  მილი ლითონის დ90X4 მმ</t>
  </si>
  <si>
    <t>ლოკალურ-რესურსული ხარჯთაღრიცხვა N10</t>
  </si>
  <si>
    <t xml:space="preserve">რ/ ბეტონის არმირებული ფილის  მოწყობა  ბეტონი  B-25 კლასის  </t>
  </si>
  <si>
    <t>გრუნტის მოჭრა და ადგილზე გაფენა</t>
  </si>
  <si>
    <t>თავი 5. ავზის მოწყობა</t>
  </si>
  <si>
    <t>წყლის  მილი ლითონის დ90X4 მმ მიწის ზევით</t>
  </si>
  <si>
    <t>ქ. ყვარელში, ,,ილიას გორაზე" ილია ჭავჭავაძის ძეგლის მიმდებარედ ტურისტული რეკრეაციული არეალის მოწყობაზე ტერიტორიის კეთილმოწყობაზე კვარცხლბეგის მოპირკეთების მოწყობაზე</t>
  </si>
  <si>
    <t>კვარცხლბეგის მოპირკეთების მოწყობაზე</t>
  </si>
  <si>
    <t>პერგოლას მოწყობაზე</t>
  </si>
  <si>
    <t>თავი 1.1.  სადემონტაჟო სამუშაოები</t>
  </si>
  <si>
    <t>თავი 1.2. მოსაპირკეთებელი სამუშაოები</t>
  </si>
  <si>
    <t xml:space="preserve"> პერგოლა</t>
  </si>
  <si>
    <t>რკინაბეტონის ოთხკუთხა სანიაღვრე ჭის მოწყობა</t>
  </si>
  <si>
    <t>ბეტონი B-25</t>
  </si>
  <si>
    <t>რ/ბეტონის ჭის თავის მოწყობა</t>
  </si>
  <si>
    <t>რ/ბეტონის ჭის თავი</t>
  </si>
  <si>
    <t>თავი 3. კედლები ბილიკებთან</t>
  </si>
  <si>
    <t>დგარის საძირკვლის მოწყობა</t>
  </si>
  <si>
    <t>თავი 3. შადრევნები და სარწყავი სისტემა</t>
  </si>
  <si>
    <t>მილებზე თუნუქის შემოკვრა</t>
  </si>
  <si>
    <t>ხამუთი</t>
  </si>
  <si>
    <t>არსებული საფარის დემონტაჟი</t>
  </si>
  <si>
    <t>სატუმბო სადგურის  ტექნოლოგიური სიტემების მოწყობა</t>
  </si>
  <si>
    <t>სატუმბო სადგურის ელ განათება</t>
  </si>
  <si>
    <t xml:space="preserve">დეკორატიული ფილების   დაგება </t>
  </si>
  <si>
    <t>თავი 2. ქვაფენილის ფილები - პარკირებაზე</t>
  </si>
  <si>
    <t>თავი 3. ბორდიურების მოწყობა</t>
  </si>
  <si>
    <t>თავი 4. გამწვანება</t>
  </si>
  <si>
    <t>5.1. მოაჯირები</t>
  </si>
  <si>
    <t>თავი 5 მოაჯირები</t>
  </si>
  <si>
    <t>თავი 6. დარაჯის ჯიხური</t>
  </si>
  <si>
    <t>ლითონის ღობის საძირკვლის მოწყობა</t>
  </si>
  <si>
    <t>ღორღის  საფუძვლის ფენის მოწყობა</t>
  </si>
  <si>
    <t>ანკერები არმატურა დ14</t>
  </si>
  <si>
    <t>არატურა დ8</t>
  </si>
  <si>
    <t>ზეძირკვლის კედლის მოპირკეთება ტრავეტინით</t>
  </si>
  <si>
    <t>თავი 7. სხვადასხვა სამუშაოები</t>
  </si>
  <si>
    <t>ჰუმუსოვანი ფენის  შეტანა</t>
  </si>
  <si>
    <t>ჰუმუსოვანი ფენა</t>
  </si>
  <si>
    <t>თავი 10. სანიაღვრე არხი</t>
  </si>
  <si>
    <t>თავი 11. სანიაღვრე ჭა ოთხკუთხა</t>
  </si>
  <si>
    <t>თავი 12. ხე-მცენარეები</t>
  </si>
  <si>
    <t>9. პარკინგთან მოწყობილი ფერდსამაგრი კედლის მოპირკეთება</t>
  </si>
  <si>
    <t>ნაგვის ურნა (ხის ძელაკებით)</t>
  </si>
  <si>
    <t xml:space="preserve">ბაღის  სკამები </t>
  </si>
  <si>
    <t>ბაღის  სკამები</t>
  </si>
  <si>
    <t>ლითონის ცხაურის მოწყობა 175.5 გრძმ-ზე</t>
  </si>
  <si>
    <t>არსებულ სანიაღვრე ქსელში შეჭრა (მაკომპლექტებელი ნაწილებით)</t>
  </si>
  <si>
    <t>თავი 4. ფერდსამაგრი კედელი ავტოპარკინგთან</t>
  </si>
  <si>
    <t xml:space="preserve">სამეთვალყურეო კამერის  ბოძი დ10 სიმაღლით 3 მეტრი </t>
  </si>
  <si>
    <t>ლ.რ.ხ. #12</t>
  </si>
  <si>
    <t>ბოძის საძირკვლის მოწყობა</t>
  </si>
  <si>
    <t>გრუნტის დამუშავება და ადგილზე გაფენა</t>
  </si>
  <si>
    <t>თხევადი ბითუმის მოსხმა 0,6კგ/კვმ²</t>
  </si>
  <si>
    <t>ავტოგუდრონატორი 3500ლ</t>
  </si>
  <si>
    <t>მ/სთ</t>
  </si>
  <si>
    <t>თხევადი ბითუმი, ბიტუმის ემულსია</t>
  </si>
  <si>
    <t>მსხვილმარცვლოვანი ფოროვანი ა/ბ ცხელი ნარევი, 6სმ სისქით</t>
  </si>
  <si>
    <t>100კვ.მ.</t>
  </si>
  <si>
    <t>ა/ბეტონის დამგები</t>
  </si>
  <si>
    <t>საგზაო მტკეპნავი თვითმ. გლუვი 5ტ.</t>
  </si>
  <si>
    <t>იგივე, 10ტონიანი</t>
  </si>
  <si>
    <t>სხვა მანქანები</t>
  </si>
  <si>
    <t>ა/ბეტონი მსხვილმარცვლოვანი</t>
  </si>
  <si>
    <t>თავი 2.მილისა და  მილსამაგრი დგარების მოწყობა</t>
  </si>
  <si>
    <t>იზოლაცია მინაბამბით ფილგით 5 სმ</t>
  </si>
  <si>
    <t>თუნუქის ფურცელი 0.40</t>
  </si>
  <si>
    <t>წყლის  მილი ლითონის დ50X4 მმ</t>
  </si>
  <si>
    <t>სანიაღვრე არხი ანაკრები (არმირება იხ. პრ)</t>
  </si>
  <si>
    <t>რკალი ლითონის დ115 სისქე 5 მმ</t>
  </si>
  <si>
    <t>მილსამაგრი დგარების მოწყობა ჩამაგრებებით</t>
  </si>
  <si>
    <t>წყლის  მილი   დ90 პნ 10</t>
  </si>
  <si>
    <t>უნაგირი დ90*32</t>
  </si>
  <si>
    <t>ურდული დ90</t>
  </si>
  <si>
    <t>წყლის ქსელზე მიერთების საფასური</t>
  </si>
  <si>
    <t>საობიექტო-სახარჯთაღრიცხვო ანგარიში #11</t>
  </si>
  <si>
    <t>ლოკალურ-რესურსული ხარჯთაღრიცხვა #11/1</t>
  </si>
  <si>
    <t>ლოკალურ_რესურსული  ხარჯთაღრიცხვა # 11/2</t>
  </si>
  <si>
    <t>ლოკალურ-რესურსული ხარჯთაღრიცხვა N11/3</t>
  </si>
  <si>
    <t>ლოკალურ-რესურსული ხარჯთაღრიცხვა N12</t>
  </si>
  <si>
    <t>ლ.რ.ხ. #11</t>
  </si>
  <si>
    <t>კარების  გადაღებვა სპეც. ხის მასალების დასამუშავებელი ზეთით 2ჯერ გადასმით</t>
  </si>
  <si>
    <t>(ლარიქსი) მასალის ხის კარის ბლოკი  აქსესუარებით კომპლექში</t>
  </si>
  <si>
    <t>არსებული რიყიის და აგურის ქვით მოპიკეთებული   კედლების გაწმენდა ძველი ნალესისაგან</t>
  </si>
  <si>
    <t>არსებული აგურის და რიყის  ქვით მოპირკეთებული კედლების  ამოგოზვა სპეც. კირხსნარით</t>
  </si>
  <si>
    <t>თავი 1. დეკორატიული ფილები (ბილიკები #1,2,3,4,5) გრანიტის გრანულებით</t>
  </si>
  <si>
    <t>ლოკალურ-რესურსული ხარჯთაღრიცხვა #5</t>
  </si>
  <si>
    <t>საობიექტო-სახარჯთაღრიცხვო ანგარიში #7</t>
  </si>
  <si>
    <t>ლოკალურ_რესურსული  ხარჯთაღრიცხვა # 7/3</t>
  </si>
  <si>
    <t>ლოკალურ-რესურსული ხარჯთაღრიცხვა N7/2</t>
  </si>
  <si>
    <t>ლოკალურ-რესურსული ხარჯთაღრიცხვა #7/1</t>
  </si>
  <si>
    <t>ლოკალურ-რესურსული ხარჯთაღრიცხვა #8</t>
  </si>
  <si>
    <t>ლოკალურ-რესურსული ხარჯთაღრიცხვა #9</t>
  </si>
  <si>
    <t>ქ. ყვარელში, ,,ილიას გორაზე" ილია ჭავჭავაძის ძეგლის მიმდებარედ ტურისტული რეკრეაციული არეალის მოწყობაზე გარე  სან. კვანძის მშენებლობაზე</t>
  </si>
  <si>
    <t>ქვაფენილის  დაგება ქვიშა ცემენტის ნარევზე</t>
  </si>
  <si>
    <t>ქვიშა ცემენტის  ნარევი</t>
  </si>
  <si>
    <t xml:space="preserve"> ანაკრები ბაზალტის ბორდიურების მოწყობა </t>
  </si>
  <si>
    <t>გრუნტის დამუშავება ხელით ბორდიურების მოსაწყობად ადგილზე გაფენა</t>
  </si>
  <si>
    <t>ბადე არმირების 200*200*5</t>
  </si>
  <si>
    <t xml:space="preserve"> არმატურა  АIII დ12დან </t>
  </si>
  <si>
    <t xml:space="preserve"> არმატურა  АIII დ12დან</t>
  </si>
  <si>
    <t>ქვიშა ხრეშოვანი ნარევი</t>
  </si>
  <si>
    <t>ჰიდროიზოლაციის მოწყობა (წასასმელი ცემენტის ბაზაზე)</t>
  </si>
  <si>
    <t>ჰიდროსაიზოლაციო მასალა წასასმელი ცემენტის ბაზაზე)</t>
  </si>
  <si>
    <t>ბადე ლითონის 20*20*4</t>
  </si>
  <si>
    <t>რულონური ჰიდროიზოლაცია ზედა ფენა (გრანულებით) 3.5მმ</t>
  </si>
  <si>
    <r>
      <t>მუხლი პოლპ.  დ40 მმ 90</t>
    </r>
    <r>
      <rPr>
        <vertAlign val="superscript"/>
        <sz val="14"/>
        <color indexed="8"/>
        <rFont val="Calibri"/>
        <family val="2"/>
        <scheme val="minor"/>
      </rPr>
      <t xml:space="preserve">0  </t>
    </r>
  </si>
  <si>
    <r>
      <t>მუხლი პოლიპროპილენის დ20 მმ 90</t>
    </r>
    <r>
      <rPr>
        <vertAlign val="superscript"/>
        <sz val="14"/>
        <color indexed="8"/>
        <rFont val="Calibri"/>
        <family val="2"/>
        <scheme val="minor"/>
      </rPr>
      <t xml:space="preserve">0  </t>
    </r>
  </si>
  <si>
    <r>
      <t>მუხლი პოლიპროპილენის დ25 მმ 90</t>
    </r>
    <r>
      <rPr>
        <vertAlign val="superscript"/>
        <sz val="14"/>
        <color indexed="8"/>
        <rFont val="Calibri"/>
        <family val="2"/>
        <scheme val="minor"/>
      </rPr>
      <t xml:space="preserve">0  </t>
    </r>
  </si>
  <si>
    <r>
      <t>მუხლი პოლიპროპილენის დ32 მმ 90</t>
    </r>
    <r>
      <rPr>
        <vertAlign val="superscript"/>
        <sz val="14"/>
        <color indexed="8"/>
        <rFont val="Calibri"/>
        <family val="2"/>
        <scheme val="minor"/>
      </rPr>
      <t xml:space="preserve">0  </t>
    </r>
  </si>
  <si>
    <r>
      <t>მუხლი პლ/კან.  დ50 მმ 90</t>
    </r>
    <r>
      <rPr>
        <vertAlign val="superscript"/>
        <sz val="14"/>
        <color indexed="8"/>
        <rFont val="Calibri"/>
        <family val="2"/>
        <scheme val="minor"/>
      </rPr>
      <t xml:space="preserve">0  </t>
    </r>
  </si>
  <si>
    <r>
      <t>მუხლი პლ/კან.  დ100 მმ 90</t>
    </r>
    <r>
      <rPr>
        <vertAlign val="superscript"/>
        <sz val="14"/>
        <color indexed="8"/>
        <rFont val="Calibri"/>
        <family val="2"/>
        <scheme val="minor"/>
      </rPr>
      <t xml:space="preserve">0  </t>
    </r>
  </si>
  <si>
    <r>
      <t>მუხლი პლ/კან.  დ50 მმ 45</t>
    </r>
    <r>
      <rPr>
        <vertAlign val="superscript"/>
        <sz val="14"/>
        <color indexed="8"/>
        <rFont val="Calibri"/>
        <family val="2"/>
        <scheme val="minor"/>
      </rPr>
      <t xml:space="preserve">0  </t>
    </r>
  </si>
  <si>
    <t>ერთფაზიანი ავტომატური ამომრთველი 16 ა-ზე</t>
  </si>
  <si>
    <t>ერთფაზიანი ავტომატური ამომრთველი  25 ა-ზე</t>
  </si>
  <si>
    <r>
      <t xml:space="preserve"> მ</t>
    </r>
    <r>
      <rPr>
        <b/>
        <vertAlign val="superscript"/>
        <sz val="14"/>
        <rFont val="Calibri"/>
        <family val="2"/>
        <scheme val="minor"/>
      </rPr>
      <t>3</t>
    </r>
  </si>
  <si>
    <r>
      <t>მ</t>
    </r>
    <r>
      <rPr>
        <vertAlign val="superscript"/>
        <sz val="14"/>
        <rFont val="Calibri"/>
        <family val="2"/>
        <scheme val="minor"/>
      </rPr>
      <t>3</t>
    </r>
  </si>
  <si>
    <r>
      <t>მ</t>
    </r>
    <r>
      <rPr>
        <vertAlign val="superscript"/>
        <sz val="14"/>
        <rFont val="Calibri"/>
        <family val="2"/>
        <scheme val="minor"/>
      </rPr>
      <t>2</t>
    </r>
  </si>
  <si>
    <r>
      <t>მ</t>
    </r>
    <r>
      <rPr>
        <b/>
        <vertAlign val="superscript"/>
        <sz val="14"/>
        <rFont val="Calibri"/>
        <family val="2"/>
        <scheme val="minor"/>
      </rPr>
      <t>3</t>
    </r>
  </si>
  <si>
    <r>
      <t>მ</t>
    </r>
    <r>
      <rPr>
        <b/>
        <vertAlign val="superscript"/>
        <sz val="14"/>
        <rFont val="Calibri"/>
        <family val="2"/>
        <scheme val="minor"/>
      </rPr>
      <t>2</t>
    </r>
  </si>
  <si>
    <r>
      <t>მ</t>
    </r>
    <r>
      <rPr>
        <vertAlign val="superscript"/>
        <sz val="14"/>
        <rFont val="Calibri"/>
        <family val="2"/>
        <scheme val="minor"/>
      </rPr>
      <t>2</t>
    </r>
    <r>
      <rPr>
        <sz val="10"/>
        <rFont val="Sylfaen"/>
        <family val="1"/>
        <charset val="204"/>
      </rPr>
      <t/>
    </r>
  </si>
  <si>
    <r>
      <t>ცემენტის ტუმბი  1მ</t>
    </r>
    <r>
      <rPr>
        <vertAlign val="superscript"/>
        <sz val="14"/>
        <rFont val="Calibri"/>
        <family val="2"/>
        <scheme val="minor"/>
      </rPr>
      <t>3/სთ</t>
    </r>
  </si>
  <si>
    <r>
      <t>ექსკავატორი ჩამჩის ტევადობა 0,5მ</t>
    </r>
    <r>
      <rPr>
        <vertAlign val="superscript"/>
        <sz val="14"/>
        <rFont val="Calibri"/>
        <family val="2"/>
        <scheme val="minor"/>
      </rPr>
      <t>3</t>
    </r>
  </si>
  <si>
    <r>
      <t xml:space="preserve"> მ</t>
    </r>
    <r>
      <rPr>
        <b/>
        <vertAlign val="superscript"/>
        <sz val="13"/>
        <rFont val="Calibri"/>
        <family val="2"/>
        <scheme val="minor"/>
      </rPr>
      <t>3</t>
    </r>
  </si>
  <si>
    <r>
      <t>მ</t>
    </r>
    <r>
      <rPr>
        <vertAlign val="superscript"/>
        <sz val="13"/>
        <rFont val="Sylfaen"/>
        <family val="1"/>
        <charset val="204"/>
      </rPr>
      <t>3</t>
    </r>
  </si>
  <si>
    <r>
      <t>მ</t>
    </r>
    <r>
      <rPr>
        <vertAlign val="superscript"/>
        <sz val="13"/>
        <rFont val="Sylfaen"/>
        <family val="1"/>
        <charset val="204"/>
      </rPr>
      <t>2</t>
    </r>
  </si>
  <si>
    <r>
      <t>მ</t>
    </r>
    <r>
      <rPr>
        <b/>
        <vertAlign val="superscript"/>
        <sz val="13"/>
        <rFont val="Sylfaen"/>
        <family val="1"/>
        <charset val="204"/>
      </rPr>
      <t>3</t>
    </r>
  </si>
  <si>
    <r>
      <t>მ</t>
    </r>
    <r>
      <rPr>
        <b/>
        <vertAlign val="superscript"/>
        <sz val="13"/>
        <rFont val="Calibri"/>
        <family val="2"/>
        <scheme val="minor"/>
      </rPr>
      <t>3</t>
    </r>
  </si>
  <si>
    <r>
      <t>მ</t>
    </r>
    <r>
      <rPr>
        <vertAlign val="superscript"/>
        <sz val="13"/>
        <rFont val="Calibri"/>
        <family val="2"/>
        <scheme val="minor"/>
      </rPr>
      <t>2</t>
    </r>
  </si>
  <si>
    <r>
      <t>მ</t>
    </r>
    <r>
      <rPr>
        <vertAlign val="superscript"/>
        <sz val="13"/>
        <rFont val="Calibri"/>
        <family val="2"/>
        <scheme val="minor"/>
      </rPr>
      <t>3</t>
    </r>
  </si>
  <si>
    <r>
      <t>მ</t>
    </r>
    <r>
      <rPr>
        <b/>
        <vertAlign val="superscript"/>
        <sz val="13"/>
        <rFont val="Calibri"/>
        <family val="2"/>
        <scheme val="minor"/>
      </rPr>
      <t>2</t>
    </r>
  </si>
  <si>
    <r>
      <t>მ</t>
    </r>
    <r>
      <rPr>
        <vertAlign val="superscript"/>
        <sz val="13"/>
        <rFont val="Calibri"/>
        <family val="2"/>
        <scheme val="minor"/>
      </rPr>
      <t>2</t>
    </r>
    <r>
      <rPr>
        <sz val="10"/>
        <rFont val="Sylfaen"/>
        <family val="1"/>
        <charset val="204"/>
      </rPr>
      <t/>
    </r>
  </si>
  <si>
    <r>
      <t>ცემენტის ტუმბი  1მ</t>
    </r>
    <r>
      <rPr>
        <vertAlign val="superscript"/>
        <sz val="13"/>
        <rFont val="Calibri"/>
        <family val="2"/>
        <scheme val="minor"/>
      </rPr>
      <t>3/სთ</t>
    </r>
  </si>
  <si>
    <r>
      <t>მ</t>
    </r>
    <r>
      <rPr>
        <b/>
        <vertAlign val="superscript"/>
        <sz val="13"/>
        <rFont val="Sylfaen"/>
        <family val="1"/>
        <charset val="204"/>
      </rPr>
      <t>2</t>
    </r>
  </si>
  <si>
    <r>
      <t>მ</t>
    </r>
    <r>
      <rPr>
        <b/>
        <vertAlign val="superscript"/>
        <sz val="15"/>
        <rFont val="Calibri"/>
        <family val="2"/>
        <scheme val="minor"/>
      </rPr>
      <t>2</t>
    </r>
  </si>
  <si>
    <r>
      <t>მ</t>
    </r>
    <r>
      <rPr>
        <b/>
        <vertAlign val="superscript"/>
        <sz val="15"/>
        <rFont val="Calibri"/>
        <family val="2"/>
        <scheme val="minor"/>
      </rPr>
      <t>3</t>
    </r>
  </si>
  <si>
    <r>
      <t>მ</t>
    </r>
    <r>
      <rPr>
        <vertAlign val="superscript"/>
        <sz val="15"/>
        <rFont val="Calibri"/>
        <family val="2"/>
        <scheme val="minor"/>
      </rPr>
      <t>3</t>
    </r>
  </si>
  <si>
    <r>
      <t>მ</t>
    </r>
    <r>
      <rPr>
        <vertAlign val="superscript"/>
        <sz val="15"/>
        <rFont val="Calibri"/>
        <family val="2"/>
        <scheme val="minor"/>
      </rPr>
      <t>2</t>
    </r>
  </si>
  <si>
    <r>
      <t xml:space="preserve"> მ</t>
    </r>
    <r>
      <rPr>
        <b/>
        <vertAlign val="superscript"/>
        <sz val="15"/>
        <rFont val="Calibri"/>
        <family val="2"/>
        <scheme val="minor"/>
      </rPr>
      <t>3</t>
    </r>
  </si>
  <si>
    <r>
      <t>მ</t>
    </r>
    <r>
      <rPr>
        <vertAlign val="superscript"/>
        <sz val="15"/>
        <rFont val="Calibri"/>
        <family val="2"/>
        <scheme val="minor"/>
      </rPr>
      <t>2</t>
    </r>
    <r>
      <rPr>
        <sz val="10"/>
        <rFont val="Sylfaen"/>
        <family val="1"/>
        <charset val="204"/>
      </rPr>
      <t/>
    </r>
  </si>
  <si>
    <r>
      <t>მ</t>
    </r>
    <r>
      <rPr>
        <b/>
        <vertAlign val="superscript"/>
        <sz val="14"/>
        <rFont val="Calibri"/>
        <family val="2"/>
      </rPr>
      <t>2</t>
    </r>
  </si>
  <si>
    <t>კალენდარული გრაფიკი</t>
  </si>
  <si>
    <t>##</t>
  </si>
  <si>
    <t>სამუშაოების დასახელება</t>
  </si>
  <si>
    <t>სამუშაოს დასახელება</t>
  </si>
  <si>
    <t xml:space="preserve">შენებლობის ხანგრძლივობა 8 თვე </t>
  </si>
  <si>
    <t>თვე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</si>
  <si>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</si>
  <si>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</si>
  <si>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</si>
  <si>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</si>
  <si>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</si>
  <si>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</si>
  <si>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</si>
  <si>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</si>
  <si>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</si>
  <si>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</si>
  <si>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</si>
  <si>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</si>
  <si>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</si>
  <si>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10 დღე</t>
  </si>
  <si>
    <t>მოსამზადებელი  სამუშაოები</t>
  </si>
  <si>
    <t>მობილიზაცია  ( სამშ. მოედნის მოწესრიგება, დროებითი შენობა-ნაგებობების განთავსება და დრ. კომ. ქსელების მოწყობა)</t>
  </si>
  <si>
    <t>ცალკემდგომი შენობების მშენებლობა</t>
  </si>
  <si>
    <t>არსებული ობიექტების რეაბილიტაცია</t>
  </si>
  <si>
    <t>ტერიტორიის მოპირკეთება</t>
  </si>
  <si>
    <t xml:space="preserve">გარე  წყალსადენისა და კანალიზაციის მილგაყვანილობის, სალექარის მონტაჟი </t>
  </si>
  <si>
    <t>გარე  განათების კაბელებისა და სადენების, მონტაჟი გრუნტში</t>
  </si>
  <si>
    <t>გარე ვიდეომონიტორინგის და ინტერნეტის ქსელის მოწყობა</t>
  </si>
  <si>
    <t>ტერიტორიაზე  საყრდენი კედლები და კიბეების მშენებლობა</t>
  </si>
  <si>
    <t>ტერიტორიის მოპირკეთების სამუშაოები (ბორდიურების მოწყობა, ქვაფენილის დაგება, კიბებისა და კედლების მოპირკეთება და სხვა)</t>
  </si>
  <si>
    <t xml:space="preserve">სკვერის არქიტექტურული დეტალების მოწყობა  (ლითონის პერგოლები, სკამების, შადრევნები, კვარცხლბეგის მოპირკეთება და სხვა)  </t>
  </si>
  <si>
    <t>დეკორატიული სანათების მონტაჟი</t>
  </si>
  <si>
    <t xml:space="preserve">გამწვანების მოწყობა </t>
  </si>
  <si>
    <t>თავი 8 . არსებული ე. წ. წყლის რეზერვუარის ფასადის გაწმენდა და გალაქვა</t>
  </si>
  <si>
    <t>არსებული აგურის და რიყის ბრტყელი კედლის გაწმენდა</t>
  </si>
  <si>
    <t>რ/ბ არხის მოწყობა ანაკრები კონსტრუქციებისგან</t>
  </si>
  <si>
    <t>ბეტონი მ200</t>
  </si>
  <si>
    <t>ჰორიზონტალური  ტუმბო აგრეგატის შეძენა/მონტაჟი Q=30.0 კბმ H=100 მ N=7.50 კვტ</t>
  </si>
  <si>
    <t xml:space="preserve"> 25 ტონიანი ლითონის ემალირებული წყლის ავზის შეძენა/მონტაჟი სადგამთან ერთად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</si>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</sst>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_-* #,##0.00\ _₽_-;\-* #,##0.00\ _₽_-;_-* &quot;-&quot;??\ _₽_-;_-@_-"/>
    <numFmt numFmtId="165" formatCode="_-* #,##0.00\ _₾_-;\-* #,##0.00\ _₾_-;_-* &quot;-&quot;??\ _₾_-;_-@_-"/>
    <numFmt numFmtId="166" formatCode="0.0"/>
    <numFmt numFmtId="167" formatCode="#,##0.0"/>
    <numFmt numFmtId="168" formatCode="_-* #,##0.00_р_._-;\-* #,##0.00_р_._-;_-* &quot;-&quot;??_р_._-;_-@_-"/>
    <numFmt numFmtId="169" formatCode="0.000"/>
    <numFmt numFmtId="170" formatCode="0.0000"/>
    <numFmt numFmtId="171" formatCode="#,##0.000"/>
    <numFmt numFmtId="172" formatCode="0.000000"/>
    <numFmt numFmtId="173" formatCode="0.00000"/>
    <numFmt numFmtId="174" formatCode="_(* #,##0.00_);_(* \(#,##0.00\);_(* &quot;-&quot;???_);_(@_)"/>
    <numFmt numFmtId="175" formatCode="_(* #,##0.000_);_(* \(#,##0.000\);_(* &quot;-&quot;??_);_(@_)"/>
    <numFmt numFmtId="176" formatCode="_(* #,##0_);_(* \(#,##0\);_(* &quot;-&quot;??_);_(@_)"/>
    <numFmt numFmtId="177" formatCode="_-* #,##0.00000\ _₽_-;\-* #,##0.00000\ _₽_-;_-* &quot;-&quot;??\ _₽_-;_-@_-"/>
    <numFmt numFmtId="178" formatCode="#,##0.0000"/>
    <numFmt numFmtId="179" formatCode="_(* #,##0.0000_);_(* \(#,##0.0000\);_(* &quot;-&quot;??_);_(@_)"/>
    <numFmt numFmtId="180" formatCode="0.0%"/>
    <numFmt numFmtId="181" formatCode="d/m/yyyy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KAD NUSX"/>
      <charset val="204"/>
    </font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indexed="8"/>
      <name val="Calibri"/>
      <family val="2"/>
      <scheme val="minor"/>
    </font>
    <font>
      <b/>
      <sz val="14"/>
      <name val="AcadNusx"/>
    </font>
    <font>
      <b/>
      <sz val="14"/>
      <name val="Calibri"/>
      <family val="2"/>
      <charset val="204"/>
      <scheme val="minor"/>
    </font>
    <font>
      <b/>
      <vertAlign val="superscript"/>
      <sz val="14"/>
      <name val="Calibri"/>
      <family val="2"/>
      <scheme val="minor"/>
    </font>
    <font>
      <sz val="14"/>
      <color indexed="12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name val="AcadNusx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Sylfaen"/>
      <family val="1"/>
      <charset val="204"/>
    </font>
    <font>
      <sz val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vertAlign val="superscript"/>
      <sz val="13"/>
      <name val="Calibri"/>
      <family val="2"/>
      <scheme val="minor"/>
    </font>
    <font>
      <sz val="13"/>
      <color indexed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Sylfaen"/>
      <family val="1"/>
      <charset val="204"/>
    </font>
    <font>
      <sz val="13"/>
      <name val="AcadNusx"/>
    </font>
    <font>
      <sz val="13"/>
      <name val="Sylfaen"/>
      <family val="1"/>
      <charset val="204"/>
    </font>
    <font>
      <sz val="13"/>
      <color indexed="12"/>
      <name val="AcadNusx"/>
    </font>
    <font>
      <vertAlign val="superscript"/>
      <sz val="13"/>
      <name val="Sylfaen"/>
      <family val="1"/>
      <charset val="204"/>
    </font>
    <font>
      <b/>
      <vertAlign val="superscript"/>
      <sz val="13"/>
      <name val="Sylfaen"/>
      <family val="1"/>
      <charset val="204"/>
    </font>
    <font>
      <b/>
      <sz val="13"/>
      <name val="AKAD NUSX"/>
      <charset val="204"/>
    </font>
    <font>
      <sz val="13"/>
      <name val="AKAD NUSX"/>
      <charset val="204"/>
    </font>
    <font>
      <vertAlign val="superscript"/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name val="AcadNusx"/>
    </font>
    <font>
      <b/>
      <sz val="13"/>
      <name val="Calibri"/>
      <family val="2"/>
    </font>
    <font>
      <sz val="13"/>
      <name val="Calibri"/>
      <family val="2"/>
    </font>
    <font>
      <b/>
      <sz val="13"/>
      <name val="Calibri Light"/>
      <family val="2"/>
      <scheme val="major"/>
    </font>
    <font>
      <sz val="13"/>
      <name val="Calibri Light"/>
      <family val="2"/>
      <scheme val="major"/>
    </font>
    <font>
      <sz val="15"/>
      <color indexed="8"/>
      <name val="Calibri"/>
      <family val="2"/>
      <scheme val="minor"/>
    </font>
    <font>
      <b/>
      <vertAlign val="superscript"/>
      <sz val="15"/>
      <name val="Calibri"/>
      <family val="2"/>
      <scheme val="minor"/>
    </font>
    <font>
      <vertAlign val="superscript"/>
      <sz val="15"/>
      <name val="Calibri"/>
      <family val="2"/>
      <scheme val="minor"/>
    </font>
    <font>
      <b/>
      <sz val="15"/>
      <color rgb="FF000000"/>
      <name val="Calibri"/>
      <family val="2"/>
      <scheme val="minor"/>
    </font>
    <font>
      <sz val="15"/>
      <color rgb="FF000000"/>
      <name val="Calibri"/>
      <family val="2"/>
      <scheme val="minor"/>
    </font>
    <font>
      <sz val="15"/>
      <color indexed="12"/>
      <name val="Calibri"/>
      <family val="2"/>
      <scheme val="minor"/>
    </font>
    <font>
      <b/>
      <sz val="15"/>
      <color theme="1" tint="4.9989318521683403E-2"/>
      <name val="Calibri"/>
      <family val="2"/>
      <scheme val="minor"/>
    </font>
    <font>
      <sz val="15"/>
      <color theme="1" tint="4.9989318521683403E-2"/>
      <name val="Calibri"/>
      <family val="2"/>
      <scheme val="minor"/>
    </font>
    <font>
      <b/>
      <vertAlign val="superscript"/>
      <sz val="14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0" fontId="3" fillId="0" borderId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7" fillId="0" borderId="0"/>
    <xf numFmtId="0" fontId="8" fillId="0" borderId="0"/>
    <xf numFmtId="168" fontId="3" fillId="0" borderId="0" applyFont="0" applyFill="0" applyBorder="0" applyAlignment="0" applyProtection="0"/>
    <xf numFmtId="0" fontId="7" fillId="0" borderId="0"/>
    <xf numFmtId="168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168" fontId="1" fillId="0" borderId="0" applyFont="0" applyFill="0" applyBorder="0" applyAlignment="0" applyProtection="0"/>
    <xf numFmtId="0" fontId="8" fillId="0" borderId="0"/>
    <xf numFmtId="0" fontId="1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7" fillId="0" borderId="0"/>
    <xf numFmtId="0" fontId="4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1695">
    <xf numFmtId="0" fontId="0" fillId="0" borderId="0" xfId="0"/>
    <xf numFmtId="49" fontId="11" fillId="0" borderId="0" xfId="0" applyNumberFormat="1" applyFont="1" applyFill="1" applyAlignment="1">
      <alignment vertical="center" wrapText="1"/>
    </xf>
    <xf numFmtId="0" fontId="11" fillId="0" borderId="0" xfId="2" applyFont="1" applyFill="1" applyAlignment="1">
      <alignment vertical="center" wrapText="1"/>
    </xf>
    <xf numFmtId="0" fontId="11" fillId="0" borderId="0" xfId="0" applyFont="1" applyFill="1"/>
    <xf numFmtId="0" fontId="12" fillId="0" borderId="0" xfId="2" applyFont="1" applyFill="1"/>
    <xf numFmtId="0" fontId="11" fillId="0" borderId="0" xfId="2" applyFont="1" applyFill="1"/>
    <xf numFmtId="2" fontId="12" fillId="0" borderId="1" xfId="2" applyNumberFormat="1" applyFont="1" applyFill="1" applyBorder="1" applyAlignment="1">
      <alignment vertical="center" wrapText="1"/>
    </xf>
    <xf numFmtId="2" fontId="11" fillId="0" borderId="0" xfId="2" applyNumberFormat="1" applyFont="1" applyFill="1" applyAlignment="1">
      <alignment wrapText="1"/>
    </xf>
    <xf numFmtId="0" fontId="13" fillId="0" borderId="0" xfId="0" applyNumberFormat="1" applyFont="1" applyFill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18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" fontId="11" fillId="0" borderId="1" xfId="0" applyNumberFormat="1" applyFont="1" applyFill="1" applyBorder="1" applyAlignment="1">
      <alignment vertical="center" wrapText="1"/>
    </xf>
    <xf numFmtId="0" fontId="11" fillId="0" borderId="0" xfId="2" applyFont="1" applyFill="1" applyAlignment="1">
      <alignment vertical="center"/>
    </xf>
    <xf numFmtId="0" fontId="14" fillId="0" borderId="0" xfId="2" applyFont="1" applyFill="1" applyAlignment="1">
      <alignment horizontal="center"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0" xfId="0" applyFont="1" applyFill="1"/>
    <xf numFmtId="0" fontId="11" fillId="0" borderId="0" xfId="2" applyFont="1" applyFill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/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2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 vertical="center" wrapText="1"/>
    </xf>
    <xf numFmtId="0" fontId="17" fillId="0" borderId="1" xfId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2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right" vertical="center" wrapText="1"/>
    </xf>
    <xf numFmtId="169" fontId="18" fillId="0" borderId="5" xfId="0" applyNumberFormat="1" applyFont="1" applyFill="1" applyBorder="1" applyAlignment="1">
      <alignment horizontal="right" vertical="center" wrapText="1"/>
    </xf>
    <xf numFmtId="166" fontId="17" fillId="0" borderId="1" xfId="2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right" vertical="center" wrapText="1"/>
    </xf>
    <xf numFmtId="0" fontId="17" fillId="0" borderId="0" xfId="2" applyFont="1" applyFill="1" applyAlignment="1">
      <alignment vertical="center" wrapText="1"/>
    </xf>
    <xf numFmtId="0" fontId="17" fillId="0" borderId="0" xfId="0" applyFont="1" applyFill="1"/>
    <xf numFmtId="49" fontId="17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left" vertical="center" wrapText="1"/>
    </xf>
    <xf numFmtId="2" fontId="17" fillId="0" borderId="5" xfId="0" applyNumberFormat="1" applyFont="1" applyFill="1" applyBorder="1" applyAlignment="1">
      <alignment horizontal="right" vertical="center" wrapText="1"/>
    </xf>
    <xf numFmtId="2" fontId="17" fillId="0" borderId="1" xfId="0" applyNumberFormat="1" applyFont="1" applyFill="1" applyBorder="1" applyAlignment="1">
      <alignment horizontal="right" vertical="center"/>
    </xf>
    <xf numFmtId="170" fontId="18" fillId="0" borderId="1" xfId="0" applyNumberFormat="1" applyFont="1" applyFill="1" applyBorder="1" applyAlignment="1">
      <alignment horizontal="righ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/>
    </xf>
    <xf numFmtId="166" fontId="18" fillId="0" borderId="1" xfId="0" applyNumberFormat="1" applyFont="1" applyFill="1" applyBorder="1" applyAlignment="1">
      <alignment horizontal="right" vertical="center"/>
    </xf>
    <xf numFmtId="2" fontId="17" fillId="0" borderId="1" xfId="1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/>
    </xf>
    <xf numFmtId="169" fontId="17" fillId="0" borderId="1" xfId="0" applyNumberFormat="1" applyFont="1" applyFill="1" applyBorder="1" applyAlignment="1">
      <alignment horizontal="right" vertical="center"/>
    </xf>
    <xf numFmtId="174" fontId="17" fillId="0" borderId="1" xfId="24" applyNumberFormat="1" applyFont="1" applyFill="1" applyBorder="1" applyAlignment="1">
      <alignment horizontal="right" vertical="center"/>
    </xf>
    <xf numFmtId="2" fontId="17" fillId="0" borderId="1" xfId="2" applyNumberFormat="1" applyFont="1" applyFill="1" applyBorder="1" applyAlignment="1">
      <alignment horizontal="right" vertical="center" wrapText="1"/>
    </xf>
    <xf numFmtId="0" fontId="17" fillId="0" borderId="1" xfId="1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169" fontId="18" fillId="0" borderId="1" xfId="0" applyNumberFormat="1" applyFont="1" applyFill="1" applyBorder="1" applyAlignment="1">
      <alignment horizontal="right" vertical="center"/>
    </xf>
    <xf numFmtId="169" fontId="17" fillId="0" borderId="1" xfId="0" applyNumberFormat="1" applyFont="1" applyFill="1" applyBorder="1" applyAlignment="1">
      <alignment horizontal="right" vertical="center" wrapText="1"/>
    </xf>
    <xf numFmtId="164" fontId="18" fillId="0" borderId="1" xfId="24" applyFont="1" applyFill="1" applyBorder="1" applyAlignment="1">
      <alignment horizontal="right" vertical="center"/>
    </xf>
    <xf numFmtId="174" fontId="18" fillId="0" borderId="1" xfId="24" applyNumberFormat="1" applyFont="1" applyFill="1" applyBorder="1" applyAlignment="1">
      <alignment horizontal="right" vertical="center"/>
    </xf>
    <xf numFmtId="164" fontId="17" fillId="0" borderId="1" xfId="24" applyFont="1" applyFill="1" applyBorder="1" applyAlignment="1">
      <alignment horizontal="right" vertical="center"/>
    </xf>
    <xf numFmtId="0" fontId="17" fillId="0" borderId="1" xfId="11" applyFont="1" applyFill="1" applyBorder="1" applyAlignment="1">
      <alignment horizontal="left" vertical="center" wrapText="1"/>
    </xf>
    <xf numFmtId="170" fontId="17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14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right" vertical="center" wrapText="1"/>
    </xf>
    <xf numFmtId="2" fontId="18" fillId="0" borderId="1" xfId="2" applyNumberFormat="1" applyFont="1" applyFill="1" applyBorder="1" applyAlignment="1">
      <alignment horizontal="right" vertical="center" wrapText="1"/>
    </xf>
    <xf numFmtId="0" fontId="17" fillId="0" borderId="0" xfId="2" applyFont="1" applyFill="1" applyAlignment="1">
      <alignment horizontal="center" vertical="center" wrapText="1"/>
    </xf>
    <xf numFmtId="166" fontId="17" fillId="0" borderId="1" xfId="2" applyNumberFormat="1" applyFont="1" applyFill="1" applyBorder="1" applyAlignment="1">
      <alignment horizontal="center" vertical="center" wrapText="1"/>
    </xf>
    <xf numFmtId="169" fontId="17" fillId="0" borderId="1" xfId="14" applyNumberFormat="1" applyFont="1" applyFill="1" applyBorder="1" applyAlignment="1">
      <alignment horizontal="right" vertical="center"/>
    </xf>
    <xf numFmtId="2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right" vertical="center" wrapText="1"/>
    </xf>
    <xf numFmtId="0" fontId="17" fillId="0" borderId="1" xfId="14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right"/>
    </xf>
    <xf numFmtId="0" fontId="17" fillId="0" borderId="0" xfId="2" applyFont="1" applyFill="1"/>
    <xf numFmtId="169" fontId="17" fillId="0" borderId="1" xfId="14" applyNumberFormat="1" applyFont="1" applyFill="1" applyBorder="1" applyAlignment="1">
      <alignment horizontal="right"/>
    </xf>
    <xf numFmtId="0" fontId="18" fillId="0" borderId="1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center" vertical="center" wrapText="1"/>
    </xf>
    <xf numFmtId="49" fontId="17" fillId="0" borderId="1" xfId="22" applyNumberFormat="1" applyFont="1" applyFill="1" applyBorder="1" applyAlignment="1">
      <alignment horizontal="left" vertical="center" wrapText="1"/>
    </xf>
    <xf numFmtId="2" fontId="17" fillId="0" borderId="1" xfId="22" applyNumberFormat="1" applyFont="1" applyFill="1" applyBorder="1" applyAlignment="1">
      <alignment horizontal="center" vertical="center" wrapText="1"/>
    </xf>
    <xf numFmtId="168" fontId="17" fillId="0" borderId="1" xfId="13" applyFont="1" applyFill="1" applyBorder="1" applyAlignment="1">
      <alignment horizontal="right" vertical="center"/>
    </xf>
    <xf numFmtId="0" fontId="17" fillId="0" borderId="1" xfId="22" applyFont="1" applyFill="1" applyBorder="1" applyAlignment="1">
      <alignment horizontal="left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left" vertical="center" wrapText="1"/>
    </xf>
    <xf numFmtId="0" fontId="18" fillId="0" borderId="1" xfId="2" applyNumberFormat="1" applyFont="1" applyFill="1" applyBorder="1" applyAlignment="1">
      <alignment horizontal="right" vertical="center" wrapText="1"/>
    </xf>
    <xf numFmtId="166" fontId="18" fillId="0" borderId="1" xfId="2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/>
    </xf>
    <xf numFmtId="0" fontId="17" fillId="0" borderId="1" xfId="18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9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horizontal="right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vertical="center" wrapText="1"/>
    </xf>
    <xf numFmtId="166" fontId="17" fillId="0" borderId="1" xfId="2" applyNumberFormat="1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2" fontId="17" fillId="0" borderId="1" xfId="2" applyNumberFormat="1" applyFont="1" applyFill="1" applyBorder="1" applyAlignment="1">
      <alignment vertical="center" wrapText="1"/>
    </xf>
    <xf numFmtId="169" fontId="17" fillId="0" borderId="1" xfId="0" applyNumberFormat="1" applyFont="1" applyFill="1" applyBorder="1" applyAlignment="1">
      <alignment vertical="center" wrapText="1"/>
    </xf>
    <xf numFmtId="169" fontId="17" fillId="0" borderId="1" xfId="0" applyNumberFormat="1" applyFont="1" applyFill="1" applyBorder="1" applyAlignment="1">
      <alignment vertical="center"/>
    </xf>
    <xf numFmtId="0" fontId="18" fillId="0" borderId="1" xfId="2" applyNumberFormat="1" applyFont="1" applyFill="1" applyBorder="1" applyAlignment="1">
      <alignment vertical="center" wrapText="1"/>
    </xf>
    <xf numFmtId="166" fontId="18" fillId="0" borderId="1" xfId="2" applyNumberFormat="1" applyFont="1" applyFill="1" applyBorder="1" applyAlignment="1">
      <alignment vertical="center" wrapText="1"/>
    </xf>
    <xf numFmtId="0" fontId="17" fillId="0" borderId="1" xfId="2" applyNumberFormat="1" applyFont="1" applyFill="1" applyBorder="1" applyAlignment="1">
      <alignment vertical="center" wrapText="1"/>
    </xf>
    <xf numFmtId="2" fontId="18" fillId="0" borderId="1" xfId="2" applyNumberFormat="1" applyFont="1" applyFill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left" vertical="center" wrapText="1"/>
    </xf>
    <xf numFmtId="2" fontId="18" fillId="0" borderId="1" xfId="2" applyNumberFormat="1" applyFont="1" applyFill="1" applyBorder="1" applyAlignment="1">
      <alignment vertical="center" wrapText="1"/>
    </xf>
    <xf numFmtId="2" fontId="17" fillId="0" borderId="1" xfId="2" applyNumberFormat="1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vertical="center"/>
    </xf>
    <xf numFmtId="0" fontId="17" fillId="0" borderId="1" xfId="18" applyFont="1" applyFill="1" applyBorder="1" applyAlignment="1">
      <alignment vertical="center" wrapText="1"/>
    </xf>
    <xf numFmtId="49" fontId="17" fillId="0" borderId="1" xfId="16" applyNumberFormat="1" applyFont="1" applyFill="1" applyBorder="1" applyAlignment="1">
      <alignment horizontal="center" vertical="center" wrapText="1"/>
    </xf>
    <xf numFmtId="49" fontId="18" fillId="0" borderId="1" xfId="16" applyNumberFormat="1" applyFont="1" applyFill="1" applyBorder="1" applyAlignment="1">
      <alignment horizontal="center" vertical="center" wrapText="1"/>
    </xf>
    <xf numFmtId="0" fontId="18" fillId="0" borderId="1" xfId="16" applyNumberFormat="1" applyFont="1" applyFill="1" applyBorder="1" applyAlignment="1">
      <alignment vertical="center" wrapText="1"/>
    </xf>
    <xf numFmtId="0" fontId="18" fillId="0" borderId="1" xfId="2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7" fillId="0" borderId="1" xfId="16" applyNumberFormat="1" applyFont="1" applyFill="1" applyBorder="1" applyAlignment="1">
      <alignment vertical="center" wrapText="1"/>
    </xf>
    <xf numFmtId="49" fontId="17" fillId="0" borderId="1" xfId="16" applyNumberFormat="1" applyFont="1" applyFill="1" applyBorder="1" applyAlignment="1">
      <alignment horizontal="left" vertical="center" wrapText="1"/>
    </xf>
    <xf numFmtId="0" fontId="17" fillId="0" borderId="2" xfId="16" applyNumberFormat="1" applyFont="1" applyFill="1" applyBorder="1" applyAlignment="1">
      <alignment vertical="center" wrapText="1"/>
    </xf>
    <xf numFmtId="0" fontId="17" fillId="0" borderId="1" xfId="2" applyNumberFormat="1" applyFont="1" applyFill="1" applyBorder="1" applyAlignment="1" applyProtection="1">
      <alignment vertical="center" wrapText="1"/>
      <protection locked="0"/>
    </xf>
    <xf numFmtId="49" fontId="17" fillId="0" borderId="1" xfId="20" applyNumberFormat="1" applyFont="1" applyFill="1" applyBorder="1" applyAlignment="1">
      <alignment horizontal="center" vertical="center" wrapText="1"/>
    </xf>
    <xf numFmtId="49" fontId="18" fillId="0" borderId="1" xfId="20" applyNumberFormat="1" applyFont="1" applyFill="1" applyBorder="1" applyAlignment="1">
      <alignment horizontal="left" vertical="center" wrapText="1"/>
    </xf>
    <xf numFmtId="2" fontId="18" fillId="0" borderId="1" xfId="2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vertical="center" wrapText="1"/>
    </xf>
    <xf numFmtId="0" fontId="17" fillId="0" borderId="1" xfId="5" applyNumberFormat="1" applyFont="1" applyFill="1" applyBorder="1" applyAlignment="1" applyProtection="1">
      <alignment vertical="center" wrapText="1"/>
    </xf>
    <xf numFmtId="2" fontId="17" fillId="0" borderId="1" xfId="5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vertical="center" wrapText="1"/>
    </xf>
    <xf numFmtId="169" fontId="18" fillId="0" borderId="5" xfId="0" applyNumberFormat="1" applyFont="1" applyFill="1" applyBorder="1" applyAlignment="1">
      <alignment vertical="center" wrapText="1"/>
    </xf>
    <xf numFmtId="2" fontId="17" fillId="0" borderId="5" xfId="0" applyNumberFormat="1" applyFont="1" applyFill="1" applyBorder="1" applyAlignment="1">
      <alignment vertical="center" wrapText="1"/>
    </xf>
    <xf numFmtId="49" fontId="18" fillId="0" borderId="1" xfId="1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8" fillId="0" borderId="1" xfId="23" applyNumberFormat="1" applyFont="1" applyFill="1" applyBorder="1" applyAlignment="1">
      <alignment horizontal="center" vertical="center" wrapText="1"/>
    </xf>
    <xf numFmtId="49" fontId="17" fillId="0" borderId="1" xfId="23" applyNumberFormat="1" applyFont="1" applyFill="1" applyBorder="1" applyAlignment="1">
      <alignment horizontal="center" vertical="center" wrapText="1"/>
    </xf>
    <xf numFmtId="49" fontId="18" fillId="0" borderId="1" xfId="23" applyNumberFormat="1" applyFont="1" applyFill="1" applyBorder="1" applyAlignment="1">
      <alignment horizontal="left" vertical="center" wrapText="1"/>
    </xf>
    <xf numFmtId="0" fontId="18" fillId="0" borderId="1" xfId="23" applyNumberFormat="1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vertical="center"/>
    </xf>
    <xf numFmtId="166" fontId="18" fillId="0" borderId="1" xfId="0" applyNumberFormat="1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vertical="center" wrapText="1"/>
    </xf>
    <xf numFmtId="16" fontId="17" fillId="0" borderId="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vertical="center" wrapText="1"/>
    </xf>
    <xf numFmtId="168" fontId="17" fillId="0" borderId="1" xfId="4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vertical="center"/>
    </xf>
    <xf numFmtId="4" fontId="17" fillId="0" borderId="0" xfId="2" applyNumberFormat="1" applyFont="1" applyFill="1" applyAlignment="1">
      <alignment horizontal="center" vertical="center"/>
    </xf>
    <xf numFmtId="0" fontId="17" fillId="3" borderId="0" xfId="2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right" vertical="center" wrapText="1"/>
    </xf>
    <xf numFmtId="49" fontId="17" fillId="3" borderId="1" xfId="2" applyNumberFormat="1" applyFont="1" applyFill="1" applyBorder="1" applyAlignment="1">
      <alignment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0" fontId="17" fillId="3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/>
    </xf>
    <xf numFmtId="0" fontId="18" fillId="3" borderId="1" xfId="2" applyNumberFormat="1" applyFont="1" applyFill="1" applyBorder="1" applyAlignment="1">
      <alignment horizontal="center" vertical="center" wrapText="1"/>
    </xf>
    <xf numFmtId="49" fontId="18" fillId="0" borderId="2" xfId="2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right" vertical="center" wrapText="1"/>
    </xf>
    <xf numFmtId="0" fontId="24" fillId="0" borderId="1" xfId="2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vertical="center"/>
    </xf>
    <xf numFmtId="4" fontId="17" fillId="0" borderId="1" xfId="2" applyNumberFormat="1" applyFont="1" applyFill="1" applyBorder="1" applyAlignment="1">
      <alignment vertical="center"/>
    </xf>
    <xf numFmtId="0" fontId="24" fillId="0" borderId="0" xfId="2" applyFont="1" applyFill="1" applyAlignment="1">
      <alignment horizontal="center" vertical="center" wrapText="1"/>
    </xf>
    <xf numFmtId="49" fontId="17" fillId="3" borderId="1" xfId="2" applyNumberFormat="1" applyFont="1" applyFill="1" applyBorder="1" applyAlignment="1">
      <alignment horizontal="center" vertical="center" wrapText="1"/>
    </xf>
    <xf numFmtId="1" fontId="18" fillId="0" borderId="2" xfId="2" applyNumberFormat="1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right" vertical="center" wrapText="1"/>
    </xf>
    <xf numFmtId="0" fontId="18" fillId="3" borderId="1" xfId="2" applyFont="1" applyFill="1" applyBorder="1" applyAlignment="1">
      <alignment horizontal="right" vertical="center" wrapText="1"/>
    </xf>
    <xf numFmtId="0" fontId="17" fillId="3" borderId="1" xfId="2" applyFont="1" applyFill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right" vertical="center" wrapText="1"/>
    </xf>
    <xf numFmtId="49" fontId="17" fillId="3" borderId="1" xfId="12" applyNumberFormat="1" applyFont="1" applyFill="1" applyBorder="1" applyAlignment="1">
      <alignment horizontal="center" vertical="center" wrapText="1"/>
    </xf>
    <xf numFmtId="1" fontId="19" fillId="0" borderId="1" xfId="12" applyNumberFormat="1" applyFont="1" applyFill="1" applyBorder="1" applyAlignment="1">
      <alignment horizontal="left" vertical="center" wrapText="1"/>
    </xf>
    <xf numFmtId="49" fontId="17" fillId="0" borderId="1" xfId="12" applyNumberFormat="1" applyFont="1" applyFill="1" applyBorder="1" applyAlignment="1">
      <alignment horizontal="center" vertical="center" wrapText="1"/>
    </xf>
    <xf numFmtId="177" fontId="17" fillId="0" borderId="1" xfId="13" applyNumberFormat="1" applyFont="1" applyFill="1" applyBorder="1" applyAlignment="1">
      <alignment horizontal="right" vertical="center"/>
    </xf>
    <xf numFmtId="0" fontId="17" fillId="3" borderId="1" xfId="2" applyNumberFormat="1" applyFont="1" applyFill="1" applyBorder="1" applyAlignment="1">
      <alignment horizontal="right" vertical="center" wrapText="1"/>
    </xf>
    <xf numFmtId="3" fontId="18" fillId="0" borderId="1" xfId="7" applyNumberFormat="1" applyFont="1" applyFill="1" applyBorder="1" applyAlignment="1">
      <alignment horizontal="center" vertical="center" wrapText="1"/>
    </xf>
    <xf numFmtId="14" fontId="18" fillId="3" borderId="5" xfId="7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right" vertical="center" wrapText="1"/>
    </xf>
    <xf numFmtId="165" fontId="17" fillId="0" borderId="0" xfId="2" applyNumberFormat="1" applyFont="1" applyFill="1" applyAlignment="1">
      <alignment vertical="center" wrapText="1"/>
    </xf>
    <xf numFmtId="167" fontId="17" fillId="0" borderId="1" xfId="2" applyNumberFormat="1" applyFont="1" applyFill="1" applyBorder="1" applyAlignment="1">
      <alignment horizontal="center" vertical="center" wrapText="1"/>
    </xf>
    <xf numFmtId="0" fontId="17" fillId="3" borderId="5" xfId="7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2" fontId="17" fillId="3" borderId="1" xfId="6" applyNumberFormat="1" applyFont="1" applyFill="1" applyBorder="1" applyAlignment="1">
      <alignment horizontal="right" vertical="center" wrapText="1"/>
    </xf>
    <xf numFmtId="2" fontId="17" fillId="3" borderId="5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wrapText="1"/>
    </xf>
    <xf numFmtId="0" fontId="17" fillId="3" borderId="5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righ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right" vertical="center" wrapText="1"/>
    </xf>
    <xf numFmtId="1" fontId="24" fillId="0" borderId="1" xfId="0" applyNumberFormat="1" applyFont="1" applyFill="1" applyBorder="1" applyAlignment="1">
      <alignment horizontal="right" vertical="center" wrapText="1"/>
    </xf>
    <xf numFmtId="2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7" fillId="3" borderId="1" xfId="0" applyNumberFormat="1" applyFont="1" applyFill="1" applyBorder="1" applyAlignment="1">
      <alignment horizontal="right" vertical="center" wrapText="1"/>
    </xf>
    <xf numFmtId="4" fontId="17" fillId="0" borderId="1" xfId="2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left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170" fontId="17" fillId="0" borderId="1" xfId="2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horizontal="right" vertical="center" wrapText="1"/>
    </xf>
    <xf numFmtId="0" fontId="17" fillId="0" borderId="3" xfId="2" applyFont="1" applyFill="1" applyBorder="1" applyAlignment="1">
      <alignment horizontal="right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8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Font="1" applyFill="1" applyBorder="1" applyAlignment="1">
      <alignment horizontal="right"/>
    </xf>
    <xf numFmtId="0" fontId="18" fillId="0" borderId="0" xfId="0" applyFont="1" applyFill="1"/>
    <xf numFmtId="0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Fill="1" applyBorder="1" applyAlignment="1">
      <alignment horizontal="right"/>
    </xf>
    <xf numFmtId="170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8" fillId="3" borderId="1" xfId="2" applyNumberFormat="1" applyFont="1" applyFill="1" applyBorder="1" applyAlignment="1">
      <alignment horizontal="right" vertical="center" wrapText="1"/>
    </xf>
    <xf numFmtId="169" fontId="17" fillId="0" borderId="1" xfId="2" applyNumberFormat="1" applyFont="1" applyFill="1" applyBorder="1" applyAlignment="1">
      <alignment horizontal="right" vertical="center" wrapText="1"/>
    </xf>
    <xf numFmtId="14" fontId="17" fillId="3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vertical="center" wrapText="1"/>
    </xf>
    <xf numFmtId="49" fontId="17" fillId="0" borderId="1" xfId="2" applyNumberFormat="1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center" vertical="center" wrapText="1"/>
    </xf>
    <xf numFmtId="49" fontId="18" fillId="3" borderId="1" xfId="2" applyNumberFormat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 applyProtection="1">
      <alignment horizontal="right" vertical="center" wrapText="1"/>
      <protection locked="0"/>
    </xf>
    <xf numFmtId="2" fontId="18" fillId="0" borderId="1" xfId="2" applyNumberFormat="1" applyFont="1" applyFill="1" applyBorder="1" applyAlignment="1" applyProtection="1">
      <alignment horizontal="right" vertical="center" wrapText="1"/>
      <protection locked="0"/>
    </xf>
    <xf numFmtId="2" fontId="18" fillId="3" borderId="1" xfId="2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2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0" fontId="17" fillId="0" borderId="1" xfId="2" applyNumberFormat="1" applyFont="1" applyFill="1" applyBorder="1" applyAlignment="1" applyProtection="1">
      <alignment horizontal="right" vertical="center" wrapText="1"/>
      <protection locked="0"/>
    </xf>
    <xf numFmtId="166" fontId="17" fillId="0" borderId="1" xfId="2" applyNumberFormat="1" applyFont="1" applyFill="1" applyBorder="1" applyAlignment="1" applyProtection="1">
      <alignment horizontal="right" vertical="center" wrapText="1"/>
      <protection locked="0"/>
    </xf>
    <xf numFmtId="2" fontId="17" fillId="3" borderId="1" xfId="2" applyNumberFormat="1" applyFont="1" applyFill="1" applyBorder="1" applyAlignment="1" applyProtection="1">
      <alignment horizontal="right" vertical="center" wrapText="1"/>
      <protection locked="0"/>
    </xf>
    <xf numFmtId="2" fontId="17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6" fillId="0" borderId="1" xfId="2" applyFont="1" applyFill="1" applyBorder="1" applyAlignment="1">
      <alignment vertical="center"/>
    </xf>
    <xf numFmtId="0" fontId="26" fillId="0" borderId="0" xfId="2" applyFont="1" applyFill="1" applyAlignment="1">
      <alignment vertical="center"/>
    </xf>
    <xf numFmtId="49" fontId="17" fillId="0" borderId="5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right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8" fillId="3" borderId="1" xfId="2" applyNumberFormat="1" applyFont="1" applyFill="1" applyBorder="1" applyAlignment="1">
      <alignment horizontal="right" vertical="center" wrapText="1"/>
    </xf>
    <xf numFmtId="166" fontId="17" fillId="3" borderId="1" xfId="2" applyNumberFormat="1" applyFont="1" applyFill="1" applyBorder="1" applyAlignment="1">
      <alignment horizontal="right" vertical="center" wrapText="1"/>
    </xf>
    <xf numFmtId="169" fontId="17" fillId="0" borderId="1" xfId="2" applyNumberFormat="1" applyFont="1" applyFill="1" applyBorder="1" applyAlignment="1">
      <alignment vertical="center" wrapText="1"/>
    </xf>
    <xf numFmtId="166" fontId="17" fillId="3" borderId="1" xfId="2" applyNumberFormat="1" applyFont="1" applyFill="1" applyBorder="1" applyAlignment="1">
      <alignment vertical="center" wrapText="1"/>
    </xf>
    <xf numFmtId="166" fontId="17" fillId="3" borderId="1" xfId="2" applyNumberFormat="1" applyFont="1" applyFill="1" applyBorder="1" applyAlignment="1">
      <alignment wrapText="1"/>
    </xf>
    <xf numFmtId="2" fontId="17" fillId="0" borderId="1" xfId="0" applyNumberFormat="1" applyFont="1" applyFill="1" applyBorder="1" applyAlignment="1">
      <alignment horizontal="right" wrapText="1"/>
    </xf>
    <xf numFmtId="2" fontId="17" fillId="0" borderId="1" xfId="7" applyNumberFormat="1" applyFont="1" applyFill="1" applyBorder="1" applyAlignment="1">
      <alignment horizontal="right" vertical="center" wrapText="1"/>
    </xf>
    <xf numFmtId="2" fontId="17" fillId="3" borderId="4" xfId="4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43" fontId="18" fillId="0" borderId="1" xfId="24" applyNumberFormat="1" applyFont="1" applyFill="1" applyBorder="1" applyAlignment="1">
      <alignment horizontal="right" vertical="center"/>
    </xf>
    <xf numFmtId="2" fontId="18" fillId="3" borderId="1" xfId="24" applyNumberFormat="1" applyFont="1" applyFill="1" applyBorder="1" applyAlignment="1">
      <alignment horizontal="right" vertical="center"/>
    </xf>
    <xf numFmtId="2" fontId="18" fillId="0" borderId="1" xfId="24" applyNumberFormat="1" applyFont="1" applyFill="1" applyBorder="1" applyAlignment="1">
      <alignment horizontal="right" vertical="center"/>
    </xf>
    <xf numFmtId="175" fontId="17" fillId="0" borderId="1" xfId="24" applyNumberFormat="1" applyFont="1" applyFill="1" applyBorder="1" applyAlignment="1">
      <alignment horizontal="right" vertical="center"/>
    </xf>
    <xf numFmtId="43" fontId="17" fillId="0" borderId="1" xfId="24" applyNumberFormat="1" applyFont="1" applyFill="1" applyBorder="1" applyAlignment="1">
      <alignment horizontal="right" vertical="center"/>
    </xf>
    <xf numFmtId="2" fontId="17" fillId="3" borderId="1" xfId="24" applyNumberFormat="1" applyFont="1" applyFill="1" applyBorder="1" applyAlignment="1">
      <alignment horizontal="right" vertical="center"/>
    </xf>
    <xf numFmtId="2" fontId="17" fillId="0" borderId="1" xfId="24" applyNumberFormat="1" applyFont="1" applyFill="1" applyBorder="1" applyAlignment="1">
      <alignment horizontal="right" vertical="center"/>
    </xf>
    <xf numFmtId="179" fontId="17" fillId="0" borderId="1" xfId="24" applyNumberFormat="1" applyFont="1" applyFill="1" applyBorder="1" applyAlignment="1">
      <alignment horizontal="right" vertical="center"/>
    </xf>
    <xf numFmtId="49" fontId="17" fillId="3" borderId="1" xfId="0" applyNumberFormat="1" applyFont="1" applyFill="1" applyBorder="1" applyAlignment="1">
      <alignment horizontal="center" vertical="center"/>
    </xf>
    <xf numFmtId="170" fontId="17" fillId="0" borderId="1" xfId="2" applyNumberFormat="1" applyFont="1" applyFill="1" applyBorder="1" applyAlignment="1" applyProtection="1">
      <alignment horizontal="right" vertical="center" wrapText="1"/>
      <protection locked="0"/>
    </xf>
    <xf numFmtId="169" fontId="17" fillId="0" borderId="1" xfId="2" applyNumberFormat="1" applyFont="1" applyFill="1" applyBorder="1" applyAlignment="1" applyProtection="1">
      <alignment horizontal="right" vertical="center" wrapText="1"/>
      <protection locked="0"/>
    </xf>
    <xf numFmtId="49" fontId="18" fillId="3" borderId="2" xfId="2" applyNumberFormat="1" applyFont="1" applyFill="1" applyBorder="1" applyAlignment="1">
      <alignment horizontal="center" vertical="center" wrapText="1"/>
    </xf>
    <xf numFmtId="49" fontId="18" fillId="0" borderId="2" xfId="2" applyNumberFormat="1" applyFont="1" applyFill="1" applyBorder="1" applyAlignment="1">
      <alignment horizontal="left" vertical="center" wrapText="1"/>
    </xf>
    <xf numFmtId="166" fontId="17" fillId="0" borderId="2" xfId="2" applyNumberFormat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2" fontId="17" fillId="0" borderId="2" xfId="2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left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right" vertical="center" wrapText="1"/>
    </xf>
    <xf numFmtId="43" fontId="27" fillId="0" borderId="4" xfId="5" applyFont="1" applyFill="1" applyBorder="1" applyAlignment="1">
      <alignment horizontal="right" vertical="center" wrapText="1"/>
    </xf>
    <xf numFmtId="43" fontId="28" fillId="3" borderId="4" xfId="5" applyFont="1" applyFill="1" applyBorder="1" applyAlignment="1">
      <alignment horizontal="right" vertical="center" wrapText="1"/>
    </xf>
    <xf numFmtId="43" fontId="28" fillId="0" borderId="4" xfId="5" applyFont="1" applyFill="1" applyBorder="1" applyAlignment="1">
      <alignment horizontal="right" vertical="center" wrapText="1"/>
    </xf>
    <xf numFmtId="4" fontId="28" fillId="0" borderId="0" xfId="5" applyNumberFormat="1" applyFont="1" applyFill="1" applyBorder="1" applyAlignment="1">
      <alignment vertical="center" wrapText="1"/>
    </xf>
    <xf numFmtId="0" fontId="28" fillId="0" borderId="0" xfId="0" applyNumberFormat="1" applyFont="1" applyFill="1" applyAlignment="1">
      <alignment vertical="center" wrapText="1"/>
    </xf>
    <xf numFmtId="0" fontId="28" fillId="0" borderId="4" xfId="0" applyNumberFormat="1" applyFont="1" applyFill="1" applyBorder="1" applyAlignment="1">
      <alignment horizontal="left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right" vertical="center" wrapText="1"/>
    </xf>
    <xf numFmtId="0" fontId="28" fillId="3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7" fillId="3" borderId="5" xfId="0" applyNumberFormat="1" applyFont="1" applyFill="1" applyBorder="1" applyAlignment="1" applyProtection="1">
      <alignment horizontal="right" vertical="center" wrapText="1"/>
      <protection locked="0"/>
    </xf>
    <xf numFmtId="166" fontId="18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0" fontId="18" fillId="3" borderId="2" xfId="2" applyFont="1" applyFill="1" applyBorder="1" applyAlignment="1">
      <alignment horizontal="center" vertical="center" wrapText="1"/>
    </xf>
    <xf numFmtId="49" fontId="17" fillId="3" borderId="5" xfId="2" applyNumberFormat="1" applyFont="1" applyFill="1" applyBorder="1" applyAlignment="1">
      <alignment horizontal="center" vertical="center" wrapText="1"/>
    </xf>
    <xf numFmtId="43" fontId="17" fillId="0" borderId="1" xfId="2" applyNumberFormat="1" applyFont="1" applyFill="1" applyBorder="1" applyAlignment="1">
      <alignment horizontal="right" vertical="center" wrapText="1"/>
    </xf>
    <xf numFmtId="2" fontId="17" fillId="0" borderId="0" xfId="2" applyNumberFormat="1" applyFont="1" applyFill="1" applyAlignment="1">
      <alignment horizontal="right" vertical="center" wrapText="1"/>
    </xf>
    <xf numFmtId="2" fontId="18" fillId="0" borderId="1" xfId="0" applyNumberFormat="1" applyFont="1" applyFill="1" applyBorder="1" applyAlignment="1">
      <alignment horizontal="right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49" fontId="17" fillId="0" borderId="3" xfId="2" applyNumberFormat="1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3" fontId="17" fillId="0" borderId="0" xfId="2" applyNumberFormat="1" applyFont="1" applyFill="1" applyAlignment="1">
      <alignment horizontal="right" vertical="center" wrapText="1"/>
    </xf>
    <xf numFmtId="166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17" fillId="3" borderId="12" xfId="0" applyNumberFormat="1" applyFont="1" applyFill="1" applyBorder="1" applyAlignment="1">
      <alignment horizontal="right" vertical="center" wrapText="1"/>
    </xf>
    <xf numFmtId="2" fontId="18" fillId="0" borderId="3" xfId="0" applyNumberFormat="1" applyFont="1" applyFill="1" applyBorder="1" applyAlignment="1">
      <alignment horizontal="right" wrapText="1"/>
    </xf>
    <xf numFmtId="2" fontId="17" fillId="0" borderId="3" xfId="0" applyNumberFormat="1" applyFont="1" applyFill="1" applyBorder="1" applyAlignment="1">
      <alignment horizontal="right" vertical="center" wrapText="1"/>
    </xf>
    <xf numFmtId="1" fontId="18" fillId="0" borderId="1" xfId="8" applyNumberFormat="1" applyFont="1" applyFill="1" applyBorder="1" applyAlignment="1">
      <alignment horizontal="center" vertical="center" wrapText="1"/>
    </xf>
    <xf numFmtId="0" fontId="18" fillId="3" borderId="1" xfId="8" applyFont="1" applyFill="1" applyBorder="1" applyAlignment="1">
      <alignment horizontal="center" vertical="center" wrapText="1"/>
    </xf>
    <xf numFmtId="0" fontId="18" fillId="0" borderId="1" xfId="18" applyFont="1" applyFill="1" applyBorder="1" applyAlignment="1">
      <alignment vertical="center" wrapText="1"/>
    </xf>
    <xf numFmtId="4" fontId="17" fillId="0" borderId="1" xfId="8" applyNumberFormat="1" applyFont="1" applyFill="1" applyBorder="1" applyAlignment="1">
      <alignment horizontal="right" vertical="center" wrapText="1"/>
    </xf>
    <xf numFmtId="4" fontId="18" fillId="0" borderId="1" xfId="8" applyNumberFormat="1" applyFont="1" applyFill="1" applyBorder="1" applyAlignment="1">
      <alignment horizontal="right" vertical="center" wrapText="1"/>
    </xf>
    <xf numFmtId="2" fontId="17" fillId="3" borderId="1" xfId="8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>
      <alignment horizontal="right"/>
    </xf>
    <xf numFmtId="2" fontId="17" fillId="0" borderId="1" xfId="18" applyNumberFormat="1" applyFont="1" applyFill="1" applyBorder="1" applyAlignment="1">
      <alignment horizontal="right" vertical="center" wrapText="1"/>
    </xf>
    <xf numFmtId="0" fontId="17" fillId="0" borderId="0" xfId="18" applyFont="1" applyFill="1" applyAlignment="1">
      <alignment horizontal="center" vertical="center" wrapText="1"/>
    </xf>
    <xf numFmtId="166" fontId="17" fillId="0" borderId="1" xfId="8" applyNumberFormat="1" applyFont="1" applyFill="1" applyBorder="1" applyAlignment="1">
      <alignment horizontal="center" vertical="center" wrapText="1"/>
    </xf>
    <xf numFmtId="2" fontId="18" fillId="3" borderId="1" xfId="8" applyNumberFormat="1" applyFont="1" applyFill="1" applyBorder="1" applyAlignment="1">
      <alignment horizontal="right" vertical="center" wrapText="1"/>
    </xf>
    <xf numFmtId="2" fontId="17" fillId="0" borderId="1" xfId="6" applyNumberFormat="1" applyFont="1" applyFill="1" applyBorder="1" applyAlignment="1">
      <alignment horizontal="right" vertical="center" wrapText="1"/>
    </xf>
    <xf numFmtId="14" fontId="17" fillId="3" borderId="1" xfId="18" applyNumberFormat="1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vertical="center" wrapText="1"/>
    </xf>
    <xf numFmtId="4" fontId="17" fillId="0" borderId="1" xfId="8" applyNumberFormat="1" applyFont="1" applyFill="1" applyBorder="1" applyAlignment="1">
      <alignment horizontal="center" vertical="center" wrapText="1"/>
    </xf>
    <xf numFmtId="0" fontId="17" fillId="3" borderId="1" xfId="8" applyFont="1" applyFill="1" applyBorder="1" applyAlignment="1">
      <alignment horizontal="center" vertical="center" wrapText="1"/>
    </xf>
    <xf numFmtId="2" fontId="17" fillId="3" borderId="1" xfId="18" applyNumberFormat="1" applyFont="1" applyFill="1" applyBorder="1" applyAlignment="1">
      <alignment horizontal="right" vertical="center" wrapText="1"/>
    </xf>
    <xf numFmtId="49" fontId="17" fillId="3" borderId="1" xfId="18" applyNumberFormat="1" applyFont="1" applyFill="1" applyBorder="1" applyAlignment="1">
      <alignment horizontal="center" vertical="center" wrapText="1"/>
    </xf>
    <xf numFmtId="49" fontId="17" fillId="0" borderId="1" xfId="18" applyNumberFormat="1" applyFont="1" applyFill="1" applyBorder="1" applyAlignment="1">
      <alignment vertical="center" wrapText="1"/>
    </xf>
    <xf numFmtId="49" fontId="17" fillId="0" borderId="1" xfId="18" applyNumberFormat="1" applyFont="1" applyFill="1" applyBorder="1" applyAlignment="1">
      <alignment horizontal="center" vertical="center" wrapText="1"/>
    </xf>
    <xf numFmtId="0" fontId="18" fillId="0" borderId="1" xfId="8" applyFont="1" applyFill="1" applyBorder="1" applyAlignment="1">
      <alignment vertical="center" wrapText="1"/>
    </xf>
    <xf numFmtId="0" fontId="18" fillId="0" borderId="1" xfId="8" applyFont="1" applyFill="1" applyBorder="1" applyAlignment="1">
      <alignment horizontal="center" vertical="center" wrapText="1"/>
    </xf>
    <xf numFmtId="0" fontId="18" fillId="0" borderId="1" xfId="8" applyFont="1" applyFill="1" applyBorder="1" applyAlignment="1">
      <alignment horizontal="right" vertical="center" wrapText="1"/>
    </xf>
    <xf numFmtId="4" fontId="18" fillId="0" borderId="1" xfId="8" applyNumberFormat="1" applyFont="1" applyFill="1" applyBorder="1" applyAlignment="1">
      <alignment vertical="center" wrapText="1"/>
    </xf>
    <xf numFmtId="2" fontId="17" fillId="0" borderId="1" xfId="8" applyNumberFormat="1" applyFont="1" applyFill="1" applyBorder="1" applyAlignment="1">
      <alignment horizontal="right" vertical="center" wrapText="1"/>
    </xf>
    <xf numFmtId="0" fontId="17" fillId="0" borderId="1" xfId="8" applyFont="1" applyFill="1" applyBorder="1" applyAlignment="1">
      <alignment horizontal="center" vertical="center" wrapText="1"/>
    </xf>
    <xf numFmtId="2" fontId="18" fillId="0" borderId="1" xfId="18" applyNumberFormat="1" applyFont="1" applyFill="1" applyBorder="1" applyAlignment="1">
      <alignment horizontal="right" vertical="center"/>
    </xf>
    <xf numFmtId="0" fontId="18" fillId="0" borderId="0" xfId="18" applyFont="1" applyFill="1" applyAlignment="1">
      <alignment vertical="center"/>
    </xf>
    <xf numFmtId="0" fontId="17" fillId="0" borderId="0" xfId="18" applyFont="1" applyFill="1" applyAlignment="1">
      <alignment vertical="center" wrapText="1"/>
    </xf>
    <xf numFmtId="169" fontId="17" fillId="0" borderId="1" xfId="8" applyNumberFormat="1" applyFont="1" applyFill="1" applyBorder="1" applyAlignment="1">
      <alignment horizontal="right" vertical="center" wrapText="1"/>
    </xf>
    <xf numFmtId="4" fontId="18" fillId="0" borderId="1" xfId="8" applyNumberFormat="1" applyFont="1" applyFill="1" applyBorder="1" applyAlignment="1">
      <alignment horizontal="center" vertical="center" wrapText="1"/>
    </xf>
    <xf numFmtId="4" fontId="17" fillId="0" borderId="1" xfId="8" applyNumberFormat="1" applyFont="1" applyFill="1" applyBorder="1" applyAlignment="1">
      <alignment vertical="center" wrapText="1"/>
    </xf>
    <xf numFmtId="4" fontId="18" fillId="3" borderId="1" xfId="8" applyNumberFormat="1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18" fillId="0" borderId="1" xfId="18" applyFont="1" applyFill="1" applyBorder="1" applyAlignment="1">
      <alignment vertical="center"/>
    </xf>
    <xf numFmtId="171" fontId="17" fillId="0" borderId="1" xfId="8" applyNumberFormat="1" applyFont="1" applyFill="1" applyBorder="1" applyAlignment="1">
      <alignment horizontal="right" vertical="center" wrapText="1"/>
    </xf>
    <xf numFmtId="178" fontId="17" fillId="0" borderId="1" xfId="8" applyNumberFormat="1" applyFont="1" applyFill="1" applyBorder="1" applyAlignment="1">
      <alignment vertical="center" wrapText="1"/>
    </xf>
    <xf numFmtId="2" fontId="17" fillId="0" borderId="1" xfId="0" applyNumberFormat="1" applyFont="1" applyFill="1" applyBorder="1" applyAlignment="1" applyProtection="1">
      <alignment vertical="center" wrapText="1"/>
      <protection locked="0"/>
    </xf>
    <xf numFmtId="2" fontId="17" fillId="0" borderId="1" xfId="8" applyNumberFormat="1" applyFont="1" applyFill="1" applyBorder="1" applyAlignment="1">
      <alignment vertical="center" wrapText="1"/>
    </xf>
    <xf numFmtId="4" fontId="17" fillId="3" borderId="1" xfId="8" applyNumberFormat="1" applyFont="1" applyFill="1" applyBorder="1" applyAlignment="1">
      <alignment vertical="center" wrapText="1"/>
    </xf>
    <xf numFmtId="2" fontId="17" fillId="3" borderId="1" xfId="6" applyNumberFormat="1" applyFont="1" applyFill="1" applyBorder="1" applyAlignment="1">
      <alignment vertical="center" wrapText="1"/>
    </xf>
    <xf numFmtId="171" fontId="17" fillId="0" borderId="1" xfId="8" applyNumberFormat="1" applyFont="1" applyFill="1" applyBorder="1" applyAlignment="1">
      <alignment vertical="center" wrapText="1"/>
    </xf>
    <xf numFmtId="166" fontId="17" fillId="3" borderId="1" xfId="8" applyNumberFormat="1" applyFont="1" applyFill="1" applyBorder="1" applyAlignment="1">
      <alignment vertical="center" wrapText="1"/>
    </xf>
    <xf numFmtId="2" fontId="17" fillId="3" borderId="1" xfId="8" applyNumberFormat="1" applyFont="1" applyFill="1" applyBorder="1" applyAlignment="1">
      <alignment vertical="center" wrapText="1"/>
    </xf>
    <xf numFmtId="166" fontId="17" fillId="0" borderId="1" xfId="8" applyNumberFormat="1" applyFont="1" applyFill="1" applyBorder="1" applyAlignment="1">
      <alignment vertical="center" wrapText="1"/>
    </xf>
    <xf numFmtId="0" fontId="17" fillId="3" borderId="1" xfId="18" applyNumberFormat="1" applyFont="1" applyFill="1" applyBorder="1" applyAlignment="1">
      <alignment vertical="center" wrapText="1"/>
    </xf>
    <xf numFmtId="0" fontId="18" fillId="0" borderId="1" xfId="8" applyFont="1" applyFill="1" applyBorder="1" applyAlignment="1">
      <alignment horizontal="left" vertical="center" wrapText="1"/>
    </xf>
    <xf numFmtId="0" fontId="17" fillId="0" borderId="1" xfId="8" applyFont="1" applyFill="1" applyBorder="1" applyAlignment="1">
      <alignment horizontal="left" vertical="center" wrapText="1"/>
    </xf>
    <xf numFmtId="0" fontId="17" fillId="3" borderId="1" xfId="18" applyFont="1" applyFill="1" applyBorder="1" applyAlignment="1">
      <alignment vertical="center" wrapText="1"/>
    </xf>
    <xf numFmtId="49" fontId="17" fillId="0" borderId="1" xfId="18" applyNumberFormat="1" applyFont="1" applyFill="1" applyBorder="1" applyAlignment="1">
      <alignment horizontal="left" vertical="center" wrapText="1"/>
    </xf>
    <xf numFmtId="167" fontId="17" fillId="0" borderId="1" xfId="9" applyNumberFormat="1" applyFont="1" applyFill="1" applyBorder="1" applyAlignment="1">
      <alignment horizontal="center" vertical="center" wrapText="1"/>
    </xf>
    <xf numFmtId="2" fontId="17" fillId="0" borderId="1" xfId="9" applyNumberFormat="1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center" vertical="center" wrapText="1"/>
    </xf>
    <xf numFmtId="2" fontId="17" fillId="3" borderId="5" xfId="8" applyNumberFormat="1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left" vertical="center" wrapText="1"/>
    </xf>
    <xf numFmtId="2" fontId="17" fillId="3" borderId="5" xfId="9" applyNumberFormat="1" applyFont="1" applyFill="1" applyBorder="1" applyAlignment="1">
      <alignment horizontal="right" vertical="center" wrapText="1"/>
    </xf>
    <xf numFmtId="167" fontId="17" fillId="0" borderId="1" xfId="8" applyNumberFormat="1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horizontal="right" vertical="center" wrapText="1"/>
    </xf>
    <xf numFmtId="172" fontId="17" fillId="0" borderId="1" xfId="2" applyNumberFormat="1" applyFont="1" applyFill="1" applyBorder="1" applyAlignment="1" applyProtection="1">
      <alignment horizontal="right" vertical="center" wrapText="1"/>
      <protection locked="0"/>
    </xf>
    <xf numFmtId="173" fontId="17" fillId="0" borderId="1" xfId="2" applyNumberFormat="1" applyFont="1" applyFill="1" applyBorder="1" applyAlignment="1" applyProtection="1">
      <alignment horizontal="right" vertical="center" wrapText="1"/>
      <protection locked="0"/>
    </xf>
    <xf numFmtId="170" fontId="18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2" applyFont="1" applyFill="1" applyBorder="1" applyAlignment="1">
      <alignment vertical="center" wrapText="1"/>
    </xf>
    <xf numFmtId="2" fontId="18" fillId="0" borderId="1" xfId="2" applyNumberFormat="1" applyFont="1" applyFill="1" applyBorder="1" applyAlignment="1">
      <alignment vertical="center"/>
    </xf>
    <xf numFmtId="4" fontId="18" fillId="0" borderId="1" xfId="2" applyNumberFormat="1" applyFont="1" applyFill="1" applyBorder="1" applyAlignment="1">
      <alignment vertical="center"/>
    </xf>
    <xf numFmtId="49" fontId="17" fillId="3" borderId="2" xfId="2" applyNumberFormat="1" applyFont="1" applyFill="1" applyBorder="1" applyAlignment="1">
      <alignment horizontal="center"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9" fontId="18" fillId="0" borderId="1" xfId="2" applyNumberFormat="1" applyFont="1" applyFill="1" applyBorder="1" applyAlignment="1">
      <alignment horizontal="center" vertical="center" wrapText="1"/>
    </xf>
    <xf numFmtId="4" fontId="18" fillId="0" borderId="1" xfId="2" applyNumberFormat="1" applyFont="1" applyFill="1" applyBorder="1" applyAlignment="1" applyProtection="1">
      <alignment horizontal="right" vertical="center" wrapText="1"/>
      <protection locked="0"/>
    </xf>
    <xf numFmtId="180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2" applyFont="1" applyFill="1" applyAlignment="1">
      <alignment vertical="center"/>
    </xf>
    <xf numFmtId="49" fontId="17" fillId="0" borderId="0" xfId="2" applyNumberFormat="1" applyFont="1" applyFill="1" applyBorder="1" applyAlignment="1">
      <alignment horizontal="left" vertical="center" wrapText="1"/>
    </xf>
    <xf numFmtId="49" fontId="17" fillId="0" borderId="0" xfId="2" applyNumberFormat="1" applyFont="1" applyFill="1" applyBorder="1" applyAlignment="1">
      <alignment vertical="center" wrapText="1"/>
    </xf>
    <xf numFmtId="49" fontId="17" fillId="3" borderId="0" xfId="2" applyNumberFormat="1" applyFont="1" applyFill="1" applyBorder="1" applyAlignment="1">
      <alignment vertical="center" wrapText="1"/>
    </xf>
    <xf numFmtId="0" fontId="17" fillId="0" borderId="0" xfId="2" applyFont="1" applyFill="1" applyAlignment="1">
      <alignment horizontal="left" vertical="center"/>
    </xf>
    <xf numFmtId="0" fontId="17" fillId="3" borderId="0" xfId="2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/>
    <xf numFmtId="0" fontId="29" fillId="0" borderId="1" xfId="0" applyFont="1" applyFill="1" applyBorder="1" applyAlignment="1">
      <alignment horizontal="center" vertical="center" textRotation="90" wrapText="1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29" fillId="0" borderId="0" xfId="0" applyNumberFormat="1" applyFont="1" applyFill="1"/>
    <xf numFmtId="0" fontId="29" fillId="0" borderId="0" xfId="0" applyFont="1" applyFill="1" applyAlignment="1"/>
    <xf numFmtId="0" fontId="29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/>
    <xf numFmtId="0" fontId="32" fillId="0" borderId="1" xfId="0" applyFont="1" applyFill="1" applyBorder="1" applyAlignment="1">
      <alignment horizontal="left" vertical="center" wrapText="1"/>
    </xf>
    <xf numFmtId="169" fontId="17" fillId="0" borderId="1" xfId="2" applyNumberFormat="1" applyFont="1" applyFill="1" applyBorder="1" applyAlignment="1">
      <alignment horizontal="center" vertical="center" wrapText="1"/>
    </xf>
    <xf numFmtId="49" fontId="18" fillId="0" borderId="1" xfId="30" applyNumberFormat="1" applyFont="1" applyFill="1" applyBorder="1" applyAlignment="1">
      <alignment horizontal="center" vertical="center" wrapText="1"/>
    </xf>
    <xf numFmtId="49" fontId="18" fillId="3" borderId="1" xfId="30" applyNumberFormat="1" applyFont="1" applyFill="1" applyBorder="1" applyAlignment="1">
      <alignment horizontal="center" vertical="center" wrapText="1"/>
    </xf>
    <xf numFmtId="49" fontId="18" fillId="0" borderId="1" xfId="30" applyNumberFormat="1" applyFont="1" applyFill="1" applyBorder="1" applyAlignment="1">
      <alignment horizontal="left" vertical="center" wrapText="1"/>
    </xf>
    <xf numFmtId="49" fontId="17" fillId="0" borderId="1" xfId="30" applyNumberFormat="1" applyFont="1" applyFill="1" applyBorder="1" applyAlignment="1">
      <alignment horizontal="center" vertical="center" wrapText="1"/>
    </xf>
    <xf numFmtId="0" fontId="17" fillId="0" borderId="1" xfId="30" applyNumberFormat="1" applyFont="1" applyFill="1" applyBorder="1" applyAlignment="1">
      <alignment vertical="center" wrapText="1"/>
    </xf>
    <xf numFmtId="49" fontId="17" fillId="3" borderId="1" xfId="31" applyNumberFormat="1" applyFont="1" applyFill="1" applyBorder="1" applyAlignment="1">
      <alignment horizontal="center" vertical="center" wrapText="1"/>
    </xf>
    <xf numFmtId="49" fontId="17" fillId="0" borderId="1" xfId="30" applyNumberFormat="1" applyFont="1" applyFill="1" applyBorder="1" applyAlignment="1">
      <alignment horizontal="left" vertical="center" wrapText="1"/>
    </xf>
    <xf numFmtId="49" fontId="17" fillId="3" borderId="3" xfId="30" applyNumberFormat="1" applyFont="1" applyFill="1" applyBorder="1" applyAlignment="1">
      <alignment horizontal="center" vertical="center" wrapText="1"/>
    </xf>
    <xf numFmtId="49" fontId="17" fillId="0" borderId="3" xfId="30" applyNumberFormat="1" applyFont="1" applyFill="1" applyBorder="1" applyAlignment="1">
      <alignment horizontal="left" vertical="center" wrapText="1"/>
    </xf>
    <xf numFmtId="49" fontId="17" fillId="0" borderId="3" xfId="30" applyNumberFormat="1" applyFont="1" applyFill="1" applyBorder="1" applyAlignment="1">
      <alignment horizontal="center" vertical="center" wrapText="1"/>
    </xf>
    <xf numFmtId="0" fontId="17" fillId="0" borderId="3" xfId="30" applyNumberFormat="1" applyFont="1" applyFill="1" applyBorder="1" applyAlignment="1">
      <alignment vertical="center" wrapText="1"/>
    </xf>
    <xf numFmtId="49" fontId="18" fillId="0" borderId="1" xfId="31" applyNumberFormat="1" applyFont="1" applyFill="1" applyBorder="1" applyAlignment="1">
      <alignment horizontal="center" vertical="center" wrapText="1"/>
    </xf>
    <xf numFmtId="49" fontId="18" fillId="3" borderId="1" xfId="31" applyNumberFormat="1" applyFont="1" applyFill="1" applyBorder="1" applyAlignment="1">
      <alignment horizontal="center" vertical="center" wrapText="1"/>
    </xf>
    <xf numFmtId="49" fontId="18" fillId="0" borderId="1" xfId="31" applyNumberFormat="1" applyFont="1" applyFill="1" applyBorder="1" applyAlignment="1">
      <alignment horizontal="left" vertical="center" wrapText="1"/>
    </xf>
    <xf numFmtId="0" fontId="17" fillId="0" borderId="1" xfId="31" applyNumberFormat="1" applyFont="1" applyFill="1" applyBorder="1" applyAlignment="1">
      <alignment vertical="center" wrapText="1"/>
    </xf>
    <xf numFmtId="49" fontId="17" fillId="0" borderId="1" xfId="31" applyNumberFormat="1" applyFont="1" applyFill="1" applyBorder="1" applyAlignment="1">
      <alignment horizontal="left" vertical="center" wrapText="1"/>
    </xf>
    <xf numFmtId="49" fontId="17" fillId="0" borderId="1" xfId="31" applyNumberFormat="1" applyFont="1" applyFill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/>
    </xf>
    <xf numFmtId="43" fontId="17" fillId="0" borderId="1" xfId="5" applyFont="1" applyFill="1" applyBorder="1" applyAlignment="1">
      <alignment horizontal="right" vertical="center"/>
    </xf>
    <xf numFmtId="173" fontId="17" fillId="0" borderId="1" xfId="2" applyNumberFormat="1" applyFont="1" applyFill="1" applyBorder="1" applyAlignment="1">
      <alignment horizontal="right" vertical="center" wrapText="1"/>
    </xf>
    <xf numFmtId="2" fontId="18" fillId="0" borderId="2" xfId="2" applyNumberFormat="1" applyFont="1" applyFill="1" applyBorder="1" applyAlignment="1">
      <alignment horizontal="right" vertical="center" wrapText="1"/>
    </xf>
    <xf numFmtId="169" fontId="18" fillId="0" borderId="1" xfId="0" applyNumberFormat="1" applyFont="1" applyFill="1" applyBorder="1" applyAlignment="1">
      <alignment horizontal="right" vertical="center" wrapText="1"/>
    </xf>
    <xf numFmtId="2" fontId="18" fillId="3" borderId="1" xfId="2" applyNumberFormat="1" applyFont="1" applyFill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center" vertical="center" wrapText="1"/>
    </xf>
    <xf numFmtId="49" fontId="18" fillId="3" borderId="1" xfId="20" applyNumberFormat="1" applyFont="1" applyFill="1" applyBorder="1" applyAlignment="1">
      <alignment horizontal="center" vertical="center" wrapText="1"/>
    </xf>
    <xf numFmtId="0" fontId="18" fillId="0" borderId="1" xfId="2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>
      <alignment horizontal="right" vertical="center" wrapText="1"/>
    </xf>
    <xf numFmtId="49" fontId="17" fillId="3" borderId="1" xfId="20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right" vertical="center" wrapText="1"/>
    </xf>
    <xf numFmtId="1" fontId="17" fillId="0" borderId="1" xfId="2" applyNumberFormat="1" applyFont="1" applyFill="1" applyBorder="1" applyAlignment="1">
      <alignment horizontal="center" vertical="center" wrapText="1"/>
    </xf>
    <xf numFmtId="0" fontId="18" fillId="3" borderId="1" xfId="2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right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right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/>
    <xf numFmtId="4" fontId="17" fillId="0" borderId="0" xfId="0" applyNumberFormat="1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/>
    <xf numFmtId="4" fontId="17" fillId="0" borderId="1" xfId="0" applyNumberFormat="1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 applyProtection="1">
      <alignment vertical="center" wrapText="1"/>
      <protection locked="0"/>
    </xf>
    <xf numFmtId="2" fontId="18" fillId="0" borderId="1" xfId="0" applyNumberFormat="1" applyFont="1" applyFill="1" applyBorder="1" applyAlignment="1" applyProtection="1">
      <alignment vertical="center" wrapText="1"/>
      <protection locked="0"/>
    </xf>
    <xf numFmtId="166" fontId="17" fillId="0" borderId="1" xfId="0" applyNumberFormat="1" applyFont="1" applyFill="1" applyBorder="1" applyAlignment="1" applyProtection="1">
      <alignment vertical="center" wrapText="1"/>
      <protection locked="0"/>
    </xf>
    <xf numFmtId="4" fontId="17" fillId="0" borderId="1" xfId="0" applyNumberFormat="1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left" vertical="center"/>
    </xf>
    <xf numFmtId="168" fontId="18" fillId="0" borderId="1" xfId="4" applyFont="1" applyFill="1" applyBorder="1" applyAlignment="1">
      <alignment vertical="center" wrapText="1"/>
    </xf>
    <xf numFmtId="168" fontId="17" fillId="0" borderId="1" xfId="4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9" fillId="0" borderId="0" xfId="0" applyFont="1" applyAlignment="1"/>
    <xf numFmtId="4" fontId="17" fillId="0" borderId="0" xfId="0" applyNumberFormat="1" applyFont="1" applyFill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2" fontId="26" fillId="0" borderId="1" xfId="0" applyNumberFormat="1" applyFont="1" applyFill="1" applyBorder="1" applyAlignment="1">
      <alignment vertical="center" wrapText="1"/>
    </xf>
    <xf numFmtId="2" fontId="33" fillId="0" borderId="1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1" fontId="26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/>
    <xf numFmtId="0" fontId="18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/>
    </xf>
    <xf numFmtId="0" fontId="17" fillId="0" borderId="1" xfId="3" applyFont="1" applyFill="1" applyBorder="1" applyAlignment="1">
      <alignment horizontal="left" vertical="center" wrapText="1"/>
    </xf>
    <xf numFmtId="166" fontId="17" fillId="0" borderId="1" xfId="3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7" fillId="0" borderId="2" xfId="3" applyFont="1" applyFill="1" applyBorder="1" applyAlignment="1">
      <alignment horizontal="center" vertical="center" wrapText="1"/>
    </xf>
    <xf numFmtId="0" fontId="17" fillId="0" borderId="0" xfId="0" applyFont="1" applyFill="1" applyAlignment="1"/>
    <xf numFmtId="43" fontId="17" fillId="0" borderId="1" xfId="3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8" fillId="0" borderId="1" xfId="3" applyFont="1" applyFill="1" applyBorder="1" applyAlignment="1">
      <alignment horizontal="left" vertical="center" wrapText="1"/>
    </xf>
    <xf numFmtId="166" fontId="18" fillId="0" borderId="1" xfId="3" applyNumberFormat="1" applyFont="1" applyFill="1" applyBorder="1" applyAlignment="1">
      <alignment horizontal="right" vertical="center" wrapText="1"/>
    </xf>
    <xf numFmtId="2" fontId="17" fillId="0" borderId="1" xfId="3" applyNumberFormat="1" applyFont="1" applyFill="1" applyBorder="1" applyAlignment="1">
      <alignment horizontal="right" vertical="center" wrapText="1"/>
    </xf>
    <xf numFmtId="166" fontId="17" fillId="0" borderId="1" xfId="5" applyNumberFormat="1" applyFont="1" applyFill="1" applyBorder="1" applyAlignment="1">
      <alignment horizontal="right" vertical="center"/>
    </xf>
    <xf numFmtId="49" fontId="18" fillId="0" borderId="1" xfId="5" applyNumberFormat="1" applyFont="1" applyFill="1" applyBorder="1" applyAlignment="1">
      <alignment horizontal="left" vertical="center" wrapText="1"/>
    </xf>
    <xf numFmtId="49" fontId="18" fillId="0" borderId="2" xfId="5" applyNumberFormat="1" applyFont="1" applyFill="1" applyBorder="1" applyAlignment="1">
      <alignment horizontal="center" vertical="center" wrapText="1"/>
    </xf>
    <xf numFmtId="49" fontId="17" fillId="0" borderId="1" xfId="5" applyNumberFormat="1" applyFont="1" applyFill="1" applyBorder="1" applyAlignment="1" applyProtection="1">
      <alignment horizontal="center" vertical="center" wrapText="1"/>
    </xf>
    <xf numFmtId="168" fontId="17" fillId="0" borderId="1" xfId="4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49" fontId="17" fillId="0" borderId="1" xfId="5" applyNumberFormat="1" applyFont="1" applyFill="1" applyBorder="1" applyAlignment="1">
      <alignment horizontal="center" vertical="center" wrapText="1"/>
    </xf>
    <xf numFmtId="49" fontId="17" fillId="0" borderId="1" xfId="5" applyNumberFormat="1" applyFont="1" applyFill="1" applyBorder="1" applyAlignment="1">
      <alignment horizontal="left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left" vertical="center" wrapText="1"/>
    </xf>
    <xf numFmtId="1" fontId="17" fillId="0" borderId="1" xfId="3" applyNumberFormat="1" applyFont="1" applyFill="1" applyBorder="1" applyAlignment="1">
      <alignment horizontal="center" vertical="center" wrapText="1"/>
    </xf>
    <xf numFmtId="9" fontId="17" fillId="0" borderId="1" xfId="3" applyNumberFormat="1" applyFont="1" applyFill="1" applyBorder="1" applyAlignment="1">
      <alignment horizontal="center" vertical="center" wrapText="1"/>
    </xf>
    <xf numFmtId="14" fontId="17" fillId="0" borderId="1" xfId="3" applyNumberFormat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1" fontId="18" fillId="0" borderId="0" xfId="3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/>
    <xf numFmtId="2" fontId="34" fillId="0" borderId="0" xfId="0" applyNumberFormat="1" applyFont="1" applyFill="1" applyAlignment="1">
      <alignment vertical="center" wrapText="1"/>
    </xf>
    <xf numFmtId="2" fontId="34" fillId="0" borderId="0" xfId="0" applyNumberFormat="1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right" vertical="center" wrapText="1"/>
    </xf>
    <xf numFmtId="2" fontId="34" fillId="0" borderId="1" xfId="0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right" vertical="center" wrapText="1"/>
    </xf>
    <xf numFmtId="166" fontId="35" fillId="0" borderId="1" xfId="0" applyNumberFormat="1" applyFont="1" applyFill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righ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6" fontId="34" fillId="0" borderId="1" xfId="0" applyNumberFormat="1" applyFont="1" applyFill="1" applyBorder="1" applyAlignment="1">
      <alignment horizontal="right" vertical="center" wrapText="1"/>
    </xf>
    <xf numFmtId="0" fontId="34" fillId="0" borderId="0" xfId="2" applyFont="1" applyFill="1" applyAlignment="1">
      <alignment vertical="center" wrapText="1"/>
    </xf>
    <xf numFmtId="16" fontId="34" fillId="0" borderId="1" xfId="0" applyNumberFormat="1" applyFont="1" applyFill="1" applyBorder="1" applyAlignment="1">
      <alignment horizontal="center" vertical="center" wrapText="1"/>
    </xf>
    <xf numFmtId="9" fontId="34" fillId="0" borderId="1" xfId="0" applyNumberFormat="1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horizontal="left"/>
    </xf>
    <xf numFmtId="0" fontId="34" fillId="0" borderId="1" xfId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49" fontId="35" fillId="0" borderId="1" xfId="2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vertical="center" wrapText="1"/>
    </xf>
    <xf numFmtId="166" fontId="34" fillId="0" borderId="1" xfId="2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wrapText="1"/>
    </xf>
    <xf numFmtId="49" fontId="34" fillId="0" borderId="1" xfId="2" applyNumberFormat="1" applyFont="1" applyFill="1" applyBorder="1" applyAlignment="1">
      <alignment horizontal="center" vertical="center" wrapText="1"/>
    </xf>
    <xf numFmtId="49" fontId="34" fillId="0" borderId="1" xfId="2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/>
    </xf>
    <xf numFmtId="49" fontId="35" fillId="0" borderId="1" xfId="2" applyNumberFormat="1" applyFont="1" applyFill="1" applyBorder="1" applyAlignment="1">
      <alignment vertical="center" wrapText="1"/>
    </xf>
    <xf numFmtId="0" fontId="34" fillId="0" borderId="0" xfId="2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49" fontId="39" fillId="0" borderId="1" xfId="2" applyNumberFormat="1" applyFont="1" applyFill="1" applyBorder="1" applyAlignment="1">
      <alignment horizontal="center" vertical="center" wrapText="1"/>
    </xf>
    <xf numFmtId="0" fontId="39" fillId="0" borderId="1" xfId="2" applyNumberFormat="1" applyFont="1" applyFill="1" applyBorder="1" applyAlignment="1">
      <alignment vertical="center" wrapText="1"/>
    </xf>
    <xf numFmtId="0" fontId="40" fillId="0" borderId="1" xfId="0" applyNumberFormat="1" applyFont="1" applyFill="1" applyBorder="1" applyAlignment="1">
      <alignment vertical="center" wrapText="1"/>
    </xf>
    <xf numFmtId="0" fontId="39" fillId="0" borderId="1" xfId="18" applyFont="1" applyFill="1" applyBorder="1" applyAlignment="1">
      <alignment vertical="center" wrapText="1"/>
    </xf>
    <xf numFmtId="2" fontId="38" fillId="0" borderId="1" xfId="2" applyNumberFormat="1" applyFont="1" applyFill="1" applyBorder="1" applyAlignment="1">
      <alignment vertical="center"/>
    </xf>
    <xf numFmtId="0" fontId="38" fillId="0" borderId="1" xfId="2" applyFont="1" applyFill="1" applyBorder="1" applyAlignment="1">
      <alignment vertical="center" wrapText="1"/>
    </xf>
    <xf numFmtId="2" fontId="38" fillId="0" borderId="1" xfId="2" applyNumberFormat="1" applyFont="1" applyFill="1" applyBorder="1" applyAlignment="1">
      <alignment vertical="center" wrapText="1"/>
    </xf>
    <xf numFmtId="0" fontId="38" fillId="0" borderId="0" xfId="2" applyFont="1" applyFill="1" applyAlignment="1">
      <alignment horizontal="center" vertical="center" wrapText="1"/>
    </xf>
    <xf numFmtId="166" fontId="38" fillId="0" borderId="1" xfId="2" applyNumberFormat="1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center" vertical="center" wrapText="1"/>
    </xf>
    <xf numFmtId="49" fontId="38" fillId="0" borderId="1" xfId="2" applyNumberFormat="1" applyFont="1" applyFill="1" applyBorder="1" applyAlignment="1">
      <alignment horizontal="center" vertical="center" wrapText="1"/>
    </xf>
    <xf numFmtId="4" fontId="38" fillId="0" borderId="1" xfId="2" applyNumberFormat="1" applyFont="1" applyFill="1" applyBorder="1" applyAlignment="1">
      <alignment vertical="center"/>
    </xf>
    <xf numFmtId="49" fontId="38" fillId="0" borderId="1" xfId="2" applyNumberFormat="1" applyFont="1" applyFill="1" applyBorder="1" applyAlignment="1">
      <alignment vertical="center" wrapText="1"/>
    </xf>
    <xf numFmtId="0" fontId="38" fillId="0" borderId="1" xfId="2" applyFont="1" applyFill="1" applyBorder="1" applyAlignment="1">
      <alignment horizontal="center" vertical="center"/>
    </xf>
    <xf numFmtId="0" fontId="38" fillId="0" borderId="1" xfId="2" applyNumberFormat="1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166" fontId="42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166" fontId="43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vertic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49" fontId="42" fillId="0" borderId="2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 wrapText="1"/>
    </xf>
    <xf numFmtId="2" fontId="42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4" fillId="0" borderId="1" xfId="2" applyFont="1" applyFill="1" applyBorder="1" applyAlignment="1">
      <alignment vertical="top"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vertical="center" wrapText="1"/>
    </xf>
    <xf numFmtId="0" fontId="39" fillId="0" borderId="1" xfId="0" applyNumberFormat="1" applyFont="1" applyFill="1" applyBorder="1" applyAlignment="1">
      <alignment vertical="center" wrapText="1"/>
    </xf>
    <xf numFmtId="2" fontId="39" fillId="0" borderId="1" xfId="0" applyNumberFormat="1" applyFont="1" applyFill="1" applyBorder="1" applyAlignment="1">
      <alignment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vertical="center" wrapText="1"/>
    </xf>
    <xf numFmtId="2" fontId="38" fillId="0" borderId="1" xfId="0" applyNumberFormat="1" applyFont="1" applyFill="1" applyBorder="1" applyAlignment="1">
      <alignment vertical="center" wrapText="1"/>
    </xf>
    <xf numFmtId="0" fontId="38" fillId="0" borderId="1" xfId="11" applyFont="1" applyFill="1" applyBorder="1" applyAlignment="1">
      <alignment vertical="center" wrapText="1"/>
    </xf>
    <xf numFmtId="49" fontId="41" fillId="0" borderId="1" xfId="0" applyNumberFormat="1" applyFont="1" applyFill="1" applyBorder="1" applyAlignment="1">
      <alignment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center" vertical="top" wrapText="1"/>
    </xf>
    <xf numFmtId="49" fontId="39" fillId="0" borderId="1" xfId="0" applyNumberFormat="1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vertical="center"/>
    </xf>
    <xf numFmtId="49" fontId="38" fillId="0" borderId="1" xfId="0" applyNumberFormat="1" applyFont="1" applyFill="1" applyBorder="1" applyAlignment="1">
      <alignment horizontal="left" vertical="center" wrapText="1"/>
    </xf>
    <xf numFmtId="0" fontId="38" fillId="0" borderId="1" xfId="0" applyNumberFormat="1" applyFont="1" applyFill="1" applyBorder="1" applyAlignment="1">
      <alignment vertical="center"/>
    </xf>
    <xf numFmtId="49" fontId="38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4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0" xfId="0" applyFont="1" applyFill="1"/>
    <xf numFmtId="9" fontId="38" fillId="0" borderId="1" xfId="0" applyNumberFormat="1" applyFont="1" applyFill="1" applyBorder="1" applyAlignment="1">
      <alignment horizontal="center" vertical="center" wrapText="1"/>
    </xf>
    <xf numFmtId="0" fontId="38" fillId="0" borderId="1" xfId="2" applyFont="1" applyFill="1" applyBorder="1"/>
    <xf numFmtId="0" fontId="38" fillId="0" borderId="1" xfId="2" applyFont="1" applyFill="1" applyBorder="1" applyAlignment="1"/>
    <xf numFmtId="2" fontId="38" fillId="0" borderId="1" xfId="2" applyNumberFormat="1" applyFont="1" applyFill="1" applyBorder="1" applyAlignment="1"/>
    <xf numFmtId="0" fontId="38" fillId="0" borderId="0" xfId="2" applyFont="1" applyFill="1"/>
    <xf numFmtId="0" fontId="41" fillId="0" borderId="1" xfId="0" applyNumberFormat="1" applyFont="1" applyFill="1" applyBorder="1" applyAlignment="1">
      <alignment vertical="center" wrapText="1"/>
    </xf>
    <xf numFmtId="49" fontId="39" fillId="0" borderId="1" xfId="2" applyNumberFormat="1" applyFont="1" applyFill="1" applyBorder="1" applyAlignment="1">
      <alignment vertical="center" wrapText="1"/>
    </xf>
    <xf numFmtId="49" fontId="38" fillId="0" borderId="0" xfId="2" applyNumberFormat="1" applyFont="1" applyFill="1" applyAlignment="1">
      <alignment horizontal="center" vertical="center" wrapText="1"/>
    </xf>
    <xf numFmtId="0" fontId="38" fillId="0" borderId="0" xfId="2" applyFont="1" applyFill="1" applyBorder="1" applyAlignment="1">
      <alignment vertical="center" wrapText="1"/>
    </xf>
    <xf numFmtId="2" fontId="38" fillId="0" borderId="0" xfId="2" applyNumberFormat="1" applyFont="1" applyFill="1" applyBorder="1" applyAlignment="1">
      <alignment horizontal="left" vertical="center" wrapText="1"/>
    </xf>
    <xf numFmtId="1" fontId="38" fillId="0" borderId="0" xfId="2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2" fontId="38" fillId="0" borderId="0" xfId="0" applyNumberFormat="1" applyFont="1" applyFill="1" applyAlignment="1">
      <alignment horizontal="center" vertical="center"/>
    </xf>
    <xf numFmtId="1" fontId="38" fillId="0" borderId="0" xfId="0" applyNumberFormat="1" applyFont="1" applyFill="1" applyAlignment="1">
      <alignment horizontal="center" vertical="center"/>
    </xf>
    <xf numFmtId="0" fontId="38" fillId="0" borderId="1" xfId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46" fillId="0" borderId="0" xfId="2" applyFont="1" applyFill="1" applyAlignment="1">
      <alignment vertical="center"/>
    </xf>
    <xf numFmtId="4" fontId="46" fillId="0" borderId="0" xfId="2" applyNumberFormat="1" applyFont="1" applyFill="1" applyAlignment="1">
      <alignment horizontal="center" vertical="center"/>
    </xf>
    <xf numFmtId="0" fontId="46" fillId="3" borderId="0" xfId="2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1" xfId="1" applyFont="1" applyFill="1" applyBorder="1" applyAlignment="1">
      <alignment horizontal="right" vertical="center" wrapText="1"/>
    </xf>
    <xf numFmtId="0" fontId="46" fillId="3" borderId="1" xfId="0" applyFont="1" applyFill="1" applyBorder="1" applyAlignment="1">
      <alignment horizontal="right" vertical="center" wrapText="1"/>
    </xf>
    <xf numFmtId="2" fontId="46" fillId="0" borderId="1" xfId="0" applyNumberFormat="1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left" vertical="center" wrapText="1"/>
    </xf>
    <xf numFmtId="1" fontId="46" fillId="0" borderId="1" xfId="0" applyNumberFormat="1" applyFont="1" applyFill="1" applyBorder="1" applyAlignment="1">
      <alignment horizontal="right" vertical="center" wrapText="1"/>
    </xf>
    <xf numFmtId="166" fontId="46" fillId="0" borderId="1" xfId="2" applyNumberFormat="1" applyFont="1" applyFill="1" applyBorder="1" applyAlignment="1">
      <alignment horizontal="center" vertical="center" wrapText="1"/>
    </xf>
    <xf numFmtId="49" fontId="46" fillId="3" borderId="1" xfId="2" applyNumberFormat="1" applyFont="1" applyFill="1" applyBorder="1" applyAlignment="1">
      <alignment vertical="center" wrapText="1"/>
    </xf>
    <xf numFmtId="49" fontId="45" fillId="3" borderId="1" xfId="2" applyNumberFormat="1" applyFont="1" applyFill="1" applyBorder="1" applyAlignment="1">
      <alignment horizontal="left" vertical="center" wrapText="1"/>
    </xf>
    <xf numFmtId="49" fontId="46" fillId="0" borderId="1" xfId="2" applyNumberFormat="1" applyFont="1" applyFill="1" applyBorder="1" applyAlignment="1">
      <alignment horizontal="center" vertical="center" wrapText="1"/>
    </xf>
    <xf numFmtId="0" fontId="46" fillId="0" borderId="1" xfId="2" applyNumberFormat="1" applyFont="1" applyFill="1" applyBorder="1" applyAlignment="1">
      <alignment horizontal="center" vertical="center" wrapText="1"/>
    </xf>
    <xf numFmtId="0" fontId="46" fillId="3" borderId="1" xfId="2" applyNumberFormat="1" applyFont="1" applyFill="1" applyBorder="1" applyAlignment="1">
      <alignment horizontal="center" vertical="center" wrapText="1"/>
    </xf>
    <xf numFmtId="2" fontId="46" fillId="0" borderId="1" xfId="2" applyNumberFormat="1" applyFont="1" applyFill="1" applyBorder="1" applyAlignment="1">
      <alignment horizontal="center" vertical="center" wrapText="1"/>
    </xf>
    <xf numFmtId="1" fontId="45" fillId="0" borderId="1" xfId="2" applyNumberFormat="1" applyFont="1" applyFill="1" applyBorder="1" applyAlignment="1">
      <alignment horizontal="center" vertical="center" wrapText="1"/>
    </xf>
    <xf numFmtId="0" fontId="45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49" fontId="45" fillId="0" borderId="2" xfId="2" applyNumberFormat="1" applyFont="1" applyFill="1" applyBorder="1" applyAlignment="1">
      <alignment horizontal="center" vertical="center" wrapText="1"/>
    </xf>
    <xf numFmtId="0" fontId="46" fillId="0" borderId="1" xfId="2" applyFont="1" applyFill="1" applyBorder="1" applyAlignment="1">
      <alignment vertical="center" wrapText="1"/>
    </xf>
    <xf numFmtId="2" fontId="45" fillId="0" borderId="1" xfId="2" applyNumberFormat="1" applyFont="1" applyFill="1" applyBorder="1" applyAlignment="1">
      <alignment vertical="center" wrapText="1"/>
    </xf>
    <xf numFmtId="0" fontId="46" fillId="0" borderId="0" xfId="2" applyFont="1" applyFill="1" applyAlignment="1">
      <alignment vertical="center" wrapText="1"/>
    </xf>
    <xf numFmtId="0" fontId="48" fillId="0" borderId="0" xfId="2" applyFont="1" applyFill="1" applyAlignment="1">
      <alignment horizontal="center" vertical="center" wrapText="1"/>
    </xf>
    <xf numFmtId="49" fontId="46" fillId="3" borderId="1" xfId="2" applyNumberFormat="1" applyFont="1" applyFill="1" applyBorder="1" applyAlignment="1">
      <alignment horizontal="center" vertical="center" wrapText="1"/>
    </xf>
    <xf numFmtId="49" fontId="46" fillId="3" borderId="1" xfId="2" applyNumberFormat="1" applyFont="1" applyFill="1" applyBorder="1" applyAlignment="1">
      <alignment horizontal="left" vertical="center" wrapText="1"/>
    </xf>
    <xf numFmtId="2" fontId="46" fillId="0" borderId="1" xfId="2" applyNumberFormat="1" applyFont="1" applyFill="1" applyBorder="1" applyAlignment="1">
      <alignment vertical="center" wrapText="1"/>
    </xf>
    <xf numFmtId="0" fontId="46" fillId="0" borderId="1" xfId="2" applyNumberFormat="1" applyFont="1" applyFill="1" applyBorder="1" applyAlignment="1">
      <alignment vertical="center" wrapText="1"/>
    </xf>
    <xf numFmtId="0" fontId="46" fillId="0" borderId="0" xfId="2" applyFont="1" applyFill="1" applyAlignment="1">
      <alignment horizontal="center" vertical="center" wrapText="1"/>
    </xf>
    <xf numFmtId="1" fontId="45" fillId="0" borderId="2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center" vertical="center" wrapText="1"/>
    </xf>
    <xf numFmtId="0" fontId="45" fillId="0" borderId="1" xfId="2" applyFont="1" applyFill="1" applyBorder="1" applyAlignment="1">
      <alignment horizontal="center" vertical="center" wrapText="1"/>
    </xf>
    <xf numFmtId="0" fontId="45" fillId="0" borderId="1" xfId="2" applyFont="1" applyFill="1" applyBorder="1" applyAlignment="1">
      <alignment vertical="center" wrapText="1"/>
    </xf>
    <xf numFmtId="0" fontId="46" fillId="3" borderId="1" xfId="2" applyFont="1" applyFill="1" applyBorder="1" applyAlignment="1">
      <alignment horizontal="center" vertical="center" wrapText="1"/>
    </xf>
    <xf numFmtId="0" fontId="46" fillId="0" borderId="1" xfId="2" applyFont="1" applyFill="1" applyBorder="1" applyAlignment="1">
      <alignment horizontal="center" vertical="center" wrapText="1"/>
    </xf>
    <xf numFmtId="49" fontId="46" fillId="3" borderId="1" xfId="12" applyNumberFormat="1" applyFont="1" applyFill="1" applyBorder="1" applyAlignment="1">
      <alignment horizontal="center" vertical="center" wrapText="1"/>
    </xf>
    <xf numFmtId="1" fontId="49" fillId="3" borderId="1" xfId="12" applyNumberFormat="1" applyFont="1" applyFill="1" applyBorder="1" applyAlignment="1">
      <alignment horizontal="left" vertical="center" wrapText="1"/>
    </xf>
    <xf numFmtId="49" fontId="46" fillId="0" borderId="1" xfId="12" applyNumberFormat="1" applyFont="1" applyFill="1" applyBorder="1" applyAlignment="1">
      <alignment horizontal="center" vertical="center" wrapText="1"/>
    </xf>
    <xf numFmtId="177" fontId="46" fillId="0" borderId="1" xfId="13" applyNumberFormat="1" applyFont="1" applyFill="1" applyBorder="1" applyAlignment="1">
      <alignment vertical="center"/>
    </xf>
    <xf numFmtId="3" fontId="45" fillId="0" borderId="1" xfId="7" applyNumberFormat="1" applyFont="1" applyFill="1" applyBorder="1" applyAlignment="1">
      <alignment horizontal="center" vertical="center" wrapText="1"/>
    </xf>
    <xf numFmtId="14" fontId="45" fillId="3" borderId="5" xfId="7" applyNumberFormat="1" applyFont="1" applyFill="1" applyBorder="1" applyAlignment="1">
      <alignment horizontal="center" vertical="center" wrapText="1"/>
    </xf>
    <xf numFmtId="49" fontId="45" fillId="3" borderId="1" xfId="0" applyNumberFormat="1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 wrapText="1"/>
    </xf>
    <xf numFmtId="167" fontId="46" fillId="0" borderId="1" xfId="2" applyNumberFormat="1" applyFont="1" applyFill="1" applyBorder="1" applyAlignment="1">
      <alignment horizontal="center" vertical="center" wrapText="1"/>
    </xf>
    <xf numFmtId="0" fontId="46" fillId="3" borderId="5" xfId="7" applyFont="1" applyFill="1" applyBorder="1" applyAlignment="1">
      <alignment horizontal="center" vertical="center" wrapText="1"/>
    </xf>
    <xf numFmtId="49" fontId="46" fillId="3" borderId="1" xfId="0" applyNumberFormat="1" applyFont="1" applyFill="1" applyBorder="1" applyAlignment="1">
      <alignment horizontal="left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vertical="center" wrapText="1"/>
    </xf>
    <xf numFmtId="166" fontId="46" fillId="0" borderId="1" xfId="0" applyNumberFormat="1" applyFont="1" applyFill="1" applyBorder="1" applyAlignment="1">
      <alignment vertical="center" wrapText="1"/>
    </xf>
    <xf numFmtId="2" fontId="46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169" fontId="46" fillId="0" borderId="1" xfId="0" applyNumberFormat="1" applyFont="1" applyFill="1" applyBorder="1" applyAlignment="1">
      <alignment vertical="center" wrapText="1"/>
    </xf>
    <xf numFmtId="1" fontId="50" fillId="0" borderId="1" xfId="0" applyNumberFormat="1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49" fontId="50" fillId="3" borderId="1" xfId="0" applyNumberFormat="1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vertical="center" wrapText="1"/>
    </xf>
    <xf numFmtId="2" fontId="50" fillId="0" borderId="1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166" fontId="52" fillId="0" borderId="1" xfId="0" applyNumberFormat="1" applyFont="1" applyFill="1" applyBorder="1" applyAlignment="1">
      <alignment horizontal="center" vertical="center" wrapText="1"/>
    </xf>
    <xf numFmtId="49" fontId="52" fillId="3" borderId="1" xfId="0" applyNumberFormat="1" applyFont="1" applyFill="1" applyBorder="1" applyAlignment="1">
      <alignment horizontal="center" vertical="center" wrapText="1"/>
    </xf>
    <xf numFmtId="49" fontId="52" fillId="3" borderId="1" xfId="0" applyNumberFormat="1" applyFont="1" applyFill="1" applyBorder="1" applyAlignment="1">
      <alignment horizontal="left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 wrapText="1"/>
    </xf>
    <xf numFmtId="2" fontId="52" fillId="0" borderId="1" xfId="0" applyNumberFormat="1" applyFont="1" applyFill="1" applyBorder="1" applyAlignment="1">
      <alignment vertical="center" wrapText="1"/>
    </xf>
    <xf numFmtId="2" fontId="52" fillId="0" borderId="1" xfId="0" applyNumberFormat="1" applyFont="1" applyFill="1" applyBorder="1" applyAlignment="1">
      <alignment horizontal="center" vertical="center" wrapText="1"/>
    </xf>
    <xf numFmtId="2" fontId="52" fillId="0" borderId="1" xfId="0" applyNumberFormat="1" applyFont="1" applyFill="1" applyBorder="1" applyAlignment="1" applyProtection="1">
      <alignment vertical="center" wrapText="1"/>
      <protection locked="0"/>
    </xf>
    <xf numFmtId="0" fontId="52" fillId="3" borderId="1" xfId="0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left" vertical="center" wrapText="1"/>
    </xf>
    <xf numFmtId="0" fontId="46" fillId="3" borderId="1" xfId="2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center" vertical="center" wrapText="1"/>
    </xf>
    <xf numFmtId="14" fontId="52" fillId="3" borderId="1" xfId="0" applyNumberFormat="1" applyFont="1" applyFill="1" applyBorder="1" applyAlignment="1">
      <alignment horizontal="center" vertical="center" wrapText="1"/>
    </xf>
    <xf numFmtId="170" fontId="52" fillId="0" borderId="1" xfId="0" applyNumberFormat="1" applyFont="1" applyFill="1" applyBorder="1" applyAlignment="1">
      <alignment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3" borderId="1" xfId="0" applyNumberFormat="1" applyFont="1" applyFill="1" applyBorder="1" applyAlignment="1">
      <alignment horizontal="center" vertical="center" wrapText="1"/>
    </xf>
    <xf numFmtId="2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 applyProtection="1">
      <alignment vertical="center" wrapText="1"/>
      <protection locked="0"/>
    </xf>
    <xf numFmtId="2" fontId="50" fillId="0" borderId="1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/>
    <xf numFmtId="0" fontId="52" fillId="0" borderId="1" xfId="0" applyNumberFormat="1" applyFont="1" applyFill="1" applyBorder="1" applyAlignment="1" applyProtection="1">
      <alignment vertical="center" wrapText="1"/>
      <protection locked="0"/>
    </xf>
    <xf numFmtId="166" fontId="52" fillId="0" borderId="1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Fill="1"/>
    <xf numFmtId="169" fontId="52" fillId="0" borderId="1" xfId="0" applyNumberFormat="1" applyFont="1" applyFill="1" applyBorder="1" applyAlignment="1">
      <alignment vertical="center" wrapText="1"/>
    </xf>
    <xf numFmtId="170" fontId="52" fillId="0" borderId="1" xfId="0" applyNumberFormat="1" applyFont="1" applyFill="1" applyBorder="1" applyAlignment="1" applyProtection="1">
      <alignment vertical="center" wrapText="1"/>
      <protection locked="0"/>
    </xf>
    <xf numFmtId="2" fontId="45" fillId="0" borderId="1" xfId="2" applyNumberFormat="1" applyFont="1" applyFill="1" applyBorder="1" applyAlignment="1">
      <alignment horizontal="center" vertical="center" wrapText="1"/>
    </xf>
    <xf numFmtId="169" fontId="46" fillId="0" borderId="1" xfId="2" applyNumberFormat="1" applyFont="1" applyFill="1" applyBorder="1" applyAlignment="1">
      <alignment vertical="center" wrapText="1"/>
    </xf>
    <xf numFmtId="170" fontId="46" fillId="0" borderId="1" xfId="2" applyNumberFormat="1" applyFont="1" applyFill="1" applyBorder="1" applyAlignment="1">
      <alignment vertical="center" wrapText="1"/>
    </xf>
    <xf numFmtId="14" fontId="46" fillId="3" borderId="1" xfId="2" applyNumberFormat="1" applyFont="1" applyFill="1" applyBorder="1" applyAlignment="1">
      <alignment horizontal="center" vertical="center" wrapText="1"/>
    </xf>
    <xf numFmtId="0" fontId="46" fillId="3" borderId="3" xfId="2" applyFont="1" applyFill="1" applyBorder="1" applyAlignment="1">
      <alignment horizontal="center" vertical="center" wrapText="1"/>
    </xf>
    <xf numFmtId="0" fontId="45" fillId="3" borderId="3" xfId="2" applyFont="1" applyFill="1" applyBorder="1" applyAlignment="1">
      <alignment horizontal="left" vertical="center" wrapText="1"/>
    </xf>
    <xf numFmtId="0" fontId="46" fillId="0" borderId="3" xfId="2" applyFont="1" applyFill="1" applyBorder="1" applyAlignment="1">
      <alignment horizontal="center" vertical="center" wrapText="1"/>
    </xf>
    <xf numFmtId="49" fontId="45" fillId="0" borderId="1" xfId="2" applyNumberFormat="1" applyFont="1" applyFill="1" applyBorder="1" applyAlignment="1">
      <alignment horizontal="center" vertical="center" wrapText="1"/>
    </xf>
    <xf numFmtId="49" fontId="45" fillId="3" borderId="1" xfId="2" applyNumberFormat="1" applyFont="1" applyFill="1" applyBorder="1" applyAlignment="1">
      <alignment horizontal="center" vertical="center" wrapText="1"/>
    </xf>
    <xf numFmtId="0" fontId="45" fillId="0" borderId="1" xfId="2" applyNumberFormat="1" applyFont="1" applyFill="1" applyBorder="1" applyAlignment="1" applyProtection="1">
      <alignment vertical="center" wrapText="1"/>
      <protection locked="0"/>
    </xf>
    <xf numFmtId="2" fontId="45" fillId="0" borderId="1" xfId="2" applyNumberFormat="1" applyFont="1" applyFill="1" applyBorder="1" applyAlignment="1" applyProtection="1">
      <alignment vertical="center" wrapText="1"/>
      <protection locked="0"/>
    </xf>
    <xf numFmtId="0" fontId="45" fillId="0" borderId="0" xfId="2" applyFont="1" applyFill="1" applyAlignment="1">
      <alignment vertical="center"/>
    </xf>
    <xf numFmtId="0" fontId="46" fillId="0" borderId="1" xfId="2" applyNumberFormat="1" applyFont="1" applyFill="1" applyBorder="1" applyAlignment="1" applyProtection="1">
      <alignment vertical="center" wrapText="1"/>
      <protection locked="0"/>
    </xf>
    <xf numFmtId="166" fontId="46" fillId="0" borderId="1" xfId="2" applyNumberFormat="1" applyFont="1" applyFill="1" applyBorder="1" applyAlignment="1" applyProtection="1">
      <alignment vertical="center" wrapText="1"/>
      <protection locked="0"/>
    </xf>
    <xf numFmtId="2" fontId="46" fillId="0" borderId="1" xfId="2" applyNumberFormat="1" applyFont="1" applyFill="1" applyBorder="1" applyAlignment="1" applyProtection="1">
      <alignment vertical="center" wrapText="1"/>
      <protection locked="0"/>
    </xf>
    <xf numFmtId="0" fontId="59" fillId="0" borderId="0" xfId="2" applyFont="1" applyFill="1" applyAlignment="1">
      <alignment vertical="center"/>
    </xf>
    <xf numFmtId="166" fontId="46" fillId="0" borderId="1" xfId="2" applyNumberFormat="1" applyFont="1" applyFill="1" applyBorder="1" applyAlignment="1">
      <alignment vertical="center" wrapText="1"/>
    </xf>
    <xf numFmtId="49" fontId="46" fillId="0" borderId="5" xfId="0" applyNumberFormat="1" applyFont="1" applyFill="1" applyBorder="1" applyAlignment="1">
      <alignment horizontal="center" vertical="center" wrapText="1"/>
    </xf>
    <xf numFmtId="0" fontId="46" fillId="0" borderId="3" xfId="0" applyNumberFormat="1" applyFont="1" applyFill="1" applyBorder="1" applyAlignment="1">
      <alignment vertical="center" wrapText="1"/>
    </xf>
    <xf numFmtId="0" fontId="46" fillId="3" borderId="8" xfId="0" applyFont="1" applyFill="1" applyBorder="1" applyAlignment="1">
      <alignment horizontal="center" vertical="center" wrapText="1"/>
    </xf>
    <xf numFmtId="49" fontId="46" fillId="3" borderId="1" xfId="0" applyNumberFormat="1" applyFont="1" applyFill="1" applyBorder="1" applyAlignment="1">
      <alignment horizontal="center" vertical="center" wrapText="1"/>
    </xf>
    <xf numFmtId="0" fontId="45" fillId="0" borderId="1" xfId="2" applyNumberFormat="1" applyFont="1" applyFill="1" applyBorder="1" applyAlignment="1">
      <alignment vertical="center" wrapText="1"/>
    </xf>
    <xf numFmtId="14" fontId="46" fillId="3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1" fontId="45" fillId="0" borderId="1" xfId="0" applyNumberFormat="1" applyFont="1" applyFill="1" applyBorder="1" applyAlignment="1">
      <alignment horizontal="center" vertical="center" wrapText="1"/>
    </xf>
    <xf numFmtId="49" fontId="45" fillId="3" borderId="1" xfId="0" applyNumberFormat="1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center" vertical="center"/>
    </xf>
    <xf numFmtId="164" fontId="61" fillId="0" borderId="1" xfId="24" applyFont="1" applyFill="1" applyBorder="1" applyAlignment="1">
      <alignment vertical="center"/>
    </xf>
    <xf numFmtId="43" fontId="61" fillId="0" borderId="1" xfId="24" applyNumberFormat="1" applyFont="1" applyFill="1" applyBorder="1" applyAlignment="1">
      <alignment vertical="center"/>
    </xf>
    <xf numFmtId="0" fontId="46" fillId="0" borderId="0" xfId="0" applyFont="1" applyFill="1"/>
    <xf numFmtId="175" fontId="62" fillId="0" borderId="1" xfId="24" applyNumberFormat="1" applyFont="1" applyFill="1" applyBorder="1" applyAlignment="1">
      <alignment vertical="center"/>
    </xf>
    <xf numFmtId="43" fontId="62" fillId="0" borderId="1" xfId="24" applyNumberFormat="1" applyFont="1" applyFill="1" applyBorder="1" applyAlignment="1">
      <alignment vertical="center"/>
    </xf>
    <xf numFmtId="179" fontId="62" fillId="0" borderId="1" xfId="24" applyNumberFormat="1" applyFont="1" applyFill="1" applyBorder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170" fontId="46" fillId="0" borderId="1" xfId="2" applyNumberFormat="1" applyFont="1" applyFill="1" applyBorder="1" applyAlignment="1" applyProtection="1">
      <alignment vertical="center" wrapText="1"/>
      <protection locked="0"/>
    </xf>
    <xf numFmtId="169" fontId="46" fillId="0" borderId="1" xfId="2" applyNumberFormat="1" applyFont="1" applyFill="1" applyBorder="1" applyAlignment="1" applyProtection="1">
      <alignment vertical="center" wrapText="1"/>
      <protection locked="0"/>
    </xf>
    <xf numFmtId="49" fontId="45" fillId="3" borderId="2" xfId="2" applyNumberFormat="1" applyFont="1" applyFill="1" applyBorder="1" applyAlignment="1">
      <alignment horizontal="center" vertical="center" wrapText="1"/>
    </xf>
    <xf numFmtId="49" fontId="45" fillId="3" borderId="2" xfId="2" applyNumberFormat="1" applyFont="1" applyFill="1" applyBorder="1" applyAlignment="1">
      <alignment horizontal="left" vertical="center" wrapText="1"/>
    </xf>
    <xf numFmtId="166" fontId="46" fillId="0" borderId="2" xfId="2" applyNumberFormat="1" applyFont="1" applyFill="1" applyBorder="1" applyAlignment="1">
      <alignment horizontal="center" vertical="center" wrapText="1"/>
    </xf>
    <xf numFmtId="0" fontId="46" fillId="3" borderId="2" xfId="2" applyFont="1" applyFill="1" applyBorder="1" applyAlignment="1">
      <alignment horizontal="center" vertical="center" wrapText="1"/>
    </xf>
    <xf numFmtId="2" fontId="46" fillId="0" borderId="2" xfId="2" applyNumberFormat="1" applyFont="1" applyFill="1" applyBorder="1" applyAlignment="1">
      <alignment horizontal="center" vertical="center" wrapText="1"/>
    </xf>
    <xf numFmtId="0" fontId="45" fillId="3" borderId="2" xfId="2" applyFont="1" applyFill="1" applyBorder="1" applyAlignment="1">
      <alignment horizontal="center" vertical="center" wrapText="1"/>
    </xf>
    <xf numFmtId="49" fontId="46" fillId="3" borderId="5" xfId="2" applyNumberFormat="1" applyFont="1" applyFill="1" applyBorder="1" applyAlignment="1">
      <alignment horizontal="center" vertical="center" wrapText="1"/>
    </xf>
    <xf numFmtId="169" fontId="52" fillId="0" borderId="1" xfId="0" applyNumberFormat="1" applyFont="1" applyFill="1" applyBorder="1" applyAlignment="1" applyProtection="1">
      <alignment vertical="center" wrapText="1"/>
      <protection locked="0"/>
    </xf>
    <xf numFmtId="49" fontId="46" fillId="3" borderId="2" xfId="2" applyNumberFormat="1" applyFont="1" applyFill="1" applyBorder="1" applyAlignment="1">
      <alignment horizontal="center" vertical="center" wrapText="1"/>
    </xf>
    <xf numFmtId="49" fontId="46" fillId="0" borderId="2" xfId="2" applyNumberFormat="1" applyFont="1" applyFill="1" applyBorder="1" applyAlignment="1">
      <alignment horizontal="center" vertical="center" wrapText="1"/>
    </xf>
    <xf numFmtId="2" fontId="63" fillId="0" borderId="4" xfId="0" applyNumberFormat="1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3" borderId="4" xfId="0" applyFont="1" applyFill="1" applyBorder="1" applyAlignment="1">
      <alignment horizontal="center" vertical="center" wrapText="1"/>
    </xf>
    <xf numFmtId="0" fontId="63" fillId="3" borderId="4" xfId="0" applyFont="1" applyFill="1" applyBorder="1" applyAlignment="1">
      <alignment horizontal="left" vertical="center" wrapText="1"/>
    </xf>
    <xf numFmtId="0" fontId="63" fillId="0" borderId="4" xfId="0" applyFont="1" applyFill="1" applyBorder="1" applyAlignment="1">
      <alignment horizontal="center" vertical="center" wrapText="1"/>
    </xf>
    <xf numFmtId="169" fontId="63" fillId="0" borderId="4" xfId="0" applyNumberFormat="1" applyFont="1" applyFill="1" applyBorder="1" applyAlignment="1">
      <alignment vertical="center" wrapText="1"/>
    </xf>
    <xf numFmtId="0" fontId="46" fillId="0" borderId="0" xfId="18" applyFont="1" applyFill="1" applyAlignment="1">
      <alignment horizontal="center" vertical="center" wrapText="1"/>
    </xf>
    <xf numFmtId="166" fontId="46" fillId="0" borderId="1" xfId="8" applyNumberFormat="1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center" vertical="center"/>
    </xf>
    <xf numFmtId="0" fontId="64" fillId="3" borderId="4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center" vertical="center"/>
    </xf>
    <xf numFmtId="169" fontId="64" fillId="0" borderId="4" xfId="0" applyNumberFormat="1" applyFont="1" applyFill="1" applyBorder="1" applyAlignment="1">
      <alignment vertical="center"/>
    </xf>
    <xf numFmtId="2" fontId="64" fillId="0" borderId="4" xfId="0" applyNumberFormat="1" applyFont="1" applyFill="1" applyBorder="1" applyAlignment="1">
      <alignment vertical="center"/>
    </xf>
    <xf numFmtId="170" fontId="64" fillId="0" borderId="4" xfId="0" applyNumberFormat="1" applyFont="1" applyFill="1" applyBorder="1" applyAlignment="1">
      <alignment vertical="center"/>
    </xf>
    <xf numFmtId="1" fontId="45" fillId="0" borderId="1" xfId="8" applyNumberFormat="1" applyFont="1" applyFill="1" applyBorder="1" applyAlignment="1">
      <alignment horizontal="center" vertical="center" wrapText="1"/>
    </xf>
    <xf numFmtId="0" fontId="45" fillId="3" borderId="1" xfId="8" applyFont="1" applyFill="1" applyBorder="1" applyAlignment="1">
      <alignment horizontal="center" vertical="center" wrapText="1"/>
    </xf>
    <xf numFmtId="0" fontId="45" fillId="3" borderId="1" xfId="8" applyFont="1" applyFill="1" applyBorder="1" applyAlignment="1">
      <alignment horizontal="left" vertical="center" wrapText="1"/>
    </xf>
    <xf numFmtId="4" fontId="45" fillId="0" borderId="1" xfId="8" applyNumberFormat="1" applyFont="1" applyFill="1" applyBorder="1" applyAlignment="1">
      <alignment horizontal="center" vertical="center" wrapText="1"/>
    </xf>
    <xf numFmtId="4" fontId="46" fillId="0" borderId="1" xfId="8" applyNumberFormat="1" applyFont="1" applyFill="1" applyBorder="1" applyAlignment="1">
      <alignment vertical="center" wrapText="1"/>
    </xf>
    <xf numFmtId="4" fontId="45" fillId="0" borderId="1" xfId="8" applyNumberFormat="1" applyFont="1" applyFill="1" applyBorder="1" applyAlignment="1">
      <alignment vertical="center" wrapText="1"/>
    </xf>
    <xf numFmtId="2" fontId="46" fillId="0" borderId="1" xfId="8" applyNumberFormat="1" applyFont="1" applyFill="1" applyBorder="1" applyAlignment="1">
      <alignment vertical="center" wrapText="1"/>
    </xf>
    <xf numFmtId="0" fontId="46" fillId="3" borderId="1" xfId="8" applyFont="1" applyFill="1" applyBorder="1" applyAlignment="1">
      <alignment horizontal="center" vertical="center" wrapText="1"/>
    </xf>
    <xf numFmtId="0" fontId="46" fillId="3" borderId="1" xfId="8" applyFont="1" applyFill="1" applyBorder="1" applyAlignment="1">
      <alignment horizontal="left" vertical="center" wrapText="1"/>
    </xf>
    <xf numFmtId="4" fontId="46" fillId="0" borderId="1" xfId="8" applyNumberFormat="1" applyFont="1" applyFill="1" applyBorder="1" applyAlignment="1">
      <alignment horizontal="center" vertical="center" wrapText="1"/>
    </xf>
    <xf numFmtId="14" fontId="46" fillId="3" borderId="1" xfId="18" applyNumberFormat="1" applyFont="1" applyFill="1" applyBorder="1" applyAlignment="1">
      <alignment horizontal="center" vertical="center" wrapText="1"/>
    </xf>
    <xf numFmtId="166" fontId="46" fillId="0" borderId="1" xfId="8" applyNumberFormat="1" applyFont="1" applyFill="1" applyBorder="1" applyAlignment="1">
      <alignment vertical="center" wrapText="1"/>
    </xf>
    <xf numFmtId="49" fontId="46" fillId="3" borderId="1" xfId="18" applyNumberFormat="1" applyFont="1" applyFill="1" applyBorder="1" applyAlignment="1">
      <alignment horizontal="center" vertical="center" wrapText="1"/>
    </xf>
    <xf numFmtId="49" fontId="46" fillId="3" borderId="1" xfId="18" applyNumberFormat="1" applyFont="1" applyFill="1" applyBorder="1" applyAlignment="1">
      <alignment horizontal="left" vertical="center" wrapText="1"/>
    </xf>
    <xf numFmtId="49" fontId="46" fillId="0" borderId="1" xfId="18" applyNumberFormat="1" applyFont="1" applyFill="1" applyBorder="1" applyAlignment="1">
      <alignment horizontal="center" vertical="center" wrapText="1"/>
    </xf>
    <xf numFmtId="171" fontId="46" fillId="0" borderId="1" xfId="8" applyNumberFormat="1" applyFont="1" applyFill="1" applyBorder="1" applyAlignment="1">
      <alignment vertical="center" wrapText="1"/>
    </xf>
    <xf numFmtId="172" fontId="46" fillId="0" borderId="1" xfId="2" applyNumberFormat="1" applyFont="1" applyFill="1" applyBorder="1" applyAlignment="1" applyProtection="1">
      <alignment vertical="center" wrapText="1"/>
      <protection locked="0"/>
    </xf>
    <xf numFmtId="173" fontId="46" fillId="0" borderId="1" xfId="2" applyNumberFormat="1" applyFont="1" applyFill="1" applyBorder="1" applyAlignment="1" applyProtection="1">
      <alignment vertical="center" wrapText="1"/>
      <protection locked="0"/>
    </xf>
    <xf numFmtId="0" fontId="46" fillId="0" borderId="1" xfId="2" applyNumberFormat="1" applyFont="1" applyFill="1" applyBorder="1" applyAlignment="1" applyProtection="1">
      <alignment horizontal="right" vertical="center" wrapText="1"/>
      <protection locked="0"/>
    </xf>
    <xf numFmtId="2" fontId="46" fillId="0" borderId="1" xfId="2" applyNumberFormat="1" applyFont="1" applyFill="1" applyBorder="1" applyAlignment="1" applyProtection="1">
      <alignment horizontal="right" vertical="center" wrapText="1"/>
      <protection locked="0"/>
    </xf>
    <xf numFmtId="9" fontId="45" fillId="0" borderId="1" xfId="2" applyNumberFormat="1" applyFont="1" applyFill="1" applyBorder="1" applyAlignment="1">
      <alignment horizontal="center" vertical="center" wrapText="1"/>
    </xf>
    <xf numFmtId="180" fontId="4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9" fillId="3" borderId="0" xfId="2" applyFont="1" applyFill="1" applyAlignment="1">
      <alignment vertical="center"/>
    </xf>
    <xf numFmtId="49" fontId="46" fillId="3" borderId="0" xfId="2" applyNumberFormat="1" applyFont="1" applyFill="1" applyBorder="1" applyAlignment="1">
      <alignment horizontal="left" vertical="center" wrapText="1"/>
    </xf>
    <xf numFmtId="49" fontId="46" fillId="0" borderId="0" xfId="2" applyNumberFormat="1" applyFont="1" applyFill="1" applyBorder="1" applyAlignment="1">
      <alignment vertical="center" wrapText="1"/>
    </xf>
    <xf numFmtId="0" fontId="46" fillId="3" borderId="0" xfId="2" applyFont="1" applyFill="1" applyAlignment="1">
      <alignment horizontal="left" vertical="center"/>
    </xf>
    <xf numFmtId="43" fontId="17" fillId="0" borderId="0" xfId="5" applyFont="1" applyFill="1" applyAlignment="1">
      <alignment vertical="center"/>
    </xf>
    <xf numFmtId="43" fontId="26" fillId="0" borderId="1" xfId="5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right" vertical="center" wrapText="1"/>
    </xf>
    <xf numFmtId="9" fontId="18" fillId="0" borderId="1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left" vertical="center" wrapText="1"/>
    </xf>
    <xf numFmtId="43" fontId="34" fillId="0" borderId="0" xfId="5" applyFont="1" applyFill="1" applyAlignment="1">
      <alignment vertical="center"/>
    </xf>
    <xf numFmtId="4" fontId="34" fillId="0" borderId="0" xfId="0" applyNumberFormat="1" applyFont="1" applyFill="1" applyAlignment="1">
      <alignment horizontal="center" vertical="center"/>
    </xf>
    <xf numFmtId="43" fontId="65" fillId="0" borderId="1" xfId="5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vertical="center" wrapText="1"/>
    </xf>
    <xf numFmtId="166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right" vertical="center" wrapText="1"/>
    </xf>
    <xf numFmtId="169" fontId="34" fillId="0" borderId="1" xfId="0" applyNumberFormat="1" applyFont="1" applyFill="1" applyBorder="1" applyAlignment="1">
      <alignment horizontal="right" vertical="center" wrapText="1"/>
    </xf>
    <xf numFmtId="1" fontId="35" fillId="0" borderId="1" xfId="2" applyNumberFormat="1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vertical="center" wrapText="1"/>
    </xf>
    <xf numFmtId="0" fontId="34" fillId="0" borderId="1" xfId="2" applyFont="1" applyFill="1" applyBorder="1" applyAlignment="1">
      <alignment horizontal="right" vertical="center" wrapText="1"/>
    </xf>
    <xf numFmtId="169" fontId="35" fillId="0" borderId="1" xfId="2" applyNumberFormat="1" applyFont="1" applyFill="1" applyBorder="1" applyAlignment="1">
      <alignment horizontal="right" vertical="center" wrapText="1"/>
    </xf>
    <xf numFmtId="0" fontId="34" fillId="0" borderId="0" xfId="2" applyFont="1" applyFill="1" applyAlignment="1">
      <alignment vertical="center"/>
    </xf>
    <xf numFmtId="49" fontId="34" fillId="0" borderId="1" xfId="0" applyNumberFormat="1" applyFont="1" applyFill="1" applyBorder="1" applyAlignment="1">
      <alignment vertical="center" wrapText="1"/>
    </xf>
    <xf numFmtId="4" fontId="34" fillId="0" borderId="1" xfId="2" applyNumberFormat="1" applyFont="1" applyFill="1" applyBorder="1" applyAlignment="1">
      <alignment horizontal="center" vertical="center" wrapText="1"/>
    </xf>
    <xf numFmtId="4" fontId="34" fillId="0" borderId="1" xfId="2" applyNumberFormat="1" applyFont="1" applyFill="1" applyBorder="1" applyAlignment="1">
      <alignment horizontal="right" vertical="center" wrapText="1"/>
    </xf>
    <xf numFmtId="2" fontId="34" fillId="0" borderId="1" xfId="2" applyNumberFormat="1" applyFont="1" applyFill="1" applyBorder="1" applyAlignment="1">
      <alignment horizontal="right" vertical="center" wrapText="1"/>
    </xf>
    <xf numFmtId="0" fontId="34" fillId="0" borderId="1" xfId="18" applyFont="1" applyFill="1" applyBorder="1" applyAlignment="1">
      <alignment horizontal="center" vertical="center" wrapText="1"/>
    </xf>
    <xf numFmtId="169" fontId="34" fillId="0" borderId="1" xfId="2" applyNumberFormat="1" applyFont="1" applyFill="1" applyBorder="1" applyAlignment="1">
      <alignment horizontal="right" vertical="center" wrapText="1"/>
    </xf>
    <xf numFmtId="0" fontId="34" fillId="0" borderId="1" xfId="18" applyFont="1" applyFill="1" applyBorder="1" applyAlignment="1">
      <alignment vertical="center" wrapText="1"/>
    </xf>
    <xf numFmtId="14" fontId="34" fillId="0" borderId="1" xfId="2" applyNumberFormat="1" applyFont="1" applyFill="1" applyBorder="1" applyAlignment="1">
      <alignment horizontal="center" vertical="center" wrapText="1"/>
    </xf>
    <xf numFmtId="178" fontId="34" fillId="0" borderId="1" xfId="2" applyNumberFormat="1" applyFont="1" applyFill="1" applyBorder="1" applyAlignment="1">
      <alignment horizontal="right" vertical="center" wrapText="1"/>
    </xf>
    <xf numFmtId="0" fontId="35" fillId="0" borderId="1" xfId="2" applyNumberFormat="1" applyFont="1" applyFill="1" applyBorder="1" applyAlignment="1">
      <alignment horizontal="right" vertical="center" wrapText="1"/>
    </xf>
    <xf numFmtId="2" fontId="35" fillId="0" borderId="1" xfId="2" applyNumberFormat="1" applyFont="1" applyFill="1" applyBorder="1" applyAlignment="1">
      <alignment horizontal="right" vertical="center" wrapText="1"/>
    </xf>
    <xf numFmtId="166" fontId="34" fillId="0" borderId="1" xfId="2" applyNumberFormat="1" applyFont="1" applyFill="1" applyBorder="1" applyAlignment="1">
      <alignment horizontal="right" vertical="center" wrapText="1"/>
    </xf>
    <xf numFmtId="2" fontId="34" fillId="0" borderId="1" xfId="2" applyNumberFormat="1" applyFont="1" applyFill="1" applyBorder="1" applyAlignment="1">
      <alignment horizontal="center" vertical="center" wrapText="1"/>
    </xf>
    <xf numFmtId="170" fontId="34" fillId="0" borderId="1" xfId="2" applyNumberFormat="1" applyFont="1" applyFill="1" applyBorder="1" applyAlignment="1">
      <alignment horizontal="right" vertical="center" wrapText="1"/>
    </xf>
    <xf numFmtId="0" fontId="34" fillId="0" borderId="1" xfId="2" applyFont="1" applyFill="1" applyBorder="1" applyAlignment="1">
      <alignment horizontal="left" vertical="center" wrapText="1"/>
    </xf>
    <xf numFmtId="0" fontId="35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4" fillId="0" borderId="1" xfId="2" applyNumberFormat="1" applyFont="1" applyFill="1" applyBorder="1" applyAlignment="1" applyProtection="1">
      <alignment horizontal="right" vertical="center" wrapText="1"/>
      <protection locked="0"/>
    </xf>
    <xf numFmtId="9" fontId="35" fillId="0" borderId="1" xfId="0" applyNumberFormat="1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vertical="center" wrapText="1"/>
    </xf>
    <xf numFmtId="43" fontId="34" fillId="0" borderId="0" xfId="5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34" fillId="0" borderId="0" xfId="5" applyFont="1" applyFill="1" applyBorder="1" applyAlignment="1" applyProtection="1">
      <alignment horizontal="center" vertical="center" wrapText="1"/>
      <protection locked="0"/>
    </xf>
    <xf numFmtId="43" fontId="35" fillId="0" borderId="0" xfId="5" applyFont="1" applyFill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Fill="1" applyBorder="1" applyAlignment="1">
      <alignment horizontal="left" vertical="center" wrapText="1"/>
    </xf>
    <xf numFmtId="43" fontId="34" fillId="0" borderId="0" xfId="5" applyFont="1" applyFill="1" applyBorder="1" applyAlignment="1">
      <alignment horizontal="left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vertical="center"/>
    </xf>
    <xf numFmtId="170" fontId="34" fillId="0" borderId="1" xfId="0" applyNumberFormat="1" applyFont="1" applyFill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right" vertical="center" wrapText="1"/>
    </xf>
    <xf numFmtId="166" fontId="35" fillId="0" borderId="1" xfId="0" applyNumberFormat="1" applyFont="1" applyFill="1" applyBorder="1" applyAlignment="1">
      <alignment vertical="center" wrapText="1"/>
    </xf>
    <xf numFmtId="170" fontId="34" fillId="0" borderId="1" xfId="0" applyNumberFormat="1" applyFont="1" applyFill="1" applyBorder="1" applyAlignment="1" applyProtection="1">
      <alignment horizontal="right" vertical="center" wrapText="1"/>
      <protection locked="0"/>
    </xf>
    <xf numFmtId="169" fontId="34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34" fillId="0" borderId="2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right" vertical="center" wrapText="1"/>
    </xf>
    <xf numFmtId="2" fontId="34" fillId="0" borderId="2" xfId="0" applyNumberFormat="1" applyFont="1" applyFill="1" applyBorder="1" applyAlignment="1">
      <alignment horizontal="right" vertical="center" wrapText="1"/>
    </xf>
    <xf numFmtId="170" fontId="35" fillId="0" borderId="1" xfId="0" applyNumberFormat="1" applyFont="1" applyFill="1" applyBorder="1" applyAlignment="1">
      <alignment horizontal="right" vertical="center" wrapText="1"/>
    </xf>
    <xf numFmtId="0" fontId="68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1" fontId="68" fillId="0" borderId="1" xfId="0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43" fontId="68" fillId="0" borderId="1" xfId="0" applyNumberFormat="1" applyFont="1" applyFill="1" applyBorder="1" applyAlignment="1">
      <alignment horizontal="right" vertical="center"/>
    </xf>
    <xf numFmtId="0" fontId="69" fillId="0" borderId="1" xfId="0" applyFont="1" applyFill="1" applyBorder="1" applyAlignment="1">
      <alignment horizontal="center" vertical="center"/>
    </xf>
    <xf numFmtId="43" fontId="69" fillId="0" borderId="1" xfId="0" applyNumberFormat="1" applyFont="1" applyFill="1" applyBorder="1" applyAlignment="1">
      <alignment horizontal="right" vertical="center"/>
    </xf>
    <xf numFmtId="0" fontId="69" fillId="0" borderId="1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3" fontId="34" fillId="0" borderId="1" xfId="2" applyNumberFormat="1" applyFont="1" applyFill="1" applyBorder="1" applyAlignment="1">
      <alignment horizontal="right" vertical="center" wrapText="1"/>
    </xf>
    <xf numFmtId="166" fontId="3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Fill="1" applyAlignment="1">
      <alignment wrapText="1"/>
    </xf>
    <xf numFmtId="3" fontId="35" fillId="0" borderId="1" xfId="7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2" fontId="34" fillId="0" borderId="4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wrapText="1"/>
    </xf>
    <xf numFmtId="169" fontId="34" fillId="0" borderId="4" xfId="0" applyNumberFormat="1" applyFont="1" applyFill="1" applyBorder="1" applyAlignment="1">
      <alignment horizontal="right" vertical="center" wrapText="1"/>
    </xf>
    <xf numFmtId="0" fontId="34" fillId="0" borderId="4" xfId="0" applyFont="1" applyFill="1" applyBorder="1" applyAlignment="1">
      <alignment vertical="center" wrapText="1"/>
    </xf>
    <xf numFmtId="170" fontId="34" fillId="0" borderId="4" xfId="0" applyNumberFormat="1" applyFont="1" applyFill="1" applyBorder="1" applyAlignment="1">
      <alignment horizontal="right" vertical="center" wrapText="1"/>
    </xf>
    <xf numFmtId="0" fontId="35" fillId="0" borderId="1" xfId="2" applyFont="1" applyFill="1" applyBorder="1" applyAlignment="1">
      <alignment horizontal="left" vertical="center" wrapText="1"/>
    </xf>
    <xf numFmtId="0" fontId="70" fillId="0" borderId="0" xfId="2" applyFont="1" applyFill="1" applyAlignment="1">
      <alignment horizontal="center" vertical="center" wrapText="1"/>
    </xf>
    <xf numFmtId="49" fontId="34" fillId="0" borderId="1" xfId="2" applyNumberFormat="1" applyFont="1" applyFill="1" applyBorder="1" applyAlignment="1">
      <alignment horizontal="left" vertical="center" wrapText="1"/>
    </xf>
    <xf numFmtId="49" fontId="35" fillId="0" borderId="1" xfId="2" applyNumberFormat="1" applyFont="1" applyFill="1" applyBorder="1" applyAlignment="1">
      <alignment horizontal="left" vertical="center" wrapText="1"/>
    </xf>
    <xf numFmtId="0" fontId="35" fillId="0" borderId="0" xfId="2" applyFont="1" applyFill="1"/>
    <xf numFmtId="0" fontId="34" fillId="0" borderId="1" xfId="2" applyNumberFormat="1" applyFont="1" applyFill="1" applyBorder="1" applyAlignment="1">
      <alignment horizontal="right" vertical="center" wrapText="1"/>
    </xf>
    <xf numFmtId="0" fontId="34" fillId="0" borderId="0" xfId="2" applyFont="1" applyFill="1"/>
    <xf numFmtId="0" fontId="36" fillId="0" borderId="1" xfId="0" applyFont="1" applyFill="1" applyBorder="1" applyAlignment="1">
      <alignment horizontal="left" vertical="center" wrapText="1"/>
    </xf>
    <xf numFmtId="1" fontId="35" fillId="0" borderId="2" xfId="2" applyNumberFormat="1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right" vertical="center" wrapText="1"/>
    </xf>
    <xf numFmtId="2" fontId="35" fillId="0" borderId="2" xfId="2" applyNumberFormat="1" applyFont="1" applyFill="1" applyBorder="1" applyAlignment="1">
      <alignment horizontal="right" vertical="center" wrapText="1"/>
    </xf>
    <xf numFmtId="2" fontId="3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3" xfId="2" applyFont="1" applyFill="1" applyBorder="1" applyAlignment="1">
      <alignment horizontal="right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0" fontId="71" fillId="0" borderId="4" xfId="0" applyNumberFormat="1" applyFont="1" applyFill="1" applyBorder="1" applyAlignment="1">
      <alignment horizontal="center" vertical="center" wrapText="1"/>
    </xf>
    <xf numFmtId="0" fontId="71" fillId="0" borderId="4" xfId="0" applyNumberFormat="1" applyFont="1" applyFill="1" applyBorder="1" applyAlignment="1">
      <alignment horizontal="left" vertical="center" wrapText="1"/>
    </xf>
    <xf numFmtId="0" fontId="71" fillId="0" borderId="4" xfId="0" applyNumberFormat="1" applyFont="1" applyFill="1" applyBorder="1" applyAlignment="1">
      <alignment horizontal="right" vertical="center" wrapText="1"/>
    </xf>
    <xf numFmtId="43" fontId="71" fillId="0" borderId="4" xfId="5" applyFont="1" applyFill="1" applyBorder="1" applyAlignment="1">
      <alignment horizontal="right" vertical="center" wrapText="1"/>
    </xf>
    <xf numFmtId="43" fontId="72" fillId="0" borderId="4" xfId="5" applyFont="1" applyFill="1" applyBorder="1" applyAlignment="1">
      <alignment horizontal="right" vertical="center" wrapText="1"/>
    </xf>
    <xf numFmtId="0" fontId="72" fillId="0" borderId="4" xfId="0" applyNumberFormat="1" applyFont="1" applyFill="1" applyBorder="1" applyAlignment="1">
      <alignment horizontal="center" vertical="center" wrapText="1"/>
    </xf>
    <xf numFmtId="0" fontId="72" fillId="0" borderId="4" xfId="0" applyNumberFormat="1" applyFont="1" applyFill="1" applyBorder="1" applyAlignment="1">
      <alignment horizontal="left" vertical="center" wrapText="1"/>
    </xf>
    <xf numFmtId="0" fontId="72" fillId="0" borderId="4" xfId="0" applyNumberFormat="1" applyFont="1" applyFill="1" applyBorder="1" applyAlignment="1">
      <alignment horizontal="right" vertical="center" wrapText="1"/>
    </xf>
    <xf numFmtId="166" fontId="72" fillId="0" borderId="4" xfId="0" applyNumberFormat="1" applyFont="1" applyFill="1" applyBorder="1" applyAlignment="1">
      <alignment horizontal="right" vertical="center" wrapText="1"/>
    </xf>
    <xf numFmtId="2" fontId="34" fillId="0" borderId="1" xfId="7" applyNumberFormat="1" applyFont="1" applyFill="1" applyBorder="1" applyAlignment="1">
      <alignment horizontal="right" vertical="center" wrapText="1"/>
    </xf>
    <xf numFmtId="2" fontId="34" fillId="0" borderId="5" xfId="0" applyNumberFormat="1" applyFont="1" applyFill="1" applyBorder="1" applyAlignment="1">
      <alignment horizontal="right" vertical="center" wrapText="1"/>
    </xf>
    <xf numFmtId="169" fontId="34" fillId="0" borderId="2" xfId="0" applyNumberFormat="1" applyFont="1" applyFill="1" applyBorder="1" applyAlignment="1">
      <alignment horizontal="right" vertical="center" wrapText="1"/>
    </xf>
    <xf numFmtId="43" fontId="35" fillId="0" borderId="2" xfId="0" applyNumberFormat="1" applyFont="1" applyFill="1" applyBorder="1" applyAlignment="1">
      <alignment horizontal="right" vertical="center" wrapText="1"/>
    </xf>
    <xf numFmtId="2" fontId="35" fillId="0" borderId="2" xfId="0" applyNumberFormat="1" applyFont="1" applyFill="1" applyBorder="1" applyAlignment="1">
      <alignment horizontal="right" vertical="center" wrapText="1"/>
    </xf>
    <xf numFmtId="0" fontId="34" fillId="0" borderId="2" xfId="0" applyFont="1" applyFill="1" applyBorder="1" applyAlignment="1">
      <alignment vertical="center" wrapText="1"/>
    </xf>
    <xf numFmtId="167" fontId="34" fillId="0" borderId="1" xfId="2" applyNumberFormat="1" applyFont="1" applyFill="1" applyBorder="1" applyAlignment="1">
      <alignment horizontal="center" vertical="center" wrapText="1"/>
    </xf>
    <xf numFmtId="167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1" xfId="7" applyFont="1" applyFill="1" applyBorder="1" applyAlignment="1">
      <alignment horizontal="center" vertical="center" wrapText="1"/>
    </xf>
    <xf numFmtId="169" fontId="34" fillId="0" borderId="1" xfId="7" applyNumberFormat="1" applyFont="1" applyFill="1" applyBorder="1" applyAlignment="1">
      <alignment horizontal="right" vertical="center" wrapText="1"/>
    </xf>
    <xf numFmtId="175" fontId="34" fillId="0" borderId="1" xfId="10" applyNumberFormat="1" applyFont="1" applyFill="1" applyBorder="1" applyAlignment="1">
      <alignment horizontal="right" vertical="center" wrapText="1"/>
    </xf>
    <xf numFmtId="43" fontId="34" fillId="0" borderId="1" xfId="10" applyNumberFormat="1" applyFont="1" applyFill="1" applyBorder="1" applyAlignment="1">
      <alignment horizontal="right" vertical="center" wrapText="1"/>
    </xf>
    <xf numFmtId="176" fontId="34" fillId="0" borderId="1" xfId="10" applyNumberFormat="1" applyFont="1" applyFill="1" applyBorder="1" applyAlignment="1">
      <alignment horizontal="right" vertical="center" wrapText="1"/>
    </xf>
    <xf numFmtId="166" fontId="34" fillId="0" borderId="1" xfId="18" applyNumberFormat="1" applyFont="1" applyFill="1" applyBorder="1" applyAlignment="1">
      <alignment horizontal="center" vertical="center" wrapText="1"/>
    </xf>
    <xf numFmtId="49" fontId="34" fillId="0" borderId="1" xfId="18" applyNumberFormat="1" applyFont="1" applyFill="1" applyBorder="1" applyAlignment="1">
      <alignment horizontal="center" vertical="center" wrapText="1"/>
    </xf>
    <xf numFmtId="2" fontId="34" fillId="0" borderId="1" xfId="18" applyNumberFormat="1" applyFont="1" applyFill="1" applyBorder="1" applyAlignment="1" applyProtection="1">
      <alignment horizontal="right" vertical="center" wrapText="1"/>
      <protection locked="0"/>
    </xf>
    <xf numFmtId="166" fontId="34" fillId="0" borderId="1" xfId="18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18" applyFont="1" applyFill="1" applyAlignment="1">
      <alignment vertical="center" wrapText="1"/>
    </xf>
    <xf numFmtId="169" fontId="34" fillId="0" borderId="1" xfId="18" applyNumberFormat="1" applyFont="1" applyFill="1" applyBorder="1" applyAlignment="1" applyProtection="1">
      <alignment horizontal="right" vertical="center" wrapText="1"/>
      <protection locked="0"/>
    </xf>
    <xf numFmtId="0" fontId="34" fillId="0" borderId="1" xfId="18" applyFont="1" applyFill="1" applyBorder="1" applyAlignment="1">
      <alignment horizontal="left" vertical="center" wrapText="1"/>
    </xf>
    <xf numFmtId="2" fontId="34" fillId="0" borderId="1" xfId="18" applyNumberFormat="1" applyFont="1" applyFill="1" applyBorder="1" applyAlignment="1">
      <alignment horizontal="center" vertical="center" wrapText="1"/>
    </xf>
    <xf numFmtId="49" fontId="34" fillId="0" borderId="1" xfId="18" applyNumberFormat="1" applyFont="1" applyFill="1" applyBorder="1" applyAlignment="1">
      <alignment horizontal="left" vertical="center" wrapText="1"/>
    </xf>
    <xf numFmtId="0" fontId="35" fillId="0" borderId="0" xfId="0" applyFont="1" applyFill="1"/>
    <xf numFmtId="0" fontId="35" fillId="0" borderId="10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/>
    </xf>
    <xf numFmtId="169" fontId="35" fillId="0" borderId="4" xfId="0" applyNumberFormat="1" applyFont="1" applyFill="1" applyBorder="1" applyAlignment="1">
      <alignment horizontal="right" vertical="center"/>
    </xf>
    <xf numFmtId="0" fontId="34" fillId="0" borderId="4" xfId="0" applyFont="1" applyFill="1" applyBorder="1" applyAlignment="1">
      <alignment horizontal="center" vertical="center"/>
    </xf>
    <xf numFmtId="169" fontId="34" fillId="0" borderId="4" xfId="0" applyNumberFormat="1" applyFont="1" applyFill="1" applyBorder="1" applyAlignment="1">
      <alignment horizontal="right" vertical="center"/>
    </xf>
    <xf numFmtId="0" fontId="34" fillId="0" borderId="4" xfId="0" applyFont="1" applyFill="1" applyBorder="1" applyAlignment="1">
      <alignment horizontal="left" vertical="center"/>
    </xf>
    <xf numFmtId="2" fontId="34" fillId="0" borderId="4" xfId="0" applyNumberFormat="1" applyFont="1" applyFill="1" applyBorder="1" applyAlignment="1">
      <alignment horizontal="right" vertical="center"/>
    </xf>
    <xf numFmtId="0" fontId="35" fillId="0" borderId="4" xfId="0" applyFont="1" applyFill="1" applyBorder="1" applyAlignment="1">
      <alignment horizontal="left" vertical="center"/>
    </xf>
    <xf numFmtId="0" fontId="37" fillId="0" borderId="0" xfId="0" applyNumberFormat="1" applyFont="1" applyFill="1" applyAlignment="1">
      <alignment horizontal="center" vertical="center" wrapText="1"/>
    </xf>
    <xf numFmtId="0" fontId="35" fillId="0" borderId="1" xfId="0" applyFont="1" applyFill="1" applyBorder="1" applyAlignment="1">
      <alignment horizontal="right" vertical="center"/>
    </xf>
    <xf numFmtId="164" fontId="35" fillId="0" borderId="1" xfId="24" applyFont="1" applyFill="1" applyBorder="1" applyAlignment="1">
      <alignment horizontal="right" vertical="center"/>
    </xf>
    <xf numFmtId="169" fontId="34" fillId="0" borderId="1" xfId="0" applyNumberFormat="1" applyFont="1" applyFill="1" applyBorder="1" applyAlignment="1">
      <alignment horizontal="right" vertical="center"/>
    </xf>
    <xf numFmtId="164" fontId="34" fillId="0" borderId="1" xfId="24" applyFont="1" applyFill="1" applyBorder="1" applyAlignment="1">
      <alignment horizontal="right" vertical="center"/>
    </xf>
    <xf numFmtId="0" fontId="34" fillId="0" borderId="1" xfId="11" applyFont="1" applyFill="1" applyBorder="1" applyAlignment="1">
      <alignment horizontal="left" vertical="center" wrapText="1"/>
    </xf>
    <xf numFmtId="170" fontId="34" fillId="0" borderId="1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169" fontId="35" fillId="0" borderId="4" xfId="0" applyNumberFormat="1" applyFont="1" applyFill="1" applyBorder="1" applyAlignment="1">
      <alignment horizontal="right" vertical="center" wrapText="1"/>
    </xf>
    <xf numFmtId="173" fontId="34" fillId="0" borderId="4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2" fontId="34" fillId="0" borderId="11" xfId="0" applyNumberFormat="1" applyFont="1" applyFill="1" applyBorder="1" applyAlignment="1">
      <alignment horizontal="right" vertical="center"/>
    </xf>
    <xf numFmtId="169" fontId="34" fillId="0" borderId="11" xfId="0" applyNumberFormat="1" applyFont="1" applyFill="1" applyBorder="1" applyAlignment="1">
      <alignment horizontal="right" vertical="center"/>
    </xf>
    <xf numFmtId="49" fontId="35" fillId="0" borderId="1" xfId="18" applyNumberFormat="1" applyFont="1" applyFill="1" applyBorder="1" applyAlignment="1">
      <alignment horizontal="center" vertical="center" wrapText="1"/>
    </xf>
    <xf numFmtId="49" fontId="35" fillId="0" borderId="1" xfId="18" applyNumberFormat="1" applyFont="1" applyFill="1" applyBorder="1" applyAlignment="1">
      <alignment vertical="center" wrapText="1"/>
    </xf>
    <xf numFmtId="0" fontId="35" fillId="0" borderId="1" xfId="18" applyNumberFormat="1" applyFont="1" applyFill="1" applyBorder="1" applyAlignment="1">
      <alignment horizontal="right" vertical="center" wrapText="1"/>
    </xf>
    <xf numFmtId="2" fontId="35" fillId="0" borderId="1" xfId="18" applyNumberFormat="1" applyFont="1" applyFill="1" applyBorder="1" applyAlignment="1">
      <alignment horizontal="right" vertical="center" wrapText="1"/>
    </xf>
    <xf numFmtId="0" fontId="35" fillId="0" borderId="0" xfId="18" applyFont="1" applyFill="1" applyAlignment="1">
      <alignment vertical="center"/>
    </xf>
    <xf numFmtId="169" fontId="34" fillId="0" borderId="1" xfId="18" applyNumberFormat="1" applyFont="1" applyFill="1" applyBorder="1" applyAlignment="1">
      <alignment horizontal="right" vertical="center" wrapText="1"/>
    </xf>
    <xf numFmtId="166" fontId="34" fillId="0" borderId="1" xfId="18" applyNumberFormat="1" applyFont="1" applyFill="1" applyBorder="1" applyAlignment="1">
      <alignment horizontal="right" vertical="center" wrapText="1"/>
    </xf>
    <xf numFmtId="170" fontId="34" fillId="0" borderId="1" xfId="18" applyNumberFormat="1" applyFont="1" applyFill="1" applyBorder="1" applyAlignment="1">
      <alignment horizontal="right" vertical="center" wrapText="1"/>
    </xf>
    <xf numFmtId="49" fontId="34" fillId="0" borderId="1" xfId="18" applyNumberFormat="1" applyFont="1" applyFill="1" applyBorder="1" applyAlignment="1">
      <alignment vertical="center" wrapText="1"/>
    </xf>
    <xf numFmtId="0" fontId="34" fillId="0" borderId="0" xfId="18" applyFont="1" applyFill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166" fontId="35" fillId="0" borderId="1" xfId="2" applyNumberFormat="1" applyFont="1" applyFill="1" applyBorder="1" applyAlignment="1">
      <alignment horizontal="right" vertical="center" wrapText="1"/>
    </xf>
    <xf numFmtId="0" fontId="35" fillId="0" borderId="1" xfId="14" applyFont="1" applyFill="1" applyBorder="1" applyAlignment="1">
      <alignment horizontal="left" vertical="center" wrapText="1"/>
    </xf>
    <xf numFmtId="169" fontId="34" fillId="0" borderId="1" xfId="14" applyNumberFormat="1" applyFont="1" applyFill="1" applyBorder="1" applyAlignment="1">
      <alignment horizontal="right" vertical="center"/>
    </xf>
    <xf numFmtId="0" fontId="34" fillId="0" borderId="1" xfId="14" applyFont="1" applyFill="1" applyBorder="1" applyAlignment="1">
      <alignment horizontal="left" vertical="center" wrapText="1"/>
    </xf>
    <xf numFmtId="169" fontId="34" fillId="0" borderId="1" xfId="14" applyNumberFormat="1" applyFont="1" applyFill="1" applyBorder="1" applyAlignment="1">
      <alignment horizontal="right"/>
    </xf>
    <xf numFmtId="169" fontId="35" fillId="0" borderId="5" xfId="0" applyNumberFormat="1" applyFont="1" applyFill="1" applyBorder="1" applyAlignment="1">
      <alignment horizontal="right" vertical="center" wrapText="1"/>
    </xf>
    <xf numFmtId="49" fontId="34" fillId="0" borderId="1" xfId="16" applyNumberFormat="1" applyFont="1" applyFill="1" applyBorder="1" applyAlignment="1">
      <alignment horizontal="center" vertical="center" wrapText="1"/>
    </xf>
    <xf numFmtId="49" fontId="35" fillId="0" borderId="1" xfId="1" applyNumberFormat="1" applyFont="1" applyFill="1" applyBorder="1" applyAlignment="1">
      <alignment horizontal="left" vertical="center" wrapText="1"/>
    </xf>
    <xf numFmtId="49" fontId="35" fillId="0" borderId="1" xfId="16" applyNumberFormat="1" applyFont="1" applyFill="1" applyBorder="1" applyAlignment="1">
      <alignment horizontal="center" vertical="center" wrapText="1"/>
    </xf>
    <xf numFmtId="0" fontId="35" fillId="0" borderId="1" xfId="16" applyNumberFormat="1" applyFont="1" applyFill="1" applyBorder="1" applyAlignment="1">
      <alignment horizontal="right" vertical="center" wrapText="1"/>
    </xf>
    <xf numFmtId="0" fontId="34" fillId="0" borderId="1" xfId="16" applyNumberFormat="1" applyFont="1" applyFill="1" applyBorder="1" applyAlignment="1">
      <alignment horizontal="right" vertical="center" wrapText="1"/>
    </xf>
    <xf numFmtId="49" fontId="34" fillId="0" borderId="1" xfId="16" applyNumberFormat="1" applyFont="1" applyFill="1" applyBorder="1" applyAlignment="1">
      <alignment horizontal="left" vertical="center" wrapText="1"/>
    </xf>
    <xf numFmtId="169" fontId="35" fillId="0" borderId="1" xfId="0" applyNumberFormat="1" applyFont="1" applyFill="1" applyBorder="1" applyAlignment="1">
      <alignment horizontal="right" vertical="center" wrapText="1"/>
    </xf>
    <xf numFmtId="49" fontId="35" fillId="0" borderId="1" xfId="23" applyNumberFormat="1" applyFont="1" applyFill="1" applyBorder="1" applyAlignment="1">
      <alignment horizontal="center" vertical="center" wrapText="1"/>
    </xf>
    <xf numFmtId="49" fontId="35" fillId="0" borderId="1" xfId="23" applyNumberFormat="1" applyFont="1" applyFill="1" applyBorder="1" applyAlignment="1">
      <alignment horizontal="left" vertical="center" wrapText="1"/>
    </xf>
    <xf numFmtId="0" fontId="35" fillId="0" borderId="1" xfId="23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Alignment="1">
      <alignment horizontal="center" vertical="center" wrapText="1"/>
    </xf>
    <xf numFmtId="43" fontId="34" fillId="3" borderId="0" xfId="5" applyFont="1" applyFill="1" applyAlignment="1">
      <alignment vertical="center"/>
    </xf>
    <xf numFmtId="43" fontId="65" fillId="3" borderId="1" xfId="5" applyFont="1" applyFill="1" applyBorder="1" applyAlignment="1">
      <alignment horizontal="center" vertical="center" wrapText="1"/>
    </xf>
    <xf numFmtId="43" fontId="34" fillId="3" borderId="0" xfId="5" applyFont="1" applyFill="1" applyBorder="1" applyAlignment="1">
      <alignment vertical="center" wrapText="1"/>
    </xf>
    <xf numFmtId="43" fontId="34" fillId="3" borderId="0" xfId="5" applyFont="1" applyFill="1" applyBorder="1" applyAlignment="1" applyProtection="1">
      <alignment horizontal="center" vertical="center" wrapText="1"/>
      <protection locked="0"/>
    </xf>
    <xf numFmtId="43" fontId="34" fillId="3" borderId="0" xfId="5" applyFont="1" applyFill="1" applyBorder="1" applyAlignment="1">
      <alignment horizontal="left" vertical="center" wrapText="1"/>
    </xf>
    <xf numFmtId="0" fontId="65" fillId="3" borderId="1" xfId="0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49" fontId="35" fillId="3" borderId="1" xfId="0" applyNumberFormat="1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center" vertical="center" wrapText="1"/>
    </xf>
    <xf numFmtId="49" fontId="34" fillId="3" borderId="2" xfId="0" applyNumberFormat="1" applyFont="1" applyFill="1" applyBorder="1" applyAlignment="1">
      <alignment horizontal="center" vertical="center" wrapText="1"/>
    </xf>
    <xf numFmtId="49" fontId="34" fillId="3" borderId="1" xfId="2" applyNumberFormat="1" applyFont="1" applyFill="1" applyBorder="1" applyAlignment="1">
      <alignment horizontal="center" vertical="center" wrapText="1"/>
    </xf>
    <xf numFmtId="49" fontId="68" fillId="3" borderId="1" xfId="0" applyNumberFormat="1" applyFont="1" applyFill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/>
    </xf>
    <xf numFmtId="14" fontId="35" fillId="3" borderId="5" xfId="7" applyNumberFormat="1" applyFont="1" applyFill="1" applyBorder="1" applyAlignment="1">
      <alignment horizontal="center" vertical="center" wrapText="1"/>
    </xf>
    <xf numFmtId="0" fontId="34" fillId="3" borderId="5" xfId="7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5" fillId="3" borderId="1" xfId="2" applyNumberFormat="1" applyFont="1" applyFill="1" applyBorder="1" applyAlignment="1">
      <alignment horizontal="center" vertical="center" wrapText="1"/>
    </xf>
    <xf numFmtId="49" fontId="35" fillId="3" borderId="1" xfId="2" applyNumberFormat="1" applyFont="1" applyFill="1" applyBorder="1" applyAlignment="1">
      <alignment horizontal="center" vertical="center" wrapText="1"/>
    </xf>
    <xf numFmtId="49" fontId="34" fillId="3" borderId="1" xfId="2" applyNumberFormat="1" applyFont="1" applyFill="1" applyBorder="1" applyAlignment="1">
      <alignment vertical="center" wrapText="1"/>
    </xf>
    <xf numFmtId="0" fontId="34" fillId="3" borderId="1" xfId="2" applyFont="1" applyFill="1" applyBorder="1" applyAlignment="1">
      <alignment horizontal="center" vertical="center" wrapText="1"/>
    </xf>
    <xf numFmtId="0" fontId="35" fillId="3" borderId="1" xfId="2" applyFont="1" applyFill="1" applyBorder="1" applyAlignment="1">
      <alignment horizontal="center" vertical="center" wrapText="1"/>
    </xf>
    <xf numFmtId="14" fontId="34" fillId="3" borderId="1" xfId="0" applyNumberFormat="1" applyFont="1" applyFill="1" applyBorder="1" applyAlignment="1">
      <alignment horizontal="center" vertical="center" wrapText="1"/>
    </xf>
    <xf numFmtId="0" fontId="71" fillId="3" borderId="4" xfId="0" applyNumberFormat="1" applyFont="1" applyFill="1" applyBorder="1" applyAlignment="1">
      <alignment horizontal="center" vertical="center" wrapText="1"/>
    </xf>
    <xf numFmtId="0" fontId="72" fillId="3" borderId="4" xfId="0" applyNumberFormat="1" applyFont="1" applyFill="1" applyBorder="1" applyAlignment="1">
      <alignment horizontal="center" vertical="center" wrapText="1"/>
    </xf>
    <xf numFmtId="49" fontId="34" fillId="3" borderId="2" xfId="0" applyNumberFormat="1" applyFont="1" applyFill="1" applyBorder="1" applyAlignment="1">
      <alignment vertical="center" wrapText="1"/>
    </xf>
    <xf numFmtId="49" fontId="35" fillId="3" borderId="2" xfId="0" applyNumberFormat="1" applyFont="1" applyFill="1" applyBorder="1" applyAlignment="1">
      <alignment horizontal="center" vertical="center" wrapText="1"/>
    </xf>
    <xf numFmtId="0" fontId="34" fillId="3" borderId="1" xfId="18" applyFont="1" applyFill="1" applyBorder="1" applyAlignment="1">
      <alignment horizontal="center" vertical="center" wrapText="1"/>
    </xf>
    <xf numFmtId="49" fontId="34" fillId="3" borderId="1" xfId="18" applyNumberFormat="1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vertical="center"/>
    </xf>
    <xf numFmtId="0" fontId="34" fillId="3" borderId="4" xfId="0" applyFont="1" applyFill="1" applyBorder="1" applyAlignment="1">
      <alignment horizontal="center" vertical="center"/>
    </xf>
    <xf numFmtId="17" fontId="35" fillId="3" borderId="4" xfId="0" applyNumberFormat="1" applyFont="1" applyFill="1" applyBorder="1" applyAlignment="1">
      <alignment horizontal="center" vertical="center"/>
    </xf>
    <xf numFmtId="49" fontId="34" fillId="3" borderId="1" xfId="0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181" fontId="35" fillId="3" borderId="4" xfId="0" applyNumberFormat="1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/>
    </xf>
    <xf numFmtId="49" fontId="35" fillId="3" borderId="1" xfId="18" applyNumberFormat="1" applyFont="1" applyFill="1" applyBorder="1" applyAlignment="1">
      <alignment horizontal="center" vertical="center" wrapText="1"/>
    </xf>
    <xf numFmtId="0" fontId="34" fillId="3" borderId="1" xfId="11" applyFont="1" applyFill="1" applyBorder="1" applyAlignment="1">
      <alignment horizontal="center" vertical="center" wrapText="1"/>
    </xf>
    <xf numFmtId="49" fontId="34" fillId="3" borderId="1" xfId="16" applyNumberFormat="1" applyFont="1" applyFill="1" applyBorder="1" applyAlignment="1">
      <alignment horizontal="center" vertical="center" wrapText="1"/>
    </xf>
    <xf numFmtId="49" fontId="34" fillId="3" borderId="1" xfId="23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/>
    </xf>
    <xf numFmtId="0" fontId="34" fillId="3" borderId="0" xfId="0" applyFont="1" applyFill="1" applyAlignment="1">
      <alignment vertical="center"/>
    </xf>
    <xf numFmtId="49" fontId="35" fillId="3" borderId="0" xfId="0" applyNumberFormat="1" applyFont="1" applyFill="1" applyBorder="1" applyAlignment="1">
      <alignment horizontal="center" vertical="center" wrapText="1"/>
    </xf>
    <xf numFmtId="49" fontId="34" fillId="3" borderId="0" xfId="0" applyNumberFormat="1" applyFont="1" applyFill="1" applyBorder="1" applyAlignment="1">
      <alignment horizontal="left" vertical="center" wrapText="1"/>
    </xf>
    <xf numFmtId="49" fontId="34" fillId="3" borderId="0" xfId="0" applyNumberFormat="1" applyFont="1" applyFill="1" applyBorder="1" applyAlignment="1">
      <alignment vertical="center" wrapText="1"/>
    </xf>
    <xf numFmtId="173" fontId="17" fillId="0" borderId="1" xfId="0" applyNumberFormat="1" applyFont="1" applyFill="1" applyBorder="1" applyAlignment="1">
      <alignment horizontal="right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right" vertical="center" wrapText="1"/>
    </xf>
    <xf numFmtId="14" fontId="18" fillId="0" borderId="5" xfId="7" applyNumberFormat="1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79" fontId="27" fillId="0" borderId="4" xfId="0" applyNumberFormat="1" applyFont="1" applyFill="1" applyBorder="1" applyAlignment="1">
      <alignment horizontal="right" vertical="center" wrapText="1"/>
    </xf>
    <xf numFmtId="175" fontId="28" fillId="0" borderId="4" xfId="5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49" fontId="17" fillId="3" borderId="0" xfId="0" applyNumberFormat="1" applyFont="1" applyFill="1" applyBorder="1" applyAlignment="1">
      <alignment vertical="center" wrapText="1"/>
    </xf>
    <xf numFmtId="2" fontId="1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0" xfId="0" applyNumberFormat="1" applyFont="1" applyFill="1" applyBorder="1" applyAlignment="1">
      <alignment horizontal="left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175" fontId="17" fillId="0" borderId="1" xfId="10" applyNumberFormat="1" applyFont="1" applyFill="1" applyBorder="1" applyAlignment="1">
      <alignment horizontal="right" vertical="center" wrapText="1"/>
    </xf>
    <xf numFmtId="43" fontId="17" fillId="0" borderId="1" xfId="10" applyNumberFormat="1" applyFont="1" applyFill="1" applyBorder="1" applyAlignment="1">
      <alignment horizontal="right" vertical="center" wrapText="1"/>
    </xf>
    <xf numFmtId="176" fontId="17" fillId="0" borderId="1" xfId="10" applyNumberFormat="1" applyFont="1" applyFill="1" applyBorder="1" applyAlignment="1">
      <alignment horizontal="right" vertical="center" wrapText="1"/>
    </xf>
    <xf numFmtId="0" fontId="17" fillId="0" borderId="1" xfId="7" applyFont="1" applyFill="1" applyBorder="1" applyAlignment="1">
      <alignment horizontal="center" vertical="center" wrapText="1"/>
    </xf>
    <xf numFmtId="169" fontId="17" fillId="0" borderId="1" xfId="7" applyNumberFormat="1" applyFont="1" applyFill="1" applyBorder="1" applyAlignment="1">
      <alignment horizontal="right" vertical="center" wrapText="1"/>
    </xf>
    <xf numFmtId="43" fontId="18" fillId="0" borderId="1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Alignment="1">
      <alignment horizontal="right" vertical="center" wrapText="1"/>
    </xf>
    <xf numFmtId="4" fontId="45" fillId="0" borderId="0" xfId="0" applyNumberFormat="1" applyFont="1" applyFill="1" applyAlignment="1">
      <alignment horizontal="right" vertical="center" wrapText="1"/>
    </xf>
    <xf numFmtId="0" fontId="46" fillId="0" borderId="0" xfId="0" applyFont="1" applyFill="1" applyAlignment="1">
      <alignment horizontal="right" vertical="center" wrapText="1"/>
    </xf>
    <xf numFmtId="3" fontId="46" fillId="0" borderId="1" xfId="0" applyNumberFormat="1" applyFont="1" applyFill="1" applyBorder="1" applyAlignment="1">
      <alignment horizontal="center" vertical="center" wrapText="1"/>
    </xf>
    <xf numFmtId="0" fontId="45" fillId="0" borderId="1" xfId="8" applyFont="1" applyFill="1" applyBorder="1" applyAlignment="1">
      <alignment horizontal="center" vertical="center" wrapText="1"/>
    </xf>
    <xf numFmtId="0" fontId="45" fillId="0" borderId="1" xfId="18" applyFont="1" applyFill="1" applyBorder="1" applyAlignment="1">
      <alignment vertical="center" wrapText="1"/>
    </xf>
    <xf numFmtId="4" fontId="46" fillId="0" borderId="1" xfId="8" applyNumberFormat="1" applyFont="1" applyFill="1" applyBorder="1" applyAlignment="1">
      <alignment horizontal="right" vertical="center" wrapText="1"/>
    </xf>
    <xf numFmtId="4" fontId="45" fillId="0" borderId="1" xfId="8" applyNumberFormat="1" applyFont="1" applyFill="1" applyBorder="1" applyAlignment="1">
      <alignment horizontal="right" vertical="center" wrapText="1"/>
    </xf>
    <xf numFmtId="2" fontId="46" fillId="0" borderId="1" xfId="8" applyNumberFormat="1" applyFont="1" applyFill="1" applyBorder="1" applyAlignment="1">
      <alignment horizontal="right" vertical="center" wrapText="1"/>
    </xf>
    <xf numFmtId="49" fontId="46" fillId="0" borderId="1" xfId="0" applyNumberFormat="1" applyFont="1" applyFill="1" applyBorder="1" applyAlignment="1">
      <alignment vertical="center" wrapText="1"/>
    </xf>
    <xf numFmtId="2" fontId="46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46" fillId="0" borderId="1" xfId="18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vertical="center" wrapText="1"/>
    </xf>
    <xf numFmtId="0" fontId="46" fillId="0" borderId="1" xfId="8" applyFont="1" applyFill="1" applyBorder="1" applyAlignment="1">
      <alignment horizontal="center" vertical="center" wrapText="1"/>
    </xf>
    <xf numFmtId="49" fontId="46" fillId="0" borderId="1" xfId="18" applyNumberFormat="1" applyFont="1" applyFill="1" applyBorder="1" applyAlignment="1">
      <alignment vertical="center" wrapText="1"/>
    </xf>
    <xf numFmtId="0" fontId="45" fillId="0" borderId="1" xfId="8" applyFont="1" applyFill="1" applyBorder="1" applyAlignment="1">
      <alignment vertical="center" wrapText="1"/>
    </xf>
    <xf numFmtId="0" fontId="45" fillId="0" borderId="1" xfId="8" applyFont="1" applyFill="1" applyBorder="1" applyAlignment="1">
      <alignment horizontal="right" vertical="center" wrapText="1"/>
    </xf>
    <xf numFmtId="0" fontId="45" fillId="0" borderId="0" xfId="18" applyFont="1" applyFill="1" applyAlignment="1">
      <alignment vertical="center"/>
    </xf>
    <xf numFmtId="0" fontId="46" fillId="0" borderId="0" xfId="18" applyFont="1" applyFill="1" applyAlignment="1">
      <alignment vertical="center" wrapText="1"/>
    </xf>
    <xf numFmtId="169" fontId="46" fillId="0" borderId="1" xfId="8" applyNumberFormat="1" applyFont="1" applyFill="1" applyBorder="1" applyAlignment="1">
      <alignment horizontal="right" vertical="center" wrapText="1"/>
    </xf>
    <xf numFmtId="171" fontId="46" fillId="0" borderId="1" xfId="8" applyNumberFormat="1" applyFont="1" applyFill="1" applyBorder="1" applyAlignment="1">
      <alignment horizontal="right" vertical="center" wrapText="1"/>
    </xf>
    <xf numFmtId="0" fontId="46" fillId="0" borderId="1" xfId="18" applyFont="1" applyFill="1" applyBorder="1" applyAlignment="1">
      <alignment horizontal="center" vertical="center" wrapText="1"/>
    </xf>
    <xf numFmtId="178" fontId="46" fillId="0" borderId="1" xfId="8" applyNumberFormat="1" applyFont="1" applyFill="1" applyBorder="1" applyAlignment="1">
      <alignment vertical="center" wrapText="1"/>
    </xf>
    <xf numFmtId="166" fontId="46" fillId="0" borderId="1" xfId="8" applyNumberFormat="1" applyFont="1" applyFill="1" applyBorder="1" applyAlignment="1">
      <alignment horizontal="right" vertical="center" wrapText="1"/>
    </xf>
    <xf numFmtId="14" fontId="45" fillId="0" borderId="5" xfId="7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right" vertical="center" wrapText="1"/>
    </xf>
    <xf numFmtId="2" fontId="45" fillId="0" borderId="1" xfId="0" applyNumberFormat="1" applyFont="1" applyFill="1" applyBorder="1" applyAlignment="1">
      <alignment horizontal="right" vertical="center" wrapText="1"/>
    </xf>
    <xf numFmtId="167" fontId="46" fillId="0" borderId="1" xfId="9" applyNumberFormat="1" applyFont="1" applyFill="1" applyBorder="1" applyAlignment="1">
      <alignment horizontal="center" vertical="center" wrapText="1"/>
    </xf>
    <xf numFmtId="0" fontId="46" fillId="0" borderId="5" xfId="7" applyFont="1" applyFill="1" applyBorder="1" applyAlignment="1">
      <alignment horizontal="center" vertical="center" wrapText="1"/>
    </xf>
    <xf numFmtId="2" fontId="46" fillId="0" borderId="1" xfId="9" applyNumberFormat="1" applyFont="1" applyFill="1" applyBorder="1" applyAlignment="1">
      <alignment horizontal="right" vertical="center" wrapText="1"/>
    </xf>
    <xf numFmtId="49" fontId="46" fillId="0" borderId="1" xfId="2" applyNumberFormat="1" applyFont="1" applyFill="1" applyBorder="1" applyAlignment="1">
      <alignment vertical="center" wrapText="1"/>
    </xf>
    <xf numFmtId="0" fontId="46" fillId="0" borderId="1" xfId="9" applyFont="1" applyFill="1" applyBorder="1" applyAlignment="1">
      <alignment horizontal="right" vertical="center" wrapText="1"/>
    </xf>
    <xf numFmtId="0" fontId="46" fillId="0" borderId="1" xfId="9" applyFont="1" applyFill="1" applyBorder="1" applyAlignment="1">
      <alignment horizontal="center" vertical="center" wrapText="1"/>
    </xf>
    <xf numFmtId="0" fontId="46" fillId="0" borderId="1" xfId="9" applyFont="1" applyFill="1" applyBorder="1" applyAlignment="1">
      <alignment vertical="center" wrapText="1"/>
    </xf>
    <xf numFmtId="167" fontId="46" fillId="0" borderId="1" xfId="8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right" vertical="center" wrapText="1"/>
    </xf>
    <xf numFmtId="0" fontId="46" fillId="0" borderId="5" xfId="0" applyFont="1" applyFill="1" applyBorder="1" applyAlignment="1">
      <alignment horizontal="center" vertical="center" wrapText="1"/>
    </xf>
    <xf numFmtId="49" fontId="45" fillId="0" borderId="1" xfId="2" applyNumberFormat="1" applyFont="1" applyFill="1" applyBorder="1" applyAlignment="1">
      <alignment vertical="center" wrapText="1"/>
    </xf>
    <xf numFmtId="166" fontId="4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" xfId="0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2" fontId="46" fillId="0" borderId="4" xfId="0" applyNumberFormat="1" applyFont="1" applyFill="1" applyBorder="1" applyAlignment="1">
      <alignment horizontal="right" vertical="center" wrapText="1"/>
    </xf>
    <xf numFmtId="170" fontId="46" fillId="0" borderId="4" xfId="0" applyNumberFormat="1" applyFont="1" applyFill="1" applyBorder="1" applyAlignment="1">
      <alignment horizontal="right" vertical="center" wrapText="1"/>
    </xf>
    <xf numFmtId="169" fontId="46" fillId="0" borderId="4" xfId="0" applyNumberFormat="1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vertical="center" wrapText="1"/>
    </xf>
    <xf numFmtId="166" fontId="46" fillId="0" borderId="4" xfId="0" applyNumberFormat="1" applyFont="1" applyFill="1" applyBorder="1" applyAlignment="1">
      <alignment horizontal="right" vertical="center" wrapText="1"/>
    </xf>
    <xf numFmtId="2" fontId="46" fillId="0" borderId="1" xfId="18" applyNumberFormat="1" applyFont="1" applyFill="1" applyBorder="1" applyAlignment="1">
      <alignment horizontal="center" vertical="center" wrapText="1"/>
    </xf>
    <xf numFmtId="169" fontId="46" fillId="0" borderId="1" xfId="0" applyNumberFormat="1" applyFont="1" applyFill="1" applyBorder="1" applyAlignment="1" applyProtection="1">
      <alignment horizontal="right" vertical="center" wrapText="1"/>
      <protection locked="0"/>
    </xf>
    <xf numFmtId="170" fontId="46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46" fillId="0" borderId="1" xfId="0" applyNumberFormat="1" applyFont="1" applyFill="1" applyBorder="1" applyAlignment="1" applyProtection="1">
      <alignment horizontal="right" vertical="center" wrapText="1"/>
      <protection locked="0"/>
    </xf>
    <xf numFmtId="173" fontId="46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46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0" fontId="46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167" fontId="46" fillId="0" borderId="1" xfId="0" applyNumberFormat="1" applyFont="1" applyFill="1" applyBorder="1" applyAlignment="1">
      <alignment horizontal="center" vertical="center" wrapText="1"/>
    </xf>
    <xf numFmtId="169" fontId="46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right" vertical="center" wrapText="1"/>
    </xf>
    <xf numFmtId="170" fontId="46" fillId="0" borderId="1" xfId="0" applyNumberFormat="1" applyFont="1" applyFill="1" applyBorder="1" applyAlignment="1">
      <alignment horizontal="right" vertical="center" wrapText="1"/>
    </xf>
    <xf numFmtId="169" fontId="46" fillId="0" borderId="1" xfId="18" applyNumberFormat="1" applyFont="1" applyFill="1" applyBorder="1" applyAlignment="1">
      <alignment horizontal="right" vertical="center" wrapText="1"/>
    </xf>
    <xf numFmtId="0" fontId="45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49" fillId="0" borderId="0" xfId="0" applyFont="1"/>
    <xf numFmtId="0" fontId="46" fillId="0" borderId="1" xfId="0" applyFont="1" applyFill="1" applyBorder="1" applyAlignment="1">
      <alignment horizontal="left" vertical="center" wrapText="1"/>
    </xf>
    <xf numFmtId="9" fontId="46" fillId="0" borderId="1" xfId="0" applyNumberFormat="1" applyFont="1" applyFill="1" applyBorder="1" applyAlignment="1">
      <alignment horizontal="center" vertical="center" wrapText="1"/>
    </xf>
    <xf numFmtId="9" fontId="45" fillId="0" borderId="1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Alignment="1">
      <alignment horizontal="right" vertical="center" wrapText="1"/>
    </xf>
    <xf numFmtId="2" fontId="17" fillId="0" borderId="0" xfId="0" applyNumberFormat="1" applyFont="1" applyFill="1" applyAlignment="1">
      <alignment horizontal="right" vertical="center" wrapText="1"/>
    </xf>
    <xf numFmtId="3" fontId="18" fillId="0" borderId="1" xfId="8" applyNumberFormat="1" applyFont="1" applyFill="1" applyBorder="1" applyAlignment="1">
      <alignment horizontal="center" vertical="center" wrapText="1"/>
    </xf>
    <xf numFmtId="178" fontId="17" fillId="0" borderId="1" xfId="8" applyNumberFormat="1" applyFont="1" applyFill="1" applyBorder="1" applyAlignment="1">
      <alignment horizontal="right" vertical="center" wrapText="1"/>
    </xf>
    <xf numFmtId="14" fontId="17" fillId="0" borderId="1" xfId="18" applyNumberFormat="1" applyFont="1" applyFill="1" applyBorder="1" applyAlignment="1">
      <alignment horizontal="center" vertical="center" wrapText="1"/>
    </xf>
    <xf numFmtId="166" fontId="17" fillId="0" borderId="1" xfId="8" applyNumberFormat="1" applyFont="1" applyFill="1" applyBorder="1" applyAlignment="1">
      <alignment horizontal="right" vertical="center" wrapText="1"/>
    </xf>
    <xf numFmtId="167" fontId="17" fillId="0" borderId="2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66" fontId="17" fillId="0" borderId="1" xfId="18" applyNumberFormat="1" applyFont="1" applyFill="1" applyBorder="1" applyAlignment="1">
      <alignment horizontal="center" vertical="center" wrapText="1"/>
    </xf>
    <xf numFmtId="2" fontId="17" fillId="0" borderId="1" xfId="18" applyNumberFormat="1" applyFont="1" applyFill="1" applyBorder="1" applyAlignment="1" applyProtection="1">
      <alignment horizontal="right" vertical="center" wrapText="1"/>
      <protection locked="0"/>
    </xf>
    <xf numFmtId="166" fontId="17" fillId="0" borderId="1" xfId="18" applyNumberFormat="1" applyFont="1" applyFill="1" applyBorder="1" applyAlignment="1" applyProtection="1">
      <alignment horizontal="right" vertical="center" wrapText="1"/>
      <protection locked="0"/>
    </xf>
    <xf numFmtId="169" fontId="17" fillId="0" borderId="1" xfId="18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18" applyFont="1" applyFill="1" applyBorder="1" applyAlignment="1">
      <alignment horizontal="left" vertical="center" wrapText="1"/>
    </xf>
    <xf numFmtId="2" fontId="17" fillId="0" borderId="1" xfId="18" applyNumberFormat="1" applyFont="1" applyFill="1" applyBorder="1" applyAlignment="1">
      <alignment horizontal="center" vertical="center" wrapText="1"/>
    </xf>
    <xf numFmtId="49" fontId="18" fillId="0" borderId="1" xfId="18" applyNumberFormat="1" applyFont="1" applyFill="1" applyBorder="1" applyAlignment="1">
      <alignment horizontal="left" vertical="center" wrapText="1"/>
    </xf>
    <xf numFmtId="172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73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/>
    <xf numFmtId="4" fontId="12" fillId="0" borderId="0" xfId="3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right" vertical="center"/>
    </xf>
    <xf numFmtId="0" fontId="11" fillId="0" borderId="0" xfId="3" applyFont="1" applyFill="1"/>
    <xf numFmtId="0" fontId="11" fillId="0" borderId="1" xfId="3" applyNumberFormat="1" applyFont="1" applyFill="1" applyBorder="1" applyAlignment="1">
      <alignment horizontal="center" vertical="center" textRotation="90" wrapText="1"/>
    </xf>
    <xf numFmtId="0" fontId="11" fillId="0" borderId="1" xfId="3" applyNumberFormat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right" vertical="center" wrapText="1"/>
    </xf>
    <xf numFmtId="2" fontId="11" fillId="0" borderId="1" xfId="3" applyNumberFormat="1" applyFont="1" applyFill="1" applyBorder="1" applyAlignment="1">
      <alignment horizontal="right" wrapText="1"/>
    </xf>
    <xf numFmtId="0" fontId="11" fillId="2" borderId="1" xfId="3" applyNumberFormat="1" applyFont="1" applyFill="1" applyBorder="1" applyAlignment="1">
      <alignment horizontal="center" vertical="center" wrapText="1"/>
    </xf>
    <xf numFmtId="2" fontId="11" fillId="2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vertical="center" wrapText="1"/>
    </xf>
    <xf numFmtId="0" fontId="12" fillId="0" borderId="0" xfId="3" applyFont="1" applyFill="1"/>
    <xf numFmtId="4" fontId="12" fillId="0" borderId="1" xfId="3" applyNumberFormat="1" applyFont="1" applyFill="1" applyBorder="1" applyAlignment="1">
      <alignment vertical="center" wrapText="1"/>
    </xf>
    <xf numFmtId="4" fontId="11" fillId="0" borderId="1" xfId="3" applyNumberFormat="1" applyFont="1" applyFill="1" applyBorder="1" applyAlignment="1">
      <alignment vertical="center" wrapText="1"/>
    </xf>
    <xf numFmtId="0" fontId="74" fillId="0" borderId="1" xfId="3" applyNumberFormat="1" applyFont="1" applyFill="1" applyBorder="1" applyAlignment="1">
      <alignment horizontal="center" vertical="center" wrapText="1"/>
    </xf>
    <xf numFmtId="0" fontId="74" fillId="0" borderId="0" xfId="3" applyFont="1" applyFill="1"/>
    <xf numFmtId="0" fontId="11" fillId="0" borderId="3" xfId="3" applyNumberFormat="1" applyFont="1" applyFill="1" applyBorder="1" applyAlignment="1">
      <alignment horizontal="center" vertical="center" wrapText="1"/>
    </xf>
    <xf numFmtId="2" fontId="12" fillId="0" borderId="3" xfId="3" applyNumberFormat="1" applyFont="1" applyFill="1" applyBorder="1" applyAlignment="1">
      <alignment horizontal="center" vertical="center" wrapText="1"/>
    </xf>
    <xf numFmtId="2" fontId="11" fillId="0" borderId="3" xfId="3" applyNumberFormat="1" applyFont="1" applyFill="1" applyBorder="1" applyAlignment="1">
      <alignment horizontal="center" vertical="center" wrapText="1"/>
    </xf>
    <xf numFmtId="4" fontId="12" fillId="0" borderId="3" xfId="3" applyNumberFormat="1" applyFont="1" applyFill="1" applyBorder="1" applyAlignment="1">
      <alignment vertical="center" wrapText="1"/>
    </xf>
    <xf numFmtId="4" fontId="11" fillId="2" borderId="1" xfId="3" applyNumberFormat="1" applyFont="1" applyFill="1" applyBorder="1" applyAlignment="1">
      <alignment vertical="center" wrapText="1"/>
    </xf>
    <xf numFmtId="4" fontId="12" fillId="2" borderId="1" xfId="3" applyNumberFormat="1" applyFont="1" applyFill="1" applyBorder="1" applyAlignment="1">
      <alignment vertical="center" wrapText="1"/>
    </xf>
    <xf numFmtId="2" fontId="11" fillId="0" borderId="0" xfId="3" applyNumberFormat="1" applyFont="1" applyFill="1"/>
    <xf numFmtId="2" fontId="12" fillId="2" borderId="1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/>
    <xf numFmtId="0" fontId="11" fillId="0" borderId="0" xfId="3" applyFont="1" applyFill="1" applyBorder="1" applyAlignment="1">
      <alignment horizontal="center"/>
    </xf>
    <xf numFmtId="4" fontId="11" fillId="0" borderId="0" xfId="3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76" fillId="0" borderId="20" xfId="0" applyFont="1" applyBorder="1" applyAlignment="1">
      <alignment horizontal="center" vertical="center" textRotation="90" wrapText="1"/>
    </xf>
    <xf numFmtId="0" fontId="76" fillId="0" borderId="6" xfId="0" applyFont="1" applyBorder="1" applyAlignment="1">
      <alignment horizontal="center" vertical="center" textRotation="90" wrapText="1"/>
    </xf>
    <xf numFmtId="0" fontId="77" fillId="0" borderId="1" xfId="0" applyFont="1" applyBorder="1" applyAlignment="1">
      <alignment horizontal="center" vertical="center" wrapText="1"/>
    </xf>
    <xf numFmtId="49" fontId="76" fillId="0" borderId="1" xfId="0" applyNumberFormat="1" applyFont="1" applyBorder="1" applyAlignment="1">
      <alignment horizontal="center" vertical="center" wrapText="1"/>
    </xf>
    <xf numFmtId="49" fontId="76" fillId="0" borderId="5" xfId="0" applyNumberFormat="1" applyFont="1" applyBorder="1" applyAlignment="1">
      <alignment horizontal="left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6" fillId="0" borderId="5" xfId="0" applyFont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46" fillId="0" borderId="0" xfId="2" applyFont="1" applyFill="1" applyAlignment="1">
      <alignment horizontal="center" vertical="center"/>
    </xf>
    <xf numFmtId="0" fontId="19" fillId="0" borderId="1" xfId="0" applyFont="1" applyFill="1" applyBorder="1"/>
    <xf numFmtId="49" fontId="46" fillId="0" borderId="1" xfId="0" applyNumberFormat="1" applyFont="1" applyFill="1" applyBorder="1" applyAlignment="1">
      <alignment horizontal="right" vertical="center" wrapText="1"/>
    </xf>
    <xf numFmtId="49" fontId="45" fillId="0" borderId="1" xfId="0" applyNumberFormat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right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" xfId="6" applyNumberFormat="1" applyFont="1" applyFill="1" applyBorder="1" applyAlignment="1">
      <alignment horizontal="center" vertical="center" wrapText="1"/>
    </xf>
    <xf numFmtId="2" fontId="17" fillId="0" borderId="1" xfId="7" applyNumberFormat="1" applyFont="1" applyFill="1" applyBorder="1" applyAlignment="1">
      <alignment horizontal="center" vertical="center" wrapText="1"/>
    </xf>
    <xf numFmtId="2" fontId="17" fillId="3" borderId="1" xfId="4" applyNumberFormat="1" applyFont="1" applyFill="1" applyBorder="1" applyAlignment="1">
      <alignment horizontal="center" vertical="center" wrapText="1"/>
    </xf>
    <xf numFmtId="2" fontId="17" fillId="3" borderId="5" xfId="0" applyNumberFormat="1" applyFont="1" applyFill="1" applyBorder="1" applyAlignment="1">
      <alignment horizontal="center" vertical="center" wrapText="1"/>
    </xf>
    <xf numFmtId="2" fontId="17" fillId="3" borderId="4" xfId="4" applyNumberFormat="1" applyFont="1" applyFill="1" applyBorder="1" applyAlignment="1">
      <alignment horizontal="center" vertical="center" wrapText="1"/>
    </xf>
    <xf numFmtId="2" fontId="28" fillId="3" borderId="4" xfId="5" applyNumberFormat="1" applyFont="1" applyFill="1" applyBorder="1" applyAlignment="1">
      <alignment horizontal="center" vertical="center" wrapText="1"/>
    </xf>
    <xf numFmtId="2" fontId="28" fillId="0" borderId="4" xfId="5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39" fontId="17" fillId="0" borderId="1" xfId="5" applyNumberFormat="1" applyFont="1" applyFill="1" applyBorder="1" applyAlignment="1">
      <alignment horizontal="center" vertical="center" wrapText="1"/>
    </xf>
    <xf numFmtId="39" fontId="17" fillId="0" borderId="1" xfId="5" applyNumberFormat="1" applyFont="1" applyFill="1" applyBorder="1" applyAlignment="1">
      <alignment horizontal="center" vertical="center"/>
    </xf>
    <xf numFmtId="39" fontId="18" fillId="0" borderId="1" xfId="5" applyNumberFormat="1" applyFont="1" applyFill="1" applyBorder="1" applyAlignment="1">
      <alignment horizontal="center" vertical="center" wrapText="1"/>
    </xf>
    <xf numFmtId="39" fontId="17" fillId="0" borderId="1" xfId="5" applyNumberFormat="1" applyFont="1" applyFill="1" applyBorder="1" applyAlignment="1" applyProtection="1">
      <alignment horizontal="center" vertical="center" wrapText="1"/>
      <protection locked="0"/>
    </xf>
    <xf numFmtId="39" fontId="17" fillId="0" borderId="5" xfId="5" applyNumberFormat="1" applyFont="1" applyFill="1" applyBorder="1" applyAlignment="1" applyProtection="1">
      <alignment horizontal="center" vertical="center" wrapText="1"/>
      <protection locked="0"/>
    </xf>
    <xf numFmtId="39" fontId="18" fillId="0" borderId="1" xfId="5" applyNumberFormat="1" applyFont="1" applyFill="1" applyBorder="1" applyAlignment="1">
      <alignment horizontal="center" vertical="center"/>
    </xf>
    <xf numFmtId="2" fontId="46" fillId="0" borderId="1" xfId="8" applyNumberFormat="1" applyFont="1" applyFill="1" applyBorder="1" applyAlignment="1">
      <alignment horizontal="center" vertical="center" wrapText="1"/>
    </xf>
    <xf numFmtId="2" fontId="46" fillId="0" borderId="1" xfId="2" applyNumberFormat="1" applyFont="1" applyFill="1" applyBorder="1" applyAlignment="1">
      <alignment horizontal="center" vertical="center"/>
    </xf>
    <xf numFmtId="4" fontId="46" fillId="0" borderId="1" xfId="2" applyNumberFormat="1" applyFont="1" applyFill="1" applyBorder="1" applyAlignment="1">
      <alignment horizontal="center" vertical="center"/>
    </xf>
    <xf numFmtId="2" fontId="45" fillId="0" borderId="1" xfId="8" applyNumberFormat="1" applyFont="1" applyFill="1" applyBorder="1" applyAlignment="1">
      <alignment horizontal="center" vertical="center" wrapText="1"/>
    </xf>
    <xf numFmtId="2" fontId="46" fillId="0" borderId="1" xfId="6" applyNumberFormat="1" applyFont="1" applyFill="1" applyBorder="1" applyAlignment="1">
      <alignment horizontal="center" vertical="center" wrapText="1"/>
    </xf>
    <xf numFmtId="2" fontId="4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5" fillId="0" borderId="1" xfId="18" applyNumberFormat="1" applyFont="1" applyFill="1" applyBorder="1" applyAlignment="1">
      <alignment horizontal="center" vertical="center"/>
    </xf>
    <xf numFmtId="0" fontId="45" fillId="0" borderId="1" xfId="18" applyFont="1" applyFill="1" applyBorder="1" applyAlignment="1">
      <alignment horizontal="center" vertical="center"/>
    </xf>
    <xf numFmtId="0" fontId="46" fillId="0" borderId="1" xfId="18" applyNumberFormat="1" applyFont="1" applyFill="1" applyBorder="1" applyAlignment="1">
      <alignment horizontal="center" vertical="center" wrapText="1"/>
    </xf>
    <xf numFmtId="2" fontId="46" fillId="0" borderId="1" xfId="5" applyNumberFormat="1" applyFont="1" applyFill="1" applyBorder="1" applyAlignment="1">
      <alignment horizontal="center" vertical="center" wrapText="1"/>
    </xf>
    <xf numFmtId="2" fontId="45" fillId="0" borderId="1" xfId="0" applyNumberFormat="1" applyFont="1" applyFill="1" applyBorder="1" applyAlignment="1">
      <alignment horizontal="center" vertical="center" wrapText="1"/>
    </xf>
    <xf numFmtId="2" fontId="46" fillId="0" borderId="1" xfId="7" applyNumberFormat="1" applyFont="1" applyFill="1" applyBorder="1" applyAlignment="1">
      <alignment horizontal="center" vertical="center" wrapText="1"/>
    </xf>
    <xf numFmtId="2" fontId="46" fillId="0" borderId="5" xfId="8" applyNumberFormat="1" applyFont="1" applyFill="1" applyBorder="1" applyAlignment="1">
      <alignment horizontal="center" vertical="center" wrapText="1"/>
    </xf>
    <xf numFmtId="2" fontId="46" fillId="0" borderId="5" xfId="9" applyNumberFormat="1" applyFont="1" applyFill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/>
    </xf>
    <xf numFmtId="2" fontId="46" fillId="0" borderId="1" xfId="0" applyNumberFormat="1" applyFont="1" applyFill="1" applyBorder="1" applyAlignment="1">
      <alignment horizontal="center" vertical="center"/>
    </xf>
    <xf numFmtId="2" fontId="46" fillId="0" borderId="4" xfId="0" applyNumberFormat="1" applyFont="1" applyFill="1" applyBorder="1" applyAlignment="1">
      <alignment horizontal="center" vertical="center" wrapText="1"/>
    </xf>
    <xf numFmtId="2" fontId="46" fillId="0" borderId="5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 wrapText="1"/>
    </xf>
    <xf numFmtId="4" fontId="46" fillId="0" borderId="1" xfId="0" applyNumberFormat="1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>
      <alignment horizontal="center" vertical="center"/>
    </xf>
    <xf numFmtId="2" fontId="45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2" fontId="17" fillId="0" borderId="1" xfId="5" applyNumberFormat="1" applyFont="1" applyFill="1" applyBorder="1" applyAlignment="1">
      <alignment horizontal="center" vertical="center" wrapText="1"/>
    </xf>
    <xf numFmtId="2" fontId="17" fillId="0" borderId="1" xfId="10" applyNumberFormat="1" applyFont="1" applyFill="1" applyBorder="1" applyAlignment="1">
      <alignment horizontal="center" vertical="center" wrapText="1"/>
    </xf>
    <xf numFmtId="2" fontId="17" fillId="0" borderId="1" xfId="4" applyNumberFormat="1" applyFont="1" applyFill="1" applyBorder="1" applyAlignment="1">
      <alignment horizontal="center" vertical="center" wrapText="1"/>
    </xf>
    <xf numFmtId="2" fontId="18" fillId="0" borderId="1" xfId="8" applyNumberFormat="1" applyFont="1" applyFill="1" applyBorder="1" applyAlignment="1">
      <alignment horizontal="center" vertical="center" wrapText="1"/>
    </xf>
    <xf numFmtId="2" fontId="18" fillId="0" borderId="1" xfId="18" applyNumberFormat="1" applyFont="1" applyFill="1" applyBorder="1" applyAlignment="1">
      <alignment horizontal="center" vertical="center"/>
    </xf>
    <xf numFmtId="2" fontId="17" fillId="0" borderId="1" xfId="6" applyNumberFormat="1" applyFont="1" applyFill="1" applyBorder="1" applyAlignment="1">
      <alignment horizontal="center" vertical="center" wrapText="1"/>
    </xf>
    <xf numFmtId="2" fontId="17" fillId="0" borderId="1" xfId="8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33" fillId="0" borderId="1" xfId="5" applyNumberFormat="1" applyFont="1" applyFill="1" applyBorder="1" applyAlignment="1">
      <alignment horizontal="center" vertical="center" wrapText="1"/>
    </xf>
    <xf numFmtId="2" fontId="33" fillId="0" borderId="1" xfId="4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17" fillId="0" borderId="4" xfId="4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>
      <alignment horizontal="center" vertical="center"/>
    </xf>
    <xf numFmtId="2" fontId="33" fillId="0" borderId="1" xfId="18" applyNumberFormat="1" applyFont="1" applyFill="1" applyBorder="1" applyAlignment="1" applyProtection="1">
      <alignment horizontal="center" vertical="center" wrapText="1"/>
      <protection locked="0"/>
    </xf>
    <xf numFmtId="2" fontId="33" fillId="0" borderId="1" xfId="18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" xfId="18" applyNumberFormat="1" applyFont="1" applyFill="1" applyBorder="1" applyAlignment="1">
      <alignment horizontal="center" vertical="center"/>
    </xf>
    <xf numFmtId="2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2" applyNumberFormat="1" applyFont="1" applyFill="1" applyBorder="1" applyAlignment="1">
      <alignment horizontal="center" vertical="center"/>
    </xf>
    <xf numFmtId="2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33" fillId="0" borderId="1" xfId="6" applyNumberFormat="1" applyFont="1" applyFill="1" applyBorder="1" applyAlignment="1">
      <alignment horizontal="center" vertical="center" wrapText="1"/>
    </xf>
    <xf numFmtId="2" fontId="33" fillId="0" borderId="1" xfId="7" applyNumberFormat="1" applyFont="1" applyFill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/>
    </xf>
    <xf numFmtId="2" fontId="34" fillId="3" borderId="1" xfId="5" applyNumberFormat="1" applyFont="1" applyFill="1" applyBorder="1" applyAlignment="1">
      <alignment horizontal="center" vertical="center" wrapText="1"/>
    </xf>
    <xf numFmtId="2" fontId="34" fillId="0" borderId="1" xfId="5" applyNumberFormat="1" applyFont="1" applyFill="1" applyBorder="1" applyAlignment="1">
      <alignment horizontal="center" vertical="center" wrapText="1"/>
    </xf>
    <xf numFmtId="2" fontId="34" fillId="0" borderId="1" xfId="5" applyNumberFormat="1" applyFont="1" applyFill="1" applyBorder="1" applyAlignment="1">
      <alignment horizontal="center" vertical="center"/>
    </xf>
    <xf numFmtId="2" fontId="35" fillId="3" borderId="1" xfId="5" applyNumberFormat="1" applyFont="1" applyFill="1" applyBorder="1" applyAlignment="1">
      <alignment horizontal="center" vertical="center" wrapText="1"/>
    </xf>
    <xf numFmtId="2" fontId="35" fillId="0" borderId="1" xfId="5" applyNumberFormat="1" applyFont="1" applyFill="1" applyBorder="1" applyAlignment="1">
      <alignment horizontal="center" vertical="center"/>
    </xf>
    <xf numFmtId="2" fontId="34" fillId="3" borderId="1" xfId="5" applyNumberFormat="1" applyFont="1" applyFill="1" applyBorder="1" applyAlignment="1" applyProtection="1">
      <alignment horizontal="center" vertical="center" wrapText="1"/>
      <protection locked="0"/>
    </xf>
    <xf numFmtId="2" fontId="34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35" fillId="3" borderId="2" xfId="5" applyNumberFormat="1" applyFont="1" applyFill="1" applyBorder="1" applyAlignment="1">
      <alignment horizontal="center" vertical="center" wrapText="1"/>
    </xf>
    <xf numFmtId="2" fontId="35" fillId="0" borderId="1" xfId="5" applyNumberFormat="1" applyFont="1" applyFill="1" applyBorder="1" applyAlignment="1">
      <alignment horizontal="center" vertical="center" wrapText="1"/>
    </xf>
    <xf numFmtId="2" fontId="34" fillId="3" borderId="2" xfId="5" applyNumberFormat="1" applyFont="1" applyFill="1" applyBorder="1" applyAlignment="1">
      <alignment horizontal="center" vertical="center" wrapText="1"/>
    </xf>
    <xf numFmtId="2" fontId="34" fillId="3" borderId="1" xfId="5" applyNumberFormat="1" applyFont="1" applyFill="1" applyBorder="1" applyAlignment="1">
      <alignment horizontal="center" vertical="center"/>
    </xf>
    <xf numFmtId="2" fontId="68" fillId="3" borderId="1" xfId="5" applyNumberFormat="1" applyFont="1" applyFill="1" applyBorder="1" applyAlignment="1">
      <alignment horizontal="center" vertical="center"/>
    </xf>
    <xf numFmtId="2" fontId="69" fillId="3" borderId="1" xfId="5" applyNumberFormat="1" applyFont="1" applyFill="1" applyBorder="1" applyAlignment="1">
      <alignment horizontal="center" vertical="center"/>
    </xf>
    <xf numFmtId="2" fontId="34" fillId="3" borderId="4" xfId="5" applyNumberFormat="1" applyFont="1" applyFill="1" applyBorder="1" applyAlignment="1">
      <alignment horizontal="center" vertical="center" wrapText="1"/>
    </xf>
    <xf numFmtId="2" fontId="34" fillId="0" borderId="4" xfId="5" applyNumberFormat="1" applyFont="1" applyFill="1" applyBorder="1" applyAlignment="1">
      <alignment horizontal="center" vertical="center" wrapText="1"/>
    </xf>
    <xf numFmtId="2" fontId="34" fillId="3" borderId="5" xfId="5" applyNumberFormat="1" applyFont="1" applyFill="1" applyBorder="1" applyAlignment="1">
      <alignment horizontal="center" vertical="center" wrapText="1"/>
    </xf>
    <xf numFmtId="2" fontId="34" fillId="3" borderId="1" xfId="2" applyNumberFormat="1" applyFont="1" applyFill="1" applyBorder="1" applyAlignment="1">
      <alignment horizontal="center" vertical="center" wrapText="1"/>
    </xf>
    <xf numFmtId="2" fontId="70" fillId="0" borderId="1" xfId="2" applyNumberFormat="1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5" fillId="3" borderId="1" xfId="2" applyNumberFormat="1" applyFont="1" applyFill="1" applyBorder="1" applyAlignment="1">
      <alignment horizontal="center" vertical="center" wrapText="1"/>
    </xf>
    <xf numFmtId="2" fontId="35" fillId="0" borderId="1" xfId="2" applyNumberFormat="1" applyFont="1" applyFill="1" applyBorder="1" applyAlignment="1">
      <alignment horizontal="center" vertical="center"/>
    </xf>
    <xf numFmtId="2" fontId="34" fillId="0" borderId="1" xfId="2" applyNumberFormat="1" applyFont="1" applyFill="1" applyBorder="1" applyAlignment="1">
      <alignment horizontal="center" vertical="center"/>
    </xf>
    <xf numFmtId="2" fontId="35" fillId="3" borderId="1" xfId="0" applyNumberFormat="1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2" fillId="3" borderId="4" xfId="5" applyNumberFormat="1" applyFont="1" applyFill="1" applyBorder="1" applyAlignment="1">
      <alignment horizontal="center" vertical="center" wrapText="1"/>
    </xf>
    <xf numFmtId="2" fontId="72" fillId="0" borderId="4" xfId="5" applyNumberFormat="1" applyFont="1" applyFill="1" applyBorder="1" applyAlignment="1">
      <alignment horizontal="center" vertical="center" wrapText="1"/>
    </xf>
    <xf numFmtId="2" fontId="34" fillId="3" borderId="1" xfId="6" applyNumberFormat="1" applyFont="1" applyFill="1" applyBorder="1" applyAlignment="1">
      <alignment horizontal="center" vertical="center" wrapText="1"/>
    </xf>
    <xf numFmtId="2" fontId="34" fillId="0" borderId="1" xfId="7" applyNumberFormat="1" applyFont="1" applyFill="1" applyBorder="1" applyAlignment="1">
      <alignment horizontal="center" vertical="center" wrapText="1"/>
    </xf>
    <xf numFmtId="2" fontId="34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34" fillId="3" borderId="5" xfId="0" applyNumberFormat="1" applyFont="1" applyFill="1" applyBorder="1" applyAlignment="1">
      <alignment horizontal="center" vertical="center" wrapText="1"/>
    </xf>
    <xf numFmtId="2" fontId="34" fillId="3" borderId="5" xfId="5" applyNumberFormat="1" applyFont="1" applyFill="1" applyBorder="1" applyAlignment="1" applyProtection="1">
      <alignment horizontal="center" vertical="center" wrapText="1"/>
      <protection locked="0"/>
    </xf>
    <xf numFmtId="2" fontId="34" fillId="0" borderId="5" xfId="5" applyNumberFormat="1" applyFont="1" applyFill="1" applyBorder="1" applyAlignment="1" applyProtection="1">
      <alignment horizontal="center" vertical="center" wrapText="1"/>
      <protection locked="0"/>
    </xf>
    <xf numFmtId="2" fontId="70" fillId="0" borderId="1" xfId="5" applyNumberFormat="1" applyFont="1" applyFill="1" applyBorder="1" applyAlignment="1">
      <alignment horizontal="center" vertical="center" wrapText="1"/>
    </xf>
    <xf numFmtId="2" fontId="35" fillId="3" borderId="4" xfId="5" applyNumberFormat="1" applyFont="1" applyFill="1" applyBorder="1" applyAlignment="1">
      <alignment horizontal="center" vertical="center"/>
    </xf>
    <xf numFmtId="2" fontId="34" fillId="0" borderId="4" xfId="5" applyNumberFormat="1" applyFont="1" applyFill="1" applyBorder="1" applyAlignment="1">
      <alignment horizontal="center" vertical="center"/>
    </xf>
    <xf numFmtId="2" fontId="35" fillId="0" borderId="4" xfId="5" applyNumberFormat="1" applyFont="1" applyFill="1" applyBorder="1" applyAlignment="1">
      <alignment horizontal="center" vertical="center"/>
    </xf>
    <xf numFmtId="2" fontId="34" fillId="3" borderId="4" xfId="5" applyNumberFormat="1" applyFont="1" applyFill="1" applyBorder="1" applyAlignment="1">
      <alignment horizontal="center" vertical="center"/>
    </xf>
    <xf numFmtId="2" fontId="35" fillId="3" borderId="1" xfId="5" applyNumberFormat="1" applyFont="1" applyFill="1" applyBorder="1" applyAlignment="1">
      <alignment horizontal="center" vertical="center"/>
    </xf>
    <xf numFmtId="2" fontId="35" fillId="3" borderId="4" xfId="5" applyNumberFormat="1" applyFont="1" applyFill="1" applyBorder="1" applyAlignment="1">
      <alignment horizontal="center" vertical="center" wrapText="1"/>
    </xf>
    <xf numFmtId="2" fontId="35" fillId="0" borderId="4" xfId="5" applyNumberFormat="1" applyFont="1" applyFill="1" applyBorder="1" applyAlignment="1">
      <alignment horizontal="center" vertical="center" wrapText="1"/>
    </xf>
    <xf numFmtId="2" fontId="34" fillId="0" borderId="11" xfId="5" applyNumberFormat="1" applyFont="1" applyFill="1" applyBorder="1" applyAlignment="1">
      <alignment horizontal="center" vertical="center"/>
    </xf>
    <xf numFmtId="2" fontId="34" fillId="3" borderId="1" xfId="11" applyNumberFormat="1" applyFont="1" applyFill="1" applyBorder="1" applyAlignment="1">
      <alignment horizontal="center" vertical="center" wrapText="1"/>
    </xf>
    <xf numFmtId="2" fontId="34" fillId="3" borderId="1" xfId="24" applyNumberFormat="1" applyFont="1" applyFill="1" applyBorder="1" applyAlignment="1">
      <alignment horizontal="center" vertical="center"/>
    </xf>
    <xf numFmtId="2" fontId="34" fillId="0" borderId="1" xfId="24" applyNumberFormat="1" applyFont="1" applyFill="1" applyBorder="1" applyAlignment="1">
      <alignment horizontal="center" vertical="center"/>
    </xf>
    <xf numFmtId="176" fontId="65" fillId="3" borderId="1" xfId="5" applyNumberFormat="1" applyFont="1" applyFill="1" applyBorder="1" applyAlignment="1">
      <alignment horizontal="center" vertical="center" wrapText="1"/>
    </xf>
    <xf numFmtId="176" fontId="65" fillId="0" borderId="1" xfId="5" applyNumberFormat="1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right" vertical="center" wrapText="1"/>
    </xf>
    <xf numFmtId="39" fontId="34" fillId="0" borderId="1" xfId="5" applyNumberFormat="1" applyFont="1" applyFill="1" applyBorder="1" applyAlignment="1">
      <alignment horizontal="center" vertical="center" wrapText="1"/>
    </xf>
    <xf numFmtId="39" fontId="34" fillId="0" borderId="1" xfId="5" applyNumberFormat="1" applyFont="1" applyFill="1" applyBorder="1" applyAlignment="1">
      <alignment horizontal="center" vertical="center"/>
    </xf>
    <xf numFmtId="39" fontId="35" fillId="0" borderId="1" xfId="5" applyNumberFormat="1" applyFont="1" applyFill="1" applyBorder="1" applyAlignment="1">
      <alignment horizontal="center" vertical="center" wrapText="1"/>
    </xf>
    <xf numFmtId="39" fontId="35" fillId="0" borderId="1" xfId="5" applyNumberFormat="1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right" vertical="center" wrapText="1"/>
    </xf>
    <xf numFmtId="3" fontId="35" fillId="0" borderId="1" xfId="0" applyNumberFormat="1" applyFont="1" applyFill="1" applyBorder="1" applyAlignment="1">
      <alignment horizontal="right" vertical="center" wrapText="1"/>
    </xf>
    <xf numFmtId="1" fontId="45" fillId="0" borderId="1" xfId="2" applyNumberFormat="1" applyFont="1" applyFill="1" applyBorder="1" applyAlignment="1">
      <alignment horizontal="right" vertical="center" wrapText="1"/>
    </xf>
    <xf numFmtId="1" fontId="46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46" fillId="0" borderId="1" xfId="2" applyFont="1" applyFill="1" applyBorder="1" applyAlignment="1">
      <alignment horizontal="center" vertical="center"/>
    </xf>
    <xf numFmtId="0" fontId="48" fillId="0" borderId="1" xfId="2" applyFont="1" applyFill="1" applyBorder="1" applyAlignment="1">
      <alignment horizontal="center" vertical="center" wrapText="1"/>
    </xf>
    <xf numFmtId="2" fontId="46" fillId="3" borderId="1" xfId="2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2" fontId="46" fillId="3" borderId="1" xfId="6" applyNumberFormat="1" applyFont="1" applyFill="1" applyBorder="1" applyAlignment="1">
      <alignment horizontal="center" vertical="center" wrapText="1"/>
    </xf>
    <xf numFmtId="2" fontId="46" fillId="3" borderId="5" xfId="0" applyNumberFormat="1" applyFont="1" applyFill="1" applyBorder="1" applyAlignment="1">
      <alignment horizontal="center" vertical="center" wrapText="1"/>
    </xf>
    <xf numFmtId="2" fontId="50" fillId="3" borderId="1" xfId="0" applyNumberFormat="1" applyFont="1" applyFill="1" applyBorder="1" applyAlignment="1">
      <alignment horizontal="center" vertical="center" wrapText="1"/>
    </xf>
    <xf numFmtId="1" fontId="51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2" fontId="52" fillId="3" borderId="1" xfId="0" applyNumberFormat="1" applyFont="1" applyFill="1" applyBorder="1" applyAlignment="1">
      <alignment horizontal="center" vertical="center" wrapText="1"/>
    </xf>
    <xf numFmtId="1" fontId="53" fillId="0" borderId="1" xfId="0" applyNumberFormat="1" applyFont="1" applyFill="1" applyBorder="1" applyAlignment="1">
      <alignment horizontal="center" vertical="center" wrapText="1"/>
    </xf>
    <xf numFmtId="2" fontId="5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2" fillId="3" borderId="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170" fontId="51" fillId="0" borderId="1" xfId="0" applyNumberFormat="1" applyFont="1" applyFill="1" applyBorder="1" applyAlignment="1">
      <alignment horizontal="center" vertical="center" wrapText="1"/>
    </xf>
    <xf numFmtId="2" fontId="5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5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45" fillId="3" borderId="1" xfId="2" applyNumberFormat="1" applyFont="1" applyFill="1" applyBorder="1" applyAlignment="1">
      <alignment horizontal="center" vertical="center" wrapText="1"/>
    </xf>
    <xf numFmtId="166" fontId="46" fillId="3" borderId="1" xfId="2" applyNumberFormat="1" applyFont="1" applyFill="1" applyBorder="1" applyAlignment="1">
      <alignment horizontal="center" vertical="center" wrapText="1"/>
    </xf>
    <xf numFmtId="2" fontId="4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1" xfId="2" applyFont="1" applyFill="1" applyBorder="1" applyAlignment="1">
      <alignment horizontal="center" vertical="center"/>
    </xf>
    <xf numFmtId="2" fontId="46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4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9" fillId="0" borderId="1" xfId="2" applyFont="1" applyFill="1" applyBorder="1" applyAlignment="1">
      <alignment horizontal="center" vertical="center"/>
    </xf>
    <xf numFmtId="2" fontId="46" fillId="3" borderId="1" xfId="0" applyNumberFormat="1" applyFont="1" applyFill="1" applyBorder="1" applyAlignment="1">
      <alignment horizontal="center" vertical="center" wrapText="1"/>
    </xf>
    <xf numFmtId="2" fontId="60" fillId="3" borderId="1" xfId="0" applyNumberFormat="1" applyFont="1" applyFill="1" applyBorder="1" applyAlignment="1">
      <alignment horizontal="center" vertical="center" wrapText="1"/>
    </xf>
    <xf numFmtId="2" fontId="60" fillId="0" borderId="1" xfId="0" applyNumberFormat="1" applyFont="1" applyFill="1" applyBorder="1" applyAlignment="1">
      <alignment horizontal="center" vertical="center" wrapText="1"/>
    </xf>
    <xf numFmtId="2" fontId="51" fillId="3" borderId="1" xfId="6" applyNumberFormat="1" applyFont="1" applyFill="1" applyBorder="1" applyAlignment="1">
      <alignment horizontal="center" vertical="center" wrapText="1"/>
    </xf>
    <xf numFmtId="2" fontId="51" fillId="3" borderId="5" xfId="0" applyNumberFormat="1" applyFont="1" applyFill="1" applyBorder="1" applyAlignment="1">
      <alignment horizontal="center" vertical="center" wrapText="1"/>
    </xf>
    <xf numFmtId="2" fontId="51" fillId="3" borderId="1" xfId="2" applyNumberFormat="1" applyFont="1" applyFill="1" applyBorder="1" applyAlignment="1">
      <alignment horizontal="center" vertical="center" wrapText="1"/>
    </xf>
    <xf numFmtId="2" fontId="51" fillId="3" borderId="1" xfId="0" applyNumberFormat="1" applyFont="1" applyFill="1" applyBorder="1" applyAlignment="1">
      <alignment horizontal="center" vertical="center" wrapText="1"/>
    </xf>
    <xf numFmtId="2" fontId="51" fillId="0" borderId="1" xfId="7" applyNumberFormat="1" applyFont="1" applyFill="1" applyBorder="1" applyAlignment="1">
      <alignment horizontal="center" vertical="center" wrapText="1"/>
    </xf>
    <xf numFmtId="2" fontId="51" fillId="3" borderId="1" xfId="4" applyNumberFormat="1" applyFont="1" applyFill="1" applyBorder="1" applyAlignment="1">
      <alignment horizontal="center" vertical="center" wrapText="1"/>
    </xf>
    <xf numFmtId="2" fontId="51" fillId="3" borderId="4" xfId="4" applyNumberFormat="1" applyFont="1" applyFill="1" applyBorder="1" applyAlignment="1">
      <alignment horizontal="center" vertical="center" wrapText="1"/>
    </xf>
    <xf numFmtId="2" fontId="60" fillId="3" borderId="1" xfId="24" applyNumberFormat="1" applyFont="1" applyFill="1" applyBorder="1" applyAlignment="1">
      <alignment horizontal="center" vertical="center"/>
    </xf>
    <xf numFmtId="2" fontId="60" fillId="0" borderId="1" xfId="24" applyNumberFormat="1" applyFont="1" applyFill="1" applyBorder="1" applyAlignment="1">
      <alignment horizontal="center" vertical="center"/>
    </xf>
    <xf numFmtId="2" fontId="51" fillId="3" borderId="1" xfId="24" applyNumberFormat="1" applyFont="1" applyFill="1" applyBorder="1" applyAlignment="1">
      <alignment horizontal="center" vertical="center"/>
    </xf>
    <xf numFmtId="2" fontId="51" fillId="0" borderId="1" xfId="24" applyNumberFormat="1" applyFont="1" applyFill="1" applyBorder="1" applyAlignment="1">
      <alignment horizontal="center" vertical="center"/>
    </xf>
    <xf numFmtId="0" fontId="64" fillId="3" borderId="4" xfId="0" applyFont="1" applyFill="1" applyBorder="1" applyAlignment="1">
      <alignment horizontal="center" vertical="center" wrapText="1"/>
    </xf>
    <xf numFmtId="4" fontId="64" fillId="0" borderId="4" xfId="0" applyNumberFormat="1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 wrapText="1"/>
    </xf>
    <xf numFmtId="2" fontId="64" fillId="3" borderId="4" xfId="0" applyNumberFormat="1" applyFont="1" applyFill="1" applyBorder="1" applyAlignment="1">
      <alignment horizontal="center" vertical="center"/>
    </xf>
    <xf numFmtId="2" fontId="64" fillId="0" borderId="4" xfId="0" applyNumberFormat="1" applyFont="1" applyFill="1" applyBorder="1" applyAlignment="1">
      <alignment horizontal="center" vertical="center"/>
    </xf>
    <xf numFmtId="4" fontId="64" fillId="3" borderId="4" xfId="0" applyNumberFormat="1" applyFont="1" applyFill="1" applyBorder="1" applyAlignment="1">
      <alignment horizontal="center" vertical="center"/>
    </xf>
    <xf numFmtId="4" fontId="45" fillId="3" borderId="1" xfId="8" applyNumberFormat="1" applyFont="1" applyFill="1" applyBorder="1" applyAlignment="1">
      <alignment horizontal="center" vertical="center" wrapText="1"/>
    </xf>
    <xf numFmtId="4" fontId="46" fillId="3" borderId="1" xfId="8" applyNumberFormat="1" applyFont="1" applyFill="1" applyBorder="1" applyAlignment="1">
      <alignment horizontal="center" vertical="center" wrapText="1"/>
    </xf>
    <xf numFmtId="0" fontId="46" fillId="3" borderId="1" xfId="18" applyFont="1" applyFill="1" applyBorder="1" applyAlignment="1">
      <alignment horizontal="center" vertical="center" wrapText="1"/>
    </xf>
    <xf numFmtId="0" fontId="46" fillId="3" borderId="1" xfId="18" applyNumberFormat="1" applyFont="1" applyFill="1" applyBorder="1" applyAlignment="1">
      <alignment horizontal="center" vertical="center" wrapText="1"/>
    </xf>
    <xf numFmtId="4" fontId="45" fillId="0" borderId="1" xfId="2" applyNumberFormat="1" applyFont="1" applyFill="1" applyBorder="1" applyAlignment="1">
      <alignment horizontal="center" vertical="center"/>
    </xf>
    <xf numFmtId="4" fontId="45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6" fillId="3" borderId="0" xfId="2" applyNumberFormat="1" applyFont="1" applyFill="1" applyBorder="1" applyAlignment="1">
      <alignment horizontal="center" vertical="center" wrapText="1"/>
    </xf>
    <xf numFmtId="49" fontId="46" fillId="0" borderId="0" xfId="2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2" fontId="57" fillId="0" borderId="1" xfId="0" applyNumberFormat="1" applyFont="1" applyFill="1" applyBorder="1" applyAlignment="1">
      <alignment horizontal="center" vertical="center"/>
    </xf>
    <xf numFmtId="1" fontId="39" fillId="0" borderId="1" xfId="2" applyNumberFormat="1" applyFont="1" applyFill="1" applyBorder="1" applyAlignment="1">
      <alignment horizontal="center" vertical="center"/>
    </xf>
    <xf numFmtId="2" fontId="39" fillId="0" borderId="1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/>
    </xf>
    <xf numFmtId="0" fontId="38" fillId="0" borderId="1" xfId="2" applyFont="1" applyFill="1" applyBorder="1" applyAlignment="1">
      <alignment horizontal="center"/>
    </xf>
    <xf numFmtId="2" fontId="38" fillId="0" borderId="1" xfId="2" applyNumberFormat="1" applyFont="1" applyFill="1" applyBorder="1" applyAlignment="1">
      <alignment horizontal="center" vertical="center"/>
    </xf>
    <xf numFmtId="0" fontId="39" fillId="0" borderId="1" xfId="2" applyNumberFormat="1" applyFont="1" applyFill="1" applyBorder="1" applyAlignment="1">
      <alignment horizontal="center" vertical="center" wrapText="1"/>
    </xf>
    <xf numFmtId="2" fontId="38" fillId="0" borderId="1" xfId="2" applyNumberFormat="1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2" fontId="38" fillId="3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/>
    </xf>
    <xf numFmtId="2" fontId="38" fillId="0" borderId="1" xfId="3" applyNumberFormat="1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2" fontId="34" fillId="0" borderId="1" xfId="0" applyNumberFormat="1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center" wrapText="1"/>
    </xf>
    <xf numFmtId="1" fontId="34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2" fontId="34" fillId="0" borderId="1" xfId="0" applyNumberFormat="1" applyFont="1" applyFill="1" applyBorder="1" applyAlignment="1">
      <alignment horizontal="center" wrapText="1"/>
    </xf>
    <xf numFmtId="166" fontId="34" fillId="0" borderId="1" xfId="0" applyNumberFormat="1" applyFont="1" applyFill="1" applyBorder="1" applyAlignment="1">
      <alignment horizontal="center" wrapText="1"/>
    </xf>
    <xf numFmtId="2" fontId="17" fillId="0" borderId="1" xfId="5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1" xfId="5" applyNumberFormat="1" applyFont="1" applyFill="1" applyBorder="1" applyAlignment="1">
      <alignment horizontal="center" vertical="center"/>
    </xf>
    <xf numFmtId="2" fontId="19" fillId="0" borderId="1" xfId="5" applyNumberFormat="1" applyFont="1" applyFill="1" applyBorder="1" applyAlignment="1">
      <alignment horizontal="center" vertical="center" wrapText="1"/>
    </xf>
    <xf numFmtId="2" fontId="24" fillId="0" borderId="1" xfId="2" applyNumberFormat="1" applyFont="1" applyFill="1" applyBorder="1" applyAlignment="1">
      <alignment horizontal="center" vertical="center" wrapText="1"/>
    </xf>
    <xf numFmtId="2" fontId="18" fillId="0" borderId="1" xfId="5" applyNumberFormat="1" applyFont="1" applyFill="1" applyBorder="1" applyAlignment="1">
      <alignment horizontal="center" vertical="center" wrapText="1"/>
    </xf>
    <xf numFmtId="1" fontId="17" fillId="0" borderId="1" xfId="3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7" fillId="0" borderId="1" xfId="17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" xfId="0" applyNumberFormat="1" applyFont="1" applyFill="1" applyBorder="1" applyAlignment="1">
      <alignment vertical="center" wrapText="1"/>
    </xf>
    <xf numFmtId="1" fontId="18" fillId="0" borderId="1" xfId="4" applyNumberFormat="1" applyFont="1" applyFill="1" applyBorder="1" applyAlignment="1">
      <alignment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2" fontId="17" fillId="0" borderId="1" xfId="18" applyNumberFormat="1" applyFont="1" applyFill="1" applyBorder="1" applyAlignment="1">
      <alignment horizontal="center" vertical="center"/>
    </xf>
    <xf numFmtId="2" fontId="17" fillId="0" borderId="1" xfId="4" applyNumberFormat="1" applyFont="1" applyFill="1" applyBorder="1" applyAlignment="1">
      <alignment horizontal="center" vertical="center"/>
    </xf>
    <xf numFmtId="2" fontId="18" fillId="0" borderId="1" xfId="4" applyNumberFormat="1" applyFont="1" applyFill="1" applyBorder="1" applyAlignment="1">
      <alignment horizontal="center" vertical="center"/>
    </xf>
    <xf numFmtId="2" fontId="17" fillId="0" borderId="1" xfId="2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center"/>
    </xf>
    <xf numFmtId="2" fontId="17" fillId="0" borderId="1" xfId="5" applyNumberFormat="1" applyFont="1" applyFill="1" applyBorder="1" applyAlignment="1">
      <alignment horizontal="center" wrapText="1"/>
    </xf>
    <xf numFmtId="2" fontId="18" fillId="0" borderId="1" xfId="5" applyNumberFormat="1" applyFont="1" applyFill="1" applyBorder="1" applyAlignment="1">
      <alignment horizontal="center" wrapText="1"/>
    </xf>
    <xf numFmtId="2" fontId="17" fillId="3" borderId="1" xfId="0" applyNumberFormat="1" applyFont="1" applyFill="1" applyBorder="1" applyAlignment="1">
      <alignment horizontal="center" vertical="center"/>
    </xf>
    <xf numFmtId="2" fontId="17" fillId="3" borderId="1" xfId="32" applyNumberFormat="1" applyFont="1" applyFill="1" applyBorder="1" applyAlignment="1">
      <alignment horizontal="center" vertical="center" wrapText="1"/>
    </xf>
    <xf numFmtId="2" fontId="17" fillId="0" borderId="1" xfId="30" applyNumberFormat="1" applyFont="1" applyFill="1" applyBorder="1" applyAlignment="1">
      <alignment horizontal="center" vertical="center" wrapText="1"/>
    </xf>
    <xf numFmtId="2" fontId="17" fillId="0" borderId="1" xfId="32" applyNumberFormat="1" applyFont="1" applyFill="1" applyBorder="1" applyAlignment="1">
      <alignment horizontal="center" vertical="center" wrapText="1"/>
    </xf>
    <xf numFmtId="2" fontId="17" fillId="0" borderId="1" xfId="31" applyNumberFormat="1" applyFont="1" applyFill="1" applyBorder="1" applyAlignment="1">
      <alignment horizontal="center" vertical="center" wrapText="1"/>
    </xf>
    <xf numFmtId="2" fontId="17" fillId="3" borderId="1" xfId="33" applyNumberFormat="1" applyFont="1" applyFill="1" applyBorder="1" applyAlignment="1">
      <alignment horizontal="center" vertical="center" wrapText="1"/>
    </xf>
    <xf numFmtId="2" fontId="17" fillId="0" borderId="1" xfId="33" applyNumberFormat="1" applyFont="1" applyFill="1" applyBorder="1" applyAlignment="1">
      <alignment horizontal="center" vertical="center" wrapText="1"/>
    </xf>
    <xf numFmtId="2" fontId="17" fillId="3" borderId="1" xfId="31" applyNumberFormat="1" applyFont="1" applyFill="1" applyBorder="1" applyAlignment="1">
      <alignment horizontal="center" vertical="center" wrapText="1"/>
    </xf>
    <xf numFmtId="2" fontId="18" fillId="3" borderId="1" xfId="5" applyNumberFormat="1" applyFont="1" applyFill="1" applyBorder="1" applyAlignment="1">
      <alignment horizontal="center" vertical="center" wrapText="1"/>
    </xf>
    <xf numFmtId="2" fontId="17" fillId="3" borderId="1" xfId="5" applyNumberFormat="1" applyFont="1" applyFill="1" applyBorder="1" applyAlignment="1">
      <alignment horizontal="center" vertical="center" wrapText="1"/>
    </xf>
    <xf numFmtId="2" fontId="18" fillId="3" borderId="1" xfId="8" applyNumberFormat="1" applyFont="1" applyFill="1" applyBorder="1" applyAlignment="1">
      <alignment horizontal="center" vertical="center" wrapText="1"/>
    </xf>
    <xf numFmtId="2" fontId="17" fillId="3" borderId="1" xfId="8" applyNumberFormat="1" applyFont="1" applyFill="1" applyBorder="1" applyAlignment="1">
      <alignment horizontal="center" vertical="center" wrapText="1"/>
    </xf>
    <xf numFmtId="2" fontId="17" fillId="3" borderId="1" xfId="18" applyNumberFormat="1" applyFont="1" applyFill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 wrapText="1"/>
    </xf>
    <xf numFmtId="1" fontId="18" fillId="0" borderId="1" xfId="2" applyNumberFormat="1" applyFont="1" applyFill="1" applyBorder="1" applyAlignment="1">
      <alignment horizontal="right" vertical="center" wrapText="1"/>
    </xf>
    <xf numFmtId="1" fontId="17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Fill="1" applyBorder="1" applyAlignment="1">
      <alignment horizontal="center" wrapText="1"/>
    </xf>
    <xf numFmtId="166" fontId="17" fillId="0" borderId="1" xfId="2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8" fillId="0" borderId="1" xfId="2" applyNumberFormat="1" applyFont="1" applyFill="1" applyBorder="1" applyAlignment="1">
      <alignment horizontal="center" wrapText="1"/>
    </xf>
    <xf numFmtId="0" fontId="18" fillId="0" borderId="1" xfId="2" applyFont="1" applyFill="1" applyBorder="1" applyAlignment="1">
      <alignment horizontal="center"/>
    </xf>
    <xf numFmtId="0" fontId="17" fillId="0" borderId="1" xfId="2" applyNumberFormat="1" applyFont="1" applyFill="1" applyBorder="1" applyAlignment="1">
      <alignment horizontal="center" wrapText="1"/>
    </xf>
    <xf numFmtId="0" fontId="17" fillId="0" borderId="1" xfId="2" applyFont="1" applyFill="1" applyBorder="1" applyAlignment="1">
      <alignment horizontal="center"/>
    </xf>
    <xf numFmtId="2" fontId="18" fillId="0" borderId="1" xfId="2" applyNumberFormat="1" applyFont="1" applyFill="1" applyBorder="1" applyAlignment="1">
      <alignment horizontal="center" wrapText="1"/>
    </xf>
    <xf numFmtId="2" fontId="17" fillId="0" borderId="1" xfId="5" applyNumberFormat="1" applyFont="1" applyFill="1" applyBorder="1" applyAlignment="1" applyProtection="1">
      <alignment horizontal="center" wrapText="1"/>
    </xf>
    <xf numFmtId="2" fontId="18" fillId="0" borderId="7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2" fontId="17" fillId="0" borderId="1" xfId="21" applyNumberFormat="1" applyFont="1" applyFill="1" applyBorder="1" applyAlignment="1">
      <alignment horizontal="center" wrapText="1"/>
    </xf>
    <xf numFmtId="2" fontId="18" fillId="0" borderId="1" xfId="23" applyNumberFormat="1" applyFont="1" applyFill="1" applyBorder="1" applyAlignment="1">
      <alignment horizontal="center" wrapText="1"/>
    </xf>
    <xf numFmtId="1" fontId="17" fillId="0" borderId="1" xfId="0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vertical="center" wrapText="1"/>
    </xf>
    <xf numFmtId="4" fontId="11" fillId="0" borderId="1" xfId="2" applyNumberFormat="1" applyFont="1" applyFill="1" applyBorder="1" applyAlignment="1">
      <alignment vertical="center" wrapText="1"/>
    </xf>
    <xf numFmtId="2" fontId="11" fillId="0" borderId="1" xfId="2" applyNumberFormat="1" applyFont="1" applyFill="1" applyBorder="1" applyAlignment="1">
      <alignment vertical="center" wrapText="1"/>
    </xf>
    <xf numFmtId="4" fontId="11" fillId="0" borderId="3" xfId="3" applyNumberFormat="1" applyFont="1" applyFill="1" applyBorder="1" applyAlignment="1">
      <alignment vertical="center" wrapText="1"/>
    </xf>
    <xf numFmtId="0" fontId="11" fillId="0" borderId="0" xfId="3" applyFont="1" applyFill="1" applyAlignment="1">
      <alignment horizontal="left" vertical="center"/>
    </xf>
    <xf numFmtId="49" fontId="11" fillId="0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horizontal="center" vertical="center" wrapText="1"/>
    </xf>
    <xf numFmtId="0" fontId="11" fillId="0" borderId="0" xfId="3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2" fontId="17" fillId="0" borderId="5" xfId="1" applyNumberFormat="1" applyFont="1" applyFill="1" applyBorder="1" applyAlignment="1">
      <alignment horizontal="right" vertical="center" wrapText="1"/>
    </xf>
    <xf numFmtId="2" fontId="17" fillId="0" borderId="7" xfId="1" applyNumberFormat="1" applyFont="1" applyFill="1" applyBorder="1" applyAlignment="1">
      <alignment horizontal="right" vertical="center" wrapText="1"/>
    </xf>
    <xf numFmtId="2" fontId="17" fillId="0" borderId="1" xfId="1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0" fontId="17" fillId="0" borderId="1" xfId="1" applyFont="1" applyFill="1" applyBorder="1" applyAlignment="1">
      <alignment horizontal="right" vertical="center" wrapText="1"/>
    </xf>
    <xf numFmtId="2" fontId="46" fillId="0" borderId="5" xfId="1" applyNumberFormat="1" applyFont="1" applyFill="1" applyBorder="1" applyAlignment="1">
      <alignment horizontal="right" vertical="center" wrapText="1"/>
    </xf>
    <xf numFmtId="2" fontId="46" fillId="0" borderId="7" xfId="1" applyNumberFormat="1" applyFont="1" applyFill="1" applyBorder="1" applyAlignment="1">
      <alignment horizontal="right" vertical="center" wrapText="1"/>
    </xf>
    <xf numFmtId="2" fontId="46" fillId="0" borderId="1" xfId="1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1" xfId="1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textRotation="90" wrapText="1"/>
    </xf>
    <xf numFmtId="0" fontId="46" fillId="0" borderId="1" xfId="0" applyFont="1" applyFill="1" applyBorder="1" applyAlignment="1">
      <alignment vertical="center" wrapText="1"/>
    </xf>
    <xf numFmtId="49" fontId="46" fillId="0" borderId="1" xfId="0" applyNumberFormat="1" applyFont="1" applyFill="1" applyBorder="1" applyAlignment="1">
      <alignment horizontal="center" vertical="center" textRotation="90" wrapText="1"/>
    </xf>
    <xf numFmtId="0" fontId="46" fillId="0" borderId="1" xfId="1" applyFont="1" applyFill="1" applyBorder="1" applyAlignment="1">
      <alignment horizontal="right" vertical="center" wrapText="1"/>
    </xf>
    <xf numFmtId="43" fontId="17" fillId="0" borderId="1" xfId="5" applyFont="1" applyFill="1" applyBorder="1" applyAlignment="1">
      <alignment horizontal="center" vertical="center"/>
    </xf>
    <xf numFmtId="43" fontId="17" fillId="0" borderId="1" xfId="5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textRotation="90" wrapText="1"/>
    </xf>
    <xf numFmtId="43" fontId="34" fillId="0" borderId="1" xfId="5" applyFont="1" applyFill="1" applyBorder="1" applyAlignment="1">
      <alignment horizontal="center" vertical="center"/>
    </xf>
    <xf numFmtId="43" fontId="34" fillId="0" borderId="1" xfId="5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" xfId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textRotation="90" wrapText="1"/>
    </xf>
    <xf numFmtId="0" fontId="34" fillId="0" borderId="1" xfId="0" applyFont="1" applyFill="1" applyBorder="1" applyAlignment="1">
      <alignment vertical="center" wrapText="1"/>
    </xf>
    <xf numFmtId="49" fontId="34" fillId="0" borderId="1" xfId="0" applyNumberFormat="1" applyFont="1" applyFill="1" applyBorder="1" applyAlignment="1">
      <alignment horizontal="center" vertical="center" textRotation="90" wrapText="1"/>
    </xf>
    <xf numFmtId="0" fontId="34" fillId="0" borderId="1" xfId="0" applyFont="1" applyFill="1" applyBorder="1" applyAlignment="1">
      <alignment horizontal="center" vertical="center" textRotation="90" wrapText="1"/>
    </xf>
    <xf numFmtId="0" fontId="29" fillId="0" borderId="0" xfId="3" applyFont="1" applyFill="1" applyAlignment="1">
      <alignment horizontal="left" vertical="center" wrapText="1"/>
    </xf>
    <xf numFmtId="0" fontId="29" fillId="0" borderId="0" xfId="3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textRotation="90" wrapText="1"/>
    </xf>
    <xf numFmtId="0" fontId="29" fillId="0" borderId="2" xfId="0" applyFont="1" applyFill="1" applyBorder="1" applyAlignment="1">
      <alignment horizontal="center" vertical="center" textRotation="90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46" fillId="0" borderId="5" xfId="1" applyFont="1" applyFill="1" applyBorder="1" applyAlignment="1">
      <alignment horizontal="center" vertical="center" wrapText="1"/>
    </xf>
    <xf numFmtId="0" fontId="46" fillId="0" borderId="7" xfId="1" applyFont="1" applyFill="1" applyBorder="1" applyAlignment="1">
      <alignment horizontal="center" vertical="center" wrapText="1"/>
    </xf>
    <xf numFmtId="0" fontId="45" fillId="0" borderId="0" xfId="2" applyFont="1" applyFill="1" applyAlignment="1">
      <alignment horizontal="center" vertical="center"/>
    </xf>
    <xf numFmtId="0" fontId="46" fillId="0" borderId="0" xfId="2" applyFont="1" applyFill="1" applyAlignment="1">
      <alignment horizontal="center" vertical="center" wrapText="1"/>
    </xf>
    <xf numFmtId="0" fontId="46" fillId="0" borderId="0" xfId="2" applyFont="1" applyFill="1" applyAlignment="1">
      <alignment horizontal="center" vertical="center"/>
    </xf>
    <xf numFmtId="0" fontId="46" fillId="0" borderId="0" xfId="2" applyFont="1" applyFill="1" applyAlignment="1">
      <alignment horizontal="right" vertical="center"/>
    </xf>
    <xf numFmtId="0" fontId="46" fillId="0" borderId="1" xfId="1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textRotation="90" wrapText="1"/>
    </xf>
    <xf numFmtId="0" fontId="46" fillId="3" borderId="1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5" xfId="1" applyFont="1" applyFill="1" applyBorder="1" applyAlignment="1">
      <alignment horizontal="center" vertical="center" wrapText="1"/>
    </xf>
    <xf numFmtId="0" fontId="38" fillId="0" borderId="7" xfId="1" applyFont="1" applyFill="1" applyBorder="1" applyAlignment="1">
      <alignment horizontal="center" vertical="center" wrapText="1"/>
    </xf>
    <xf numFmtId="2" fontId="38" fillId="0" borderId="1" xfId="1" applyNumberFormat="1" applyFont="1" applyFill="1" applyBorder="1" applyAlignment="1">
      <alignment horizontal="right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textRotation="90" wrapText="1"/>
    </xf>
    <xf numFmtId="0" fontId="38" fillId="0" borderId="1" xfId="0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horizontal="center" vertical="center" textRotation="90" wrapText="1"/>
    </xf>
    <xf numFmtId="0" fontId="34" fillId="0" borderId="0" xfId="0" applyFont="1" applyFill="1" applyAlignment="1">
      <alignment horizontal="right" vertical="center" wrapText="1"/>
    </xf>
    <xf numFmtId="2" fontId="34" fillId="0" borderId="0" xfId="0" applyNumberFormat="1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1" applyFont="1" applyFill="1" applyBorder="1" applyAlignment="1">
      <alignment horizontal="right" vertical="center" wrapText="1"/>
    </xf>
    <xf numFmtId="0" fontId="34" fillId="0" borderId="5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2" fontId="33" fillId="0" borderId="5" xfId="1" applyNumberFormat="1" applyFont="1" applyFill="1" applyBorder="1" applyAlignment="1">
      <alignment horizontal="right" vertical="center" wrapText="1"/>
    </xf>
    <xf numFmtId="2" fontId="33" fillId="0" borderId="7" xfId="1" applyNumberFormat="1" applyFont="1" applyFill="1" applyBorder="1" applyAlignment="1">
      <alignment horizontal="right" vertical="center" wrapText="1"/>
    </xf>
    <xf numFmtId="2" fontId="33" fillId="0" borderId="1" xfId="1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textRotation="90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0" fontId="75" fillId="0" borderId="7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6" fillId="0" borderId="7" xfId="0" applyFont="1" applyBorder="1" applyAlignment="1">
      <alignment horizontal="center" vertical="center" wrapText="1"/>
    </xf>
    <xf numFmtId="49" fontId="76" fillId="0" borderId="3" xfId="0" applyNumberFormat="1" applyFont="1" applyBorder="1" applyAlignment="1">
      <alignment horizontal="center" vertical="center" wrapText="1"/>
    </xf>
    <xf numFmtId="49" fontId="76" fillId="0" borderId="2" xfId="0" applyNumberFormat="1" applyFont="1" applyBorder="1" applyAlignment="1">
      <alignment horizontal="center" vertical="center" wrapText="1"/>
    </xf>
    <xf numFmtId="49" fontId="76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6" fillId="0" borderId="6" xfId="0" applyFont="1" applyBorder="1" applyAlignment="1">
      <alignment horizontal="center" vertical="center" wrapText="1"/>
    </xf>
  </cellXfs>
  <cellStyles count="34">
    <cellStyle name="Comma" xfId="5" builtinId="3"/>
    <cellStyle name="Comma 2" xfId="4" xr:uid="{00000000-0005-0000-0000-000001000000}"/>
    <cellStyle name="Comma 2 2" xfId="24" xr:uid="{00000000-0005-0000-0000-000002000000}"/>
    <cellStyle name="Comma 3" xfId="21" xr:uid="{00000000-0005-0000-0000-000003000000}"/>
    <cellStyle name="Normal" xfId="0" builtinId="0"/>
    <cellStyle name="Normal 10" xfId="31" xr:uid="{00000000-0005-0000-0000-000005000000}"/>
    <cellStyle name="Normal 11 2" xfId="16" xr:uid="{00000000-0005-0000-0000-000006000000}"/>
    <cellStyle name="Normal 14 3" xfId="14" xr:uid="{00000000-0005-0000-0000-000007000000}"/>
    <cellStyle name="Normal 14_anakia II etapi.xls sm. defeqturi" xfId="27" xr:uid="{00000000-0005-0000-0000-000008000000}"/>
    <cellStyle name="Normal 17" xfId="30" xr:uid="{00000000-0005-0000-0000-000009000000}"/>
    <cellStyle name="Normal 2" xfId="3" xr:uid="{00000000-0005-0000-0000-00000A000000}"/>
    <cellStyle name="Normal 2 10" xfId="23" xr:uid="{00000000-0005-0000-0000-00000B000000}"/>
    <cellStyle name="Normal 2 11" xfId="17" xr:uid="{00000000-0005-0000-0000-00000C000000}"/>
    <cellStyle name="Normal 2 2" xfId="7" xr:uid="{00000000-0005-0000-0000-00000D000000}"/>
    <cellStyle name="Normal 3" xfId="26" xr:uid="{00000000-0005-0000-0000-00000E000000}"/>
    <cellStyle name="Normal 49" xfId="28" xr:uid="{00000000-0005-0000-0000-00000F000000}"/>
    <cellStyle name="Normal_gare wyalsadfenigagarini 10" xfId="32" xr:uid="{00000000-0005-0000-0000-000010000000}"/>
    <cellStyle name="Normal_gare wyalsadfenigagarini 2 2" xfId="33" xr:uid="{00000000-0005-0000-0000-000011000000}"/>
    <cellStyle name="Normal_qavtarazis mravalfunqciuri kompleqsis xarjTaRricxva" xfId="20" xr:uid="{00000000-0005-0000-0000-000012000000}"/>
    <cellStyle name="Обычный 2" xfId="2" xr:uid="{00000000-0005-0000-0000-000013000000}"/>
    <cellStyle name="Обычный 2 2" xfId="18" xr:uid="{00000000-0005-0000-0000-000014000000}"/>
    <cellStyle name="Обычный 2 3" xfId="19" xr:uid="{00000000-0005-0000-0000-000015000000}"/>
    <cellStyle name="Обычный 3" xfId="12" xr:uid="{00000000-0005-0000-0000-000016000000}"/>
    <cellStyle name="Обычный 3 2" xfId="22" xr:uid="{00000000-0005-0000-0000-000017000000}"/>
    <cellStyle name="Обычный 4" xfId="25" xr:uid="{00000000-0005-0000-0000-000018000000}"/>
    <cellStyle name="Обычный 4 2" xfId="29" xr:uid="{00000000-0005-0000-0000-000019000000}"/>
    <cellStyle name="Обычный 6" xfId="8" xr:uid="{00000000-0005-0000-0000-00001A000000}"/>
    <cellStyle name="Обычный_eras 50-52" xfId="6" xr:uid="{00000000-0005-0000-0000-00001B000000}"/>
    <cellStyle name="Обычный_ruruas 9" xfId="9" xr:uid="{00000000-0005-0000-0000-00001C000000}"/>
    <cellStyle name="Обычный_S.S.S" xfId="11" xr:uid="{00000000-0005-0000-0000-00001D000000}"/>
    <cellStyle name="Обычный_Лист1" xfId="1" xr:uid="{00000000-0005-0000-0000-00001E000000}"/>
    <cellStyle name="Финансовый 2" xfId="13" xr:uid="{00000000-0005-0000-0000-00001F000000}"/>
    <cellStyle name="Финансовый 3" xfId="15" xr:uid="{00000000-0005-0000-0000-000020000000}"/>
    <cellStyle name="Финансовый 4" xfId="10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A1:L33"/>
  <sheetViews>
    <sheetView topLeftCell="A16" zoomScale="110" zoomScaleNormal="110" zoomScaleSheetLayoutView="110" workbookViewId="0">
      <selection activeCell="H31" sqref="H31"/>
    </sheetView>
  </sheetViews>
  <sheetFormatPr defaultColWidth="9.140625" defaultRowHeight="15.75"/>
  <cols>
    <col min="1" max="1" width="5.28515625" style="1223" customWidth="1"/>
    <col min="2" max="2" width="12.140625" style="1223" customWidth="1"/>
    <col min="3" max="3" width="45.140625" style="1223" customWidth="1"/>
    <col min="4" max="7" width="16.140625" style="1223" customWidth="1"/>
    <col min="8" max="8" width="17.7109375" style="1223" customWidth="1"/>
    <col min="9" max="9" width="11.42578125" style="1223" bestFit="1" customWidth="1"/>
    <col min="10" max="11" width="9.140625" style="1223"/>
    <col min="12" max="12" width="10.85546875" style="1223" customWidth="1"/>
    <col min="13" max="14" width="3.7109375" style="1223" customWidth="1"/>
    <col min="15" max="251" width="9.140625" style="1223"/>
    <col min="252" max="252" width="5.28515625" style="1223" customWidth="1"/>
    <col min="253" max="253" width="10.28515625" style="1223" customWidth="1"/>
    <col min="254" max="254" width="41" style="1223" customWidth="1"/>
    <col min="255" max="258" width="12.85546875" style="1223" customWidth="1"/>
    <col min="259" max="259" width="10.28515625" style="1223" bestFit="1" customWidth="1"/>
    <col min="260" max="260" width="13.140625" style="1223" customWidth="1"/>
    <col min="261" max="507" width="9.140625" style="1223"/>
    <col min="508" max="508" width="5.28515625" style="1223" customWidth="1"/>
    <col min="509" max="509" width="10.28515625" style="1223" customWidth="1"/>
    <col min="510" max="510" width="41" style="1223" customWidth="1"/>
    <col min="511" max="514" width="12.85546875" style="1223" customWidth="1"/>
    <col min="515" max="515" width="10.28515625" style="1223" bestFit="1" customWidth="1"/>
    <col min="516" max="516" width="13.140625" style="1223" customWidth="1"/>
    <col min="517" max="763" width="9.140625" style="1223"/>
    <col min="764" max="764" width="5.28515625" style="1223" customWidth="1"/>
    <col min="765" max="765" width="10.28515625" style="1223" customWidth="1"/>
    <col min="766" max="766" width="41" style="1223" customWidth="1"/>
    <col min="767" max="770" width="12.85546875" style="1223" customWidth="1"/>
    <col min="771" max="771" width="10.28515625" style="1223" bestFit="1" customWidth="1"/>
    <col min="772" max="772" width="13.140625" style="1223" customWidth="1"/>
    <col min="773" max="1019" width="9.140625" style="1223"/>
    <col min="1020" max="1020" width="5.28515625" style="1223" customWidth="1"/>
    <col min="1021" max="1021" width="10.28515625" style="1223" customWidth="1"/>
    <col min="1022" max="1022" width="41" style="1223" customWidth="1"/>
    <col min="1023" max="1026" width="12.85546875" style="1223" customWidth="1"/>
    <col min="1027" max="1027" width="10.28515625" style="1223" bestFit="1" customWidth="1"/>
    <col min="1028" max="1028" width="13.140625" style="1223" customWidth="1"/>
    <col min="1029" max="1275" width="9.140625" style="1223"/>
    <col min="1276" max="1276" width="5.28515625" style="1223" customWidth="1"/>
    <col min="1277" max="1277" width="10.28515625" style="1223" customWidth="1"/>
    <col min="1278" max="1278" width="41" style="1223" customWidth="1"/>
    <col min="1279" max="1282" width="12.85546875" style="1223" customWidth="1"/>
    <col min="1283" max="1283" width="10.28515625" style="1223" bestFit="1" customWidth="1"/>
    <col min="1284" max="1284" width="13.140625" style="1223" customWidth="1"/>
    <col min="1285" max="1531" width="9.140625" style="1223"/>
    <col min="1532" max="1532" width="5.28515625" style="1223" customWidth="1"/>
    <col min="1533" max="1533" width="10.28515625" style="1223" customWidth="1"/>
    <col min="1534" max="1534" width="41" style="1223" customWidth="1"/>
    <col min="1535" max="1538" width="12.85546875" style="1223" customWidth="1"/>
    <col min="1539" max="1539" width="10.28515625" style="1223" bestFit="1" customWidth="1"/>
    <col min="1540" max="1540" width="13.140625" style="1223" customWidth="1"/>
    <col min="1541" max="1787" width="9.140625" style="1223"/>
    <col min="1788" max="1788" width="5.28515625" style="1223" customWidth="1"/>
    <col min="1789" max="1789" width="10.28515625" style="1223" customWidth="1"/>
    <col min="1790" max="1790" width="41" style="1223" customWidth="1"/>
    <col min="1791" max="1794" width="12.85546875" style="1223" customWidth="1"/>
    <col min="1795" max="1795" width="10.28515625" style="1223" bestFit="1" customWidth="1"/>
    <col min="1796" max="1796" width="13.140625" style="1223" customWidth="1"/>
    <col min="1797" max="2043" width="9.140625" style="1223"/>
    <col min="2044" max="2044" width="5.28515625" style="1223" customWidth="1"/>
    <col min="2045" max="2045" width="10.28515625" style="1223" customWidth="1"/>
    <col min="2046" max="2046" width="41" style="1223" customWidth="1"/>
    <col min="2047" max="2050" width="12.85546875" style="1223" customWidth="1"/>
    <col min="2051" max="2051" width="10.28515625" style="1223" bestFit="1" customWidth="1"/>
    <col min="2052" max="2052" width="13.140625" style="1223" customWidth="1"/>
    <col min="2053" max="2299" width="9.140625" style="1223"/>
    <col min="2300" max="2300" width="5.28515625" style="1223" customWidth="1"/>
    <col min="2301" max="2301" width="10.28515625" style="1223" customWidth="1"/>
    <col min="2302" max="2302" width="41" style="1223" customWidth="1"/>
    <col min="2303" max="2306" width="12.85546875" style="1223" customWidth="1"/>
    <col min="2307" max="2307" width="10.28515625" style="1223" bestFit="1" customWidth="1"/>
    <col min="2308" max="2308" width="13.140625" style="1223" customWidth="1"/>
    <col min="2309" max="2555" width="9.140625" style="1223"/>
    <col min="2556" max="2556" width="5.28515625" style="1223" customWidth="1"/>
    <col min="2557" max="2557" width="10.28515625" style="1223" customWidth="1"/>
    <col min="2558" max="2558" width="41" style="1223" customWidth="1"/>
    <col min="2559" max="2562" width="12.85546875" style="1223" customWidth="1"/>
    <col min="2563" max="2563" width="10.28515625" style="1223" bestFit="1" customWidth="1"/>
    <col min="2564" max="2564" width="13.140625" style="1223" customWidth="1"/>
    <col min="2565" max="2811" width="9.140625" style="1223"/>
    <col min="2812" max="2812" width="5.28515625" style="1223" customWidth="1"/>
    <col min="2813" max="2813" width="10.28515625" style="1223" customWidth="1"/>
    <col min="2814" max="2814" width="41" style="1223" customWidth="1"/>
    <col min="2815" max="2818" width="12.85546875" style="1223" customWidth="1"/>
    <col min="2819" max="2819" width="10.28515625" style="1223" bestFit="1" customWidth="1"/>
    <col min="2820" max="2820" width="13.140625" style="1223" customWidth="1"/>
    <col min="2821" max="3067" width="9.140625" style="1223"/>
    <col min="3068" max="3068" width="5.28515625" style="1223" customWidth="1"/>
    <col min="3069" max="3069" width="10.28515625" style="1223" customWidth="1"/>
    <col min="3070" max="3070" width="41" style="1223" customWidth="1"/>
    <col min="3071" max="3074" width="12.85546875" style="1223" customWidth="1"/>
    <col min="3075" max="3075" width="10.28515625" style="1223" bestFit="1" customWidth="1"/>
    <col min="3076" max="3076" width="13.140625" style="1223" customWidth="1"/>
    <col min="3077" max="3323" width="9.140625" style="1223"/>
    <col min="3324" max="3324" width="5.28515625" style="1223" customWidth="1"/>
    <col min="3325" max="3325" width="10.28515625" style="1223" customWidth="1"/>
    <col min="3326" max="3326" width="41" style="1223" customWidth="1"/>
    <col min="3327" max="3330" width="12.85546875" style="1223" customWidth="1"/>
    <col min="3331" max="3331" width="10.28515625" style="1223" bestFit="1" customWidth="1"/>
    <col min="3332" max="3332" width="13.140625" style="1223" customWidth="1"/>
    <col min="3333" max="3579" width="9.140625" style="1223"/>
    <col min="3580" max="3580" width="5.28515625" style="1223" customWidth="1"/>
    <col min="3581" max="3581" width="10.28515625" style="1223" customWidth="1"/>
    <col min="3582" max="3582" width="41" style="1223" customWidth="1"/>
    <col min="3583" max="3586" width="12.85546875" style="1223" customWidth="1"/>
    <col min="3587" max="3587" width="10.28515625" style="1223" bestFit="1" customWidth="1"/>
    <col min="3588" max="3588" width="13.140625" style="1223" customWidth="1"/>
    <col min="3589" max="3835" width="9.140625" style="1223"/>
    <col min="3836" max="3836" width="5.28515625" style="1223" customWidth="1"/>
    <col min="3837" max="3837" width="10.28515625" style="1223" customWidth="1"/>
    <col min="3838" max="3838" width="41" style="1223" customWidth="1"/>
    <col min="3839" max="3842" width="12.85546875" style="1223" customWidth="1"/>
    <col min="3843" max="3843" width="10.28515625" style="1223" bestFit="1" customWidth="1"/>
    <col min="3844" max="3844" width="13.140625" style="1223" customWidth="1"/>
    <col min="3845" max="4091" width="9.140625" style="1223"/>
    <col min="4092" max="4092" width="5.28515625" style="1223" customWidth="1"/>
    <col min="4093" max="4093" width="10.28515625" style="1223" customWidth="1"/>
    <col min="4094" max="4094" width="41" style="1223" customWidth="1"/>
    <col min="4095" max="4098" width="12.85546875" style="1223" customWidth="1"/>
    <col min="4099" max="4099" width="10.28515625" style="1223" bestFit="1" customWidth="1"/>
    <col min="4100" max="4100" width="13.140625" style="1223" customWidth="1"/>
    <col min="4101" max="4347" width="9.140625" style="1223"/>
    <col min="4348" max="4348" width="5.28515625" style="1223" customWidth="1"/>
    <col min="4349" max="4349" width="10.28515625" style="1223" customWidth="1"/>
    <col min="4350" max="4350" width="41" style="1223" customWidth="1"/>
    <col min="4351" max="4354" width="12.85546875" style="1223" customWidth="1"/>
    <col min="4355" max="4355" width="10.28515625" style="1223" bestFit="1" customWidth="1"/>
    <col min="4356" max="4356" width="13.140625" style="1223" customWidth="1"/>
    <col min="4357" max="4603" width="9.140625" style="1223"/>
    <col min="4604" max="4604" width="5.28515625" style="1223" customWidth="1"/>
    <col min="4605" max="4605" width="10.28515625" style="1223" customWidth="1"/>
    <col min="4606" max="4606" width="41" style="1223" customWidth="1"/>
    <col min="4607" max="4610" width="12.85546875" style="1223" customWidth="1"/>
    <col min="4611" max="4611" width="10.28515625" style="1223" bestFit="1" customWidth="1"/>
    <col min="4612" max="4612" width="13.140625" style="1223" customWidth="1"/>
    <col min="4613" max="4859" width="9.140625" style="1223"/>
    <col min="4860" max="4860" width="5.28515625" style="1223" customWidth="1"/>
    <col min="4861" max="4861" width="10.28515625" style="1223" customWidth="1"/>
    <col min="4862" max="4862" width="41" style="1223" customWidth="1"/>
    <col min="4863" max="4866" width="12.85546875" style="1223" customWidth="1"/>
    <col min="4867" max="4867" width="10.28515625" style="1223" bestFit="1" customWidth="1"/>
    <col min="4868" max="4868" width="13.140625" style="1223" customWidth="1"/>
    <col min="4869" max="5115" width="9.140625" style="1223"/>
    <col min="5116" max="5116" width="5.28515625" style="1223" customWidth="1"/>
    <col min="5117" max="5117" width="10.28515625" style="1223" customWidth="1"/>
    <col min="5118" max="5118" width="41" style="1223" customWidth="1"/>
    <col min="5119" max="5122" width="12.85546875" style="1223" customWidth="1"/>
    <col min="5123" max="5123" width="10.28515625" style="1223" bestFit="1" customWidth="1"/>
    <col min="5124" max="5124" width="13.140625" style="1223" customWidth="1"/>
    <col min="5125" max="5371" width="9.140625" style="1223"/>
    <col min="5372" max="5372" width="5.28515625" style="1223" customWidth="1"/>
    <col min="5373" max="5373" width="10.28515625" style="1223" customWidth="1"/>
    <col min="5374" max="5374" width="41" style="1223" customWidth="1"/>
    <col min="5375" max="5378" width="12.85546875" style="1223" customWidth="1"/>
    <col min="5379" max="5379" width="10.28515625" style="1223" bestFit="1" customWidth="1"/>
    <col min="5380" max="5380" width="13.140625" style="1223" customWidth="1"/>
    <col min="5381" max="5627" width="9.140625" style="1223"/>
    <col min="5628" max="5628" width="5.28515625" style="1223" customWidth="1"/>
    <col min="5629" max="5629" width="10.28515625" style="1223" customWidth="1"/>
    <col min="5630" max="5630" width="41" style="1223" customWidth="1"/>
    <col min="5631" max="5634" width="12.85546875" style="1223" customWidth="1"/>
    <col min="5635" max="5635" width="10.28515625" style="1223" bestFit="1" customWidth="1"/>
    <col min="5636" max="5636" width="13.140625" style="1223" customWidth="1"/>
    <col min="5637" max="5883" width="9.140625" style="1223"/>
    <col min="5884" max="5884" width="5.28515625" style="1223" customWidth="1"/>
    <col min="5885" max="5885" width="10.28515625" style="1223" customWidth="1"/>
    <col min="5886" max="5886" width="41" style="1223" customWidth="1"/>
    <col min="5887" max="5890" width="12.85546875" style="1223" customWidth="1"/>
    <col min="5891" max="5891" width="10.28515625" style="1223" bestFit="1" customWidth="1"/>
    <col min="5892" max="5892" width="13.140625" style="1223" customWidth="1"/>
    <col min="5893" max="6139" width="9.140625" style="1223"/>
    <col min="6140" max="6140" width="5.28515625" style="1223" customWidth="1"/>
    <col min="6141" max="6141" width="10.28515625" style="1223" customWidth="1"/>
    <col min="6142" max="6142" width="41" style="1223" customWidth="1"/>
    <col min="6143" max="6146" width="12.85546875" style="1223" customWidth="1"/>
    <col min="6147" max="6147" width="10.28515625" style="1223" bestFit="1" customWidth="1"/>
    <col min="6148" max="6148" width="13.140625" style="1223" customWidth="1"/>
    <col min="6149" max="6395" width="9.140625" style="1223"/>
    <col min="6396" max="6396" width="5.28515625" style="1223" customWidth="1"/>
    <col min="6397" max="6397" width="10.28515625" style="1223" customWidth="1"/>
    <col min="6398" max="6398" width="41" style="1223" customWidth="1"/>
    <col min="6399" max="6402" width="12.85546875" style="1223" customWidth="1"/>
    <col min="6403" max="6403" width="10.28515625" style="1223" bestFit="1" customWidth="1"/>
    <col min="6404" max="6404" width="13.140625" style="1223" customWidth="1"/>
    <col min="6405" max="6651" width="9.140625" style="1223"/>
    <col min="6652" max="6652" width="5.28515625" style="1223" customWidth="1"/>
    <col min="6653" max="6653" width="10.28515625" style="1223" customWidth="1"/>
    <col min="6654" max="6654" width="41" style="1223" customWidth="1"/>
    <col min="6655" max="6658" width="12.85546875" style="1223" customWidth="1"/>
    <col min="6659" max="6659" width="10.28515625" style="1223" bestFit="1" customWidth="1"/>
    <col min="6660" max="6660" width="13.140625" style="1223" customWidth="1"/>
    <col min="6661" max="6907" width="9.140625" style="1223"/>
    <col min="6908" max="6908" width="5.28515625" style="1223" customWidth="1"/>
    <col min="6909" max="6909" width="10.28515625" style="1223" customWidth="1"/>
    <col min="6910" max="6910" width="41" style="1223" customWidth="1"/>
    <col min="6911" max="6914" width="12.85546875" style="1223" customWidth="1"/>
    <col min="6915" max="6915" width="10.28515625" style="1223" bestFit="1" customWidth="1"/>
    <col min="6916" max="6916" width="13.140625" style="1223" customWidth="1"/>
    <col min="6917" max="7163" width="9.140625" style="1223"/>
    <col min="7164" max="7164" width="5.28515625" style="1223" customWidth="1"/>
    <col min="7165" max="7165" width="10.28515625" style="1223" customWidth="1"/>
    <col min="7166" max="7166" width="41" style="1223" customWidth="1"/>
    <col min="7167" max="7170" width="12.85546875" style="1223" customWidth="1"/>
    <col min="7171" max="7171" width="10.28515625" style="1223" bestFit="1" customWidth="1"/>
    <col min="7172" max="7172" width="13.140625" style="1223" customWidth="1"/>
    <col min="7173" max="7419" width="9.140625" style="1223"/>
    <col min="7420" max="7420" width="5.28515625" style="1223" customWidth="1"/>
    <col min="7421" max="7421" width="10.28515625" style="1223" customWidth="1"/>
    <col min="7422" max="7422" width="41" style="1223" customWidth="1"/>
    <col min="7423" max="7426" width="12.85546875" style="1223" customWidth="1"/>
    <col min="7427" max="7427" width="10.28515625" style="1223" bestFit="1" customWidth="1"/>
    <col min="7428" max="7428" width="13.140625" style="1223" customWidth="1"/>
    <col min="7429" max="7675" width="9.140625" style="1223"/>
    <col min="7676" max="7676" width="5.28515625" style="1223" customWidth="1"/>
    <col min="7677" max="7677" width="10.28515625" style="1223" customWidth="1"/>
    <col min="7678" max="7678" width="41" style="1223" customWidth="1"/>
    <col min="7679" max="7682" width="12.85546875" style="1223" customWidth="1"/>
    <col min="7683" max="7683" width="10.28515625" style="1223" bestFit="1" customWidth="1"/>
    <col min="7684" max="7684" width="13.140625" style="1223" customWidth="1"/>
    <col min="7685" max="7931" width="9.140625" style="1223"/>
    <col min="7932" max="7932" width="5.28515625" style="1223" customWidth="1"/>
    <col min="7933" max="7933" width="10.28515625" style="1223" customWidth="1"/>
    <col min="7934" max="7934" width="41" style="1223" customWidth="1"/>
    <col min="7935" max="7938" width="12.85546875" style="1223" customWidth="1"/>
    <col min="7939" max="7939" width="10.28515625" style="1223" bestFit="1" customWidth="1"/>
    <col min="7940" max="7940" width="13.140625" style="1223" customWidth="1"/>
    <col min="7941" max="8187" width="9.140625" style="1223"/>
    <col min="8188" max="8188" width="5.28515625" style="1223" customWidth="1"/>
    <col min="8189" max="8189" width="10.28515625" style="1223" customWidth="1"/>
    <col min="8190" max="8190" width="41" style="1223" customWidth="1"/>
    <col min="8191" max="8194" width="12.85546875" style="1223" customWidth="1"/>
    <col min="8195" max="8195" width="10.28515625" style="1223" bestFit="1" customWidth="1"/>
    <col min="8196" max="8196" width="13.140625" style="1223" customWidth="1"/>
    <col min="8197" max="8443" width="9.140625" style="1223"/>
    <col min="8444" max="8444" width="5.28515625" style="1223" customWidth="1"/>
    <col min="8445" max="8445" width="10.28515625" style="1223" customWidth="1"/>
    <col min="8446" max="8446" width="41" style="1223" customWidth="1"/>
    <col min="8447" max="8450" width="12.85546875" style="1223" customWidth="1"/>
    <col min="8451" max="8451" width="10.28515625" style="1223" bestFit="1" customWidth="1"/>
    <col min="8452" max="8452" width="13.140625" style="1223" customWidth="1"/>
    <col min="8453" max="8699" width="9.140625" style="1223"/>
    <col min="8700" max="8700" width="5.28515625" style="1223" customWidth="1"/>
    <col min="8701" max="8701" width="10.28515625" style="1223" customWidth="1"/>
    <col min="8702" max="8702" width="41" style="1223" customWidth="1"/>
    <col min="8703" max="8706" width="12.85546875" style="1223" customWidth="1"/>
    <col min="8707" max="8707" width="10.28515625" style="1223" bestFit="1" customWidth="1"/>
    <col min="8708" max="8708" width="13.140625" style="1223" customWidth="1"/>
    <col min="8709" max="8955" width="9.140625" style="1223"/>
    <col min="8956" max="8956" width="5.28515625" style="1223" customWidth="1"/>
    <col min="8957" max="8957" width="10.28515625" style="1223" customWidth="1"/>
    <col min="8958" max="8958" width="41" style="1223" customWidth="1"/>
    <col min="8959" max="8962" width="12.85546875" style="1223" customWidth="1"/>
    <col min="8963" max="8963" width="10.28515625" style="1223" bestFit="1" customWidth="1"/>
    <col min="8964" max="8964" width="13.140625" style="1223" customWidth="1"/>
    <col min="8965" max="9211" width="9.140625" style="1223"/>
    <col min="9212" max="9212" width="5.28515625" style="1223" customWidth="1"/>
    <col min="9213" max="9213" width="10.28515625" style="1223" customWidth="1"/>
    <col min="9214" max="9214" width="41" style="1223" customWidth="1"/>
    <col min="9215" max="9218" width="12.85546875" style="1223" customWidth="1"/>
    <col min="9219" max="9219" width="10.28515625" style="1223" bestFit="1" customWidth="1"/>
    <col min="9220" max="9220" width="13.140625" style="1223" customWidth="1"/>
    <col min="9221" max="9467" width="9.140625" style="1223"/>
    <col min="9468" max="9468" width="5.28515625" style="1223" customWidth="1"/>
    <col min="9469" max="9469" width="10.28515625" style="1223" customWidth="1"/>
    <col min="9470" max="9470" width="41" style="1223" customWidth="1"/>
    <col min="9471" max="9474" width="12.85546875" style="1223" customWidth="1"/>
    <col min="9475" max="9475" width="10.28515625" style="1223" bestFit="1" customWidth="1"/>
    <col min="9476" max="9476" width="13.140625" style="1223" customWidth="1"/>
    <col min="9477" max="9723" width="9.140625" style="1223"/>
    <col min="9724" max="9724" width="5.28515625" style="1223" customWidth="1"/>
    <col min="9725" max="9725" width="10.28515625" style="1223" customWidth="1"/>
    <col min="9726" max="9726" width="41" style="1223" customWidth="1"/>
    <col min="9727" max="9730" width="12.85546875" style="1223" customWidth="1"/>
    <col min="9731" max="9731" width="10.28515625" style="1223" bestFit="1" customWidth="1"/>
    <col min="9732" max="9732" width="13.140625" style="1223" customWidth="1"/>
    <col min="9733" max="9979" width="9.140625" style="1223"/>
    <col min="9980" max="9980" width="5.28515625" style="1223" customWidth="1"/>
    <col min="9981" max="9981" width="10.28515625" style="1223" customWidth="1"/>
    <col min="9982" max="9982" width="41" style="1223" customWidth="1"/>
    <col min="9983" max="9986" width="12.85546875" style="1223" customWidth="1"/>
    <col min="9987" max="9987" width="10.28515625" style="1223" bestFit="1" customWidth="1"/>
    <col min="9988" max="9988" width="13.140625" style="1223" customWidth="1"/>
    <col min="9989" max="10235" width="9.140625" style="1223"/>
    <col min="10236" max="10236" width="5.28515625" style="1223" customWidth="1"/>
    <col min="10237" max="10237" width="10.28515625" style="1223" customWidth="1"/>
    <col min="10238" max="10238" width="41" style="1223" customWidth="1"/>
    <col min="10239" max="10242" width="12.85546875" style="1223" customWidth="1"/>
    <col min="10243" max="10243" width="10.28515625" style="1223" bestFit="1" customWidth="1"/>
    <col min="10244" max="10244" width="13.140625" style="1223" customWidth="1"/>
    <col min="10245" max="10491" width="9.140625" style="1223"/>
    <col min="10492" max="10492" width="5.28515625" style="1223" customWidth="1"/>
    <col min="10493" max="10493" width="10.28515625" style="1223" customWidth="1"/>
    <col min="10494" max="10494" width="41" style="1223" customWidth="1"/>
    <col min="10495" max="10498" width="12.85546875" style="1223" customWidth="1"/>
    <col min="10499" max="10499" width="10.28515625" style="1223" bestFit="1" customWidth="1"/>
    <col min="10500" max="10500" width="13.140625" style="1223" customWidth="1"/>
    <col min="10501" max="10747" width="9.140625" style="1223"/>
    <col min="10748" max="10748" width="5.28515625" style="1223" customWidth="1"/>
    <col min="10749" max="10749" width="10.28515625" style="1223" customWidth="1"/>
    <col min="10750" max="10750" width="41" style="1223" customWidth="1"/>
    <col min="10751" max="10754" width="12.85546875" style="1223" customWidth="1"/>
    <col min="10755" max="10755" width="10.28515625" style="1223" bestFit="1" customWidth="1"/>
    <col min="10756" max="10756" width="13.140625" style="1223" customWidth="1"/>
    <col min="10757" max="11003" width="9.140625" style="1223"/>
    <col min="11004" max="11004" width="5.28515625" style="1223" customWidth="1"/>
    <col min="11005" max="11005" width="10.28515625" style="1223" customWidth="1"/>
    <col min="11006" max="11006" width="41" style="1223" customWidth="1"/>
    <col min="11007" max="11010" width="12.85546875" style="1223" customWidth="1"/>
    <col min="11011" max="11011" width="10.28515625" style="1223" bestFit="1" customWidth="1"/>
    <col min="11012" max="11012" width="13.140625" style="1223" customWidth="1"/>
    <col min="11013" max="11259" width="9.140625" style="1223"/>
    <col min="11260" max="11260" width="5.28515625" style="1223" customWidth="1"/>
    <col min="11261" max="11261" width="10.28515625" style="1223" customWidth="1"/>
    <col min="11262" max="11262" width="41" style="1223" customWidth="1"/>
    <col min="11263" max="11266" width="12.85546875" style="1223" customWidth="1"/>
    <col min="11267" max="11267" width="10.28515625" style="1223" bestFit="1" customWidth="1"/>
    <col min="11268" max="11268" width="13.140625" style="1223" customWidth="1"/>
    <col min="11269" max="11515" width="9.140625" style="1223"/>
    <col min="11516" max="11516" width="5.28515625" style="1223" customWidth="1"/>
    <col min="11517" max="11517" width="10.28515625" style="1223" customWidth="1"/>
    <col min="11518" max="11518" width="41" style="1223" customWidth="1"/>
    <col min="11519" max="11522" width="12.85546875" style="1223" customWidth="1"/>
    <col min="11523" max="11523" width="10.28515625" style="1223" bestFit="1" customWidth="1"/>
    <col min="11524" max="11524" width="13.140625" style="1223" customWidth="1"/>
    <col min="11525" max="11771" width="9.140625" style="1223"/>
    <col min="11772" max="11772" width="5.28515625" style="1223" customWidth="1"/>
    <col min="11773" max="11773" width="10.28515625" style="1223" customWidth="1"/>
    <col min="11774" max="11774" width="41" style="1223" customWidth="1"/>
    <col min="11775" max="11778" width="12.85546875" style="1223" customWidth="1"/>
    <col min="11779" max="11779" width="10.28515625" style="1223" bestFit="1" customWidth="1"/>
    <col min="11780" max="11780" width="13.140625" style="1223" customWidth="1"/>
    <col min="11781" max="12027" width="9.140625" style="1223"/>
    <col min="12028" max="12028" width="5.28515625" style="1223" customWidth="1"/>
    <col min="12029" max="12029" width="10.28515625" style="1223" customWidth="1"/>
    <col min="12030" max="12030" width="41" style="1223" customWidth="1"/>
    <col min="12031" max="12034" width="12.85546875" style="1223" customWidth="1"/>
    <col min="12035" max="12035" width="10.28515625" style="1223" bestFit="1" customWidth="1"/>
    <col min="12036" max="12036" width="13.140625" style="1223" customWidth="1"/>
    <col min="12037" max="12283" width="9.140625" style="1223"/>
    <col min="12284" max="12284" width="5.28515625" style="1223" customWidth="1"/>
    <col min="12285" max="12285" width="10.28515625" style="1223" customWidth="1"/>
    <col min="12286" max="12286" width="41" style="1223" customWidth="1"/>
    <col min="12287" max="12290" width="12.85546875" style="1223" customWidth="1"/>
    <col min="12291" max="12291" width="10.28515625" style="1223" bestFit="1" customWidth="1"/>
    <col min="12292" max="12292" width="13.140625" style="1223" customWidth="1"/>
    <col min="12293" max="12539" width="9.140625" style="1223"/>
    <col min="12540" max="12540" width="5.28515625" style="1223" customWidth="1"/>
    <col min="12541" max="12541" width="10.28515625" style="1223" customWidth="1"/>
    <col min="12542" max="12542" width="41" style="1223" customWidth="1"/>
    <col min="12543" max="12546" width="12.85546875" style="1223" customWidth="1"/>
    <col min="12547" max="12547" width="10.28515625" style="1223" bestFit="1" customWidth="1"/>
    <col min="12548" max="12548" width="13.140625" style="1223" customWidth="1"/>
    <col min="12549" max="12795" width="9.140625" style="1223"/>
    <col min="12796" max="12796" width="5.28515625" style="1223" customWidth="1"/>
    <col min="12797" max="12797" width="10.28515625" style="1223" customWidth="1"/>
    <col min="12798" max="12798" width="41" style="1223" customWidth="1"/>
    <col min="12799" max="12802" width="12.85546875" style="1223" customWidth="1"/>
    <col min="12803" max="12803" width="10.28515625" style="1223" bestFit="1" customWidth="1"/>
    <col min="12804" max="12804" width="13.140625" style="1223" customWidth="1"/>
    <col min="12805" max="13051" width="9.140625" style="1223"/>
    <col min="13052" max="13052" width="5.28515625" style="1223" customWidth="1"/>
    <col min="13053" max="13053" width="10.28515625" style="1223" customWidth="1"/>
    <col min="13054" max="13054" width="41" style="1223" customWidth="1"/>
    <col min="13055" max="13058" width="12.85546875" style="1223" customWidth="1"/>
    <col min="13059" max="13059" width="10.28515625" style="1223" bestFit="1" customWidth="1"/>
    <col min="13060" max="13060" width="13.140625" style="1223" customWidth="1"/>
    <col min="13061" max="13307" width="9.140625" style="1223"/>
    <col min="13308" max="13308" width="5.28515625" style="1223" customWidth="1"/>
    <col min="13309" max="13309" width="10.28515625" style="1223" customWidth="1"/>
    <col min="13310" max="13310" width="41" style="1223" customWidth="1"/>
    <col min="13311" max="13314" width="12.85546875" style="1223" customWidth="1"/>
    <col min="13315" max="13315" width="10.28515625" style="1223" bestFit="1" customWidth="1"/>
    <col min="13316" max="13316" width="13.140625" style="1223" customWidth="1"/>
    <col min="13317" max="13563" width="9.140625" style="1223"/>
    <col min="13564" max="13564" width="5.28515625" style="1223" customWidth="1"/>
    <col min="13565" max="13565" width="10.28515625" style="1223" customWidth="1"/>
    <col min="13566" max="13566" width="41" style="1223" customWidth="1"/>
    <col min="13567" max="13570" width="12.85546875" style="1223" customWidth="1"/>
    <col min="13571" max="13571" width="10.28515625" style="1223" bestFit="1" customWidth="1"/>
    <col min="13572" max="13572" width="13.140625" style="1223" customWidth="1"/>
    <col min="13573" max="13819" width="9.140625" style="1223"/>
    <col min="13820" max="13820" width="5.28515625" style="1223" customWidth="1"/>
    <col min="13821" max="13821" width="10.28515625" style="1223" customWidth="1"/>
    <col min="13822" max="13822" width="41" style="1223" customWidth="1"/>
    <col min="13823" max="13826" width="12.85546875" style="1223" customWidth="1"/>
    <col min="13827" max="13827" width="10.28515625" style="1223" bestFit="1" customWidth="1"/>
    <col min="13828" max="13828" width="13.140625" style="1223" customWidth="1"/>
    <col min="13829" max="14075" width="9.140625" style="1223"/>
    <col min="14076" max="14076" width="5.28515625" style="1223" customWidth="1"/>
    <col min="14077" max="14077" width="10.28515625" style="1223" customWidth="1"/>
    <col min="14078" max="14078" width="41" style="1223" customWidth="1"/>
    <col min="14079" max="14082" width="12.85546875" style="1223" customWidth="1"/>
    <col min="14083" max="14083" width="10.28515625" style="1223" bestFit="1" customWidth="1"/>
    <col min="14084" max="14084" width="13.140625" style="1223" customWidth="1"/>
    <col min="14085" max="14331" width="9.140625" style="1223"/>
    <col min="14332" max="14332" width="5.28515625" style="1223" customWidth="1"/>
    <col min="14333" max="14333" width="10.28515625" style="1223" customWidth="1"/>
    <col min="14334" max="14334" width="41" style="1223" customWidth="1"/>
    <col min="14335" max="14338" width="12.85546875" style="1223" customWidth="1"/>
    <col min="14339" max="14339" width="10.28515625" style="1223" bestFit="1" customWidth="1"/>
    <col min="14340" max="14340" width="13.140625" style="1223" customWidth="1"/>
    <col min="14341" max="14587" width="9.140625" style="1223"/>
    <col min="14588" max="14588" width="5.28515625" style="1223" customWidth="1"/>
    <col min="14589" max="14589" width="10.28515625" style="1223" customWidth="1"/>
    <col min="14590" max="14590" width="41" style="1223" customWidth="1"/>
    <col min="14591" max="14594" width="12.85546875" style="1223" customWidth="1"/>
    <col min="14595" max="14595" width="10.28515625" style="1223" bestFit="1" customWidth="1"/>
    <col min="14596" max="14596" width="13.140625" style="1223" customWidth="1"/>
    <col min="14597" max="14843" width="9.140625" style="1223"/>
    <col min="14844" max="14844" width="5.28515625" style="1223" customWidth="1"/>
    <col min="14845" max="14845" width="10.28515625" style="1223" customWidth="1"/>
    <col min="14846" max="14846" width="41" style="1223" customWidth="1"/>
    <col min="14847" max="14850" width="12.85546875" style="1223" customWidth="1"/>
    <col min="14851" max="14851" width="10.28515625" style="1223" bestFit="1" customWidth="1"/>
    <col min="14852" max="14852" width="13.140625" style="1223" customWidth="1"/>
    <col min="14853" max="15099" width="9.140625" style="1223"/>
    <col min="15100" max="15100" width="5.28515625" style="1223" customWidth="1"/>
    <col min="15101" max="15101" width="10.28515625" style="1223" customWidth="1"/>
    <col min="15102" max="15102" width="41" style="1223" customWidth="1"/>
    <col min="15103" max="15106" width="12.85546875" style="1223" customWidth="1"/>
    <col min="15107" max="15107" width="10.28515625" style="1223" bestFit="1" customWidth="1"/>
    <col min="15108" max="15108" width="13.140625" style="1223" customWidth="1"/>
    <col min="15109" max="15355" width="9.140625" style="1223"/>
    <col min="15356" max="15356" width="5.28515625" style="1223" customWidth="1"/>
    <col min="15357" max="15357" width="10.28515625" style="1223" customWidth="1"/>
    <col min="15358" max="15358" width="41" style="1223" customWidth="1"/>
    <col min="15359" max="15362" width="12.85546875" style="1223" customWidth="1"/>
    <col min="15363" max="15363" width="10.28515625" style="1223" bestFit="1" customWidth="1"/>
    <col min="15364" max="15364" width="13.140625" style="1223" customWidth="1"/>
    <col min="15365" max="15611" width="9.140625" style="1223"/>
    <col min="15612" max="15612" width="5.28515625" style="1223" customWidth="1"/>
    <col min="15613" max="15613" width="10.28515625" style="1223" customWidth="1"/>
    <col min="15614" max="15614" width="41" style="1223" customWidth="1"/>
    <col min="15615" max="15618" width="12.85546875" style="1223" customWidth="1"/>
    <col min="15619" max="15619" width="10.28515625" style="1223" bestFit="1" customWidth="1"/>
    <col min="15620" max="15620" width="13.140625" style="1223" customWidth="1"/>
    <col min="15621" max="15867" width="9.140625" style="1223"/>
    <col min="15868" max="15868" width="5.28515625" style="1223" customWidth="1"/>
    <col min="15869" max="15869" width="10.28515625" style="1223" customWidth="1"/>
    <col min="15870" max="15870" width="41" style="1223" customWidth="1"/>
    <col min="15871" max="15874" width="12.85546875" style="1223" customWidth="1"/>
    <col min="15875" max="15875" width="10.28515625" style="1223" bestFit="1" customWidth="1"/>
    <col min="15876" max="15876" width="13.140625" style="1223" customWidth="1"/>
    <col min="15877" max="16123" width="9.140625" style="1223"/>
    <col min="16124" max="16124" width="5.28515625" style="1223" customWidth="1"/>
    <col min="16125" max="16125" width="10.28515625" style="1223" customWidth="1"/>
    <col min="16126" max="16126" width="41" style="1223" customWidth="1"/>
    <col min="16127" max="16130" width="12.85546875" style="1223" customWidth="1"/>
    <col min="16131" max="16131" width="10.28515625" style="1223" bestFit="1" customWidth="1"/>
    <col min="16132" max="16132" width="13.140625" style="1223" customWidth="1"/>
    <col min="16133" max="16384" width="9.140625" style="1223"/>
  </cols>
  <sheetData>
    <row r="1" spans="1:12" s="24" customFormat="1" ht="20.100000000000001" customHeight="1">
      <c r="A1" s="1552" t="s">
        <v>152</v>
      </c>
      <c r="B1" s="1552"/>
      <c r="C1" s="1552"/>
      <c r="D1" s="1552"/>
      <c r="E1" s="1552"/>
      <c r="F1" s="1552"/>
      <c r="G1" s="1552"/>
      <c r="H1" s="1552"/>
    </row>
    <row r="2" spans="1:12" s="24" customFormat="1" ht="20.100000000000001" customHeight="1">
      <c r="A2" s="1557" t="s">
        <v>32</v>
      </c>
      <c r="B2" s="1557"/>
      <c r="C2" s="1557"/>
      <c r="D2" s="1557"/>
      <c r="E2" s="1557"/>
      <c r="F2" s="1221">
        <f>H32</f>
        <v>16000</v>
      </c>
      <c r="G2" s="1552" t="s">
        <v>305</v>
      </c>
      <c r="H2" s="1552"/>
    </row>
    <row r="3" spans="1:12" s="24" customFormat="1" ht="6" customHeight="1">
      <c r="A3" s="1222"/>
      <c r="B3" s="1222"/>
      <c r="C3" s="1559"/>
      <c r="D3" s="1559"/>
      <c r="E3" s="1559"/>
      <c r="F3" s="1221"/>
      <c r="G3" s="1552"/>
      <c r="H3" s="1552"/>
    </row>
    <row r="4" spans="1:12" s="24" customFormat="1" ht="42" customHeight="1">
      <c r="A4" s="1558" t="s">
        <v>337</v>
      </c>
      <c r="B4" s="1558"/>
      <c r="C4" s="1558"/>
      <c r="D4" s="1558"/>
      <c r="E4" s="1558"/>
      <c r="F4" s="1558"/>
      <c r="G4" s="1558"/>
      <c r="H4" s="1558"/>
    </row>
    <row r="5" spans="1:12" ht="23.45" customHeight="1">
      <c r="A5" s="1552"/>
      <c r="B5" s="1552"/>
      <c r="C5" s="1552"/>
      <c r="D5" s="1552"/>
      <c r="E5" s="1552"/>
      <c r="F5" s="1552"/>
      <c r="G5" s="1552"/>
      <c r="H5" s="1552"/>
    </row>
    <row r="6" spans="1:12" ht="28.5" customHeight="1">
      <c r="A6" s="1553" t="s">
        <v>146</v>
      </c>
      <c r="B6" s="1554" t="s">
        <v>33</v>
      </c>
      <c r="C6" s="1555" t="s">
        <v>34</v>
      </c>
      <c r="D6" s="1556" t="s">
        <v>35</v>
      </c>
      <c r="E6" s="1556"/>
      <c r="F6" s="1556"/>
      <c r="G6" s="1556"/>
      <c r="H6" s="1556"/>
    </row>
    <row r="7" spans="1:12" ht="132" customHeight="1">
      <c r="A7" s="1553"/>
      <c r="B7" s="1554"/>
      <c r="C7" s="1555"/>
      <c r="D7" s="1224" t="s">
        <v>148</v>
      </c>
      <c r="E7" s="1224" t="s">
        <v>36</v>
      </c>
      <c r="F7" s="1224" t="s">
        <v>37</v>
      </c>
      <c r="G7" s="1224" t="s">
        <v>126</v>
      </c>
      <c r="H7" s="1224" t="s">
        <v>38</v>
      </c>
    </row>
    <row r="8" spans="1:12" s="1254" customFormat="1" ht="15" customHeight="1">
      <c r="A8" s="1225">
        <v>1</v>
      </c>
      <c r="B8" s="1225">
        <v>2</v>
      </c>
      <c r="C8" s="1225">
        <v>3</v>
      </c>
      <c r="D8" s="1225">
        <v>4</v>
      </c>
      <c r="E8" s="1225">
        <v>5</v>
      </c>
      <c r="F8" s="1225">
        <v>6</v>
      </c>
      <c r="G8" s="1253">
        <v>7</v>
      </c>
      <c r="H8" s="1225">
        <v>8</v>
      </c>
    </row>
    <row r="9" spans="1:12" ht="23.25" customHeight="1">
      <c r="A9" s="1225"/>
      <c r="B9" s="1226"/>
      <c r="C9" s="1226" t="s">
        <v>249</v>
      </c>
      <c r="D9" s="1227"/>
      <c r="E9" s="1228"/>
      <c r="F9" s="1228"/>
      <c r="G9" s="1228"/>
      <c r="H9" s="1227"/>
    </row>
    <row r="10" spans="1:12" ht="36" customHeight="1">
      <c r="A10" s="1225">
        <v>1</v>
      </c>
      <c r="B10" s="1226" t="s">
        <v>444</v>
      </c>
      <c r="C10" s="55" t="s">
        <v>609</v>
      </c>
      <c r="D10" s="18">
        <f>'1 '!M101</f>
        <v>0</v>
      </c>
      <c r="E10" s="53"/>
      <c r="F10" s="53"/>
      <c r="G10" s="18"/>
      <c r="H10" s="18">
        <f>D10+E10+F10</f>
        <v>0</v>
      </c>
    </row>
    <row r="11" spans="1:12" ht="36" customHeight="1">
      <c r="A11" s="1225">
        <v>2</v>
      </c>
      <c r="B11" s="1226" t="s">
        <v>445</v>
      </c>
      <c r="C11" s="55" t="s">
        <v>446</v>
      </c>
      <c r="D11" s="18">
        <f>'2'!M87</f>
        <v>0</v>
      </c>
      <c r="E11" s="53"/>
      <c r="F11" s="53"/>
      <c r="G11" s="18"/>
      <c r="H11" s="18">
        <f t="shared" ref="H11:H12" si="0">D11+E11+F11</f>
        <v>0</v>
      </c>
      <c r="I11" s="54"/>
      <c r="J11" s="54"/>
      <c r="K11" s="54"/>
      <c r="L11" s="54"/>
    </row>
    <row r="12" spans="1:12" ht="36" customHeight="1">
      <c r="A12" s="1225">
        <v>3</v>
      </c>
      <c r="B12" s="1226" t="s">
        <v>655</v>
      </c>
      <c r="C12" s="55" t="s">
        <v>701</v>
      </c>
      <c r="D12" s="18">
        <f>'3'!M29</f>
        <v>0</v>
      </c>
      <c r="E12" s="53"/>
      <c r="F12" s="53"/>
      <c r="G12" s="18"/>
      <c r="H12" s="18">
        <f t="shared" si="0"/>
        <v>0</v>
      </c>
      <c r="I12" s="54"/>
      <c r="J12" s="54"/>
      <c r="K12" s="54"/>
      <c r="L12" s="54"/>
    </row>
    <row r="13" spans="1:12" ht="36" customHeight="1">
      <c r="A13" s="1225">
        <v>4</v>
      </c>
      <c r="B13" s="1226" t="s">
        <v>448</v>
      </c>
      <c r="C13" s="55" t="s">
        <v>466</v>
      </c>
      <c r="D13" s="18">
        <f>'4'!M292</f>
        <v>0</v>
      </c>
      <c r="E13" s="53"/>
      <c r="F13" s="53"/>
      <c r="G13" s="18"/>
      <c r="H13" s="18">
        <f t="shared" ref="H13:H19" si="1">D13+E13+F13</f>
        <v>0</v>
      </c>
      <c r="I13" s="54"/>
      <c r="J13" s="54"/>
      <c r="K13" s="54"/>
      <c r="L13" s="54"/>
    </row>
    <row r="14" spans="1:12" ht="29.25" customHeight="1">
      <c r="A14" s="1225">
        <v>5</v>
      </c>
      <c r="B14" s="1226" t="s">
        <v>449</v>
      </c>
      <c r="C14" s="55" t="s">
        <v>250</v>
      </c>
      <c r="D14" s="18">
        <f>'5'!M286</f>
        <v>0</v>
      </c>
      <c r="E14" s="53"/>
      <c r="F14" s="53"/>
      <c r="G14" s="18"/>
      <c r="H14" s="18">
        <f>D14+E14+F14</f>
        <v>0</v>
      </c>
      <c r="I14" s="54"/>
      <c r="J14" s="54"/>
      <c r="K14" s="54"/>
      <c r="L14" s="54"/>
    </row>
    <row r="15" spans="1:12" ht="21.75" customHeight="1">
      <c r="A15" s="1225">
        <v>6</v>
      </c>
      <c r="B15" s="1226" t="s">
        <v>450</v>
      </c>
      <c r="C15" s="55" t="s">
        <v>702</v>
      </c>
      <c r="D15" s="18">
        <f>'6'!M39</f>
        <v>0</v>
      </c>
      <c r="E15" s="53"/>
      <c r="F15" s="53"/>
      <c r="G15" s="18"/>
      <c r="H15" s="18">
        <f>D15+E15+F15</f>
        <v>0</v>
      </c>
      <c r="I15" s="54"/>
      <c r="J15" s="54"/>
      <c r="K15" s="54"/>
      <c r="L15" s="54"/>
    </row>
    <row r="16" spans="1:12" ht="29.25" customHeight="1">
      <c r="A16" s="1225">
        <v>7</v>
      </c>
      <c r="B16" s="1226" t="s">
        <v>451</v>
      </c>
      <c r="C16" s="55" t="s">
        <v>452</v>
      </c>
      <c r="D16" s="18">
        <f>'8'!M77</f>
        <v>0</v>
      </c>
      <c r="E16" s="53"/>
      <c r="F16" s="53"/>
      <c r="G16" s="18"/>
      <c r="H16" s="18">
        <f t="shared" si="1"/>
        <v>0</v>
      </c>
      <c r="I16" s="54"/>
      <c r="J16" s="54"/>
      <c r="K16" s="54"/>
      <c r="L16" s="54"/>
    </row>
    <row r="17" spans="1:12" ht="36" customHeight="1">
      <c r="A17" s="1225">
        <v>8</v>
      </c>
      <c r="B17" s="1226" t="s">
        <v>454</v>
      </c>
      <c r="C17" s="55" t="s">
        <v>472</v>
      </c>
      <c r="D17" s="18">
        <f>'9'!M67</f>
        <v>0</v>
      </c>
      <c r="E17" s="53"/>
      <c r="F17" s="53"/>
      <c r="G17" s="18"/>
      <c r="H17" s="18">
        <f>D17+E17+F17</f>
        <v>0</v>
      </c>
      <c r="I17" s="54"/>
      <c r="J17" s="54"/>
      <c r="K17" s="54"/>
      <c r="L17" s="54"/>
    </row>
    <row r="18" spans="1:12" ht="36" customHeight="1">
      <c r="A18" s="1225">
        <v>9</v>
      </c>
      <c r="B18" s="1226" t="s">
        <v>467</v>
      </c>
      <c r="C18" s="55" t="s">
        <v>447</v>
      </c>
      <c r="D18" s="18">
        <f>'ო-7'!G9</f>
        <v>0</v>
      </c>
      <c r="E18" s="53"/>
      <c r="F18" s="53"/>
      <c r="G18" s="18"/>
      <c r="H18" s="18">
        <f>D18+E18+F18</f>
        <v>0</v>
      </c>
      <c r="I18" s="54"/>
      <c r="J18" s="54"/>
      <c r="K18" s="54"/>
      <c r="L18" s="54"/>
    </row>
    <row r="19" spans="1:12" ht="30.75" customHeight="1">
      <c r="A19" s="1225">
        <v>10</v>
      </c>
      <c r="B19" s="1226" t="s">
        <v>479</v>
      </c>
      <c r="C19" s="55" t="s">
        <v>453</v>
      </c>
      <c r="D19" s="18">
        <f>'10'!M179</f>
        <v>0</v>
      </c>
      <c r="E19" s="18"/>
      <c r="F19" s="53"/>
      <c r="G19" s="18"/>
      <c r="H19" s="18">
        <f t="shared" si="1"/>
        <v>0</v>
      </c>
      <c r="I19" s="54"/>
      <c r="J19" s="54"/>
      <c r="K19" s="54"/>
      <c r="L19" s="54"/>
    </row>
    <row r="20" spans="1:12" ht="30.75" customHeight="1">
      <c r="A20" s="1225">
        <v>11</v>
      </c>
      <c r="B20" s="1226" t="s">
        <v>774</v>
      </c>
      <c r="C20" s="55" t="s">
        <v>480</v>
      </c>
      <c r="D20" s="18">
        <f>'ო-11'!G9</f>
        <v>0</v>
      </c>
      <c r="E20" s="53"/>
      <c r="F20" s="53"/>
      <c r="G20" s="18"/>
      <c r="H20" s="18">
        <f t="shared" ref="H20:H21" si="2">D20+E20+F20</f>
        <v>0</v>
      </c>
      <c r="I20" s="54"/>
      <c r="J20" s="54"/>
      <c r="K20" s="54"/>
      <c r="L20" s="54"/>
    </row>
    <row r="21" spans="1:12" ht="28.5" customHeight="1">
      <c r="A21" s="1225">
        <v>12</v>
      </c>
      <c r="B21" s="1226" t="s">
        <v>744</v>
      </c>
      <c r="C21" s="55" t="s">
        <v>575</v>
      </c>
      <c r="D21" s="18">
        <f>'12'!M65</f>
        <v>0</v>
      </c>
      <c r="E21" s="53"/>
      <c r="F21" s="53"/>
      <c r="G21" s="18"/>
      <c r="H21" s="18">
        <f t="shared" si="2"/>
        <v>0</v>
      </c>
      <c r="I21" s="54"/>
      <c r="J21" s="54"/>
      <c r="K21" s="54"/>
      <c r="L21" s="54"/>
    </row>
    <row r="22" spans="1:12" ht="23.25" customHeight="1">
      <c r="A22" s="1229"/>
      <c r="B22" s="1230"/>
      <c r="C22" s="1231" t="s">
        <v>39</v>
      </c>
      <c r="D22" s="1232">
        <f>SUM(D10:D21)</f>
        <v>0</v>
      </c>
      <c r="E22" s="1233"/>
      <c r="F22" s="1233"/>
      <c r="G22" s="1232">
        <f>SUM(G10:G18)</f>
        <v>0</v>
      </c>
      <c r="H22" s="1232">
        <f>SUM(H10:H21)</f>
        <v>0</v>
      </c>
      <c r="I22" s="54"/>
      <c r="J22" s="54"/>
      <c r="K22" s="54"/>
      <c r="L22" s="54"/>
    </row>
    <row r="23" spans="1:12" s="1237" customFormat="1" ht="22.15" customHeight="1">
      <c r="A23" s="1234"/>
      <c r="B23" s="1235"/>
      <c r="C23" s="9" t="s">
        <v>39</v>
      </c>
      <c r="D23" s="21"/>
      <c r="E23" s="21"/>
      <c r="F23" s="21"/>
      <c r="G23" s="1236">
        <f>G22</f>
        <v>0</v>
      </c>
      <c r="H23" s="1236">
        <f>H22</f>
        <v>0</v>
      </c>
    </row>
    <row r="24" spans="1:12" ht="33.75" customHeight="1">
      <c r="A24" s="1225"/>
      <c r="B24" s="1235"/>
      <c r="C24" s="1226" t="s">
        <v>624</v>
      </c>
      <c r="D24" s="1238"/>
      <c r="E24" s="1238"/>
      <c r="F24" s="1238"/>
      <c r="G24" s="1238"/>
      <c r="H24" s="1239">
        <f>H23*0.03</f>
        <v>0</v>
      </c>
    </row>
    <row r="25" spans="1:12" ht="22.15" customHeight="1">
      <c r="A25" s="1225"/>
      <c r="B25" s="1226"/>
      <c r="C25" s="1235" t="s">
        <v>29</v>
      </c>
      <c r="D25" s="1238"/>
      <c r="E25" s="1238"/>
      <c r="F25" s="1238"/>
      <c r="G25" s="1238">
        <f>G24+G23</f>
        <v>0</v>
      </c>
      <c r="H25" s="1238">
        <f>H24+H23</f>
        <v>0</v>
      </c>
    </row>
    <row r="26" spans="1:12" s="1241" customFormat="1" ht="22.15" customHeight="1">
      <c r="A26" s="1240"/>
      <c r="B26" s="1226">
        <f>'1 '!J95+'2'!J81+'3'!J23+'6'!J33+'7-1'!J219+'7-2'!J52+'7-3'!J38+'5'!J280+'4'!J286+'8'!J71+'9'!J61+'10'!J173+'11-1'!J294+'11-2'!J40+'11-3'!J146+'12'!J59</f>
        <v>0</v>
      </c>
      <c r="C26" s="1226" t="s">
        <v>248</v>
      </c>
      <c r="D26" s="1548"/>
      <c r="E26" s="1548"/>
      <c r="F26" s="1548"/>
      <c r="G26" s="1549">
        <f>B26*0.02</f>
        <v>0</v>
      </c>
      <c r="H26" s="1550">
        <f>G26</f>
        <v>0</v>
      </c>
    </row>
    <row r="27" spans="1:12" s="1237" customFormat="1" ht="22.15" customHeight="1">
      <c r="A27" s="1234"/>
      <c r="B27" s="1235"/>
      <c r="C27" s="9" t="s">
        <v>39</v>
      </c>
      <c r="D27" s="21"/>
      <c r="E27" s="21"/>
      <c r="F27" s="21"/>
      <c r="G27" s="1236">
        <f>G26+G25</f>
        <v>0</v>
      </c>
      <c r="H27" s="6">
        <f>H26+H25</f>
        <v>0</v>
      </c>
    </row>
    <row r="28" spans="1:12" ht="32.25" customHeight="1">
      <c r="A28" s="1242"/>
      <c r="B28" s="1243"/>
      <c r="C28" s="1244" t="s">
        <v>40</v>
      </c>
      <c r="D28" s="1245"/>
      <c r="E28" s="1245"/>
      <c r="F28" s="1245"/>
      <c r="G28" s="1551">
        <f>G27*0.18</f>
        <v>0</v>
      </c>
      <c r="H28" s="1551">
        <f>H27*18%</f>
        <v>0</v>
      </c>
    </row>
    <row r="29" spans="1:12" ht="30" customHeight="1">
      <c r="A29" s="1229"/>
      <c r="B29" s="1230"/>
      <c r="C29" s="1230" t="s">
        <v>41</v>
      </c>
      <c r="D29" s="1246"/>
      <c r="E29" s="1246"/>
      <c r="F29" s="1246"/>
      <c r="G29" s="1246">
        <f>G28+G27</f>
        <v>0</v>
      </c>
      <c r="H29" s="1247">
        <f>H28+H27</f>
        <v>0</v>
      </c>
      <c r="I29" s="1248"/>
    </row>
    <row r="30" spans="1:12" ht="22.15" customHeight="1">
      <c r="A30" s="1229"/>
      <c r="B30" s="1230"/>
      <c r="C30" s="1249" t="s">
        <v>625</v>
      </c>
      <c r="D30" s="1246"/>
      <c r="E30" s="1246"/>
      <c r="F30" s="1246"/>
      <c r="G30" s="1246"/>
      <c r="H30" s="1247">
        <v>10500</v>
      </c>
      <c r="I30" s="1248"/>
    </row>
    <row r="31" spans="1:12" ht="32.25" customHeight="1">
      <c r="A31" s="1229"/>
      <c r="B31" s="1230"/>
      <c r="C31" s="1249" t="s">
        <v>768</v>
      </c>
      <c r="D31" s="1246"/>
      <c r="E31" s="1246"/>
      <c r="F31" s="1246"/>
      <c r="G31" s="1246"/>
      <c r="H31" s="1247">
        <v>5500</v>
      </c>
      <c r="I31" s="1248"/>
    </row>
    <row r="32" spans="1:12" ht="22.15" customHeight="1">
      <c r="A32" s="1229"/>
      <c r="B32" s="1230"/>
      <c r="C32" s="1230" t="s">
        <v>626</v>
      </c>
      <c r="D32" s="1246"/>
      <c r="E32" s="1246"/>
      <c r="F32" s="1246"/>
      <c r="G32" s="1246"/>
      <c r="H32" s="1247">
        <f>H31+H30+H29</f>
        <v>16000</v>
      </c>
      <c r="I32" s="1248"/>
    </row>
    <row r="33" spans="1:8" ht="15.75" customHeight="1">
      <c r="A33" s="1250"/>
      <c r="B33" s="1250"/>
      <c r="C33" s="1251"/>
      <c r="D33" s="1252"/>
      <c r="E33" s="1252"/>
      <c r="F33" s="1252"/>
      <c r="G33" s="1252"/>
      <c r="H33" s="1252"/>
    </row>
  </sheetData>
  <mergeCells count="11">
    <mergeCell ref="A1:H1"/>
    <mergeCell ref="A2:E2"/>
    <mergeCell ref="A4:H4"/>
    <mergeCell ref="G2:H2"/>
    <mergeCell ref="G3:H3"/>
    <mergeCell ref="C3:E3"/>
    <mergeCell ref="A5:H5"/>
    <mergeCell ref="A6:A7"/>
    <mergeCell ref="B6:B7"/>
    <mergeCell ref="C6:C7"/>
    <mergeCell ref="D6:H6"/>
  </mergeCells>
  <pageMargins left="0.12" right="0.12" top="0.39370078740157499" bottom="0.196850393700787" header="0.511811023622047" footer="0.511811023622047"/>
  <pageSetup paperSize="9" scale="97" fitToHeight="0" orientation="landscape" horizontalDpi="4294967295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4.9989318521683403E-2"/>
  </sheetPr>
  <dimension ref="A1:M65"/>
  <sheetViews>
    <sheetView topLeftCell="A46" zoomScale="110" zoomScaleNormal="110" zoomScaleSheetLayoutView="100" workbookViewId="0">
      <selection activeCell="G60" sqref="G60"/>
    </sheetView>
  </sheetViews>
  <sheetFormatPr defaultColWidth="9.28515625" defaultRowHeight="11.25"/>
  <cols>
    <col min="1" max="1" width="4.7109375" style="678" customWidth="1"/>
    <col min="2" max="2" width="7.85546875" style="664" customWidth="1"/>
    <col min="3" max="3" width="34" style="679" customWidth="1"/>
    <col min="4" max="4" width="7.85546875" style="676" customWidth="1"/>
    <col min="5" max="5" width="8" style="676" customWidth="1"/>
    <col min="6" max="6" width="8" style="680" customWidth="1"/>
    <col min="7" max="7" width="6.85546875" style="676" customWidth="1"/>
    <col min="8" max="8" width="7.42578125" style="681" customWidth="1"/>
    <col min="9" max="9" width="6" style="664" customWidth="1"/>
    <col min="10" max="11" width="6.28515625" style="676" customWidth="1"/>
    <col min="12" max="12" width="7.7109375" style="664" customWidth="1"/>
    <col min="13" max="13" width="7.140625" style="664" customWidth="1"/>
    <col min="14" max="16384" width="9.28515625" style="664"/>
  </cols>
  <sheetData>
    <row r="1" spans="1:13" s="607" customFormat="1" ht="26.45" customHeight="1">
      <c r="A1" s="1629" t="s">
        <v>783</v>
      </c>
      <c r="B1" s="1629"/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</row>
    <row r="2" spans="1:13" s="607" customFormat="1" ht="26.45" customHeight="1">
      <c r="A2" s="1629" t="s">
        <v>716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</row>
    <row r="3" spans="1:13" s="607" customFormat="1" ht="26.45" customHeight="1">
      <c r="A3" s="1630"/>
      <c r="B3" s="1630"/>
      <c r="C3" s="1630"/>
      <c r="D3" s="1630"/>
      <c r="E3" s="1630"/>
      <c r="F3" s="1630"/>
      <c r="G3" s="1630"/>
      <c r="H3" s="1630"/>
    </row>
    <row r="4" spans="1:13" s="607" customFormat="1" ht="45.75" customHeight="1">
      <c r="A4" s="1634" t="s">
        <v>153</v>
      </c>
      <c r="B4" s="1635" t="s">
        <v>2</v>
      </c>
      <c r="C4" s="1636" t="s">
        <v>3</v>
      </c>
      <c r="D4" s="1637" t="s">
        <v>4</v>
      </c>
      <c r="E4" s="1634" t="s">
        <v>5</v>
      </c>
      <c r="F4" s="1634"/>
      <c r="G4" s="1631" t="s">
        <v>6</v>
      </c>
      <c r="H4" s="1632"/>
      <c r="I4" s="1631" t="s">
        <v>66</v>
      </c>
      <c r="J4" s="1632"/>
      <c r="K4" s="1631" t="s">
        <v>72</v>
      </c>
      <c r="L4" s="1632"/>
      <c r="M4" s="1633" t="s">
        <v>67</v>
      </c>
    </row>
    <row r="5" spans="1:13" s="607" customFormat="1" ht="64.5" customHeight="1">
      <c r="A5" s="1634"/>
      <c r="B5" s="1635"/>
      <c r="C5" s="1636"/>
      <c r="D5" s="1637"/>
      <c r="E5" s="682" t="s">
        <v>7</v>
      </c>
      <c r="F5" s="682" t="s">
        <v>8</v>
      </c>
      <c r="G5" s="608" t="s">
        <v>9</v>
      </c>
      <c r="H5" s="683" t="s">
        <v>10</v>
      </c>
      <c r="I5" s="608" t="s">
        <v>9</v>
      </c>
      <c r="J5" s="683" t="s">
        <v>10</v>
      </c>
      <c r="K5" s="608" t="s">
        <v>9</v>
      </c>
      <c r="L5" s="683" t="s">
        <v>10</v>
      </c>
      <c r="M5" s="1633"/>
    </row>
    <row r="6" spans="1:13" s="607" customFormat="1">
      <c r="A6" s="608">
        <v>1</v>
      </c>
      <c r="B6" s="608">
        <v>2</v>
      </c>
      <c r="C6" s="608">
        <v>3</v>
      </c>
      <c r="D6" s="608">
        <v>4</v>
      </c>
      <c r="E6" s="608">
        <v>5</v>
      </c>
      <c r="F6" s="608">
        <v>6</v>
      </c>
      <c r="G6" s="608">
        <v>7</v>
      </c>
      <c r="H6" s="684">
        <v>8</v>
      </c>
      <c r="I6" s="608">
        <v>9</v>
      </c>
      <c r="J6" s="684">
        <v>10</v>
      </c>
      <c r="K6" s="608">
        <v>11</v>
      </c>
      <c r="L6" s="684">
        <v>12</v>
      </c>
      <c r="M6" s="684">
        <v>13</v>
      </c>
    </row>
    <row r="7" spans="1:13" s="617" customFormat="1" ht="59.25" customHeight="1">
      <c r="A7" s="610" t="s">
        <v>44</v>
      </c>
      <c r="B7" s="611"/>
      <c r="C7" s="612" t="s">
        <v>403</v>
      </c>
      <c r="D7" s="608" t="s">
        <v>204</v>
      </c>
      <c r="E7" s="611"/>
      <c r="F7" s="613">
        <v>2</v>
      </c>
      <c r="G7" s="1474"/>
      <c r="H7" s="1473">
        <f t="shared" ref="H7:H51" si="0">F7*G7</f>
        <v>0</v>
      </c>
      <c r="I7" s="619"/>
      <c r="J7" s="619">
        <f t="shared" ref="J7:J51" si="1">F7*I7</f>
        <v>0</v>
      </c>
      <c r="K7" s="619"/>
      <c r="L7" s="619">
        <f t="shared" ref="L7:L9" si="2">F7*K7</f>
        <v>0</v>
      </c>
      <c r="M7" s="1475">
        <f t="shared" ref="M7:M9" si="3">H7+J7+L7</f>
        <v>0</v>
      </c>
    </row>
    <row r="8" spans="1:13" s="617" customFormat="1" ht="18" customHeight="1">
      <c r="A8" s="618">
        <f>A7+0.1</f>
        <v>1.1000000000000001</v>
      </c>
      <c r="B8" s="619"/>
      <c r="C8" s="615" t="s">
        <v>133</v>
      </c>
      <c r="D8" s="620" t="s">
        <v>13</v>
      </c>
      <c r="E8" s="621">
        <v>28.1</v>
      </c>
      <c r="F8" s="616">
        <f>E8*F7</f>
        <v>56.2</v>
      </c>
      <c r="G8" s="623"/>
      <c r="H8" s="1473">
        <f t="shared" si="0"/>
        <v>0</v>
      </c>
      <c r="I8" s="1473"/>
      <c r="J8" s="619">
        <f t="shared" si="1"/>
        <v>0</v>
      </c>
      <c r="K8" s="619"/>
      <c r="L8" s="619">
        <f t="shared" si="2"/>
        <v>0</v>
      </c>
      <c r="M8" s="1475">
        <f t="shared" si="3"/>
        <v>0</v>
      </c>
    </row>
    <row r="9" spans="1:13" s="617" customFormat="1" ht="18" customHeight="1">
      <c r="A9" s="618">
        <f>A8+0.1</f>
        <v>1.2000000000000002</v>
      </c>
      <c r="B9" s="620"/>
      <c r="C9" s="622" t="s">
        <v>117</v>
      </c>
      <c r="D9" s="623" t="s">
        <v>14</v>
      </c>
      <c r="E9" s="621">
        <v>5.74</v>
      </c>
      <c r="F9" s="616">
        <f>F7*E9</f>
        <v>11.48</v>
      </c>
      <c r="G9" s="623"/>
      <c r="H9" s="1473">
        <f t="shared" si="0"/>
        <v>0</v>
      </c>
      <c r="I9" s="619"/>
      <c r="J9" s="619">
        <f t="shared" si="1"/>
        <v>0</v>
      </c>
      <c r="K9" s="1476"/>
      <c r="L9" s="619">
        <f t="shared" si="2"/>
        <v>0</v>
      </c>
      <c r="M9" s="1475">
        <f t="shared" si="3"/>
        <v>0</v>
      </c>
    </row>
    <row r="10" spans="1:13" s="617" customFormat="1" ht="18" customHeight="1">
      <c r="A10" s="618">
        <f>A9+0.1</f>
        <v>1.3000000000000003</v>
      </c>
      <c r="B10" s="619"/>
      <c r="C10" s="622" t="s">
        <v>70</v>
      </c>
      <c r="D10" s="620" t="s">
        <v>14</v>
      </c>
      <c r="E10" s="624">
        <v>6.56</v>
      </c>
      <c r="F10" s="616">
        <f>E10*F7</f>
        <v>13.12</v>
      </c>
      <c r="G10" s="1473"/>
      <c r="H10" s="1473">
        <f t="shared" si="0"/>
        <v>0</v>
      </c>
      <c r="I10" s="619"/>
      <c r="J10" s="619">
        <f t="shared" si="1"/>
        <v>0</v>
      </c>
      <c r="K10" s="619"/>
      <c r="L10" s="619">
        <f t="shared" ref="L10:L51" si="4">F10*K10</f>
        <v>0</v>
      </c>
      <c r="M10" s="1475">
        <f t="shared" ref="M10:M51" si="5">H10+J10+L10</f>
        <v>0</v>
      </c>
    </row>
    <row r="11" spans="1:13" s="607" customFormat="1" ht="55.5" customHeight="1">
      <c r="A11" s="610" t="s">
        <v>45</v>
      </c>
      <c r="B11" s="611"/>
      <c r="C11" s="625" t="s">
        <v>404</v>
      </c>
      <c r="D11" s="608" t="s">
        <v>204</v>
      </c>
      <c r="E11" s="611"/>
      <c r="F11" s="613">
        <v>2</v>
      </c>
      <c r="G11" s="1474"/>
      <c r="H11" s="1473">
        <f t="shared" si="0"/>
        <v>0</v>
      </c>
      <c r="I11" s="619"/>
      <c r="J11" s="619">
        <f t="shared" si="1"/>
        <v>0</v>
      </c>
      <c r="K11" s="619"/>
      <c r="L11" s="619">
        <f t="shared" si="4"/>
        <v>0</v>
      </c>
      <c r="M11" s="1475">
        <f t="shared" si="5"/>
        <v>0</v>
      </c>
    </row>
    <row r="12" spans="1:13" s="607" customFormat="1" ht="24" customHeight="1">
      <c r="A12" s="618">
        <f>A11+0.1</f>
        <v>2.1</v>
      </c>
      <c r="B12" s="619"/>
      <c r="C12" s="615" t="s">
        <v>133</v>
      </c>
      <c r="D12" s="620" t="s">
        <v>13</v>
      </c>
      <c r="E12" s="621">
        <v>28.1</v>
      </c>
      <c r="F12" s="616">
        <f>E12*F11</f>
        <v>56.2</v>
      </c>
      <c r="G12" s="623"/>
      <c r="H12" s="1473">
        <f t="shared" si="0"/>
        <v>0</v>
      </c>
      <c r="I12" s="1473"/>
      <c r="J12" s="619">
        <f t="shared" si="1"/>
        <v>0</v>
      </c>
      <c r="K12" s="619"/>
      <c r="L12" s="619">
        <f t="shared" si="4"/>
        <v>0</v>
      </c>
      <c r="M12" s="1475">
        <f t="shared" si="5"/>
        <v>0</v>
      </c>
    </row>
    <row r="13" spans="1:13" s="607" customFormat="1" ht="24" customHeight="1">
      <c r="A13" s="618">
        <f>A12+0.1</f>
        <v>2.2000000000000002</v>
      </c>
      <c r="B13" s="620"/>
      <c r="C13" s="622" t="s">
        <v>117</v>
      </c>
      <c r="D13" s="623" t="s">
        <v>14</v>
      </c>
      <c r="E13" s="621">
        <v>5.74</v>
      </c>
      <c r="F13" s="616">
        <f>F11*E13</f>
        <v>11.48</v>
      </c>
      <c r="G13" s="623"/>
      <c r="H13" s="1473">
        <f t="shared" si="0"/>
        <v>0</v>
      </c>
      <c r="I13" s="619"/>
      <c r="J13" s="619">
        <f t="shared" si="1"/>
        <v>0</v>
      </c>
      <c r="K13" s="1476"/>
      <c r="L13" s="619">
        <f t="shared" si="4"/>
        <v>0</v>
      </c>
      <c r="M13" s="1475">
        <f t="shared" si="5"/>
        <v>0</v>
      </c>
    </row>
    <row r="14" spans="1:13" s="607" customFormat="1" ht="24" customHeight="1">
      <c r="A14" s="618">
        <f t="shared" ref="A14:A15" si="6">A13+0.1</f>
        <v>2.3000000000000003</v>
      </c>
      <c r="B14" s="620"/>
      <c r="C14" s="622" t="s">
        <v>414</v>
      </c>
      <c r="D14" s="623"/>
      <c r="E14" s="621">
        <v>1</v>
      </c>
      <c r="F14" s="616">
        <f>F11*E14</f>
        <v>2</v>
      </c>
      <c r="G14" s="623"/>
      <c r="H14" s="1473">
        <f t="shared" si="0"/>
        <v>0</v>
      </c>
      <c r="I14" s="619"/>
      <c r="J14" s="619"/>
      <c r="K14" s="1476"/>
      <c r="L14" s="619">
        <f t="shared" ref="L14:L15" si="7">F14*K14</f>
        <v>0</v>
      </c>
      <c r="M14" s="1475">
        <f t="shared" ref="M14:M15" si="8">H14+J14+L14</f>
        <v>0</v>
      </c>
    </row>
    <row r="15" spans="1:13" s="607" customFormat="1" ht="24" customHeight="1">
      <c r="A15" s="618">
        <f t="shared" si="6"/>
        <v>2.4000000000000004</v>
      </c>
      <c r="B15" s="619"/>
      <c r="C15" s="622" t="s">
        <v>70</v>
      </c>
      <c r="D15" s="620" t="s">
        <v>14</v>
      </c>
      <c r="E15" s="624">
        <v>6.56</v>
      </c>
      <c r="F15" s="616">
        <f>E15*F11</f>
        <v>13.12</v>
      </c>
      <c r="G15" s="1473"/>
      <c r="H15" s="1473">
        <f t="shared" si="0"/>
        <v>0</v>
      </c>
      <c r="I15" s="619"/>
      <c r="J15" s="619">
        <f t="shared" si="1"/>
        <v>0</v>
      </c>
      <c r="K15" s="619"/>
      <c r="L15" s="619">
        <f t="shared" si="7"/>
        <v>0</v>
      </c>
      <c r="M15" s="1475">
        <f t="shared" si="8"/>
        <v>0</v>
      </c>
    </row>
    <row r="16" spans="1:13" s="630" customFormat="1" ht="59.25" customHeight="1">
      <c r="A16" s="626" t="s">
        <v>46</v>
      </c>
      <c r="B16" s="626"/>
      <c r="C16" s="627" t="s">
        <v>405</v>
      </c>
      <c r="D16" s="626" t="s">
        <v>204</v>
      </c>
      <c r="E16" s="628"/>
      <c r="F16" s="629">
        <v>4</v>
      </c>
      <c r="G16" s="628"/>
      <c r="H16" s="1473">
        <f t="shared" si="0"/>
        <v>0</v>
      </c>
      <c r="I16" s="1477"/>
      <c r="J16" s="619">
        <f t="shared" si="1"/>
        <v>0</v>
      </c>
      <c r="K16" s="1478"/>
      <c r="L16" s="619">
        <f t="shared" si="4"/>
        <v>0</v>
      </c>
      <c r="M16" s="1475">
        <f t="shared" si="5"/>
        <v>0</v>
      </c>
    </row>
    <row r="17" spans="1:13" s="630" customFormat="1" ht="21" customHeight="1">
      <c r="A17" s="631">
        <f>A16+0.1</f>
        <v>3.1</v>
      </c>
      <c r="B17" s="632"/>
      <c r="C17" s="633" t="s">
        <v>381</v>
      </c>
      <c r="D17" s="634" t="s">
        <v>13</v>
      </c>
      <c r="E17" s="634">
        <v>1.51</v>
      </c>
      <c r="F17" s="631">
        <f>E17*F16</f>
        <v>6.04</v>
      </c>
      <c r="G17" s="635"/>
      <c r="H17" s="1473">
        <f t="shared" si="0"/>
        <v>0</v>
      </c>
      <c r="I17" s="1477"/>
      <c r="J17" s="619">
        <f t="shared" si="1"/>
        <v>0</v>
      </c>
      <c r="K17" s="1478"/>
      <c r="L17" s="619">
        <f t="shared" si="4"/>
        <v>0</v>
      </c>
      <c r="M17" s="1475">
        <f t="shared" si="5"/>
        <v>0</v>
      </c>
    </row>
    <row r="18" spans="1:13" s="630" customFormat="1" ht="20.25" customHeight="1">
      <c r="A18" s="631">
        <f>A17+0.1</f>
        <v>3.2</v>
      </c>
      <c r="B18" s="632"/>
      <c r="C18" s="633" t="s">
        <v>51</v>
      </c>
      <c r="D18" s="634" t="s">
        <v>62</v>
      </c>
      <c r="E18" s="635">
        <v>0.13</v>
      </c>
      <c r="F18" s="631">
        <f>E18*F16</f>
        <v>0.52</v>
      </c>
      <c r="G18" s="635"/>
      <c r="H18" s="1473">
        <f t="shared" si="0"/>
        <v>0</v>
      </c>
      <c r="I18" s="1477"/>
      <c r="J18" s="619">
        <f t="shared" si="1"/>
        <v>0</v>
      </c>
      <c r="K18" s="1478"/>
      <c r="L18" s="619">
        <f t="shared" si="4"/>
        <v>0</v>
      </c>
      <c r="M18" s="1475">
        <f t="shared" si="5"/>
        <v>0</v>
      </c>
    </row>
    <row r="19" spans="1:13" s="630" customFormat="1" ht="19.5" customHeight="1">
      <c r="A19" s="631">
        <f>A18+0.1</f>
        <v>3.3000000000000003</v>
      </c>
      <c r="B19" s="632"/>
      <c r="C19" s="633" t="s">
        <v>406</v>
      </c>
      <c r="D19" s="632" t="s">
        <v>204</v>
      </c>
      <c r="E19" s="631">
        <v>1</v>
      </c>
      <c r="F19" s="631">
        <f>E19*F16</f>
        <v>4</v>
      </c>
      <c r="G19" s="635"/>
      <c r="H19" s="1473">
        <f t="shared" si="0"/>
        <v>0</v>
      </c>
      <c r="I19" s="1477"/>
      <c r="J19" s="619">
        <f t="shared" si="1"/>
        <v>0</v>
      </c>
      <c r="K19" s="1478"/>
      <c r="L19" s="619">
        <f t="shared" si="4"/>
        <v>0</v>
      </c>
      <c r="M19" s="1475">
        <f t="shared" si="5"/>
        <v>0</v>
      </c>
    </row>
    <row r="20" spans="1:13" s="630" customFormat="1" ht="20.25" customHeight="1">
      <c r="A20" s="631">
        <f>A19+0.1</f>
        <v>3.4000000000000004</v>
      </c>
      <c r="B20" s="632"/>
      <c r="C20" s="633" t="s">
        <v>70</v>
      </c>
      <c r="D20" s="632" t="s">
        <v>14</v>
      </c>
      <c r="E20" s="635">
        <v>7.0000000000000007E-2</v>
      </c>
      <c r="F20" s="631">
        <f>E20*F16</f>
        <v>0.28000000000000003</v>
      </c>
      <c r="G20" s="635"/>
      <c r="H20" s="1473">
        <f t="shared" si="0"/>
        <v>0</v>
      </c>
      <c r="I20" s="1477"/>
      <c r="J20" s="619">
        <f t="shared" si="1"/>
        <v>0</v>
      </c>
      <c r="K20" s="1478"/>
      <c r="L20" s="619">
        <f t="shared" si="4"/>
        <v>0</v>
      </c>
      <c r="M20" s="1475">
        <f t="shared" si="5"/>
        <v>0</v>
      </c>
    </row>
    <row r="21" spans="1:13" s="639" customFormat="1" ht="51.75" customHeight="1">
      <c r="A21" s="636" t="s">
        <v>47</v>
      </c>
      <c r="B21" s="626"/>
      <c r="C21" s="637" t="s">
        <v>407</v>
      </c>
      <c r="D21" s="626" t="s">
        <v>55</v>
      </c>
      <c r="E21" s="628"/>
      <c r="F21" s="638">
        <v>20</v>
      </c>
      <c r="G21" s="628"/>
      <c r="H21" s="1473">
        <f t="shared" si="0"/>
        <v>0</v>
      </c>
      <c r="I21" s="1479"/>
      <c r="J21" s="619">
        <f t="shared" si="1"/>
        <v>0</v>
      </c>
      <c r="K21" s="1480"/>
      <c r="L21" s="619">
        <f t="shared" si="4"/>
        <v>0</v>
      </c>
      <c r="M21" s="1475">
        <f t="shared" si="5"/>
        <v>0</v>
      </c>
    </row>
    <row r="22" spans="1:13" s="640" customFormat="1" ht="18" customHeight="1">
      <c r="A22" s="631">
        <f>A21+0.1</f>
        <v>4.0999999999999996</v>
      </c>
      <c r="B22" s="632"/>
      <c r="C22" s="633" t="s">
        <v>381</v>
      </c>
      <c r="D22" s="634" t="s">
        <v>13</v>
      </c>
      <c r="E22" s="635">
        <v>0.86299999999999999</v>
      </c>
      <c r="F22" s="631">
        <f>E22*F21</f>
        <v>17.259999999999998</v>
      </c>
      <c r="G22" s="635"/>
      <c r="H22" s="1473">
        <f t="shared" si="0"/>
        <v>0</v>
      </c>
      <c r="I22" s="1479"/>
      <c r="J22" s="619">
        <f t="shared" si="1"/>
        <v>0</v>
      </c>
      <c r="K22" s="1481"/>
      <c r="L22" s="619">
        <f t="shared" si="4"/>
        <v>0</v>
      </c>
      <c r="M22" s="1475">
        <f t="shared" si="5"/>
        <v>0</v>
      </c>
    </row>
    <row r="23" spans="1:13" s="640" customFormat="1" ht="18" customHeight="1">
      <c r="A23" s="631">
        <f>A22+0.1</f>
        <v>4.1999999999999993</v>
      </c>
      <c r="B23" s="632"/>
      <c r="C23" s="633" t="s">
        <v>51</v>
      </c>
      <c r="D23" s="634" t="s">
        <v>14</v>
      </c>
      <c r="E23" s="635">
        <v>6.7799999999999999E-2</v>
      </c>
      <c r="F23" s="631">
        <f>E23*F21</f>
        <v>1.3559999999999999</v>
      </c>
      <c r="G23" s="635"/>
      <c r="H23" s="1473">
        <f t="shared" si="0"/>
        <v>0</v>
      </c>
      <c r="I23" s="1479"/>
      <c r="J23" s="619">
        <f t="shared" si="1"/>
        <v>0</v>
      </c>
      <c r="K23" s="1481"/>
      <c r="L23" s="619">
        <f t="shared" si="4"/>
        <v>0</v>
      </c>
      <c r="M23" s="1475">
        <f t="shared" si="5"/>
        <v>0</v>
      </c>
    </row>
    <row r="24" spans="1:13" s="640" customFormat="1" ht="18" customHeight="1">
      <c r="A24" s="631">
        <f>A23+0.1</f>
        <v>4.2999999999999989</v>
      </c>
      <c r="B24" s="632"/>
      <c r="C24" s="641" t="s">
        <v>408</v>
      </c>
      <c r="D24" s="632" t="s">
        <v>55</v>
      </c>
      <c r="E24" s="634">
        <v>1</v>
      </c>
      <c r="F24" s="631">
        <f>E24*F21</f>
        <v>20</v>
      </c>
      <c r="G24" s="635"/>
      <c r="H24" s="1473">
        <f t="shared" si="0"/>
        <v>0</v>
      </c>
      <c r="I24" s="1479"/>
      <c r="J24" s="619">
        <f t="shared" si="1"/>
        <v>0</v>
      </c>
      <c r="K24" s="1481"/>
      <c r="L24" s="619">
        <f t="shared" si="4"/>
        <v>0</v>
      </c>
      <c r="M24" s="1475">
        <f t="shared" si="5"/>
        <v>0</v>
      </c>
    </row>
    <row r="25" spans="1:13" s="640" customFormat="1" ht="18" customHeight="1">
      <c r="A25" s="631">
        <f>A24+0.1</f>
        <v>4.3999999999999986</v>
      </c>
      <c r="B25" s="632"/>
      <c r="C25" s="633" t="s">
        <v>70</v>
      </c>
      <c r="D25" s="632" t="s">
        <v>14</v>
      </c>
      <c r="E25" s="635">
        <v>4.24E-2</v>
      </c>
      <c r="F25" s="631">
        <f>E25*F21</f>
        <v>0.84799999999999998</v>
      </c>
      <c r="G25" s="635"/>
      <c r="H25" s="1473">
        <f t="shared" si="0"/>
        <v>0</v>
      </c>
      <c r="I25" s="1479"/>
      <c r="J25" s="619">
        <f t="shared" si="1"/>
        <v>0</v>
      </c>
      <c r="K25" s="1481"/>
      <c r="L25" s="619">
        <f t="shared" si="4"/>
        <v>0</v>
      </c>
      <c r="M25" s="1475">
        <f t="shared" si="5"/>
        <v>0</v>
      </c>
    </row>
    <row r="26" spans="1:13" s="639" customFormat="1" ht="51.75" customHeight="1">
      <c r="A26" s="636" t="s">
        <v>48</v>
      </c>
      <c r="B26" s="626"/>
      <c r="C26" s="637" t="s">
        <v>409</v>
      </c>
      <c r="D26" s="626" t="s">
        <v>11</v>
      </c>
      <c r="E26" s="628"/>
      <c r="F26" s="638">
        <v>1</v>
      </c>
      <c r="G26" s="628"/>
      <c r="H26" s="1473">
        <f t="shared" si="0"/>
        <v>0</v>
      </c>
      <c r="I26" s="1479"/>
      <c r="J26" s="619">
        <f t="shared" si="1"/>
        <v>0</v>
      </c>
      <c r="K26" s="1480"/>
      <c r="L26" s="619">
        <f t="shared" si="4"/>
        <v>0</v>
      </c>
      <c r="M26" s="1475">
        <f t="shared" si="5"/>
        <v>0</v>
      </c>
    </row>
    <row r="27" spans="1:13" s="640" customFormat="1" ht="18" customHeight="1">
      <c r="A27" s="631">
        <f>A26+0.1</f>
        <v>5.0999999999999996</v>
      </c>
      <c r="B27" s="632"/>
      <c r="C27" s="633" t="s">
        <v>381</v>
      </c>
      <c r="D27" s="634" t="s">
        <v>13</v>
      </c>
      <c r="E27" s="635">
        <v>0.92</v>
      </c>
      <c r="F27" s="631">
        <f>E27*F26</f>
        <v>0.92</v>
      </c>
      <c r="G27" s="635"/>
      <c r="H27" s="1473">
        <f t="shared" si="0"/>
        <v>0</v>
      </c>
      <c r="I27" s="1479"/>
      <c r="J27" s="619">
        <f t="shared" si="1"/>
        <v>0</v>
      </c>
      <c r="K27" s="1481"/>
      <c r="L27" s="619">
        <f t="shared" si="4"/>
        <v>0</v>
      </c>
      <c r="M27" s="1475">
        <f t="shared" si="5"/>
        <v>0</v>
      </c>
    </row>
    <row r="28" spans="1:13" s="640" customFormat="1" ht="18" customHeight="1">
      <c r="A28" s="631">
        <f>A27+0.1</f>
        <v>5.1999999999999993</v>
      </c>
      <c r="B28" s="632"/>
      <c r="C28" s="633" t="s">
        <v>51</v>
      </c>
      <c r="D28" s="634" t="s">
        <v>14</v>
      </c>
      <c r="E28" s="635">
        <v>0.12</v>
      </c>
      <c r="F28" s="631">
        <f>E28*F26</f>
        <v>0.12</v>
      </c>
      <c r="G28" s="635"/>
      <c r="H28" s="1473">
        <f t="shared" si="0"/>
        <v>0</v>
      </c>
      <c r="I28" s="1479"/>
      <c r="J28" s="619">
        <f t="shared" si="1"/>
        <v>0</v>
      </c>
      <c r="K28" s="1481"/>
      <c r="L28" s="619">
        <f t="shared" si="4"/>
        <v>0</v>
      </c>
      <c r="M28" s="1475">
        <f t="shared" si="5"/>
        <v>0</v>
      </c>
    </row>
    <row r="29" spans="1:13" s="640" customFormat="1" ht="18" customHeight="1">
      <c r="A29" s="631">
        <f>A28+0.1</f>
        <v>5.2999999999999989</v>
      </c>
      <c r="B29" s="632"/>
      <c r="C29" s="641" t="s">
        <v>409</v>
      </c>
      <c r="D29" s="632" t="s">
        <v>11</v>
      </c>
      <c r="E29" s="634">
        <v>1</v>
      </c>
      <c r="F29" s="631">
        <f>E29*F26</f>
        <v>1</v>
      </c>
      <c r="G29" s="635"/>
      <c r="H29" s="1473">
        <f t="shared" si="0"/>
        <v>0</v>
      </c>
      <c r="I29" s="1479"/>
      <c r="J29" s="619">
        <f t="shared" si="1"/>
        <v>0</v>
      </c>
      <c r="K29" s="1481"/>
      <c r="L29" s="619">
        <f t="shared" si="4"/>
        <v>0</v>
      </c>
      <c r="M29" s="1475">
        <f t="shared" si="5"/>
        <v>0</v>
      </c>
    </row>
    <row r="30" spans="1:13" s="640" customFormat="1" ht="18" customHeight="1">
      <c r="A30" s="631">
        <f>A29+0.1</f>
        <v>5.3999999999999986</v>
      </c>
      <c r="B30" s="632"/>
      <c r="C30" s="633" t="s">
        <v>70</v>
      </c>
      <c r="D30" s="632" t="s">
        <v>14</v>
      </c>
      <c r="E30" s="635">
        <v>7.0000000000000007E-2</v>
      </c>
      <c r="F30" s="631">
        <f>E30*F26</f>
        <v>7.0000000000000007E-2</v>
      </c>
      <c r="G30" s="635"/>
      <c r="H30" s="1473">
        <f t="shared" si="0"/>
        <v>0</v>
      </c>
      <c r="I30" s="1479"/>
      <c r="J30" s="619">
        <f t="shared" si="1"/>
        <v>0</v>
      </c>
      <c r="K30" s="1481"/>
      <c r="L30" s="619">
        <f t="shared" si="4"/>
        <v>0</v>
      </c>
      <c r="M30" s="1475">
        <f t="shared" si="5"/>
        <v>0</v>
      </c>
    </row>
    <row r="31" spans="1:13" s="639" customFormat="1" ht="51.75" customHeight="1">
      <c r="A31" s="636" t="s">
        <v>127</v>
      </c>
      <c r="B31" s="626"/>
      <c r="C31" s="637" t="s">
        <v>410</v>
      </c>
      <c r="D31" s="626" t="s">
        <v>11</v>
      </c>
      <c r="E31" s="628"/>
      <c r="F31" s="638">
        <v>10</v>
      </c>
      <c r="G31" s="628"/>
      <c r="H31" s="1473">
        <f t="shared" si="0"/>
        <v>0</v>
      </c>
      <c r="I31" s="1479"/>
      <c r="J31" s="619">
        <f t="shared" si="1"/>
        <v>0</v>
      </c>
      <c r="K31" s="1480"/>
      <c r="L31" s="619">
        <f t="shared" si="4"/>
        <v>0</v>
      </c>
      <c r="M31" s="1475">
        <f t="shared" si="5"/>
        <v>0</v>
      </c>
    </row>
    <row r="32" spans="1:13" s="640" customFormat="1" ht="18" customHeight="1">
      <c r="A32" s="631">
        <f>A31+0.1</f>
        <v>6.1</v>
      </c>
      <c r="B32" s="632"/>
      <c r="C32" s="633" t="s">
        <v>381</v>
      </c>
      <c r="D32" s="634" t="s">
        <v>13</v>
      </c>
      <c r="E32" s="635">
        <v>0.75</v>
      </c>
      <c r="F32" s="631">
        <f>E32*F31</f>
        <v>7.5</v>
      </c>
      <c r="G32" s="635"/>
      <c r="H32" s="1473">
        <f t="shared" si="0"/>
        <v>0</v>
      </c>
      <c r="I32" s="1479"/>
      <c r="J32" s="619">
        <f t="shared" si="1"/>
        <v>0</v>
      </c>
      <c r="K32" s="1481"/>
      <c r="L32" s="619">
        <f t="shared" si="4"/>
        <v>0</v>
      </c>
      <c r="M32" s="1475">
        <f t="shared" si="5"/>
        <v>0</v>
      </c>
    </row>
    <row r="33" spans="1:13" s="640" customFormat="1" ht="18" customHeight="1">
      <c r="A33" s="631">
        <f>A32+0.1</f>
        <v>6.1999999999999993</v>
      </c>
      <c r="B33" s="632"/>
      <c r="C33" s="633" t="s">
        <v>51</v>
      </c>
      <c r="D33" s="634" t="s">
        <v>14</v>
      </c>
      <c r="E33" s="635">
        <v>7.0000000000000001E-3</v>
      </c>
      <c r="F33" s="631">
        <f>E33*F31</f>
        <v>7.0000000000000007E-2</v>
      </c>
      <c r="G33" s="635"/>
      <c r="H33" s="1473">
        <f t="shared" si="0"/>
        <v>0</v>
      </c>
      <c r="I33" s="1479"/>
      <c r="J33" s="619">
        <f t="shared" si="1"/>
        <v>0</v>
      </c>
      <c r="K33" s="1481"/>
      <c r="L33" s="619">
        <f t="shared" si="4"/>
        <v>0</v>
      </c>
      <c r="M33" s="1475">
        <f t="shared" si="5"/>
        <v>0</v>
      </c>
    </row>
    <row r="34" spans="1:13" s="640" customFormat="1" ht="18" customHeight="1">
      <c r="A34" s="631">
        <f>A33+0.1</f>
        <v>6.2999999999999989</v>
      </c>
      <c r="B34" s="632"/>
      <c r="C34" s="633" t="s">
        <v>410</v>
      </c>
      <c r="D34" s="632" t="s">
        <v>11</v>
      </c>
      <c r="E34" s="634">
        <v>1</v>
      </c>
      <c r="F34" s="631">
        <f>E34*F31</f>
        <v>10</v>
      </c>
      <c r="G34" s="635"/>
      <c r="H34" s="1473">
        <f t="shared" si="0"/>
        <v>0</v>
      </c>
      <c r="I34" s="1479"/>
      <c r="J34" s="619">
        <f t="shared" si="1"/>
        <v>0</v>
      </c>
      <c r="K34" s="1481"/>
      <c r="L34" s="619">
        <f t="shared" si="4"/>
        <v>0</v>
      </c>
      <c r="M34" s="1475">
        <f t="shared" si="5"/>
        <v>0</v>
      </c>
    </row>
    <row r="35" spans="1:13" s="640" customFormat="1" ht="18" customHeight="1">
      <c r="A35" s="631">
        <f>A34+0.1</f>
        <v>6.3999999999999986</v>
      </c>
      <c r="B35" s="632"/>
      <c r="C35" s="633" t="s">
        <v>70</v>
      </c>
      <c r="D35" s="632" t="s">
        <v>14</v>
      </c>
      <c r="E35" s="635">
        <v>0.06</v>
      </c>
      <c r="F35" s="631">
        <f>E35*F31</f>
        <v>0.6</v>
      </c>
      <c r="G35" s="635"/>
      <c r="H35" s="1473">
        <f t="shared" si="0"/>
        <v>0</v>
      </c>
      <c r="I35" s="1479"/>
      <c r="J35" s="619">
        <f t="shared" si="1"/>
        <v>0</v>
      </c>
      <c r="K35" s="1481"/>
      <c r="L35" s="619">
        <f t="shared" si="4"/>
        <v>0</v>
      </c>
      <c r="M35" s="1475">
        <f t="shared" si="5"/>
        <v>0</v>
      </c>
    </row>
    <row r="36" spans="1:13" s="646" customFormat="1" ht="49.9" customHeight="1">
      <c r="A36" s="642" t="s">
        <v>122</v>
      </c>
      <c r="B36" s="642"/>
      <c r="C36" s="643" t="s">
        <v>222</v>
      </c>
      <c r="D36" s="642" t="s">
        <v>49</v>
      </c>
      <c r="E36" s="644"/>
      <c r="F36" s="644">
        <f>F39</f>
        <v>1</v>
      </c>
      <c r="G36" s="1470"/>
      <c r="H36" s="618">
        <f t="shared" ref="H36:H46" si="9">F36*G36</f>
        <v>0</v>
      </c>
      <c r="I36" s="1470"/>
      <c r="J36" s="1476">
        <f t="shared" ref="J36:J46" si="10">F36*I36</f>
        <v>0</v>
      </c>
      <c r="K36" s="1470"/>
      <c r="L36" s="1476">
        <f t="shared" ref="L36:L46" si="11">F36*K36</f>
        <v>0</v>
      </c>
      <c r="M36" s="1476">
        <f t="shared" ref="M36:M46" si="12">H36+J36+L36</f>
        <v>0</v>
      </c>
    </row>
    <row r="37" spans="1:13" s="646" customFormat="1" ht="19.899999999999999" customHeight="1">
      <c r="A37" s="647">
        <f>A36+0.1</f>
        <v>7.1</v>
      </c>
      <c r="B37" s="620"/>
      <c r="C37" s="622" t="s">
        <v>50</v>
      </c>
      <c r="D37" s="648" t="s">
        <v>13</v>
      </c>
      <c r="E37" s="649">
        <v>1.51</v>
      </c>
      <c r="F37" s="649">
        <f>F36*E37</f>
        <v>1.51</v>
      </c>
      <c r="G37" s="683"/>
      <c r="H37" s="618">
        <f t="shared" si="9"/>
        <v>0</v>
      </c>
      <c r="I37" s="683"/>
      <c r="J37" s="1476">
        <f t="shared" si="10"/>
        <v>0</v>
      </c>
      <c r="K37" s="683"/>
      <c r="L37" s="1476">
        <f t="shared" si="11"/>
        <v>0</v>
      </c>
      <c r="M37" s="1476">
        <f t="shared" si="12"/>
        <v>0</v>
      </c>
    </row>
    <row r="38" spans="1:13" s="646" customFormat="1" ht="19.899999999999999" customHeight="1">
      <c r="A38" s="647">
        <f t="shared" ref="A38:A41" si="13">A37+0.1</f>
        <v>7.1999999999999993</v>
      </c>
      <c r="B38" s="620"/>
      <c r="C38" s="651" t="s">
        <v>140</v>
      </c>
      <c r="D38" s="648" t="s">
        <v>14</v>
      </c>
      <c r="E38" s="649">
        <v>0.13</v>
      </c>
      <c r="F38" s="649">
        <f>F36*E38</f>
        <v>0.13</v>
      </c>
      <c r="G38" s="683"/>
      <c r="H38" s="618">
        <f t="shared" si="9"/>
        <v>0</v>
      </c>
      <c r="I38" s="683"/>
      <c r="J38" s="1476">
        <f t="shared" si="10"/>
        <v>0</v>
      </c>
      <c r="K38" s="1475"/>
      <c r="L38" s="1476">
        <f t="shared" si="11"/>
        <v>0</v>
      </c>
      <c r="M38" s="1476">
        <f t="shared" si="12"/>
        <v>0</v>
      </c>
    </row>
    <row r="39" spans="1:13" s="646" customFormat="1" ht="19.899999999999999" customHeight="1">
      <c r="A39" s="647">
        <f t="shared" si="13"/>
        <v>7.2999999999999989</v>
      </c>
      <c r="B39" s="648"/>
      <c r="C39" s="652" t="s">
        <v>411</v>
      </c>
      <c r="D39" s="653" t="s">
        <v>49</v>
      </c>
      <c r="E39" s="649"/>
      <c r="F39" s="649">
        <v>1</v>
      </c>
      <c r="G39" s="683"/>
      <c r="H39" s="618">
        <f t="shared" si="9"/>
        <v>0</v>
      </c>
      <c r="I39" s="683"/>
      <c r="J39" s="1476">
        <f t="shared" si="10"/>
        <v>0</v>
      </c>
      <c r="K39" s="683"/>
      <c r="L39" s="1476">
        <f t="shared" si="11"/>
        <v>0</v>
      </c>
      <c r="M39" s="1476">
        <f t="shared" si="12"/>
        <v>0</v>
      </c>
    </row>
    <row r="40" spans="1:13" s="646" customFormat="1" ht="19.899999999999999" customHeight="1">
      <c r="A40" s="647">
        <f t="shared" si="13"/>
        <v>7.3999999999999986</v>
      </c>
      <c r="B40" s="648"/>
      <c r="C40" s="652" t="s">
        <v>224</v>
      </c>
      <c r="D40" s="653" t="s">
        <v>21</v>
      </c>
      <c r="E40" s="649">
        <v>1.1000000000000001</v>
      </c>
      <c r="F40" s="649">
        <f>F36*E40</f>
        <v>1.1000000000000001</v>
      </c>
      <c r="G40" s="1482"/>
      <c r="H40" s="618">
        <f t="shared" si="9"/>
        <v>0</v>
      </c>
      <c r="I40" s="683"/>
      <c r="J40" s="1476">
        <f t="shared" si="10"/>
        <v>0</v>
      </c>
      <c r="K40" s="683"/>
      <c r="L40" s="1476">
        <f t="shared" si="11"/>
        <v>0</v>
      </c>
      <c r="M40" s="1476">
        <f t="shared" si="12"/>
        <v>0</v>
      </c>
    </row>
    <row r="41" spans="1:13" s="646" customFormat="1" ht="19.899999999999999" customHeight="1">
      <c r="A41" s="647">
        <f t="shared" si="13"/>
        <v>7.4999999999999982</v>
      </c>
      <c r="B41" s="647"/>
      <c r="C41" s="609" t="s">
        <v>65</v>
      </c>
      <c r="D41" s="608" t="s">
        <v>14</v>
      </c>
      <c r="E41" s="649">
        <v>7.0000000000000007E-2</v>
      </c>
      <c r="F41" s="649">
        <f>F36*E41</f>
        <v>7.0000000000000007E-2</v>
      </c>
      <c r="G41" s="1483"/>
      <c r="H41" s="618">
        <f t="shared" si="9"/>
        <v>0</v>
      </c>
      <c r="I41" s="683"/>
      <c r="J41" s="1476">
        <f t="shared" si="10"/>
        <v>0</v>
      </c>
      <c r="K41" s="683"/>
      <c r="L41" s="1476">
        <f t="shared" si="11"/>
        <v>0</v>
      </c>
      <c r="M41" s="1476">
        <f t="shared" si="12"/>
        <v>0</v>
      </c>
    </row>
    <row r="42" spans="1:13" s="639" customFormat="1" ht="51.75" customHeight="1">
      <c r="A42" s="636" t="s">
        <v>123</v>
      </c>
      <c r="B42" s="626"/>
      <c r="C42" s="637" t="s">
        <v>412</v>
      </c>
      <c r="D42" s="626" t="s">
        <v>11</v>
      </c>
      <c r="E42" s="628"/>
      <c r="F42" s="638">
        <v>1</v>
      </c>
      <c r="G42" s="628"/>
      <c r="H42" s="1473">
        <f t="shared" si="9"/>
        <v>0</v>
      </c>
      <c r="I42" s="1479"/>
      <c r="J42" s="619">
        <f t="shared" si="10"/>
        <v>0</v>
      </c>
      <c r="K42" s="1480"/>
      <c r="L42" s="619">
        <f t="shared" si="11"/>
        <v>0</v>
      </c>
      <c r="M42" s="1475">
        <f t="shared" si="12"/>
        <v>0</v>
      </c>
    </row>
    <row r="43" spans="1:13" s="640" customFormat="1" ht="18" customHeight="1">
      <c r="A43" s="631">
        <f>A42+0.1</f>
        <v>8.1</v>
      </c>
      <c r="B43" s="632"/>
      <c r="C43" s="633" t="s">
        <v>381</v>
      </c>
      <c r="D43" s="634" t="s">
        <v>13</v>
      </c>
      <c r="E43" s="635">
        <v>0.92</v>
      </c>
      <c r="F43" s="631">
        <f>E43*F42</f>
        <v>0.92</v>
      </c>
      <c r="G43" s="635"/>
      <c r="H43" s="1473">
        <f t="shared" si="9"/>
        <v>0</v>
      </c>
      <c r="I43" s="1479"/>
      <c r="J43" s="619">
        <f t="shared" si="10"/>
        <v>0</v>
      </c>
      <c r="K43" s="1481"/>
      <c r="L43" s="619">
        <f t="shared" si="11"/>
        <v>0</v>
      </c>
      <c r="M43" s="1475">
        <f t="shared" si="12"/>
        <v>0</v>
      </c>
    </row>
    <row r="44" spans="1:13" s="640" customFormat="1" ht="18" customHeight="1">
      <c r="A44" s="631">
        <f>A43+0.1</f>
        <v>8.1999999999999993</v>
      </c>
      <c r="B44" s="632"/>
      <c r="C44" s="633" t="s">
        <v>51</v>
      </c>
      <c r="D44" s="634" t="s">
        <v>14</v>
      </c>
      <c r="E44" s="635">
        <v>0.12</v>
      </c>
      <c r="F44" s="631">
        <f>E44*F42</f>
        <v>0.12</v>
      </c>
      <c r="G44" s="635"/>
      <c r="H44" s="1473">
        <f t="shared" si="9"/>
        <v>0</v>
      </c>
      <c r="I44" s="1479"/>
      <c r="J44" s="619">
        <f t="shared" si="10"/>
        <v>0</v>
      </c>
      <c r="K44" s="1481"/>
      <c r="L44" s="619">
        <f t="shared" si="11"/>
        <v>0</v>
      </c>
      <c r="M44" s="1475">
        <f t="shared" si="12"/>
        <v>0</v>
      </c>
    </row>
    <row r="45" spans="1:13" s="640" customFormat="1" ht="18" customHeight="1">
      <c r="A45" s="631">
        <f>A44+0.1</f>
        <v>8.2999999999999989</v>
      </c>
      <c r="B45" s="632"/>
      <c r="C45" s="641" t="s">
        <v>412</v>
      </c>
      <c r="D45" s="632" t="s">
        <v>11</v>
      </c>
      <c r="E45" s="634">
        <v>1</v>
      </c>
      <c r="F45" s="631">
        <f>E45*F42</f>
        <v>1</v>
      </c>
      <c r="G45" s="635"/>
      <c r="H45" s="1473">
        <f t="shared" si="9"/>
        <v>0</v>
      </c>
      <c r="I45" s="1479"/>
      <c r="J45" s="619">
        <f t="shared" si="10"/>
        <v>0</v>
      </c>
      <c r="K45" s="1481"/>
      <c r="L45" s="619">
        <f t="shared" si="11"/>
        <v>0</v>
      </c>
      <c r="M45" s="1475">
        <f t="shared" si="12"/>
        <v>0</v>
      </c>
    </row>
    <row r="46" spans="1:13" s="640" customFormat="1" ht="18" customHeight="1">
      <c r="A46" s="631">
        <f>A45+0.1</f>
        <v>8.3999999999999986</v>
      </c>
      <c r="B46" s="632"/>
      <c r="C46" s="633" t="s">
        <v>70</v>
      </c>
      <c r="D46" s="632" t="s">
        <v>14</v>
      </c>
      <c r="E46" s="635">
        <v>7.0000000000000007E-2</v>
      </c>
      <c r="F46" s="631">
        <f>E46*F42</f>
        <v>7.0000000000000007E-2</v>
      </c>
      <c r="G46" s="635"/>
      <c r="H46" s="1473">
        <f t="shared" si="9"/>
        <v>0</v>
      </c>
      <c r="I46" s="1479"/>
      <c r="J46" s="619">
        <f t="shared" si="10"/>
        <v>0</v>
      </c>
      <c r="K46" s="1481"/>
      <c r="L46" s="619">
        <f t="shared" si="11"/>
        <v>0</v>
      </c>
      <c r="M46" s="1475">
        <f t="shared" si="12"/>
        <v>0</v>
      </c>
    </row>
    <row r="47" spans="1:13" s="617" customFormat="1" ht="52.15" customHeight="1">
      <c r="A47" s="648" t="s">
        <v>128</v>
      </c>
      <c r="B47" s="654"/>
      <c r="C47" s="655" t="s">
        <v>226</v>
      </c>
      <c r="D47" s="656" t="s">
        <v>49</v>
      </c>
      <c r="E47" s="657"/>
      <c r="F47" s="644">
        <v>1</v>
      </c>
      <c r="G47" s="1484"/>
      <c r="H47" s="1473">
        <f t="shared" si="0"/>
        <v>0</v>
      </c>
      <c r="I47" s="1476"/>
      <c r="J47" s="619">
        <f t="shared" si="1"/>
        <v>0</v>
      </c>
      <c r="K47" s="1476"/>
      <c r="L47" s="619">
        <f t="shared" si="4"/>
        <v>0</v>
      </c>
      <c r="M47" s="1475">
        <f t="shared" si="5"/>
        <v>0</v>
      </c>
    </row>
    <row r="48" spans="1:13" s="617" customFormat="1" ht="18" customHeight="1">
      <c r="A48" s="618">
        <f>A47+0.1</f>
        <v>9.1</v>
      </c>
      <c r="B48" s="619"/>
      <c r="C48" s="615" t="s">
        <v>133</v>
      </c>
      <c r="D48" s="620" t="s">
        <v>13</v>
      </c>
      <c r="E48" s="649">
        <v>0.32</v>
      </c>
      <c r="F48" s="649">
        <f>E48*F47</f>
        <v>0.32</v>
      </c>
      <c r="G48" s="1484"/>
      <c r="H48" s="1473">
        <f t="shared" si="0"/>
        <v>0</v>
      </c>
      <c r="I48" s="1476"/>
      <c r="J48" s="619">
        <f t="shared" si="1"/>
        <v>0</v>
      </c>
      <c r="K48" s="1476"/>
      <c r="L48" s="619">
        <f t="shared" si="4"/>
        <v>0</v>
      </c>
      <c r="M48" s="1475">
        <f t="shared" si="5"/>
        <v>0</v>
      </c>
    </row>
    <row r="49" spans="1:13" s="617" customFormat="1" ht="18" customHeight="1">
      <c r="A49" s="618">
        <f t="shared" ref="A49:A51" si="14">A48+0.1</f>
        <v>9.1999999999999993</v>
      </c>
      <c r="B49" s="620"/>
      <c r="C49" s="622" t="s">
        <v>117</v>
      </c>
      <c r="D49" s="623" t="s">
        <v>14</v>
      </c>
      <c r="E49" s="649">
        <v>0.01</v>
      </c>
      <c r="F49" s="649">
        <f>E49*F47</f>
        <v>0.01</v>
      </c>
      <c r="G49" s="1484"/>
      <c r="H49" s="1473">
        <f t="shared" si="0"/>
        <v>0</v>
      </c>
      <c r="I49" s="1476"/>
      <c r="J49" s="619">
        <f t="shared" si="1"/>
        <v>0</v>
      </c>
      <c r="K49" s="1476"/>
      <c r="L49" s="619">
        <f t="shared" si="4"/>
        <v>0</v>
      </c>
      <c r="M49" s="1475">
        <f t="shared" si="5"/>
        <v>0</v>
      </c>
    </row>
    <row r="50" spans="1:13" s="617" customFormat="1" ht="18" customHeight="1">
      <c r="A50" s="618">
        <f t="shared" si="14"/>
        <v>9.2999999999999989</v>
      </c>
      <c r="B50" s="654"/>
      <c r="C50" s="658" t="s">
        <v>227</v>
      </c>
      <c r="D50" s="648" t="s">
        <v>11</v>
      </c>
      <c r="E50" s="659">
        <v>1</v>
      </c>
      <c r="F50" s="649">
        <f>F47*E50</f>
        <v>1</v>
      </c>
      <c r="G50" s="1484"/>
      <c r="H50" s="1473">
        <f t="shared" si="0"/>
        <v>0</v>
      </c>
      <c r="I50" s="1476"/>
      <c r="J50" s="619">
        <f t="shared" si="1"/>
        <v>0</v>
      </c>
      <c r="K50" s="1476"/>
      <c r="L50" s="619">
        <f t="shared" si="4"/>
        <v>0</v>
      </c>
      <c r="M50" s="1475">
        <f t="shared" si="5"/>
        <v>0</v>
      </c>
    </row>
    <row r="51" spans="1:13" s="617" customFormat="1" ht="18" customHeight="1">
      <c r="A51" s="618">
        <f t="shared" si="14"/>
        <v>9.3999999999999986</v>
      </c>
      <c r="B51" s="619"/>
      <c r="C51" s="658" t="s">
        <v>70</v>
      </c>
      <c r="D51" s="660" t="s">
        <v>14</v>
      </c>
      <c r="E51" s="649">
        <v>0.02</v>
      </c>
      <c r="F51" s="649">
        <f>E51*F47</f>
        <v>0.02</v>
      </c>
      <c r="G51" s="1473"/>
      <c r="H51" s="1473">
        <f t="shared" si="0"/>
        <v>0</v>
      </c>
      <c r="I51" s="1476"/>
      <c r="J51" s="619">
        <f t="shared" si="1"/>
        <v>0</v>
      </c>
      <c r="K51" s="1476"/>
      <c r="L51" s="619">
        <f t="shared" si="4"/>
        <v>0</v>
      </c>
      <c r="M51" s="1475">
        <f t="shared" si="5"/>
        <v>0</v>
      </c>
    </row>
    <row r="52" spans="1:13" ht="19.899999999999999" customHeight="1">
      <c r="A52" s="661"/>
      <c r="B52" s="662"/>
      <c r="C52" s="625" t="s">
        <v>142</v>
      </c>
      <c r="D52" s="663" t="s">
        <v>14</v>
      </c>
      <c r="E52" s="645"/>
      <c r="F52" s="645"/>
      <c r="G52" s="1470"/>
      <c r="H52" s="1470">
        <f>SUM(H7:H51)</f>
        <v>0</v>
      </c>
      <c r="I52" s="1485"/>
      <c r="J52" s="1470">
        <f>SUM(J7:J51)</f>
        <v>0</v>
      </c>
      <c r="K52" s="1485"/>
      <c r="L52" s="1470">
        <f>SUM(L7:L51)</f>
        <v>0</v>
      </c>
      <c r="M52" s="1470">
        <f>SUM(M7:M51)</f>
        <v>0</v>
      </c>
    </row>
    <row r="53" spans="1:13" ht="19.899999999999999" customHeight="1">
      <c r="A53" s="661"/>
      <c r="B53" s="608"/>
      <c r="C53" s="609" t="s">
        <v>149</v>
      </c>
      <c r="D53" s="665" t="s">
        <v>874</v>
      </c>
      <c r="E53" s="650"/>
      <c r="F53" s="684">
        <v>0</v>
      </c>
      <c r="G53" s="683"/>
      <c r="H53" s="647"/>
      <c r="I53" s="647"/>
      <c r="J53" s="647"/>
      <c r="K53" s="647"/>
      <c r="L53" s="647"/>
      <c r="M53" s="1470">
        <f>H52*F53</f>
        <v>0</v>
      </c>
    </row>
    <row r="54" spans="1:13" ht="19.899999999999999" customHeight="1">
      <c r="A54" s="661"/>
      <c r="B54" s="608"/>
      <c r="C54" s="609" t="s">
        <v>143</v>
      </c>
      <c r="D54" s="608"/>
      <c r="E54" s="650"/>
      <c r="F54" s="684"/>
      <c r="G54" s="683"/>
      <c r="H54" s="647"/>
      <c r="I54" s="647"/>
      <c r="J54" s="647"/>
      <c r="K54" s="647"/>
      <c r="L54" s="647"/>
      <c r="M54" s="1470">
        <f>M53+M52</f>
        <v>0</v>
      </c>
    </row>
    <row r="55" spans="1:13" ht="19.899999999999999" customHeight="1">
      <c r="A55" s="661"/>
      <c r="B55" s="608"/>
      <c r="C55" s="609" t="s">
        <v>144</v>
      </c>
      <c r="D55" s="665" t="s">
        <v>874</v>
      </c>
      <c r="E55" s="650"/>
      <c r="F55" s="684">
        <v>0</v>
      </c>
      <c r="G55" s="683"/>
      <c r="H55" s="647"/>
      <c r="I55" s="647"/>
      <c r="J55" s="647"/>
      <c r="K55" s="647"/>
      <c r="L55" s="647"/>
      <c r="M55" s="1470">
        <f>M54*F55</f>
        <v>0</v>
      </c>
    </row>
    <row r="56" spans="1:13" ht="19.899999999999999" customHeight="1">
      <c r="A56" s="661"/>
      <c r="B56" s="608"/>
      <c r="C56" s="609" t="s">
        <v>39</v>
      </c>
      <c r="D56" s="608"/>
      <c r="E56" s="650"/>
      <c r="F56" s="684"/>
      <c r="G56" s="683"/>
      <c r="H56" s="647"/>
      <c r="I56" s="647"/>
      <c r="J56" s="647"/>
      <c r="K56" s="647"/>
      <c r="L56" s="647"/>
      <c r="M56" s="1470">
        <f>SUM(M54:M55)</f>
        <v>0</v>
      </c>
    </row>
    <row r="57" spans="1:13" ht="19.899999999999999" customHeight="1">
      <c r="A57" s="661"/>
      <c r="B57" s="608"/>
      <c r="C57" s="609" t="s">
        <v>145</v>
      </c>
      <c r="D57" s="665" t="s">
        <v>874</v>
      </c>
      <c r="E57" s="650"/>
      <c r="F57" s="684">
        <v>0</v>
      </c>
      <c r="G57" s="683"/>
      <c r="H57" s="647"/>
      <c r="I57" s="647"/>
      <c r="J57" s="647"/>
      <c r="K57" s="647"/>
      <c r="L57" s="647"/>
      <c r="M57" s="1470">
        <f>M56*F57</f>
        <v>0</v>
      </c>
    </row>
    <row r="58" spans="1:13" ht="19.899999999999999" customHeight="1">
      <c r="A58" s="661"/>
      <c r="B58" s="648"/>
      <c r="C58" s="609" t="s">
        <v>39</v>
      </c>
      <c r="D58" s="663"/>
      <c r="E58" s="650"/>
      <c r="F58" s="683"/>
      <c r="G58" s="683"/>
      <c r="H58" s="1471"/>
      <c r="I58" s="647"/>
      <c r="J58" s="647"/>
      <c r="K58" s="647"/>
      <c r="L58" s="647"/>
      <c r="M58" s="1470">
        <f>SUM(M56:M57)</f>
        <v>0</v>
      </c>
    </row>
    <row r="59" spans="1:13" s="669" customFormat="1" ht="23.25" customHeight="1">
      <c r="A59" s="623"/>
      <c r="B59" s="666"/>
      <c r="C59" s="625" t="s">
        <v>413</v>
      </c>
      <c r="D59" s="666"/>
      <c r="E59" s="667"/>
      <c r="F59" s="1472"/>
      <c r="G59" s="623"/>
      <c r="H59" s="1473"/>
      <c r="I59" s="623"/>
      <c r="J59" s="623"/>
      <c r="K59" s="623"/>
      <c r="L59" s="623"/>
      <c r="M59" s="623"/>
    </row>
    <row r="60" spans="1:13" s="617" customFormat="1" ht="93" customHeight="1">
      <c r="A60" s="647">
        <v>1</v>
      </c>
      <c r="B60" s="647"/>
      <c r="C60" s="670" t="s">
        <v>872</v>
      </c>
      <c r="D60" s="620"/>
      <c r="E60" s="624"/>
      <c r="F60" s="1469">
        <v>2</v>
      </c>
      <c r="G60" s="614"/>
      <c r="H60" s="617">
        <f>G60*F60</f>
        <v>0</v>
      </c>
      <c r="I60" s="615"/>
      <c r="J60" s="615"/>
      <c r="K60" s="615"/>
      <c r="L60" s="615"/>
      <c r="M60" s="616">
        <f>H60</f>
        <v>0</v>
      </c>
    </row>
    <row r="61" spans="1:13" s="669" customFormat="1" ht="19.5" customHeight="1">
      <c r="A61" s="623"/>
      <c r="B61" s="666"/>
      <c r="C61" s="671" t="s">
        <v>205</v>
      </c>
      <c r="D61" s="666"/>
      <c r="E61" s="667"/>
      <c r="F61" s="667"/>
      <c r="G61" s="667"/>
      <c r="H61" s="668"/>
      <c r="I61" s="667"/>
      <c r="J61" s="667"/>
      <c r="K61" s="667"/>
      <c r="L61" s="667"/>
      <c r="M61" s="668">
        <f>M60</f>
        <v>0</v>
      </c>
    </row>
    <row r="62" spans="1:13" s="669" customFormat="1" ht="19.5" customHeight="1">
      <c r="A62" s="623"/>
      <c r="B62" s="666"/>
      <c r="C62" s="643" t="s">
        <v>206</v>
      </c>
      <c r="D62" s="666"/>
      <c r="E62" s="667"/>
      <c r="F62" s="667"/>
      <c r="G62" s="667"/>
      <c r="H62" s="668"/>
      <c r="I62" s="667"/>
      <c r="J62" s="667"/>
      <c r="K62" s="667"/>
      <c r="L62" s="667"/>
      <c r="M62" s="668">
        <f>M61+M58</f>
        <v>0</v>
      </c>
    </row>
    <row r="63" spans="1:13" s="617" customFormat="1">
      <c r="A63" s="672"/>
      <c r="B63" s="672"/>
      <c r="C63" s="673"/>
      <c r="E63" s="674"/>
      <c r="F63" s="674"/>
      <c r="G63" s="674"/>
      <c r="H63" s="675"/>
    </row>
    <row r="64" spans="1:13" s="617" customFormat="1">
      <c r="A64" s="672"/>
      <c r="B64" s="672"/>
      <c r="C64" s="673"/>
      <c r="E64" s="674"/>
      <c r="F64" s="674"/>
      <c r="G64" s="674"/>
      <c r="H64" s="675"/>
    </row>
    <row r="65" spans="1:13">
      <c r="A65" s="676"/>
      <c r="B65" s="676"/>
      <c r="C65" s="677"/>
      <c r="F65" s="676"/>
      <c r="H65" s="676"/>
      <c r="I65" s="676"/>
      <c r="L65" s="676"/>
      <c r="M65" s="676"/>
    </row>
  </sheetData>
  <protectedRanges>
    <protectedRange sqref="G41 G52:M58" name="Range1"/>
  </protectedRanges>
  <mergeCells count="12">
    <mergeCell ref="A1:M1"/>
    <mergeCell ref="A2:M2"/>
    <mergeCell ref="A3:H3"/>
    <mergeCell ref="G4:H4"/>
    <mergeCell ref="I4:J4"/>
    <mergeCell ref="K4:L4"/>
    <mergeCell ref="M4:M5"/>
    <mergeCell ref="A4:A5"/>
    <mergeCell ref="B4:B5"/>
    <mergeCell ref="C4:C5"/>
    <mergeCell ref="D4:D5"/>
    <mergeCell ref="E4:F4"/>
  </mergeCells>
  <pageMargins left="0.19" right="0.12" top="0.2" bottom="0.18" header="0.12" footer="0.14000000000000001"/>
  <pageSetup paperSize="9" scale="98" orientation="landscape" horizontalDpi="4294967295" verticalDpi="4294967295" r:id="rId1"/>
  <rowBreaks count="1" manualBreakCount="1">
    <brk id="4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 tint="4.9989318521683403E-2"/>
  </sheetPr>
  <dimension ref="A1:M149"/>
  <sheetViews>
    <sheetView topLeftCell="A28" zoomScale="70" zoomScaleNormal="70" workbookViewId="0">
      <selection activeCell="G51" sqref="G51"/>
    </sheetView>
  </sheetViews>
  <sheetFormatPr defaultColWidth="9.140625" defaultRowHeight="19.5"/>
  <cols>
    <col min="1" max="1" width="6.85546875" style="561" customWidth="1"/>
    <col min="2" max="2" width="18.7109375" style="561" customWidth="1"/>
    <col min="3" max="3" width="65.140625" style="584" customWidth="1"/>
    <col min="4" max="4" width="11.5703125" style="561" customWidth="1"/>
    <col min="5" max="8" width="11.7109375" style="561" customWidth="1"/>
    <col min="9" max="9" width="8.28515625" style="561" customWidth="1"/>
    <col min="10" max="10" width="10.7109375" style="561" customWidth="1"/>
    <col min="11" max="11" width="8.28515625" style="561" customWidth="1"/>
    <col min="12" max="13" width="11.7109375" style="561" customWidth="1"/>
    <col min="14" max="16384" width="9.140625" style="561"/>
  </cols>
  <sheetData>
    <row r="1" spans="1:13" ht="21.95" customHeight="1">
      <c r="A1" s="1597" t="s">
        <v>782</v>
      </c>
      <c r="B1" s="1597"/>
      <c r="C1" s="1597"/>
      <c r="D1" s="1597"/>
      <c r="E1" s="1597"/>
      <c r="F1" s="1597"/>
      <c r="G1" s="1597"/>
      <c r="H1" s="1597"/>
      <c r="I1" s="560"/>
    </row>
    <row r="2" spans="1:13" ht="21.95" customHeight="1">
      <c r="A2" s="1597" t="s">
        <v>717</v>
      </c>
      <c r="B2" s="1597"/>
      <c r="C2" s="1597"/>
      <c r="D2" s="1597"/>
      <c r="E2" s="1597"/>
      <c r="F2" s="1597"/>
      <c r="G2" s="1597"/>
      <c r="H2" s="1597"/>
      <c r="I2" s="560"/>
    </row>
    <row r="3" spans="1:13" ht="21.95" customHeight="1">
      <c r="A3" s="560"/>
      <c r="B3" s="1638" t="s">
        <v>0</v>
      </c>
      <c r="C3" s="1638"/>
      <c r="D3" s="562">
        <f>M44</f>
        <v>0</v>
      </c>
      <c r="E3" s="1639" t="s">
        <v>14</v>
      </c>
      <c r="F3" s="1639"/>
      <c r="G3" s="1639"/>
      <c r="H3" s="1639"/>
      <c r="I3" s="560"/>
    </row>
    <row r="4" spans="1:13" ht="21.95" customHeight="1">
      <c r="A4" s="560"/>
      <c r="B4" s="1638" t="s">
        <v>132</v>
      </c>
      <c r="C4" s="1638"/>
      <c r="D4" s="562">
        <f>J38</f>
        <v>0</v>
      </c>
      <c r="E4" s="1639" t="s">
        <v>14</v>
      </c>
      <c r="F4" s="1639"/>
      <c r="G4" s="1639"/>
      <c r="H4" s="1639"/>
      <c r="I4" s="563"/>
    </row>
    <row r="5" spans="1:13" ht="21.95" customHeight="1">
      <c r="A5" s="1640"/>
      <c r="B5" s="1640"/>
      <c r="C5" s="1640"/>
      <c r="D5" s="1640"/>
      <c r="E5" s="1640"/>
      <c r="F5" s="1640"/>
      <c r="G5" s="1640"/>
      <c r="H5" s="1640"/>
      <c r="I5" s="1640"/>
      <c r="J5" s="560"/>
      <c r="K5" s="560"/>
      <c r="L5" s="560"/>
    </row>
    <row r="6" spans="1:13" ht="37.5" customHeight="1">
      <c r="A6" s="1641"/>
      <c r="B6" s="1604" t="s">
        <v>2</v>
      </c>
      <c r="C6" s="1642" t="s">
        <v>3</v>
      </c>
      <c r="D6" s="1603" t="s">
        <v>4</v>
      </c>
      <c r="E6" s="1643" t="s">
        <v>5</v>
      </c>
      <c r="F6" s="1643"/>
      <c r="G6" s="1644" t="s">
        <v>6</v>
      </c>
      <c r="H6" s="1645"/>
      <c r="I6" s="1644" t="s">
        <v>66</v>
      </c>
      <c r="J6" s="1645"/>
      <c r="K6" s="1644" t="s">
        <v>72</v>
      </c>
      <c r="L6" s="1645"/>
      <c r="M6" s="1648" t="s">
        <v>67</v>
      </c>
    </row>
    <row r="7" spans="1:13" ht="91.5" customHeight="1">
      <c r="A7" s="1641"/>
      <c r="B7" s="1604"/>
      <c r="C7" s="1642"/>
      <c r="D7" s="1603"/>
      <c r="E7" s="585" t="s">
        <v>7</v>
      </c>
      <c r="F7" s="585" t="s">
        <v>8</v>
      </c>
      <c r="G7" s="566" t="s">
        <v>9</v>
      </c>
      <c r="H7" s="586" t="s">
        <v>10</v>
      </c>
      <c r="I7" s="566" t="s">
        <v>9</v>
      </c>
      <c r="J7" s="586" t="s">
        <v>10</v>
      </c>
      <c r="K7" s="566" t="s">
        <v>9</v>
      </c>
      <c r="L7" s="586" t="s">
        <v>10</v>
      </c>
      <c r="M7" s="1648"/>
    </row>
    <row r="8" spans="1:13" ht="18" customHeight="1">
      <c r="A8" s="566">
        <v>1</v>
      </c>
      <c r="B8" s="566">
        <v>2</v>
      </c>
      <c r="C8" s="567">
        <v>3</v>
      </c>
      <c r="D8" s="566">
        <v>4</v>
      </c>
      <c r="E8" s="564">
        <v>5</v>
      </c>
      <c r="F8" s="564">
        <v>6</v>
      </c>
      <c r="G8" s="564">
        <v>7</v>
      </c>
      <c r="H8" s="568">
        <v>8</v>
      </c>
      <c r="I8" s="564">
        <v>9</v>
      </c>
      <c r="J8" s="568">
        <v>10</v>
      </c>
      <c r="K8" s="564">
        <v>11</v>
      </c>
      <c r="L8" s="568">
        <v>12</v>
      </c>
      <c r="M8" s="568">
        <v>13</v>
      </c>
    </row>
    <row r="9" spans="1:13" ht="63" customHeight="1">
      <c r="A9" s="566">
        <v>1</v>
      </c>
      <c r="B9" s="569"/>
      <c r="C9" s="570" t="s">
        <v>284</v>
      </c>
      <c r="D9" s="569" t="s">
        <v>49</v>
      </c>
      <c r="E9" s="571"/>
      <c r="F9" s="572">
        <v>1</v>
      </c>
      <c r="G9" s="1488"/>
      <c r="H9" s="1488"/>
      <c r="I9" s="1489"/>
      <c r="J9" s="1490"/>
      <c r="K9" s="1490"/>
      <c r="L9" s="1490"/>
      <c r="M9" s="1486"/>
    </row>
    <row r="10" spans="1:13" ht="19.5" customHeight="1">
      <c r="A10" s="566">
        <f>A9+0.1</f>
        <v>1.1000000000000001</v>
      </c>
      <c r="B10" s="566"/>
      <c r="C10" s="567" t="s">
        <v>50</v>
      </c>
      <c r="D10" s="566" t="s">
        <v>13</v>
      </c>
      <c r="E10" s="564">
        <v>6.5</v>
      </c>
      <c r="F10" s="565">
        <f>E10*F9</f>
        <v>6.5</v>
      </c>
      <c r="G10" s="1488"/>
      <c r="H10" s="1491">
        <f>F10*G10</f>
        <v>0</v>
      </c>
      <c r="I10" s="1492"/>
      <c r="J10" s="1490">
        <f>F10*I10</f>
        <v>0</v>
      </c>
      <c r="K10" s="1490"/>
      <c r="L10" s="1490"/>
      <c r="M10" s="1487">
        <f>H10+J10+L10</f>
        <v>0</v>
      </c>
    </row>
    <row r="11" spans="1:13" ht="38.25" customHeight="1">
      <c r="A11" s="566">
        <f>A10+0.1</f>
        <v>1.2000000000000002</v>
      </c>
      <c r="B11" s="577"/>
      <c r="C11" s="567" t="s">
        <v>285</v>
      </c>
      <c r="D11" s="566" t="s">
        <v>55</v>
      </c>
      <c r="E11" s="564"/>
      <c r="F11" s="565">
        <v>3</v>
      </c>
      <c r="G11" s="1491"/>
      <c r="H11" s="1491">
        <f t="shared" ref="H11:H37" si="0">F11*G11</f>
        <v>0</v>
      </c>
      <c r="I11" s="1490"/>
      <c r="J11" s="1490">
        <f t="shared" ref="J11:J37" si="1">F11*I11</f>
        <v>0</v>
      </c>
      <c r="K11" s="1490"/>
      <c r="L11" s="1490"/>
      <c r="M11" s="1487">
        <f t="shared" ref="M11:M37" si="2">H11+J11+L11</f>
        <v>0</v>
      </c>
    </row>
    <row r="12" spans="1:13" ht="58.5" customHeight="1">
      <c r="A12" s="566">
        <v>2</v>
      </c>
      <c r="B12" s="569"/>
      <c r="C12" s="570" t="s">
        <v>286</v>
      </c>
      <c r="D12" s="569" t="s">
        <v>68</v>
      </c>
      <c r="E12" s="571"/>
      <c r="F12" s="572">
        <v>1</v>
      </c>
      <c r="G12" s="1488"/>
      <c r="H12" s="1491">
        <f t="shared" si="0"/>
        <v>0</v>
      </c>
      <c r="I12" s="1489"/>
      <c r="J12" s="1490">
        <f t="shared" si="1"/>
        <v>0</v>
      </c>
      <c r="K12" s="1490"/>
      <c r="L12" s="1490"/>
      <c r="M12" s="1487">
        <f t="shared" si="2"/>
        <v>0</v>
      </c>
    </row>
    <row r="13" spans="1:13" ht="20.100000000000001" customHeight="1">
      <c r="A13" s="566">
        <f t="shared" ref="A13:A15" si="3">A12+0.1</f>
        <v>2.1</v>
      </c>
      <c r="B13" s="566"/>
      <c r="C13" s="567" t="s">
        <v>54</v>
      </c>
      <c r="D13" s="566" t="s">
        <v>13</v>
      </c>
      <c r="E13" s="564">
        <v>6.5</v>
      </c>
      <c r="F13" s="565">
        <f>E13*F12</f>
        <v>6.5</v>
      </c>
      <c r="G13" s="1488"/>
      <c r="H13" s="1491">
        <f t="shared" si="0"/>
        <v>0</v>
      </c>
      <c r="I13" s="1491"/>
      <c r="J13" s="1490">
        <f t="shared" si="1"/>
        <v>0</v>
      </c>
      <c r="K13" s="1490"/>
      <c r="L13" s="1490">
        <f>F13*K13</f>
        <v>0</v>
      </c>
      <c r="M13" s="1487">
        <f t="shared" si="2"/>
        <v>0</v>
      </c>
    </row>
    <row r="14" spans="1:13" ht="20.100000000000001" customHeight="1">
      <c r="A14" s="566">
        <f t="shared" si="3"/>
        <v>2.2000000000000002</v>
      </c>
      <c r="B14" s="566"/>
      <c r="C14" s="567" t="s">
        <v>51</v>
      </c>
      <c r="D14" s="566" t="s">
        <v>52</v>
      </c>
      <c r="E14" s="564">
        <v>1.25</v>
      </c>
      <c r="F14" s="564">
        <f>F12*E14</f>
        <v>1.25</v>
      </c>
      <c r="G14" s="1488"/>
      <c r="H14" s="1491">
        <f t="shared" si="0"/>
        <v>0</v>
      </c>
      <c r="I14" s="1490"/>
      <c r="J14" s="1490">
        <f t="shared" si="1"/>
        <v>0</v>
      </c>
      <c r="K14" s="1491"/>
      <c r="L14" s="1490">
        <f t="shared" ref="L14:L37" si="4">F14*K14</f>
        <v>0</v>
      </c>
      <c r="M14" s="1487">
        <f t="shared" si="2"/>
        <v>0</v>
      </c>
    </row>
    <row r="15" spans="1:13" ht="51.75" customHeight="1">
      <c r="A15" s="566">
        <f t="shared" si="3"/>
        <v>2.3000000000000003</v>
      </c>
      <c r="B15" s="566"/>
      <c r="C15" s="567" t="s">
        <v>287</v>
      </c>
      <c r="D15" s="566" t="s">
        <v>49</v>
      </c>
      <c r="E15" s="564"/>
      <c r="F15" s="565">
        <v>1</v>
      </c>
      <c r="G15" s="1491"/>
      <c r="H15" s="1491">
        <f t="shared" si="0"/>
        <v>0</v>
      </c>
      <c r="I15" s="1489"/>
      <c r="J15" s="1490">
        <f t="shared" si="1"/>
        <v>0</v>
      </c>
      <c r="K15" s="1490"/>
      <c r="L15" s="1490">
        <f t="shared" si="4"/>
        <v>0</v>
      </c>
      <c r="M15" s="1487">
        <f t="shared" si="2"/>
        <v>0</v>
      </c>
    </row>
    <row r="16" spans="1:13" ht="50.1" customHeight="1">
      <c r="A16" s="566">
        <v>3</v>
      </c>
      <c r="B16" s="569"/>
      <c r="C16" s="570" t="s">
        <v>288</v>
      </c>
      <c r="D16" s="569" t="s">
        <v>49</v>
      </c>
      <c r="E16" s="571"/>
      <c r="F16" s="572">
        <v>3</v>
      </c>
      <c r="G16" s="1488"/>
      <c r="H16" s="1491">
        <f t="shared" si="0"/>
        <v>0</v>
      </c>
      <c r="I16" s="1489"/>
      <c r="J16" s="1490">
        <f t="shared" si="1"/>
        <v>0</v>
      </c>
      <c r="K16" s="1490"/>
      <c r="L16" s="1490">
        <f t="shared" si="4"/>
        <v>0</v>
      </c>
      <c r="M16" s="1487">
        <f t="shared" si="2"/>
        <v>0</v>
      </c>
    </row>
    <row r="17" spans="1:13" ht="20.100000000000001" customHeight="1">
      <c r="A17" s="566">
        <f t="shared" ref="A17:A20" si="5">A16+0.1</f>
        <v>3.1</v>
      </c>
      <c r="B17" s="566"/>
      <c r="C17" s="567" t="s">
        <v>54</v>
      </c>
      <c r="D17" s="566" t="s">
        <v>13</v>
      </c>
      <c r="E17" s="575">
        <v>2</v>
      </c>
      <c r="F17" s="565">
        <f>E17*F16</f>
        <v>6</v>
      </c>
      <c r="G17" s="1488"/>
      <c r="H17" s="1491">
        <f t="shared" si="0"/>
        <v>0</v>
      </c>
      <c r="I17" s="1491"/>
      <c r="J17" s="1490">
        <f t="shared" si="1"/>
        <v>0</v>
      </c>
      <c r="K17" s="1490"/>
      <c r="L17" s="1490">
        <f t="shared" si="4"/>
        <v>0</v>
      </c>
      <c r="M17" s="1487">
        <f t="shared" si="2"/>
        <v>0</v>
      </c>
    </row>
    <row r="18" spans="1:13" ht="20.100000000000001" customHeight="1">
      <c r="A18" s="566">
        <f t="shared" si="5"/>
        <v>3.2</v>
      </c>
      <c r="B18" s="566"/>
      <c r="C18" s="567" t="s">
        <v>51</v>
      </c>
      <c r="D18" s="566" t="s">
        <v>52</v>
      </c>
      <c r="E18" s="564">
        <v>0.06</v>
      </c>
      <c r="F18" s="564">
        <f>E18*F16</f>
        <v>0.18</v>
      </c>
      <c r="G18" s="1488"/>
      <c r="H18" s="1491">
        <f t="shared" si="0"/>
        <v>0</v>
      </c>
      <c r="I18" s="1490"/>
      <c r="J18" s="1490">
        <f t="shared" si="1"/>
        <v>0</v>
      </c>
      <c r="K18" s="1491"/>
      <c r="L18" s="1490">
        <f t="shared" si="4"/>
        <v>0</v>
      </c>
      <c r="M18" s="1487">
        <f t="shared" si="2"/>
        <v>0</v>
      </c>
    </row>
    <row r="19" spans="1:13" ht="38.25" customHeight="1">
      <c r="A19" s="566">
        <f t="shared" si="5"/>
        <v>3.3000000000000003</v>
      </c>
      <c r="B19" s="566"/>
      <c r="C19" s="567" t="s">
        <v>289</v>
      </c>
      <c r="D19" s="566" t="s">
        <v>49</v>
      </c>
      <c r="E19" s="564"/>
      <c r="F19" s="565">
        <v>1</v>
      </c>
      <c r="G19" s="1491"/>
      <c r="H19" s="1491">
        <f t="shared" si="0"/>
        <v>0</v>
      </c>
      <c r="I19" s="1489"/>
      <c r="J19" s="1490">
        <f t="shared" si="1"/>
        <v>0</v>
      </c>
      <c r="K19" s="1490"/>
      <c r="L19" s="1490">
        <f t="shared" si="4"/>
        <v>0</v>
      </c>
      <c r="M19" s="1487">
        <f t="shared" si="2"/>
        <v>0</v>
      </c>
    </row>
    <row r="20" spans="1:13" ht="55.5" customHeight="1">
      <c r="A20" s="566">
        <f t="shared" si="5"/>
        <v>3.4000000000000004</v>
      </c>
      <c r="B20" s="566"/>
      <c r="C20" s="567" t="s">
        <v>290</v>
      </c>
      <c r="D20" s="566" t="s">
        <v>49</v>
      </c>
      <c r="E20" s="564"/>
      <c r="F20" s="565">
        <v>3</v>
      </c>
      <c r="G20" s="1491"/>
      <c r="H20" s="1491">
        <f t="shared" si="0"/>
        <v>0</v>
      </c>
      <c r="I20" s="1489"/>
      <c r="J20" s="1490">
        <f t="shared" si="1"/>
        <v>0</v>
      </c>
      <c r="K20" s="1490"/>
      <c r="L20" s="1490">
        <f t="shared" si="4"/>
        <v>0</v>
      </c>
      <c r="M20" s="1487">
        <f t="shared" si="2"/>
        <v>0</v>
      </c>
    </row>
    <row r="21" spans="1:13" ht="50.1" customHeight="1">
      <c r="A21" s="566">
        <v>4</v>
      </c>
      <c r="B21" s="569"/>
      <c r="C21" s="570" t="s">
        <v>291</v>
      </c>
      <c r="D21" s="569" t="s">
        <v>56</v>
      </c>
      <c r="E21" s="571" t="s">
        <v>120</v>
      </c>
      <c r="F21" s="573">
        <v>0.35</v>
      </c>
      <c r="G21" s="1488"/>
      <c r="H21" s="1491">
        <f t="shared" si="0"/>
        <v>0</v>
      </c>
      <c r="I21" s="1489"/>
      <c r="J21" s="1490">
        <f t="shared" si="1"/>
        <v>0</v>
      </c>
      <c r="K21" s="1490"/>
      <c r="L21" s="1490">
        <f t="shared" si="4"/>
        <v>0</v>
      </c>
      <c r="M21" s="1487">
        <f t="shared" si="2"/>
        <v>0</v>
      </c>
    </row>
    <row r="22" spans="1:13" ht="20.100000000000001" customHeight="1">
      <c r="A22" s="566">
        <f>A21+0.1</f>
        <v>4.0999999999999996</v>
      </c>
      <c r="B22" s="566"/>
      <c r="C22" s="567" t="s">
        <v>54</v>
      </c>
      <c r="D22" s="566" t="s">
        <v>13</v>
      </c>
      <c r="E22" s="565">
        <f>13*1.3</f>
        <v>16.900000000000002</v>
      </c>
      <c r="F22" s="565">
        <f>E22*F21</f>
        <v>5.915</v>
      </c>
      <c r="G22" s="1488"/>
      <c r="H22" s="1491">
        <f t="shared" si="0"/>
        <v>0</v>
      </c>
      <c r="I22" s="1491"/>
      <c r="J22" s="1490">
        <f t="shared" si="1"/>
        <v>0</v>
      </c>
      <c r="K22" s="1490"/>
      <c r="L22" s="1490">
        <f t="shared" si="4"/>
        <v>0</v>
      </c>
      <c r="M22" s="1487">
        <f t="shared" si="2"/>
        <v>0</v>
      </c>
    </row>
    <row r="23" spans="1:13" ht="20.100000000000001" customHeight="1">
      <c r="A23" s="566">
        <f>A22+0.1</f>
        <v>4.1999999999999993</v>
      </c>
      <c r="B23" s="566"/>
      <c r="C23" s="567" t="s">
        <v>51</v>
      </c>
      <c r="D23" s="566" t="s">
        <v>52</v>
      </c>
      <c r="E23" s="564">
        <f>3.71*1.3</f>
        <v>4.8230000000000004</v>
      </c>
      <c r="F23" s="565">
        <f>E23*F21</f>
        <v>1.6880500000000001</v>
      </c>
      <c r="G23" s="1488"/>
      <c r="H23" s="1491">
        <f t="shared" si="0"/>
        <v>0</v>
      </c>
      <c r="I23" s="1490"/>
      <c r="J23" s="1490">
        <f t="shared" si="1"/>
        <v>0</v>
      </c>
      <c r="K23" s="1491"/>
      <c r="L23" s="1490">
        <f t="shared" si="4"/>
        <v>0</v>
      </c>
      <c r="M23" s="1487">
        <f t="shared" si="2"/>
        <v>0</v>
      </c>
    </row>
    <row r="24" spans="1:13" ht="20.100000000000001" customHeight="1">
      <c r="A24" s="566">
        <f>A23+0.1</f>
        <v>4.2999999999999989</v>
      </c>
      <c r="B24" s="566"/>
      <c r="C24" s="567" t="s">
        <v>292</v>
      </c>
      <c r="D24" s="566" t="s">
        <v>55</v>
      </c>
      <c r="E24" s="564"/>
      <c r="F24" s="565">
        <v>10</v>
      </c>
      <c r="G24" s="1491"/>
      <c r="H24" s="1491">
        <f t="shared" si="0"/>
        <v>0</v>
      </c>
      <c r="I24" s="1489"/>
      <c r="J24" s="1490">
        <f t="shared" si="1"/>
        <v>0</v>
      </c>
      <c r="K24" s="1490"/>
      <c r="L24" s="1490">
        <f t="shared" si="4"/>
        <v>0</v>
      </c>
      <c r="M24" s="1487">
        <f t="shared" si="2"/>
        <v>0</v>
      </c>
    </row>
    <row r="25" spans="1:13" ht="19.5" customHeight="1">
      <c r="A25" s="566">
        <f>A24+0.1</f>
        <v>4.3999999999999986</v>
      </c>
      <c r="B25" s="566"/>
      <c r="C25" s="567" t="s">
        <v>293</v>
      </c>
      <c r="D25" s="566" t="s">
        <v>55</v>
      </c>
      <c r="E25" s="564"/>
      <c r="F25" s="565">
        <v>25</v>
      </c>
      <c r="G25" s="1491"/>
      <c r="H25" s="1491">
        <f t="shared" si="0"/>
        <v>0</v>
      </c>
      <c r="I25" s="1490"/>
      <c r="J25" s="1490">
        <f t="shared" si="1"/>
        <v>0</v>
      </c>
      <c r="K25" s="1490"/>
      <c r="L25" s="1490">
        <f t="shared" si="4"/>
        <v>0</v>
      </c>
      <c r="M25" s="1487">
        <f t="shared" si="2"/>
        <v>0</v>
      </c>
    </row>
    <row r="26" spans="1:13" ht="50.1" customHeight="1">
      <c r="A26" s="566">
        <v>5</v>
      </c>
      <c r="B26" s="569"/>
      <c r="C26" s="570" t="s">
        <v>294</v>
      </c>
      <c r="D26" s="569" t="s">
        <v>49</v>
      </c>
      <c r="E26" s="571" t="s">
        <v>120</v>
      </c>
      <c r="F26" s="572">
        <v>1</v>
      </c>
      <c r="G26" s="1488"/>
      <c r="H26" s="1491">
        <f t="shared" si="0"/>
        <v>0</v>
      </c>
      <c r="I26" s="1489"/>
      <c r="J26" s="1490">
        <f t="shared" si="1"/>
        <v>0</v>
      </c>
      <c r="K26" s="1490"/>
      <c r="L26" s="1490">
        <f t="shared" si="4"/>
        <v>0</v>
      </c>
      <c r="M26" s="1487">
        <f t="shared" si="2"/>
        <v>0</v>
      </c>
    </row>
    <row r="27" spans="1:13" ht="20.100000000000001" customHeight="1">
      <c r="A27" s="566">
        <f>A26+0.1</f>
        <v>5.0999999999999996</v>
      </c>
      <c r="B27" s="566"/>
      <c r="C27" s="567" t="s">
        <v>54</v>
      </c>
      <c r="D27" s="566" t="s">
        <v>13</v>
      </c>
      <c r="E27" s="565">
        <v>0.68</v>
      </c>
      <c r="F27" s="565">
        <f>E27*F26</f>
        <v>0.68</v>
      </c>
      <c r="G27" s="1488"/>
      <c r="H27" s="1491">
        <f t="shared" si="0"/>
        <v>0</v>
      </c>
      <c r="I27" s="1492"/>
      <c r="J27" s="1490">
        <f t="shared" si="1"/>
        <v>0</v>
      </c>
      <c r="K27" s="1486"/>
      <c r="L27" s="1490">
        <f t="shared" si="4"/>
        <v>0</v>
      </c>
      <c r="M27" s="1487">
        <f t="shared" si="2"/>
        <v>0</v>
      </c>
    </row>
    <row r="28" spans="1:13" ht="20.100000000000001" customHeight="1">
      <c r="A28" s="566">
        <f>A27+0.1</f>
        <v>5.1999999999999993</v>
      </c>
      <c r="B28" s="566"/>
      <c r="C28" s="567" t="s">
        <v>51</v>
      </c>
      <c r="D28" s="566" t="s">
        <v>52</v>
      </c>
      <c r="E28" s="564">
        <v>0.01</v>
      </c>
      <c r="F28" s="565">
        <f>E28*F26</f>
        <v>0.01</v>
      </c>
      <c r="G28" s="1488"/>
      <c r="H28" s="1491">
        <f t="shared" si="0"/>
        <v>0</v>
      </c>
      <c r="I28" s="1490"/>
      <c r="J28" s="1490">
        <f t="shared" si="1"/>
        <v>0</v>
      </c>
      <c r="K28" s="1491"/>
      <c r="L28" s="1490">
        <f t="shared" si="4"/>
        <v>0</v>
      </c>
      <c r="M28" s="1487">
        <f t="shared" si="2"/>
        <v>0</v>
      </c>
    </row>
    <row r="29" spans="1:13" ht="42" customHeight="1">
      <c r="A29" s="566">
        <f>A28+0.1</f>
        <v>5.2999999999999989</v>
      </c>
      <c r="B29" s="566"/>
      <c r="C29" s="567" t="s">
        <v>295</v>
      </c>
      <c r="D29" s="566" t="s">
        <v>49</v>
      </c>
      <c r="E29" s="564"/>
      <c r="F29" s="565">
        <v>1</v>
      </c>
      <c r="G29" s="1491"/>
      <c r="H29" s="1491">
        <f t="shared" si="0"/>
        <v>0</v>
      </c>
      <c r="I29" s="1489"/>
      <c r="J29" s="1490">
        <f t="shared" si="1"/>
        <v>0</v>
      </c>
      <c r="K29" s="1486"/>
      <c r="L29" s="1490">
        <f t="shared" si="4"/>
        <v>0</v>
      </c>
      <c r="M29" s="1487">
        <f t="shared" si="2"/>
        <v>0</v>
      </c>
    </row>
    <row r="30" spans="1:13" ht="45" customHeight="1">
      <c r="A30" s="566">
        <v>6</v>
      </c>
      <c r="B30" s="569"/>
      <c r="C30" s="570" t="s">
        <v>296</v>
      </c>
      <c r="D30" s="569" t="s">
        <v>49</v>
      </c>
      <c r="E30" s="571" t="s">
        <v>120</v>
      </c>
      <c r="F30" s="572">
        <v>2</v>
      </c>
      <c r="G30" s="1488"/>
      <c r="H30" s="1491">
        <f t="shared" si="0"/>
        <v>0</v>
      </c>
      <c r="I30" s="1489"/>
      <c r="J30" s="1490">
        <f t="shared" si="1"/>
        <v>0</v>
      </c>
      <c r="K30" s="1486"/>
      <c r="L30" s="1490">
        <f t="shared" si="4"/>
        <v>0</v>
      </c>
      <c r="M30" s="1487">
        <f t="shared" si="2"/>
        <v>0</v>
      </c>
    </row>
    <row r="31" spans="1:13" ht="29.25" customHeight="1">
      <c r="A31" s="566">
        <f>A30+0.1</f>
        <v>6.1</v>
      </c>
      <c r="B31" s="566"/>
      <c r="C31" s="567" t="s">
        <v>54</v>
      </c>
      <c r="D31" s="566" t="s">
        <v>13</v>
      </c>
      <c r="E31" s="565">
        <v>0.34</v>
      </c>
      <c r="F31" s="565">
        <f>E31*F30</f>
        <v>0.68</v>
      </c>
      <c r="G31" s="1488"/>
      <c r="H31" s="1491">
        <f t="shared" si="0"/>
        <v>0</v>
      </c>
      <c r="I31" s="1492"/>
      <c r="J31" s="1490">
        <f t="shared" si="1"/>
        <v>0</v>
      </c>
      <c r="K31" s="1486"/>
      <c r="L31" s="1490">
        <f t="shared" si="4"/>
        <v>0</v>
      </c>
      <c r="M31" s="1487">
        <f t="shared" si="2"/>
        <v>0</v>
      </c>
    </row>
    <row r="32" spans="1:13" ht="29.25" customHeight="1">
      <c r="A32" s="566">
        <f>A31+0.1</f>
        <v>6.1999999999999993</v>
      </c>
      <c r="B32" s="566"/>
      <c r="C32" s="567" t="s">
        <v>51</v>
      </c>
      <c r="D32" s="566" t="s">
        <v>52</v>
      </c>
      <c r="E32" s="564">
        <v>0.01</v>
      </c>
      <c r="F32" s="565">
        <f>E32*F30</f>
        <v>0.02</v>
      </c>
      <c r="G32" s="1488"/>
      <c r="H32" s="1491">
        <f t="shared" si="0"/>
        <v>0</v>
      </c>
      <c r="I32" s="1490"/>
      <c r="J32" s="1490">
        <f t="shared" si="1"/>
        <v>0</v>
      </c>
      <c r="K32" s="1491"/>
      <c r="L32" s="1490">
        <f t="shared" si="4"/>
        <v>0</v>
      </c>
      <c r="M32" s="1487">
        <f t="shared" si="2"/>
        <v>0</v>
      </c>
    </row>
    <row r="33" spans="1:13" ht="43.5" customHeight="1">
      <c r="A33" s="566">
        <f>A32+0.1</f>
        <v>6.2999999999999989</v>
      </c>
      <c r="B33" s="566"/>
      <c r="C33" s="567" t="s">
        <v>297</v>
      </c>
      <c r="D33" s="566" t="s">
        <v>49</v>
      </c>
      <c r="E33" s="564"/>
      <c r="F33" s="565">
        <v>2</v>
      </c>
      <c r="G33" s="1491"/>
      <c r="H33" s="1491">
        <f t="shared" si="0"/>
        <v>0</v>
      </c>
      <c r="I33" s="1490"/>
      <c r="J33" s="1490">
        <f t="shared" si="1"/>
        <v>0</v>
      </c>
      <c r="K33" s="1486"/>
      <c r="L33" s="1490">
        <f t="shared" si="4"/>
        <v>0</v>
      </c>
      <c r="M33" s="1487">
        <f t="shared" si="2"/>
        <v>0</v>
      </c>
    </row>
    <row r="34" spans="1:13" ht="57" customHeight="1">
      <c r="A34" s="566">
        <v>7</v>
      </c>
      <c r="B34" s="569"/>
      <c r="C34" s="570" t="s">
        <v>300</v>
      </c>
      <c r="D34" s="569" t="s">
        <v>49</v>
      </c>
      <c r="E34" s="571"/>
      <c r="F34" s="572">
        <v>1</v>
      </c>
      <c r="G34" s="1488"/>
      <c r="H34" s="1491">
        <f t="shared" si="0"/>
        <v>0</v>
      </c>
      <c r="I34" s="1489"/>
      <c r="J34" s="1490">
        <f t="shared" si="1"/>
        <v>0</v>
      </c>
      <c r="K34" s="1486"/>
      <c r="L34" s="1490">
        <f t="shared" si="4"/>
        <v>0</v>
      </c>
      <c r="M34" s="1487">
        <f t="shared" si="2"/>
        <v>0</v>
      </c>
    </row>
    <row r="35" spans="1:13" ht="19.899999999999999" customHeight="1">
      <c r="A35" s="566">
        <f>A34+0.1</f>
        <v>7.1</v>
      </c>
      <c r="B35" s="566"/>
      <c r="C35" s="567" t="s">
        <v>50</v>
      </c>
      <c r="D35" s="566" t="s">
        <v>13</v>
      </c>
      <c r="E35" s="565">
        <v>1.03</v>
      </c>
      <c r="F35" s="565">
        <f>F34*E35</f>
        <v>1.03</v>
      </c>
      <c r="G35" s="1492"/>
      <c r="H35" s="1491">
        <f t="shared" si="0"/>
        <v>0</v>
      </c>
      <c r="I35" s="1492"/>
      <c r="J35" s="1490">
        <f t="shared" si="1"/>
        <v>0</v>
      </c>
      <c r="K35" s="1486"/>
      <c r="L35" s="1490">
        <f t="shared" si="4"/>
        <v>0</v>
      </c>
      <c r="M35" s="1487">
        <f t="shared" si="2"/>
        <v>0</v>
      </c>
    </row>
    <row r="36" spans="1:13" ht="19.899999999999999" customHeight="1">
      <c r="A36" s="566">
        <f>A35+0.1</f>
        <v>7.1999999999999993</v>
      </c>
      <c r="B36" s="566"/>
      <c r="C36" s="567" t="s">
        <v>51</v>
      </c>
      <c r="D36" s="566" t="s">
        <v>52</v>
      </c>
      <c r="E36" s="564">
        <v>0.57999999999999996</v>
      </c>
      <c r="F36" s="565">
        <f>E36*F34</f>
        <v>0.57999999999999996</v>
      </c>
      <c r="G36" s="1491"/>
      <c r="H36" s="1491">
        <f t="shared" si="0"/>
        <v>0</v>
      </c>
      <c r="I36" s="1490"/>
      <c r="J36" s="1490">
        <f t="shared" si="1"/>
        <v>0</v>
      </c>
      <c r="K36" s="1491"/>
      <c r="L36" s="1490">
        <f t="shared" si="4"/>
        <v>0</v>
      </c>
      <c r="M36" s="1487">
        <f t="shared" si="2"/>
        <v>0</v>
      </c>
    </row>
    <row r="37" spans="1:13" ht="19.899999999999999" customHeight="1">
      <c r="A37" s="566">
        <f t="shared" ref="A37" si="6">A36+0.1</f>
        <v>7.2999999999999989</v>
      </c>
      <c r="B37" s="566"/>
      <c r="C37" s="567" t="s">
        <v>301</v>
      </c>
      <c r="D37" s="566" t="s">
        <v>49</v>
      </c>
      <c r="E37" s="564"/>
      <c r="F37" s="565">
        <v>1</v>
      </c>
      <c r="G37" s="1492"/>
      <c r="H37" s="1491">
        <f t="shared" si="0"/>
        <v>0</v>
      </c>
      <c r="I37" s="1490"/>
      <c r="J37" s="1490">
        <f t="shared" si="1"/>
        <v>0</v>
      </c>
      <c r="K37" s="1486"/>
      <c r="L37" s="1490">
        <f t="shared" si="4"/>
        <v>0</v>
      </c>
      <c r="M37" s="1487">
        <f t="shared" si="2"/>
        <v>0</v>
      </c>
    </row>
    <row r="38" spans="1:13" ht="19.899999999999999" customHeight="1">
      <c r="A38" s="566"/>
      <c r="B38" s="566"/>
      <c r="C38" s="567" t="s">
        <v>39</v>
      </c>
      <c r="D38" s="566" t="s">
        <v>14</v>
      </c>
      <c r="E38" s="564"/>
      <c r="F38" s="564"/>
      <c r="G38" s="1490"/>
      <c r="H38" s="1488">
        <f>SUM(H10:H37)</f>
        <v>0</v>
      </c>
      <c r="I38" s="1489"/>
      <c r="J38" s="1488">
        <f>SUM(J10:J37)</f>
        <v>0</v>
      </c>
      <c r="K38" s="1486"/>
      <c r="L38" s="1488">
        <f>SUM(L10:L37)</f>
        <v>0</v>
      </c>
      <c r="M38" s="1488">
        <f>SUM(M10:M37)</f>
        <v>0</v>
      </c>
    </row>
    <row r="39" spans="1:13" ht="34.5" customHeight="1">
      <c r="A39" s="577"/>
      <c r="B39" s="566"/>
      <c r="C39" s="567" t="s">
        <v>247</v>
      </c>
      <c r="D39" s="578" t="s">
        <v>874</v>
      </c>
      <c r="E39" s="564"/>
      <c r="F39" s="568">
        <v>0</v>
      </c>
      <c r="G39" s="1491"/>
      <c r="H39" s="1491"/>
      <c r="I39" s="1490"/>
      <c r="J39" s="1486"/>
      <c r="K39" s="1486"/>
      <c r="L39" s="1486"/>
      <c r="M39" s="1487">
        <f>H38*F39</f>
        <v>0</v>
      </c>
    </row>
    <row r="40" spans="1:13" ht="19.899999999999999" customHeight="1">
      <c r="A40" s="577"/>
      <c r="B40" s="566"/>
      <c r="C40" s="567" t="s">
        <v>39</v>
      </c>
      <c r="D40" s="566"/>
      <c r="E40" s="564"/>
      <c r="F40" s="568"/>
      <c r="G40" s="1491"/>
      <c r="H40" s="1491"/>
      <c r="I40" s="1490"/>
      <c r="J40" s="1486"/>
      <c r="K40" s="1486"/>
      <c r="L40" s="1486"/>
      <c r="M40" s="1487">
        <f>M39+M38</f>
        <v>0</v>
      </c>
    </row>
    <row r="41" spans="1:13" ht="27" customHeight="1">
      <c r="A41" s="566"/>
      <c r="B41" s="574"/>
      <c r="C41" s="567" t="s">
        <v>298</v>
      </c>
      <c r="D41" s="578" t="s">
        <v>874</v>
      </c>
      <c r="E41" s="564"/>
      <c r="F41" s="568">
        <v>0</v>
      </c>
      <c r="G41" s="1491"/>
      <c r="H41" s="1491"/>
      <c r="I41" s="1490"/>
      <c r="J41" s="1486"/>
      <c r="K41" s="1486"/>
      <c r="L41" s="1486"/>
      <c r="M41" s="1487">
        <f>J38*F41</f>
        <v>0</v>
      </c>
    </row>
    <row r="42" spans="1:13" ht="19.899999999999999" customHeight="1">
      <c r="A42" s="566"/>
      <c r="B42" s="579"/>
      <c r="C42" s="567" t="s">
        <v>39</v>
      </c>
      <c r="D42" s="566"/>
      <c r="E42" s="564"/>
      <c r="F42" s="568"/>
      <c r="G42" s="1491"/>
      <c r="H42" s="1491"/>
      <c r="I42" s="1490"/>
      <c r="J42" s="1486"/>
      <c r="K42" s="1486"/>
      <c r="L42" s="1486"/>
      <c r="M42" s="1487">
        <f>M41+M40</f>
        <v>0</v>
      </c>
    </row>
    <row r="43" spans="1:13" ht="19.899999999999999" customHeight="1">
      <c r="A43" s="566"/>
      <c r="B43" s="566"/>
      <c r="C43" s="567" t="s">
        <v>299</v>
      </c>
      <c r="D43" s="578" t="s">
        <v>874</v>
      </c>
      <c r="E43" s="564"/>
      <c r="F43" s="568">
        <v>0</v>
      </c>
      <c r="G43" s="1491"/>
      <c r="H43" s="1491"/>
      <c r="I43" s="1490"/>
      <c r="J43" s="1486"/>
      <c r="K43" s="1486"/>
      <c r="L43" s="1486"/>
      <c r="M43" s="1487">
        <f>M42*F43</f>
        <v>0</v>
      </c>
    </row>
    <row r="44" spans="1:13" ht="19.899999999999999" customHeight="1">
      <c r="A44" s="566"/>
      <c r="B44" s="566"/>
      <c r="C44" s="567" t="s">
        <v>10</v>
      </c>
      <c r="D44" s="566"/>
      <c r="E44" s="564"/>
      <c r="F44" s="564"/>
      <c r="G44" s="1490"/>
      <c r="H44" s="1491"/>
      <c r="I44" s="1490"/>
      <c r="J44" s="1486"/>
      <c r="K44" s="1486"/>
      <c r="L44" s="1486"/>
      <c r="M44" s="1487">
        <f>M43+M42</f>
        <v>0</v>
      </c>
    </row>
    <row r="45" spans="1:13" ht="16.5" customHeight="1">
      <c r="A45" s="580"/>
      <c r="B45" s="580"/>
      <c r="C45" s="581"/>
      <c r="D45" s="580"/>
      <c r="E45" s="1646"/>
      <c r="F45" s="1646"/>
      <c r="G45" s="1646"/>
      <c r="H45" s="582"/>
      <c r="I45" s="560"/>
    </row>
    <row r="46" spans="1:13" ht="16.5" customHeight="1">
      <c r="A46" s="583"/>
      <c r="B46" s="583"/>
      <c r="C46" s="581"/>
      <c r="D46" s="580"/>
      <c r="E46" s="1647"/>
      <c r="F46" s="1647"/>
      <c r="G46" s="1647"/>
      <c r="H46" s="582"/>
      <c r="I46" s="560"/>
    </row>
    <row r="47" spans="1:13" ht="54" customHeight="1"/>
    <row r="48" spans="1:13" ht="16.5" customHeight="1"/>
    <row r="49" ht="16.5" customHeight="1"/>
    <row r="50" ht="16.5" customHeight="1"/>
    <row r="51" ht="16.5" customHeight="1"/>
    <row r="52" ht="16.5" customHeight="1"/>
    <row r="53" ht="16.5" customHeight="1"/>
    <row r="54" ht="54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54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54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54" customHeight="1"/>
    <row r="76" ht="16.5" customHeight="1"/>
    <row r="77" ht="16.5" customHeight="1"/>
    <row r="78" ht="16.5" customHeight="1"/>
    <row r="79" ht="16.5" customHeight="1"/>
    <row r="80" ht="54" customHeight="1"/>
    <row r="81" ht="16.5" customHeight="1"/>
    <row r="82" ht="16.5" customHeight="1"/>
    <row r="83" ht="16.5" customHeight="1"/>
    <row r="84" ht="16.5" customHeight="1"/>
    <row r="85" ht="54" customHeight="1"/>
    <row r="86" ht="16.5" customHeight="1"/>
    <row r="87" ht="16.5" customHeight="1"/>
    <row r="88" ht="16.5" customHeight="1"/>
    <row r="89" ht="16.5" customHeight="1"/>
    <row r="90" ht="54" customHeight="1"/>
    <row r="91" ht="16.5" customHeight="1"/>
    <row r="92" ht="16.5" customHeight="1"/>
    <row r="93" ht="16.5" customHeight="1"/>
    <row r="94" ht="16.5" customHeight="1"/>
    <row r="95" ht="54" customHeight="1"/>
    <row r="96" ht="16.5" customHeight="1"/>
    <row r="97" ht="16.5" customHeight="1"/>
    <row r="98" ht="16.5" customHeight="1"/>
    <row r="99" ht="16.5" customHeight="1"/>
    <row r="100" ht="54" customHeight="1"/>
    <row r="101" ht="16.5" customHeight="1"/>
    <row r="102" ht="16.5" customHeight="1"/>
    <row r="103" ht="16.5" customHeight="1"/>
    <row r="104" ht="16.5" customHeight="1"/>
    <row r="105" ht="54" customHeight="1"/>
    <row r="106" ht="16.5" customHeight="1"/>
    <row r="107" ht="16.5" customHeight="1"/>
    <row r="108" ht="16.5" customHeight="1"/>
    <row r="109" ht="16.5" customHeight="1"/>
    <row r="110" ht="54" customHeight="1"/>
    <row r="111" ht="16.5" customHeight="1"/>
    <row r="112" ht="16.5" customHeight="1"/>
    <row r="113" ht="16.5" customHeight="1"/>
    <row r="114" ht="16.5" customHeight="1"/>
    <row r="115" ht="54" customHeight="1"/>
    <row r="116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54" customHeight="1"/>
    <row r="125" ht="16.5" customHeight="1"/>
    <row r="126" ht="16.5" customHeight="1"/>
    <row r="127" ht="16.5" customHeight="1"/>
    <row r="128" ht="16.5" customHeight="1"/>
    <row r="129" ht="54" customHeight="1"/>
    <row r="130" ht="16.5" customHeight="1"/>
    <row r="131" ht="16.5" customHeight="1"/>
    <row r="132" ht="16.5" customHeight="1"/>
    <row r="133" ht="16.5" customHeight="1"/>
    <row r="134" ht="54" customHeight="1"/>
    <row r="135" ht="16.5" customHeight="1"/>
    <row r="136" ht="16.5" customHeight="1"/>
    <row r="137" ht="16.5" customHeight="1"/>
    <row r="138" ht="16.5" customHeight="1"/>
    <row r="140" ht="16.5" customHeight="1"/>
    <row r="141" ht="16.5" customHeight="1"/>
    <row r="142" ht="16.5" customHeight="1"/>
    <row r="143" ht="16.5" customHeight="1"/>
    <row r="144" ht="16.5" customHeight="1"/>
    <row r="146" ht="21" customHeight="1"/>
    <row r="149" ht="16.5" customHeight="1"/>
  </sheetData>
  <mergeCells count="18">
    <mergeCell ref="E45:G45"/>
    <mergeCell ref="E46:G46"/>
    <mergeCell ref="K6:L6"/>
    <mergeCell ref="M6:M7"/>
    <mergeCell ref="A5:I5"/>
    <mergeCell ref="A6:A7"/>
    <mergeCell ref="B6:B7"/>
    <mergeCell ref="C6:C7"/>
    <mergeCell ref="D6:D7"/>
    <mergeCell ref="E6:F6"/>
    <mergeCell ref="G6:H6"/>
    <mergeCell ref="I6:J6"/>
    <mergeCell ref="A1:H1"/>
    <mergeCell ref="A2:H2"/>
    <mergeCell ref="B3:C3"/>
    <mergeCell ref="E3:H3"/>
    <mergeCell ref="B4:C4"/>
    <mergeCell ref="E4:H4"/>
  </mergeCells>
  <pageMargins left="0.23" right="0.22" top="0.25" bottom="0.75" header="0.12" footer="0.3"/>
  <pageSetup paperSize="9" scale="7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 tint="4.9989318521683403E-2"/>
  </sheetPr>
  <dimension ref="A1:M78"/>
  <sheetViews>
    <sheetView topLeftCell="A73" zoomScale="85" zoomScaleNormal="85" zoomScaleSheetLayoutView="70" workbookViewId="0">
      <selection activeCell="K72" sqref="K72"/>
    </sheetView>
  </sheetViews>
  <sheetFormatPr defaultColWidth="8.85546875" defaultRowHeight="18.75"/>
  <cols>
    <col min="1" max="1" width="7" style="558" customWidth="1"/>
    <col min="2" max="2" width="14.140625" style="520" customWidth="1"/>
    <col min="3" max="3" width="57.28515625" style="559" customWidth="1"/>
    <col min="4" max="4" width="10.5703125" style="558" customWidth="1"/>
    <col min="5" max="5" width="14.28515625" style="520" customWidth="1"/>
    <col min="6" max="6" width="12.42578125" style="520" customWidth="1"/>
    <col min="7" max="7" width="10.28515625" style="520" customWidth="1"/>
    <col min="8" max="8" width="15.42578125" style="520" customWidth="1"/>
    <col min="9" max="9" width="10.7109375" style="520" customWidth="1"/>
    <col min="10" max="10" width="13.85546875" style="520" customWidth="1"/>
    <col min="11" max="11" width="8" style="520" customWidth="1"/>
    <col min="12" max="12" width="12.7109375" style="520" customWidth="1"/>
    <col min="13" max="13" width="15.28515625" style="520" customWidth="1"/>
    <col min="14" max="16384" width="8.85546875" style="520"/>
  </cols>
  <sheetData>
    <row r="1" spans="1:13" ht="25.15" customHeight="1">
      <c r="A1" s="1653" t="s">
        <v>785</v>
      </c>
      <c r="B1" s="1653"/>
      <c r="C1" s="1653"/>
      <c r="D1" s="1653"/>
      <c r="E1" s="1653"/>
      <c r="F1" s="1653"/>
      <c r="G1" s="1653"/>
      <c r="H1" s="1653"/>
      <c r="I1" s="496"/>
      <c r="J1" s="496"/>
    </row>
    <row r="2" spans="1:13" ht="45" customHeight="1">
      <c r="A2" s="1654" t="s">
        <v>470</v>
      </c>
      <c r="B2" s="1654"/>
      <c r="C2" s="1654"/>
      <c r="D2" s="1654"/>
      <c r="E2" s="1654"/>
      <c r="F2" s="1654"/>
      <c r="G2" s="1654"/>
      <c r="H2" s="1654"/>
      <c r="I2" s="1654"/>
      <c r="J2" s="1654"/>
    </row>
    <row r="3" spans="1:13" ht="25.15" customHeight="1">
      <c r="A3" s="1655" t="s">
        <v>0</v>
      </c>
      <c r="B3" s="1655"/>
      <c r="C3" s="1655"/>
      <c r="D3" s="1655"/>
      <c r="E3" s="521">
        <f>M77</f>
        <v>0</v>
      </c>
      <c r="F3" s="496" t="s">
        <v>1</v>
      </c>
      <c r="G3" s="496"/>
      <c r="H3" s="496"/>
      <c r="I3" s="496"/>
      <c r="J3" s="496"/>
    </row>
    <row r="4" spans="1:13" ht="25.15" customHeight="1">
      <c r="A4" s="1656"/>
      <c r="B4" s="1656"/>
      <c r="C4" s="1656"/>
      <c r="D4" s="1656"/>
      <c r="E4" s="1656"/>
      <c r="F4" s="1656"/>
      <c r="G4" s="1656"/>
      <c r="H4" s="1656"/>
      <c r="I4" s="496"/>
      <c r="J4" s="496"/>
    </row>
    <row r="5" spans="1:13" ht="39.6" customHeight="1">
      <c r="A5" s="1590"/>
      <c r="B5" s="1657" t="s">
        <v>2</v>
      </c>
      <c r="C5" s="1658" t="s">
        <v>3</v>
      </c>
      <c r="D5" s="1570" t="s">
        <v>4</v>
      </c>
      <c r="E5" s="1659" t="s">
        <v>5</v>
      </c>
      <c r="F5" s="1659"/>
      <c r="G5" s="1659" t="s">
        <v>6</v>
      </c>
      <c r="H5" s="1659"/>
      <c r="I5" s="1650" t="s">
        <v>66</v>
      </c>
      <c r="J5" s="1651"/>
      <c r="K5" s="1650" t="s">
        <v>72</v>
      </c>
      <c r="L5" s="1651"/>
      <c r="M5" s="1652" t="s">
        <v>67</v>
      </c>
    </row>
    <row r="6" spans="1:13" ht="75">
      <c r="A6" s="1590"/>
      <c r="B6" s="1657"/>
      <c r="C6" s="1658"/>
      <c r="D6" s="1570"/>
      <c r="E6" s="522" t="s">
        <v>7</v>
      </c>
      <c r="F6" s="522" t="s">
        <v>8</v>
      </c>
      <c r="G6" s="501" t="s">
        <v>9</v>
      </c>
      <c r="H6" s="523" t="s">
        <v>10</v>
      </c>
      <c r="I6" s="524" t="s">
        <v>9</v>
      </c>
      <c r="J6" s="524" t="s">
        <v>10</v>
      </c>
      <c r="K6" s="524" t="s">
        <v>9</v>
      </c>
      <c r="L6" s="524" t="s">
        <v>10</v>
      </c>
      <c r="M6" s="1652"/>
    </row>
    <row r="7" spans="1:13">
      <c r="A7" s="499">
        <v>1</v>
      </c>
      <c r="B7" s="501">
        <v>2</v>
      </c>
      <c r="C7" s="525">
        <v>3</v>
      </c>
      <c r="D7" s="499">
        <v>4</v>
      </c>
      <c r="E7" s="501">
        <v>5</v>
      </c>
      <c r="F7" s="501">
        <v>6</v>
      </c>
      <c r="G7" s="501">
        <v>7</v>
      </c>
      <c r="H7" s="526">
        <v>8</v>
      </c>
      <c r="I7" s="501">
        <v>9</v>
      </c>
      <c r="J7" s="526">
        <v>10</v>
      </c>
      <c r="K7" s="527"/>
      <c r="L7" s="527"/>
      <c r="M7" s="527"/>
    </row>
    <row r="8" spans="1:13" s="530" customFormat="1" ht="45" customHeight="1">
      <c r="A8" s="528">
        <v>1</v>
      </c>
      <c r="B8" s="201"/>
      <c r="C8" s="68" t="s">
        <v>352</v>
      </c>
      <c r="D8" s="528" t="s">
        <v>49</v>
      </c>
      <c r="E8" s="529"/>
      <c r="F8" s="62">
        <f>SUM(F11:F16)</f>
        <v>157</v>
      </c>
      <c r="G8" s="1332"/>
      <c r="H8" s="1332">
        <f t="shared" ref="H8:H67" si="0">F8*G8</f>
        <v>0</v>
      </c>
      <c r="I8" s="1493"/>
      <c r="J8" s="1493">
        <f t="shared" ref="J8:J67" si="1">F8*I8</f>
        <v>0</v>
      </c>
      <c r="K8" s="1493"/>
      <c r="L8" s="1493">
        <f t="shared" ref="L8:L67" si="2">F8*K8</f>
        <v>0</v>
      </c>
      <c r="M8" s="1493">
        <f t="shared" ref="M8:M67" si="3">H8+J8+L8</f>
        <v>0</v>
      </c>
    </row>
    <row r="9" spans="1:13" s="530" customFormat="1" ht="19.899999999999999" customHeight="1">
      <c r="A9" s="202">
        <f>A8+0.1</f>
        <v>1.1000000000000001</v>
      </c>
      <c r="B9" s="277"/>
      <c r="C9" s="531" t="s">
        <v>50</v>
      </c>
      <c r="D9" s="202" t="s">
        <v>13</v>
      </c>
      <c r="E9" s="532">
        <v>2</v>
      </c>
      <c r="F9" s="62">
        <f>F8*E9</f>
        <v>314</v>
      </c>
      <c r="G9" s="1332"/>
      <c r="H9" s="1332">
        <f t="shared" si="0"/>
        <v>0</v>
      </c>
      <c r="I9" s="1332"/>
      <c r="J9" s="1493">
        <f t="shared" si="1"/>
        <v>0</v>
      </c>
      <c r="K9" s="1493"/>
      <c r="L9" s="1493">
        <f t="shared" si="2"/>
        <v>0</v>
      </c>
      <c r="M9" s="1493">
        <f t="shared" si="3"/>
        <v>0</v>
      </c>
    </row>
    <row r="10" spans="1:13" s="530" customFormat="1" ht="19.899999999999999" customHeight="1">
      <c r="A10" s="202">
        <f>A9+0.1</f>
        <v>1.2000000000000002</v>
      </c>
      <c r="B10" s="277"/>
      <c r="C10" s="531" t="s">
        <v>140</v>
      </c>
      <c r="D10" s="115" t="s">
        <v>14</v>
      </c>
      <c r="E10" s="529">
        <v>2.2000000000000002</v>
      </c>
      <c r="F10" s="62">
        <f>E10*F8</f>
        <v>345.40000000000003</v>
      </c>
      <c r="G10" s="1332"/>
      <c r="H10" s="1332">
        <f t="shared" si="0"/>
        <v>0</v>
      </c>
      <c r="I10" s="1493"/>
      <c r="J10" s="1493">
        <f t="shared" si="1"/>
        <v>0</v>
      </c>
      <c r="K10" s="1493"/>
      <c r="L10" s="1493">
        <f t="shared" si="2"/>
        <v>0</v>
      </c>
      <c r="M10" s="1493">
        <f t="shared" si="3"/>
        <v>0</v>
      </c>
    </row>
    <row r="11" spans="1:13" s="530" customFormat="1" ht="19.899999999999999" customHeight="1">
      <c r="A11" s="202">
        <f>A10+0.1</f>
        <v>1.3000000000000003</v>
      </c>
      <c r="B11" s="203"/>
      <c r="C11" s="64" t="s">
        <v>350</v>
      </c>
      <c r="D11" s="202" t="s">
        <v>49</v>
      </c>
      <c r="E11" s="529"/>
      <c r="F11" s="62">
        <v>7</v>
      </c>
      <c r="G11" s="1332"/>
      <c r="H11" s="1332">
        <f t="shared" si="0"/>
        <v>0</v>
      </c>
      <c r="I11" s="1493"/>
      <c r="J11" s="1493">
        <f t="shared" si="1"/>
        <v>0</v>
      </c>
      <c r="K11" s="1493"/>
      <c r="L11" s="1493">
        <f t="shared" si="2"/>
        <v>0</v>
      </c>
      <c r="M11" s="1493">
        <f t="shared" si="3"/>
        <v>0</v>
      </c>
    </row>
    <row r="12" spans="1:13" s="530" customFormat="1" ht="34.5" customHeight="1">
      <c r="A12" s="202">
        <f t="shared" ref="A12:A16" si="4">A11+0.1</f>
        <v>1.4000000000000004</v>
      </c>
      <c r="B12" s="203"/>
      <c r="C12" s="64" t="s">
        <v>354</v>
      </c>
      <c r="D12" s="202" t="s">
        <v>49</v>
      </c>
      <c r="E12" s="529"/>
      <c r="F12" s="62">
        <v>16</v>
      </c>
      <c r="G12" s="1332"/>
      <c r="H12" s="1332">
        <f t="shared" si="0"/>
        <v>0</v>
      </c>
      <c r="I12" s="1493"/>
      <c r="J12" s="1493">
        <f t="shared" si="1"/>
        <v>0</v>
      </c>
      <c r="K12" s="1493"/>
      <c r="L12" s="1493">
        <f t="shared" si="2"/>
        <v>0</v>
      </c>
      <c r="M12" s="1493">
        <f t="shared" si="3"/>
        <v>0</v>
      </c>
    </row>
    <row r="13" spans="1:13" ht="19.899999999999999" customHeight="1">
      <c r="A13" s="202">
        <f t="shared" si="4"/>
        <v>1.5000000000000004</v>
      </c>
      <c r="B13" s="527"/>
      <c r="C13" s="64" t="s">
        <v>353</v>
      </c>
      <c r="D13" s="533" t="s">
        <v>49</v>
      </c>
      <c r="E13" s="534"/>
      <c r="F13" s="534">
        <v>71</v>
      </c>
      <c r="G13" s="1494"/>
      <c r="H13" s="1332">
        <f t="shared" si="0"/>
        <v>0</v>
      </c>
      <c r="I13" s="1494"/>
      <c r="J13" s="1493">
        <f t="shared" si="1"/>
        <v>0</v>
      </c>
      <c r="K13" s="1494"/>
      <c r="L13" s="1493">
        <f t="shared" si="2"/>
        <v>0</v>
      </c>
      <c r="M13" s="1493">
        <f t="shared" si="3"/>
        <v>0</v>
      </c>
    </row>
    <row r="14" spans="1:13" ht="19.899999999999999" customHeight="1">
      <c r="A14" s="202">
        <f t="shared" si="4"/>
        <v>1.6000000000000005</v>
      </c>
      <c r="B14" s="527"/>
      <c r="C14" s="535" t="s">
        <v>357</v>
      </c>
      <c r="D14" s="533" t="s">
        <v>49</v>
      </c>
      <c r="E14" s="534"/>
      <c r="F14" s="534">
        <v>13</v>
      </c>
      <c r="G14" s="1494"/>
      <c r="H14" s="1332">
        <f t="shared" si="0"/>
        <v>0</v>
      </c>
      <c r="I14" s="1494"/>
      <c r="J14" s="1493">
        <f t="shared" si="1"/>
        <v>0</v>
      </c>
      <c r="K14" s="1494"/>
      <c r="L14" s="1493">
        <f t="shared" si="2"/>
        <v>0</v>
      </c>
      <c r="M14" s="1493">
        <f t="shared" si="3"/>
        <v>0</v>
      </c>
    </row>
    <row r="15" spans="1:13" ht="19.899999999999999" customHeight="1">
      <c r="A15" s="202">
        <f t="shared" si="4"/>
        <v>1.7000000000000006</v>
      </c>
      <c r="B15" s="527"/>
      <c r="C15" s="535" t="s">
        <v>355</v>
      </c>
      <c r="D15" s="533" t="s">
        <v>49</v>
      </c>
      <c r="E15" s="534"/>
      <c r="F15" s="534">
        <v>18</v>
      </c>
      <c r="G15" s="1494"/>
      <c r="H15" s="1332">
        <f t="shared" si="0"/>
        <v>0</v>
      </c>
      <c r="I15" s="1494"/>
      <c r="J15" s="1493">
        <f t="shared" si="1"/>
        <v>0</v>
      </c>
      <c r="K15" s="1494"/>
      <c r="L15" s="1493">
        <f t="shared" si="2"/>
        <v>0</v>
      </c>
      <c r="M15" s="1493">
        <f t="shared" si="3"/>
        <v>0</v>
      </c>
    </row>
    <row r="16" spans="1:13" ht="19.5" customHeight="1">
      <c r="A16" s="536">
        <f t="shared" si="4"/>
        <v>1.8000000000000007</v>
      </c>
      <c r="B16" s="527"/>
      <c r="C16" s="535" t="s">
        <v>356</v>
      </c>
      <c r="D16" s="533" t="s">
        <v>49</v>
      </c>
      <c r="E16" s="534"/>
      <c r="F16" s="534">
        <v>32</v>
      </c>
      <c r="G16" s="1494"/>
      <c r="H16" s="1332">
        <f t="shared" si="0"/>
        <v>0</v>
      </c>
      <c r="I16" s="1494"/>
      <c r="J16" s="1493">
        <f t="shared" si="1"/>
        <v>0</v>
      </c>
      <c r="K16" s="1494"/>
      <c r="L16" s="1493">
        <f t="shared" si="2"/>
        <v>0</v>
      </c>
      <c r="M16" s="1493">
        <f t="shared" si="3"/>
        <v>0</v>
      </c>
    </row>
    <row r="17" spans="1:13" s="537" customFormat="1" ht="36" customHeight="1">
      <c r="A17" s="67">
        <v>2</v>
      </c>
      <c r="B17" s="184"/>
      <c r="C17" s="68" t="s">
        <v>478</v>
      </c>
      <c r="D17" s="67" t="s">
        <v>49</v>
      </c>
      <c r="E17" s="61"/>
      <c r="F17" s="341">
        <v>39</v>
      </c>
      <c r="G17" s="80"/>
      <c r="H17" s="1332">
        <f t="shared" si="0"/>
        <v>0</v>
      </c>
      <c r="I17" s="1289"/>
      <c r="J17" s="1493">
        <f t="shared" si="1"/>
        <v>0</v>
      </c>
      <c r="K17" s="1289"/>
      <c r="L17" s="1493">
        <f t="shared" si="2"/>
        <v>0</v>
      </c>
      <c r="M17" s="1493">
        <f t="shared" si="3"/>
        <v>0</v>
      </c>
    </row>
    <row r="18" spans="1:13" s="537" customFormat="1" ht="20.100000000000001" customHeight="1">
      <c r="A18" s="63">
        <f>A17+0.1</f>
        <v>2.1</v>
      </c>
      <c r="B18" s="184"/>
      <c r="C18" s="64" t="s">
        <v>54</v>
      </c>
      <c r="D18" s="63" t="s">
        <v>13</v>
      </c>
      <c r="E18" s="61">
        <v>8.4</v>
      </c>
      <c r="F18" s="62">
        <f>F17*E18</f>
        <v>327.60000000000002</v>
      </c>
      <c r="G18" s="80"/>
      <c r="H18" s="1332">
        <f t="shared" si="0"/>
        <v>0</v>
      </c>
      <c r="I18" s="80"/>
      <c r="J18" s="1493">
        <f t="shared" si="1"/>
        <v>0</v>
      </c>
      <c r="K18" s="1289"/>
      <c r="L18" s="1493">
        <f t="shared" si="2"/>
        <v>0</v>
      </c>
      <c r="M18" s="1493">
        <f t="shared" si="3"/>
        <v>0</v>
      </c>
    </row>
    <row r="19" spans="1:13" s="537" customFormat="1" ht="20.100000000000001" customHeight="1">
      <c r="A19" s="63">
        <f>A18+0.1</f>
        <v>2.2000000000000002</v>
      </c>
      <c r="B19" s="184"/>
      <c r="C19" s="64" t="s">
        <v>51</v>
      </c>
      <c r="D19" s="63" t="s">
        <v>52</v>
      </c>
      <c r="E19" s="61">
        <v>3.3</v>
      </c>
      <c r="F19" s="62">
        <f>F17*E19</f>
        <v>128.69999999999999</v>
      </c>
      <c r="G19" s="80"/>
      <c r="H19" s="1332">
        <f t="shared" si="0"/>
        <v>0</v>
      </c>
      <c r="I19" s="1289"/>
      <c r="J19" s="1493">
        <f t="shared" si="1"/>
        <v>0</v>
      </c>
      <c r="K19" s="1289"/>
      <c r="L19" s="1493">
        <f t="shared" si="2"/>
        <v>0</v>
      </c>
      <c r="M19" s="1493">
        <f t="shared" si="3"/>
        <v>0</v>
      </c>
    </row>
    <row r="20" spans="1:13" s="537" customFormat="1" ht="20.100000000000001" customHeight="1">
      <c r="A20" s="63">
        <f>A19+0.1</f>
        <v>2.3000000000000003</v>
      </c>
      <c r="B20" s="527"/>
      <c r="C20" s="64" t="s">
        <v>374</v>
      </c>
      <c r="D20" s="63" t="s">
        <v>49</v>
      </c>
      <c r="E20" s="61"/>
      <c r="F20" s="242">
        <f>F17</f>
        <v>39</v>
      </c>
      <c r="G20" s="80"/>
      <c r="H20" s="1332">
        <f t="shared" si="0"/>
        <v>0</v>
      </c>
      <c r="I20" s="1289"/>
      <c r="J20" s="1493">
        <f t="shared" si="1"/>
        <v>0</v>
      </c>
      <c r="K20" s="1289"/>
      <c r="L20" s="1493">
        <f t="shared" si="2"/>
        <v>0</v>
      </c>
      <c r="M20" s="1493">
        <f t="shared" si="3"/>
        <v>0</v>
      </c>
    </row>
    <row r="21" spans="1:13" s="537" customFormat="1" ht="20.100000000000001" customHeight="1">
      <c r="A21" s="63">
        <f>A20+0.1</f>
        <v>2.4000000000000004</v>
      </c>
      <c r="B21" s="527"/>
      <c r="C21" s="64" t="s">
        <v>358</v>
      </c>
      <c r="D21" s="63" t="s">
        <v>49</v>
      </c>
      <c r="E21" s="61">
        <v>4</v>
      </c>
      <c r="F21" s="242">
        <f>F17*E21</f>
        <v>156</v>
      </c>
      <c r="G21" s="80"/>
      <c r="H21" s="1332">
        <f t="shared" si="0"/>
        <v>0</v>
      </c>
      <c r="I21" s="1289"/>
      <c r="J21" s="1493">
        <f t="shared" si="1"/>
        <v>0</v>
      </c>
      <c r="K21" s="1289"/>
      <c r="L21" s="1493">
        <f t="shared" si="2"/>
        <v>0</v>
      </c>
      <c r="M21" s="1493">
        <f t="shared" si="3"/>
        <v>0</v>
      </c>
    </row>
    <row r="22" spans="1:13" s="530" customFormat="1" ht="30" customHeight="1">
      <c r="A22" s="528">
        <v>3</v>
      </c>
      <c r="B22" s="201"/>
      <c r="C22" s="68" t="s">
        <v>361</v>
      </c>
      <c r="D22" s="528" t="s">
        <v>55</v>
      </c>
      <c r="E22" s="538"/>
      <c r="F22" s="69">
        <f>SUM(F25:F28)</f>
        <v>892.8</v>
      </c>
      <c r="G22" s="1332"/>
      <c r="H22" s="1332">
        <f t="shared" si="0"/>
        <v>0</v>
      </c>
      <c r="I22" s="1493"/>
      <c r="J22" s="1493">
        <f t="shared" si="1"/>
        <v>0</v>
      </c>
      <c r="K22" s="1493"/>
      <c r="L22" s="1493">
        <f t="shared" si="2"/>
        <v>0</v>
      </c>
      <c r="M22" s="1493">
        <f t="shared" si="3"/>
        <v>0</v>
      </c>
    </row>
    <row r="23" spans="1:13" s="530" customFormat="1" ht="21.75" customHeight="1">
      <c r="A23" s="202">
        <f>A22+0.1</f>
        <v>3.1</v>
      </c>
      <c r="B23" s="277"/>
      <c r="C23" s="531" t="s">
        <v>50</v>
      </c>
      <c r="D23" s="202" t="s">
        <v>13</v>
      </c>
      <c r="E23" s="532">
        <v>1</v>
      </c>
      <c r="F23" s="62">
        <f>F22*E23</f>
        <v>892.8</v>
      </c>
      <c r="G23" s="1332"/>
      <c r="H23" s="1332">
        <f t="shared" si="0"/>
        <v>0</v>
      </c>
      <c r="I23" s="1332"/>
      <c r="J23" s="1493">
        <f t="shared" si="1"/>
        <v>0</v>
      </c>
      <c r="K23" s="1493"/>
      <c r="L23" s="1493">
        <f t="shared" si="2"/>
        <v>0</v>
      </c>
      <c r="M23" s="1493">
        <f t="shared" si="3"/>
        <v>0</v>
      </c>
    </row>
    <row r="24" spans="1:13" s="530" customFormat="1" ht="21.75" customHeight="1">
      <c r="A24" s="202">
        <f>A23+0.1</f>
        <v>3.2</v>
      </c>
      <c r="B24" s="277"/>
      <c r="C24" s="531" t="s">
        <v>140</v>
      </c>
      <c r="D24" s="115" t="s">
        <v>14</v>
      </c>
      <c r="E24" s="529">
        <v>1.5</v>
      </c>
      <c r="F24" s="62">
        <f>E24*F22</f>
        <v>1339.1999999999998</v>
      </c>
      <c r="G24" s="1332"/>
      <c r="H24" s="1332">
        <f t="shared" si="0"/>
        <v>0</v>
      </c>
      <c r="I24" s="1493"/>
      <c r="J24" s="1493">
        <f t="shared" si="1"/>
        <v>0</v>
      </c>
      <c r="K24" s="1493"/>
      <c r="L24" s="1493">
        <f t="shared" si="2"/>
        <v>0</v>
      </c>
      <c r="M24" s="1493">
        <f t="shared" si="3"/>
        <v>0</v>
      </c>
    </row>
    <row r="25" spans="1:13" s="530" customFormat="1" ht="21.75" customHeight="1">
      <c r="A25" s="202">
        <f>A24+0.1</f>
        <v>3.3000000000000003</v>
      </c>
      <c r="B25" s="203"/>
      <c r="C25" s="64" t="s">
        <v>359</v>
      </c>
      <c r="D25" s="202" t="s">
        <v>177</v>
      </c>
      <c r="E25" s="529"/>
      <c r="F25" s="62">
        <v>250</v>
      </c>
      <c r="G25" s="1332"/>
      <c r="H25" s="1332">
        <f t="shared" si="0"/>
        <v>0</v>
      </c>
      <c r="I25" s="1493"/>
      <c r="J25" s="1493">
        <f t="shared" si="1"/>
        <v>0</v>
      </c>
      <c r="K25" s="1493"/>
      <c r="L25" s="1493">
        <f t="shared" si="2"/>
        <v>0</v>
      </c>
      <c r="M25" s="1493">
        <f t="shared" si="3"/>
        <v>0</v>
      </c>
    </row>
    <row r="26" spans="1:13" s="530" customFormat="1" ht="21.75" customHeight="1">
      <c r="A26" s="202">
        <f t="shared" ref="A26:A28" si="5">A25+0.1</f>
        <v>3.4000000000000004</v>
      </c>
      <c r="B26" s="203"/>
      <c r="C26" s="64" t="s">
        <v>360</v>
      </c>
      <c r="D26" s="202" t="s">
        <v>177</v>
      </c>
      <c r="E26" s="529"/>
      <c r="F26" s="62">
        <v>531</v>
      </c>
      <c r="G26" s="1332"/>
      <c r="H26" s="1332">
        <f t="shared" si="0"/>
        <v>0</v>
      </c>
      <c r="I26" s="1493"/>
      <c r="J26" s="1493">
        <f t="shared" si="1"/>
        <v>0</v>
      </c>
      <c r="K26" s="1493"/>
      <c r="L26" s="1493">
        <f t="shared" si="2"/>
        <v>0</v>
      </c>
      <c r="M26" s="1493">
        <f t="shared" si="3"/>
        <v>0</v>
      </c>
    </row>
    <row r="27" spans="1:13" ht="21.75" customHeight="1">
      <c r="A27" s="202">
        <f t="shared" si="5"/>
        <v>3.5000000000000004</v>
      </c>
      <c r="B27" s="527"/>
      <c r="C27" s="64" t="s">
        <v>362</v>
      </c>
      <c r="D27" s="202" t="s">
        <v>177</v>
      </c>
      <c r="E27" s="534"/>
      <c r="F27" s="534">
        <v>105.3</v>
      </c>
      <c r="G27" s="1494"/>
      <c r="H27" s="1332">
        <f t="shared" si="0"/>
        <v>0</v>
      </c>
      <c r="I27" s="1494"/>
      <c r="J27" s="1493">
        <f t="shared" si="1"/>
        <v>0</v>
      </c>
      <c r="K27" s="1494"/>
      <c r="L27" s="1493">
        <f t="shared" si="2"/>
        <v>0</v>
      </c>
      <c r="M27" s="1493">
        <f t="shared" si="3"/>
        <v>0</v>
      </c>
    </row>
    <row r="28" spans="1:13" ht="21.75" customHeight="1">
      <c r="A28" s="202">
        <f t="shared" si="5"/>
        <v>3.6000000000000005</v>
      </c>
      <c r="B28" s="527"/>
      <c r="C28" s="535" t="s">
        <v>363</v>
      </c>
      <c r="D28" s="202" t="s">
        <v>177</v>
      </c>
      <c r="E28" s="534"/>
      <c r="F28" s="534">
        <v>6.5</v>
      </c>
      <c r="G28" s="1494"/>
      <c r="H28" s="1332">
        <f t="shared" si="0"/>
        <v>0</v>
      </c>
      <c r="I28" s="1494"/>
      <c r="J28" s="1493">
        <f t="shared" si="1"/>
        <v>0</v>
      </c>
      <c r="K28" s="1494"/>
      <c r="L28" s="1493">
        <f t="shared" si="2"/>
        <v>0</v>
      </c>
      <c r="M28" s="1493">
        <f t="shared" si="3"/>
        <v>0</v>
      </c>
    </row>
    <row r="29" spans="1:13" s="539" customFormat="1" ht="45" customHeight="1">
      <c r="A29" s="67">
        <v>4</v>
      </c>
      <c r="B29" s="63"/>
      <c r="C29" s="68" t="s">
        <v>235</v>
      </c>
      <c r="D29" s="67" t="s">
        <v>49</v>
      </c>
      <c r="E29" s="61"/>
      <c r="F29" s="341">
        <v>2</v>
      </c>
      <c r="G29" s="1332"/>
      <c r="H29" s="1332">
        <f t="shared" si="0"/>
        <v>0</v>
      </c>
      <c r="I29" s="1332"/>
      <c r="J29" s="1493">
        <f t="shared" si="1"/>
        <v>0</v>
      </c>
      <c r="K29" s="1495"/>
      <c r="L29" s="1493">
        <f t="shared" si="2"/>
        <v>0</v>
      </c>
      <c r="M29" s="1493">
        <f t="shared" si="3"/>
        <v>0</v>
      </c>
    </row>
    <row r="30" spans="1:13" s="539" customFormat="1" ht="22.5" customHeight="1">
      <c r="A30" s="63">
        <f>A29+0.1</f>
        <v>4.0999999999999996</v>
      </c>
      <c r="B30" s="115"/>
      <c r="C30" s="531" t="s">
        <v>50</v>
      </c>
      <c r="D30" s="115" t="s">
        <v>13</v>
      </c>
      <c r="E30" s="61">
        <v>4.3499999999999996</v>
      </c>
      <c r="F30" s="62">
        <f>E30*F29</f>
        <v>8.6999999999999993</v>
      </c>
      <c r="G30" s="1332"/>
      <c r="H30" s="1332">
        <f t="shared" si="0"/>
        <v>0</v>
      </c>
      <c r="I30" s="1493"/>
      <c r="J30" s="1493">
        <f t="shared" si="1"/>
        <v>0</v>
      </c>
      <c r="K30" s="1493"/>
      <c r="L30" s="1493">
        <f t="shared" si="2"/>
        <v>0</v>
      </c>
      <c r="M30" s="1493">
        <f t="shared" si="3"/>
        <v>0</v>
      </c>
    </row>
    <row r="31" spans="1:13" s="539" customFormat="1" ht="22.5" customHeight="1">
      <c r="A31" s="63">
        <f>A30+0.1</f>
        <v>4.1999999999999993</v>
      </c>
      <c r="B31" s="115"/>
      <c r="C31" s="531" t="s">
        <v>140</v>
      </c>
      <c r="D31" s="115" t="s">
        <v>14</v>
      </c>
      <c r="E31" s="61">
        <v>0.09</v>
      </c>
      <c r="F31" s="61">
        <f>E31*F29</f>
        <v>0.18</v>
      </c>
      <c r="G31" s="1332"/>
      <c r="H31" s="1332">
        <f t="shared" si="0"/>
        <v>0</v>
      </c>
      <c r="I31" s="1493"/>
      <c r="J31" s="1493">
        <f t="shared" si="1"/>
        <v>0</v>
      </c>
      <c r="K31" s="1493"/>
      <c r="L31" s="1493">
        <f t="shared" si="2"/>
        <v>0</v>
      </c>
      <c r="M31" s="1493">
        <f t="shared" si="3"/>
        <v>0</v>
      </c>
    </row>
    <row r="32" spans="1:13" s="539" customFormat="1" ht="22.5" customHeight="1">
      <c r="A32" s="63">
        <f>A31+0.1</f>
        <v>4.2999999999999989</v>
      </c>
      <c r="B32" s="63"/>
      <c r="C32" s="64" t="s">
        <v>364</v>
      </c>
      <c r="D32" s="63" t="s">
        <v>49</v>
      </c>
      <c r="E32" s="61"/>
      <c r="F32" s="62">
        <f>F29</f>
        <v>2</v>
      </c>
      <c r="G32" s="1332"/>
      <c r="H32" s="1332">
        <f t="shared" si="0"/>
        <v>0</v>
      </c>
      <c r="I32" s="1332"/>
      <c r="J32" s="1493">
        <f t="shared" si="1"/>
        <v>0</v>
      </c>
      <c r="K32" s="1495"/>
      <c r="L32" s="1493">
        <f t="shared" si="2"/>
        <v>0</v>
      </c>
      <c r="M32" s="1493">
        <f t="shared" si="3"/>
        <v>0</v>
      </c>
    </row>
    <row r="33" spans="1:13" s="74" customFormat="1" ht="50.1" customHeight="1">
      <c r="A33" s="67">
        <v>5</v>
      </c>
      <c r="B33" s="63"/>
      <c r="C33" s="68" t="s">
        <v>366</v>
      </c>
      <c r="D33" s="67" t="s">
        <v>49</v>
      </c>
      <c r="E33" s="61"/>
      <c r="F33" s="341">
        <v>1</v>
      </c>
      <c r="G33" s="80"/>
      <c r="H33" s="1332">
        <f t="shared" si="0"/>
        <v>0</v>
      </c>
      <c r="I33" s="1289"/>
      <c r="J33" s="1493">
        <f t="shared" si="1"/>
        <v>0</v>
      </c>
      <c r="K33" s="1289"/>
      <c r="L33" s="1493">
        <f t="shared" si="2"/>
        <v>0</v>
      </c>
      <c r="M33" s="1493">
        <f t="shared" si="3"/>
        <v>0</v>
      </c>
    </row>
    <row r="34" spans="1:13" s="74" customFormat="1" ht="24" customHeight="1">
      <c r="A34" s="63">
        <f>A33+0.1</f>
        <v>5.0999999999999996</v>
      </c>
      <c r="B34" s="63"/>
      <c r="C34" s="64" t="s">
        <v>50</v>
      </c>
      <c r="D34" s="63" t="s">
        <v>13</v>
      </c>
      <c r="E34" s="61">
        <v>4.3499999999999996</v>
      </c>
      <c r="F34" s="62">
        <f>E34*F33</f>
        <v>4.3499999999999996</v>
      </c>
      <c r="G34" s="80"/>
      <c r="H34" s="1332">
        <f t="shared" si="0"/>
        <v>0</v>
      </c>
      <c r="I34" s="80"/>
      <c r="J34" s="1493">
        <f t="shared" si="1"/>
        <v>0</v>
      </c>
      <c r="K34" s="1289"/>
      <c r="L34" s="1493">
        <f t="shared" si="2"/>
        <v>0</v>
      </c>
      <c r="M34" s="1493">
        <f t="shared" si="3"/>
        <v>0</v>
      </c>
    </row>
    <row r="35" spans="1:13" s="74" customFormat="1" ht="24" customHeight="1">
      <c r="A35" s="63">
        <f>A34+0.1</f>
        <v>5.1999999999999993</v>
      </c>
      <c r="B35" s="63"/>
      <c r="C35" s="64" t="s">
        <v>51</v>
      </c>
      <c r="D35" s="63" t="s">
        <v>52</v>
      </c>
      <c r="E35" s="61">
        <v>0.09</v>
      </c>
      <c r="F35" s="61">
        <f>E35*F33</f>
        <v>0.09</v>
      </c>
      <c r="G35" s="80"/>
      <c r="H35" s="1332">
        <f t="shared" si="0"/>
        <v>0</v>
      </c>
      <c r="I35" s="1289"/>
      <c r="J35" s="1493">
        <f t="shared" si="1"/>
        <v>0</v>
      </c>
      <c r="K35" s="1289"/>
      <c r="L35" s="1493">
        <f t="shared" si="2"/>
        <v>0</v>
      </c>
      <c r="M35" s="1493">
        <f t="shared" si="3"/>
        <v>0</v>
      </c>
    </row>
    <row r="36" spans="1:13" s="74" customFormat="1" ht="24" customHeight="1">
      <c r="A36" s="63">
        <f>A35+0.1</f>
        <v>5.2999999999999989</v>
      </c>
      <c r="B36" s="63"/>
      <c r="C36" s="64" t="s">
        <v>365</v>
      </c>
      <c r="D36" s="63" t="s">
        <v>49</v>
      </c>
      <c r="E36" s="61"/>
      <c r="F36" s="62">
        <v>1</v>
      </c>
      <c r="G36" s="80"/>
      <c r="H36" s="1332">
        <f t="shared" si="0"/>
        <v>0</v>
      </c>
      <c r="I36" s="1289"/>
      <c r="J36" s="1493">
        <f t="shared" si="1"/>
        <v>0</v>
      </c>
      <c r="K36" s="1289"/>
      <c r="L36" s="1493">
        <f t="shared" si="2"/>
        <v>0</v>
      </c>
      <c r="M36" s="1493">
        <f t="shared" si="3"/>
        <v>0</v>
      </c>
    </row>
    <row r="37" spans="1:13" s="530" customFormat="1" ht="45" customHeight="1">
      <c r="A37" s="528">
        <v>6</v>
      </c>
      <c r="B37" s="202"/>
      <c r="C37" s="540" t="s">
        <v>231</v>
      </c>
      <c r="D37" s="528" t="s">
        <v>55</v>
      </c>
      <c r="E37" s="529"/>
      <c r="F37" s="541">
        <f>SUM(F40:F41)</f>
        <v>1725.7</v>
      </c>
      <c r="G37" s="1332"/>
      <c r="H37" s="1332">
        <f t="shared" si="0"/>
        <v>0</v>
      </c>
      <c r="I37" s="1493"/>
      <c r="J37" s="1493">
        <f t="shared" si="1"/>
        <v>0</v>
      </c>
      <c r="K37" s="1493"/>
      <c r="L37" s="1493">
        <f t="shared" si="2"/>
        <v>0</v>
      </c>
      <c r="M37" s="1493">
        <f t="shared" si="3"/>
        <v>0</v>
      </c>
    </row>
    <row r="38" spans="1:13" s="530" customFormat="1" ht="26.25" customHeight="1">
      <c r="A38" s="202">
        <f>A37+0.1</f>
        <v>6.1</v>
      </c>
      <c r="B38" s="115"/>
      <c r="C38" s="531" t="s">
        <v>50</v>
      </c>
      <c r="D38" s="202" t="s">
        <v>13</v>
      </c>
      <c r="E38" s="529">
        <v>0.1</v>
      </c>
      <c r="F38" s="542">
        <f>F37*E38</f>
        <v>172.57000000000002</v>
      </c>
      <c r="G38" s="1332"/>
      <c r="H38" s="1332">
        <f t="shared" si="0"/>
        <v>0</v>
      </c>
      <c r="I38" s="1493"/>
      <c r="J38" s="1493">
        <f t="shared" si="1"/>
        <v>0</v>
      </c>
      <c r="K38" s="1493"/>
      <c r="L38" s="1493">
        <f t="shared" si="2"/>
        <v>0</v>
      </c>
      <c r="M38" s="1493">
        <f t="shared" si="3"/>
        <v>0</v>
      </c>
    </row>
    <row r="39" spans="1:13" s="530" customFormat="1" ht="26.25" customHeight="1">
      <c r="A39" s="202">
        <f>A38+0.1</f>
        <v>6.1999999999999993</v>
      </c>
      <c r="B39" s="115"/>
      <c r="C39" s="531" t="s">
        <v>140</v>
      </c>
      <c r="D39" s="202" t="s">
        <v>14</v>
      </c>
      <c r="E39" s="529">
        <v>2.1999999999999999E-2</v>
      </c>
      <c r="F39" s="542">
        <f>F37*E39</f>
        <v>37.965399999999995</v>
      </c>
      <c r="G39" s="1332"/>
      <c r="H39" s="1332">
        <f t="shared" si="0"/>
        <v>0</v>
      </c>
      <c r="I39" s="1493"/>
      <c r="J39" s="1493">
        <f t="shared" si="1"/>
        <v>0</v>
      </c>
      <c r="K39" s="1493"/>
      <c r="L39" s="1493">
        <f t="shared" si="2"/>
        <v>0</v>
      </c>
      <c r="M39" s="1493">
        <f t="shared" si="3"/>
        <v>0</v>
      </c>
    </row>
    <row r="40" spans="1:13" s="530" customFormat="1" ht="38.25" customHeight="1">
      <c r="A40" s="202">
        <f t="shared" ref="A40:A41" si="6">A39+0.1</f>
        <v>6.2999999999999989</v>
      </c>
      <c r="B40" s="202"/>
      <c r="C40" s="64" t="s">
        <v>230</v>
      </c>
      <c r="D40" s="202" t="s">
        <v>55</v>
      </c>
      <c r="E40" s="529"/>
      <c r="F40" s="474">
        <v>1630</v>
      </c>
      <c r="G40" s="1332"/>
      <c r="H40" s="1332">
        <f t="shared" si="0"/>
        <v>0</v>
      </c>
      <c r="I40" s="1493"/>
      <c r="J40" s="1493">
        <f t="shared" si="1"/>
        <v>0</v>
      </c>
      <c r="K40" s="1493"/>
      <c r="L40" s="1493">
        <f t="shared" si="2"/>
        <v>0</v>
      </c>
      <c r="M40" s="1493">
        <f t="shared" si="3"/>
        <v>0</v>
      </c>
    </row>
    <row r="41" spans="1:13" s="530" customFormat="1" ht="41.25" customHeight="1">
      <c r="A41" s="202">
        <f t="shared" si="6"/>
        <v>6.3999999999999986</v>
      </c>
      <c r="B41" s="202"/>
      <c r="C41" s="64" t="s">
        <v>367</v>
      </c>
      <c r="D41" s="202" t="s">
        <v>55</v>
      </c>
      <c r="E41" s="529"/>
      <c r="F41" s="474">
        <v>95.7</v>
      </c>
      <c r="G41" s="1332"/>
      <c r="H41" s="1332">
        <f t="shared" si="0"/>
        <v>0</v>
      </c>
      <c r="I41" s="1493"/>
      <c r="J41" s="1493">
        <f t="shared" si="1"/>
        <v>0</v>
      </c>
      <c r="K41" s="1493"/>
      <c r="L41" s="1493">
        <f t="shared" si="2"/>
        <v>0</v>
      </c>
      <c r="M41" s="1493">
        <f t="shared" si="3"/>
        <v>0</v>
      </c>
    </row>
    <row r="42" spans="1:13" s="539" customFormat="1" ht="45" customHeight="1">
      <c r="A42" s="67">
        <v>7</v>
      </c>
      <c r="B42" s="63"/>
      <c r="C42" s="68" t="s">
        <v>229</v>
      </c>
      <c r="D42" s="67" t="s">
        <v>55</v>
      </c>
      <c r="E42" s="61" t="s">
        <v>120</v>
      </c>
      <c r="F42" s="69">
        <f>SUM(F45:F45)</f>
        <v>1725.7</v>
      </c>
      <c r="G42" s="1332"/>
      <c r="H42" s="1332">
        <f t="shared" si="0"/>
        <v>0</v>
      </c>
      <c r="I42" s="1332"/>
      <c r="J42" s="1493">
        <f t="shared" si="1"/>
        <v>0</v>
      </c>
      <c r="K42" s="1495"/>
      <c r="L42" s="1493">
        <f t="shared" si="2"/>
        <v>0</v>
      </c>
      <c r="M42" s="1493">
        <f t="shared" si="3"/>
        <v>0</v>
      </c>
    </row>
    <row r="43" spans="1:13" s="539" customFormat="1" ht="19.899999999999999" customHeight="1">
      <c r="A43" s="63">
        <f>A42+0.1</f>
        <v>7.1</v>
      </c>
      <c r="B43" s="115"/>
      <c r="C43" s="531" t="s">
        <v>50</v>
      </c>
      <c r="D43" s="63" t="s">
        <v>13</v>
      </c>
      <c r="E43" s="62">
        <v>0.3</v>
      </c>
      <c r="F43" s="62">
        <f>E43*F42</f>
        <v>517.71</v>
      </c>
      <c r="G43" s="1332"/>
      <c r="H43" s="1332">
        <f t="shared" si="0"/>
        <v>0</v>
      </c>
      <c r="I43" s="1332"/>
      <c r="J43" s="1493">
        <f t="shared" si="1"/>
        <v>0</v>
      </c>
      <c r="K43" s="1495"/>
      <c r="L43" s="1493">
        <f t="shared" si="2"/>
        <v>0</v>
      </c>
      <c r="M43" s="1493">
        <f t="shared" si="3"/>
        <v>0</v>
      </c>
    </row>
    <row r="44" spans="1:13" s="539" customFormat="1" ht="19.899999999999999" customHeight="1">
      <c r="A44" s="63">
        <f t="shared" ref="A44:A46" si="7">A43+0.1</f>
        <v>7.1999999999999993</v>
      </c>
      <c r="B44" s="115"/>
      <c r="C44" s="531" t="s">
        <v>140</v>
      </c>
      <c r="D44" s="202" t="s">
        <v>14</v>
      </c>
      <c r="E44" s="61">
        <f>5.65/100</f>
        <v>5.6500000000000002E-2</v>
      </c>
      <c r="F44" s="62">
        <f>E44*F42</f>
        <v>97.502050000000011</v>
      </c>
      <c r="G44" s="1332"/>
      <c r="H44" s="1332">
        <f t="shared" si="0"/>
        <v>0</v>
      </c>
      <c r="I44" s="1332"/>
      <c r="J44" s="1493">
        <f t="shared" si="1"/>
        <v>0</v>
      </c>
      <c r="K44" s="1493"/>
      <c r="L44" s="1493">
        <f t="shared" si="2"/>
        <v>0</v>
      </c>
      <c r="M44" s="1493">
        <f t="shared" si="3"/>
        <v>0</v>
      </c>
    </row>
    <row r="45" spans="1:13" s="539" customFormat="1" ht="19.899999999999999" customHeight="1">
      <c r="A45" s="63">
        <f t="shared" si="7"/>
        <v>7.2999999999999989</v>
      </c>
      <c r="B45" s="134"/>
      <c r="C45" s="64" t="s">
        <v>670</v>
      </c>
      <c r="D45" s="63" t="s">
        <v>55</v>
      </c>
      <c r="E45" s="61"/>
      <c r="F45" s="474">
        <f>1695.7+30</f>
        <v>1725.7</v>
      </c>
      <c r="G45" s="1332"/>
      <c r="H45" s="1332">
        <f t="shared" si="0"/>
        <v>0</v>
      </c>
      <c r="I45" s="1332"/>
      <c r="J45" s="1493">
        <f t="shared" si="1"/>
        <v>0</v>
      </c>
      <c r="K45" s="1495"/>
      <c r="L45" s="1493">
        <f t="shared" si="2"/>
        <v>0</v>
      </c>
      <c r="M45" s="1493">
        <f t="shared" si="3"/>
        <v>0</v>
      </c>
    </row>
    <row r="46" spans="1:13" s="539" customFormat="1" ht="44.25" customHeight="1">
      <c r="A46" s="63">
        <f t="shared" si="7"/>
        <v>7.3999999999999986</v>
      </c>
      <c r="B46" s="63"/>
      <c r="C46" s="64" t="s">
        <v>671</v>
      </c>
      <c r="D46" s="63" t="s">
        <v>11</v>
      </c>
      <c r="E46" s="474"/>
      <c r="F46" s="474">
        <v>1000</v>
      </c>
      <c r="G46" s="1332"/>
      <c r="H46" s="1332">
        <f t="shared" si="0"/>
        <v>0</v>
      </c>
      <c r="I46" s="1332"/>
      <c r="J46" s="1493">
        <f t="shared" si="1"/>
        <v>0</v>
      </c>
      <c r="K46" s="1495"/>
      <c r="L46" s="1493">
        <f t="shared" si="2"/>
        <v>0</v>
      </c>
      <c r="M46" s="1493">
        <f t="shared" si="3"/>
        <v>0</v>
      </c>
    </row>
    <row r="47" spans="1:13" s="208" customFormat="1" ht="45" customHeight="1">
      <c r="A47" s="101">
        <v>8</v>
      </c>
      <c r="B47" s="115"/>
      <c r="C47" s="114" t="s">
        <v>53</v>
      </c>
      <c r="D47" s="101" t="s">
        <v>49</v>
      </c>
      <c r="E47" s="103"/>
      <c r="F47" s="123">
        <f>SUM(F50:F51)</f>
        <v>22</v>
      </c>
      <c r="G47" s="1332"/>
      <c r="H47" s="1332">
        <f t="shared" si="0"/>
        <v>0</v>
      </c>
      <c r="I47" s="1493"/>
      <c r="J47" s="1493">
        <f t="shared" si="1"/>
        <v>0</v>
      </c>
      <c r="K47" s="1493"/>
      <c r="L47" s="1493">
        <f t="shared" si="2"/>
        <v>0</v>
      </c>
      <c r="M47" s="1493">
        <f t="shared" si="3"/>
        <v>0</v>
      </c>
    </row>
    <row r="48" spans="1:13" s="208" customFormat="1" ht="24.75" customHeight="1">
      <c r="A48" s="115">
        <f t="shared" ref="A48:A51" si="8">A47+0.1</f>
        <v>8.1</v>
      </c>
      <c r="B48" s="115"/>
      <c r="C48" s="531" t="s">
        <v>50</v>
      </c>
      <c r="D48" s="115" t="s">
        <v>13</v>
      </c>
      <c r="E48" s="71">
        <v>1.2</v>
      </c>
      <c r="F48" s="89">
        <f>E48*F47</f>
        <v>26.4</v>
      </c>
      <c r="G48" s="1332"/>
      <c r="H48" s="1332">
        <f t="shared" si="0"/>
        <v>0</v>
      </c>
      <c r="I48" s="1332"/>
      <c r="J48" s="1493">
        <f t="shared" si="1"/>
        <v>0</v>
      </c>
      <c r="K48" s="1493"/>
      <c r="L48" s="1493">
        <f t="shared" si="2"/>
        <v>0</v>
      </c>
      <c r="M48" s="1493">
        <f t="shared" si="3"/>
        <v>0</v>
      </c>
    </row>
    <row r="49" spans="1:13" s="208" customFormat="1" ht="24.75" customHeight="1">
      <c r="A49" s="115">
        <f t="shared" si="8"/>
        <v>8.1999999999999993</v>
      </c>
      <c r="B49" s="115"/>
      <c r="C49" s="531" t="s">
        <v>140</v>
      </c>
      <c r="D49" s="115" t="s">
        <v>14</v>
      </c>
      <c r="E49" s="103">
        <v>0.05</v>
      </c>
      <c r="F49" s="103">
        <f>E49*F47</f>
        <v>1.1000000000000001</v>
      </c>
      <c r="G49" s="1332"/>
      <c r="H49" s="1332">
        <f t="shared" si="0"/>
        <v>0</v>
      </c>
      <c r="I49" s="1493"/>
      <c r="J49" s="1493">
        <f t="shared" si="1"/>
        <v>0</v>
      </c>
      <c r="K49" s="1493"/>
      <c r="L49" s="1493">
        <f t="shared" si="2"/>
        <v>0</v>
      </c>
      <c r="M49" s="1493">
        <f t="shared" si="3"/>
        <v>0</v>
      </c>
    </row>
    <row r="50" spans="1:13" s="208" customFormat="1" ht="24.75" customHeight="1">
      <c r="A50" s="115">
        <f t="shared" si="8"/>
        <v>8.2999999999999989</v>
      </c>
      <c r="B50" s="115"/>
      <c r="C50" s="64" t="s">
        <v>368</v>
      </c>
      <c r="D50" s="63" t="s">
        <v>134</v>
      </c>
      <c r="E50" s="543"/>
      <c r="F50" s="543">
        <v>2</v>
      </c>
      <c r="G50" s="1332"/>
      <c r="H50" s="1332">
        <f t="shared" si="0"/>
        <v>0</v>
      </c>
      <c r="I50" s="1493"/>
      <c r="J50" s="1493">
        <f t="shared" si="1"/>
        <v>0</v>
      </c>
      <c r="K50" s="1493"/>
      <c r="L50" s="1493">
        <f t="shared" si="2"/>
        <v>0</v>
      </c>
      <c r="M50" s="1493">
        <f t="shared" si="3"/>
        <v>0</v>
      </c>
    </row>
    <row r="51" spans="1:13" s="208" customFormat="1" ht="24.75" customHeight="1">
      <c r="A51" s="115">
        <f t="shared" si="8"/>
        <v>8.3999999999999986</v>
      </c>
      <c r="B51" s="115"/>
      <c r="C51" s="64" t="s">
        <v>369</v>
      </c>
      <c r="D51" s="63" t="s">
        <v>134</v>
      </c>
      <c r="E51" s="543"/>
      <c r="F51" s="543">
        <v>20</v>
      </c>
      <c r="G51" s="1332"/>
      <c r="H51" s="1332">
        <f t="shared" si="0"/>
        <v>0</v>
      </c>
      <c r="I51" s="1493"/>
      <c r="J51" s="1493">
        <f t="shared" si="1"/>
        <v>0</v>
      </c>
      <c r="K51" s="1493"/>
      <c r="L51" s="1493">
        <f t="shared" si="2"/>
        <v>0</v>
      </c>
      <c r="M51" s="1493">
        <f t="shared" si="3"/>
        <v>0</v>
      </c>
    </row>
    <row r="52" spans="1:13" s="74" customFormat="1" ht="36" customHeight="1">
      <c r="A52" s="67">
        <v>9</v>
      </c>
      <c r="B52" s="67"/>
      <c r="C52" s="544" t="s">
        <v>371</v>
      </c>
      <c r="D52" s="101" t="s">
        <v>49</v>
      </c>
      <c r="E52" s="91"/>
      <c r="F52" s="69">
        <v>2</v>
      </c>
      <c r="G52" s="261"/>
      <c r="H52" s="1332">
        <f t="shared" si="0"/>
        <v>0</v>
      </c>
      <c r="I52" s="1289"/>
      <c r="J52" s="1493">
        <f t="shared" si="1"/>
        <v>0</v>
      </c>
      <c r="K52" s="1289"/>
      <c r="L52" s="1493">
        <f t="shared" si="2"/>
        <v>0</v>
      </c>
      <c r="M52" s="1493">
        <f t="shared" si="3"/>
        <v>0</v>
      </c>
    </row>
    <row r="53" spans="1:13" s="74" customFormat="1" ht="24.75" customHeight="1">
      <c r="A53" s="63">
        <f>A52+0.1</f>
        <v>9.1</v>
      </c>
      <c r="B53" s="115"/>
      <c r="C53" s="531" t="s">
        <v>50</v>
      </c>
      <c r="D53" s="202" t="s">
        <v>13</v>
      </c>
      <c r="E53" s="62">
        <v>0.9</v>
      </c>
      <c r="F53" s="62">
        <f>E53*F52</f>
        <v>1.8</v>
      </c>
      <c r="G53" s="80"/>
      <c r="H53" s="1332">
        <f t="shared" si="0"/>
        <v>0</v>
      </c>
      <c r="I53" s="80"/>
      <c r="J53" s="1493">
        <f t="shared" si="1"/>
        <v>0</v>
      </c>
      <c r="K53" s="1289"/>
      <c r="L53" s="1493">
        <f t="shared" si="2"/>
        <v>0</v>
      </c>
      <c r="M53" s="1493">
        <f t="shared" si="3"/>
        <v>0</v>
      </c>
    </row>
    <row r="54" spans="1:13" s="74" customFormat="1" ht="24.75" customHeight="1">
      <c r="A54" s="63">
        <f>A53+0.1</f>
        <v>9.1999999999999993</v>
      </c>
      <c r="B54" s="115"/>
      <c r="C54" s="531" t="s">
        <v>140</v>
      </c>
      <c r="D54" s="115" t="s">
        <v>14</v>
      </c>
      <c r="E54" s="62">
        <v>0.7</v>
      </c>
      <c r="F54" s="62">
        <f>E54*F52</f>
        <v>1.4</v>
      </c>
      <c r="G54" s="80"/>
      <c r="H54" s="1332">
        <f t="shared" si="0"/>
        <v>0</v>
      </c>
      <c r="I54" s="1289"/>
      <c r="J54" s="1493">
        <f t="shared" si="1"/>
        <v>0</v>
      </c>
      <c r="K54" s="1493"/>
      <c r="L54" s="1493">
        <f t="shared" si="2"/>
        <v>0</v>
      </c>
      <c r="M54" s="1493">
        <f t="shared" si="3"/>
        <v>0</v>
      </c>
    </row>
    <row r="55" spans="1:13" s="74" customFormat="1" ht="45" customHeight="1">
      <c r="A55" s="63">
        <f>A54+0.1</f>
        <v>9.2999999999999989</v>
      </c>
      <c r="B55" s="67"/>
      <c r="C55" s="64" t="s">
        <v>372</v>
      </c>
      <c r="D55" s="63" t="s">
        <v>11</v>
      </c>
      <c r="E55" s="62"/>
      <c r="F55" s="62">
        <v>2</v>
      </c>
      <c r="G55" s="80"/>
      <c r="H55" s="1332">
        <f t="shared" si="0"/>
        <v>0</v>
      </c>
      <c r="I55" s="1289"/>
      <c r="J55" s="1493">
        <f t="shared" si="1"/>
        <v>0</v>
      </c>
      <c r="K55" s="1289"/>
      <c r="L55" s="1493">
        <f t="shared" si="2"/>
        <v>0</v>
      </c>
      <c r="M55" s="1493">
        <f t="shared" si="3"/>
        <v>0</v>
      </c>
    </row>
    <row r="56" spans="1:13" s="548" customFormat="1" ht="60" customHeight="1">
      <c r="A56" s="67">
        <v>10</v>
      </c>
      <c r="B56" s="545"/>
      <c r="C56" s="544" t="s">
        <v>234</v>
      </c>
      <c r="D56" s="546" t="s">
        <v>177</v>
      </c>
      <c r="E56" s="547"/>
      <c r="F56" s="69">
        <v>20</v>
      </c>
      <c r="G56" s="1332"/>
      <c r="H56" s="1332">
        <f t="shared" si="0"/>
        <v>0</v>
      </c>
      <c r="I56" s="1496"/>
      <c r="J56" s="1493">
        <f t="shared" si="1"/>
        <v>0</v>
      </c>
      <c r="K56" s="1496"/>
      <c r="L56" s="1493">
        <f t="shared" si="2"/>
        <v>0</v>
      </c>
      <c r="M56" s="1493">
        <f t="shared" si="3"/>
        <v>0</v>
      </c>
    </row>
    <row r="57" spans="1:13" s="548" customFormat="1" ht="27" customHeight="1">
      <c r="A57" s="63">
        <f>A56+0.1</f>
        <v>10.1</v>
      </c>
      <c r="B57" s="115"/>
      <c r="C57" s="531" t="s">
        <v>50</v>
      </c>
      <c r="D57" s="202" t="s">
        <v>13</v>
      </c>
      <c r="E57" s="547">
        <v>0.39</v>
      </c>
      <c r="F57" s="62">
        <f>E57*F56</f>
        <v>7.8000000000000007</v>
      </c>
      <c r="G57" s="1332"/>
      <c r="H57" s="1332">
        <f t="shared" si="0"/>
        <v>0</v>
      </c>
      <c r="I57" s="1496"/>
      <c r="J57" s="1493">
        <f t="shared" si="1"/>
        <v>0</v>
      </c>
      <c r="K57" s="1496"/>
      <c r="L57" s="1493">
        <f t="shared" si="2"/>
        <v>0</v>
      </c>
      <c r="M57" s="1493">
        <f t="shared" si="3"/>
        <v>0</v>
      </c>
    </row>
    <row r="58" spans="1:13" s="548" customFormat="1" ht="27" customHeight="1">
      <c r="A58" s="63">
        <f t="shared" ref="A58:A62" si="9">A57+0.1</f>
        <v>10.199999999999999</v>
      </c>
      <c r="B58" s="115"/>
      <c r="C58" s="531" t="s">
        <v>140</v>
      </c>
      <c r="D58" s="115" t="s">
        <v>14</v>
      </c>
      <c r="E58" s="547">
        <v>2.1999999999999999E-2</v>
      </c>
      <c r="F58" s="62">
        <f>E58*F56</f>
        <v>0.43999999999999995</v>
      </c>
      <c r="G58" s="1332"/>
      <c r="H58" s="1332">
        <f t="shared" si="0"/>
        <v>0</v>
      </c>
      <c r="I58" s="1496"/>
      <c r="J58" s="1493">
        <f t="shared" si="1"/>
        <v>0</v>
      </c>
      <c r="K58" s="1493"/>
      <c r="L58" s="1493">
        <f t="shared" si="2"/>
        <v>0</v>
      </c>
      <c r="M58" s="1493">
        <f t="shared" si="3"/>
        <v>0</v>
      </c>
    </row>
    <row r="59" spans="1:13" s="548" customFormat="1" ht="27" customHeight="1">
      <c r="A59" s="63">
        <f t="shared" si="9"/>
        <v>10.299999999999999</v>
      </c>
      <c r="B59" s="549"/>
      <c r="C59" s="550" t="s">
        <v>236</v>
      </c>
      <c r="D59" s="546" t="s">
        <v>177</v>
      </c>
      <c r="E59" s="547"/>
      <c r="F59" s="62">
        <v>20</v>
      </c>
      <c r="G59" s="1332"/>
      <c r="H59" s="1332">
        <f t="shared" si="0"/>
        <v>0</v>
      </c>
      <c r="I59" s="1496"/>
      <c r="J59" s="1493">
        <f t="shared" si="1"/>
        <v>0</v>
      </c>
      <c r="K59" s="1496"/>
      <c r="L59" s="1493">
        <f t="shared" si="2"/>
        <v>0</v>
      </c>
      <c r="M59" s="1493">
        <f t="shared" si="3"/>
        <v>0</v>
      </c>
    </row>
    <row r="60" spans="1:13" s="548" customFormat="1" ht="41.25" customHeight="1">
      <c r="A60" s="63">
        <f t="shared" si="9"/>
        <v>10.399999999999999</v>
      </c>
      <c r="B60" s="549"/>
      <c r="C60" s="191" t="s">
        <v>232</v>
      </c>
      <c r="D60" s="546" t="s">
        <v>204</v>
      </c>
      <c r="E60" s="547"/>
      <c r="F60" s="62">
        <v>5</v>
      </c>
      <c r="G60" s="1332"/>
      <c r="H60" s="1332">
        <f t="shared" si="0"/>
        <v>0</v>
      </c>
      <c r="I60" s="1496"/>
      <c r="J60" s="1493">
        <f t="shared" si="1"/>
        <v>0</v>
      </c>
      <c r="K60" s="1496"/>
      <c r="L60" s="1493">
        <f t="shared" si="2"/>
        <v>0</v>
      </c>
      <c r="M60" s="1493">
        <f t="shared" si="3"/>
        <v>0</v>
      </c>
    </row>
    <row r="61" spans="1:13" s="548" customFormat="1" ht="41.25" customHeight="1">
      <c r="A61" s="63">
        <f t="shared" si="9"/>
        <v>10.499999999999998</v>
      </c>
      <c r="B61" s="549"/>
      <c r="C61" s="191" t="s">
        <v>233</v>
      </c>
      <c r="D61" s="546" t="s">
        <v>204</v>
      </c>
      <c r="E61" s="547"/>
      <c r="F61" s="62">
        <v>2</v>
      </c>
      <c r="G61" s="1332"/>
      <c r="H61" s="1332">
        <f t="shared" si="0"/>
        <v>0</v>
      </c>
      <c r="I61" s="1496"/>
      <c r="J61" s="1493">
        <f t="shared" si="1"/>
        <v>0</v>
      </c>
      <c r="K61" s="1496"/>
      <c r="L61" s="1493">
        <f t="shared" si="2"/>
        <v>0</v>
      </c>
      <c r="M61" s="1493">
        <f t="shared" si="3"/>
        <v>0</v>
      </c>
    </row>
    <row r="62" spans="1:13" s="548" customFormat="1" ht="19.899999999999999" customHeight="1">
      <c r="A62" s="63">
        <f t="shared" si="9"/>
        <v>10.599999999999998</v>
      </c>
      <c r="B62" s="63"/>
      <c r="C62" s="64" t="s">
        <v>70</v>
      </c>
      <c r="D62" s="63" t="s">
        <v>14</v>
      </c>
      <c r="E62" s="547">
        <v>0.159</v>
      </c>
      <c r="F62" s="62">
        <f>E62*F56</f>
        <v>3.18</v>
      </c>
      <c r="G62" s="1332"/>
      <c r="H62" s="1332">
        <f t="shared" si="0"/>
        <v>0</v>
      </c>
      <c r="I62" s="1332"/>
      <c r="J62" s="1493">
        <f t="shared" si="1"/>
        <v>0</v>
      </c>
      <c r="K62" s="1332"/>
      <c r="L62" s="1493">
        <f t="shared" si="2"/>
        <v>0</v>
      </c>
      <c r="M62" s="1493">
        <f t="shared" si="3"/>
        <v>0</v>
      </c>
    </row>
    <row r="63" spans="1:13" s="223" customFormat="1" ht="42.75" customHeight="1">
      <c r="A63" s="100">
        <v>11</v>
      </c>
      <c r="B63" s="551"/>
      <c r="C63" s="114" t="s">
        <v>214</v>
      </c>
      <c r="D63" s="120" t="s">
        <v>809</v>
      </c>
      <c r="E63" s="103"/>
      <c r="F63" s="104">
        <v>273</v>
      </c>
      <c r="G63" s="108"/>
      <c r="H63" s="1332">
        <f t="shared" si="0"/>
        <v>0</v>
      </c>
      <c r="I63" s="1497"/>
      <c r="J63" s="1493">
        <f t="shared" si="1"/>
        <v>0</v>
      </c>
      <c r="K63" s="1497"/>
      <c r="L63" s="1493">
        <f t="shared" si="2"/>
        <v>0</v>
      </c>
      <c r="M63" s="1493">
        <f t="shared" si="3"/>
        <v>0</v>
      </c>
    </row>
    <row r="64" spans="1:13" s="105" customFormat="1" ht="19.899999999999999" customHeight="1">
      <c r="A64" s="106">
        <f>A63+0.1</f>
        <v>11.1</v>
      </c>
      <c r="B64" s="75"/>
      <c r="C64" s="76" t="s">
        <v>50</v>
      </c>
      <c r="D64" s="75" t="s">
        <v>13</v>
      </c>
      <c r="E64" s="103">
        <v>2.06</v>
      </c>
      <c r="F64" s="89">
        <f>F63*E64</f>
        <v>562.38</v>
      </c>
      <c r="G64" s="108"/>
      <c r="H64" s="1332">
        <f t="shared" si="0"/>
        <v>0</v>
      </c>
      <c r="I64" s="108"/>
      <c r="J64" s="1493">
        <f t="shared" si="1"/>
        <v>0</v>
      </c>
      <c r="K64" s="108"/>
      <c r="L64" s="1493">
        <f t="shared" si="2"/>
        <v>0</v>
      </c>
      <c r="M64" s="1493">
        <f t="shared" si="3"/>
        <v>0</v>
      </c>
    </row>
    <row r="65" spans="1:13" s="74" customFormat="1" ht="42" customHeight="1">
      <c r="A65" s="67">
        <v>12</v>
      </c>
      <c r="B65" s="63"/>
      <c r="C65" s="68" t="s">
        <v>373</v>
      </c>
      <c r="D65" s="67" t="s">
        <v>370</v>
      </c>
      <c r="E65" s="61"/>
      <c r="F65" s="341">
        <v>1300</v>
      </c>
      <c r="G65" s="80"/>
      <c r="H65" s="1332">
        <f t="shared" si="0"/>
        <v>0</v>
      </c>
      <c r="I65" s="1289"/>
      <c r="J65" s="1493">
        <f t="shared" si="1"/>
        <v>0</v>
      </c>
      <c r="K65" s="1289"/>
      <c r="L65" s="1493">
        <f t="shared" si="2"/>
        <v>0</v>
      </c>
      <c r="M65" s="1493">
        <f t="shared" si="3"/>
        <v>0</v>
      </c>
    </row>
    <row r="66" spans="1:13" s="74" customFormat="1" ht="19.899999999999999" customHeight="1">
      <c r="A66" s="63">
        <f>A65+0.1</f>
        <v>12.1</v>
      </c>
      <c r="B66" s="67"/>
      <c r="C66" s="76" t="s">
        <v>50</v>
      </c>
      <c r="D66" s="75" t="s">
        <v>13</v>
      </c>
      <c r="E66" s="61">
        <v>0.05</v>
      </c>
      <c r="F66" s="62">
        <f>F65*E66</f>
        <v>65</v>
      </c>
      <c r="G66" s="80"/>
      <c r="H66" s="1332">
        <f t="shared" si="0"/>
        <v>0</v>
      </c>
      <c r="I66" s="1289"/>
      <c r="J66" s="1493">
        <f t="shared" si="1"/>
        <v>0</v>
      </c>
      <c r="K66" s="1289"/>
      <c r="L66" s="1493">
        <f t="shared" si="2"/>
        <v>0</v>
      </c>
      <c r="M66" s="1493">
        <f t="shared" si="3"/>
        <v>0</v>
      </c>
    </row>
    <row r="67" spans="1:13" s="74" customFormat="1" ht="19.899999999999999" customHeight="1">
      <c r="A67" s="63">
        <f>A66+0.1</f>
        <v>12.2</v>
      </c>
      <c r="B67" s="67"/>
      <c r="C67" s="531" t="s">
        <v>140</v>
      </c>
      <c r="D67" s="115" t="s">
        <v>14</v>
      </c>
      <c r="E67" s="61">
        <v>7.0000000000000007E-2</v>
      </c>
      <c r="F67" s="62">
        <f>F65*E67</f>
        <v>91.000000000000014</v>
      </c>
      <c r="G67" s="80"/>
      <c r="H67" s="1332">
        <f t="shared" si="0"/>
        <v>0</v>
      </c>
      <c r="I67" s="1289"/>
      <c r="J67" s="1493">
        <f t="shared" si="1"/>
        <v>0</v>
      </c>
      <c r="K67" s="1289"/>
      <c r="L67" s="1493">
        <f t="shared" si="2"/>
        <v>0</v>
      </c>
      <c r="M67" s="1493">
        <f t="shared" si="3"/>
        <v>0</v>
      </c>
    </row>
    <row r="68" spans="1:13" s="74" customFormat="1" ht="42" customHeight="1">
      <c r="A68" s="63">
        <f>A67+0.1</f>
        <v>12.299999999999999</v>
      </c>
      <c r="B68" s="63"/>
      <c r="C68" s="64" t="s">
        <v>42</v>
      </c>
      <c r="D68" s="63" t="s">
        <v>15</v>
      </c>
      <c r="E68" s="61">
        <v>0.06</v>
      </c>
      <c r="F68" s="62">
        <f>F65*E68</f>
        <v>78</v>
      </c>
      <c r="G68" s="80"/>
      <c r="H68" s="1332">
        <f t="shared" ref="H68:H70" si="10">F68*G68</f>
        <v>0</v>
      </c>
      <c r="I68" s="1289"/>
      <c r="J68" s="1493">
        <f t="shared" ref="J68:J70" si="11">F68*I68</f>
        <v>0</v>
      </c>
      <c r="K68" s="1289"/>
      <c r="L68" s="1493">
        <f t="shared" ref="L68:L70" si="12">F68*K68</f>
        <v>0</v>
      </c>
      <c r="M68" s="1493">
        <f t="shared" ref="M68:M70" si="13">H68+J68+L68</f>
        <v>0</v>
      </c>
    </row>
    <row r="69" spans="1:13" ht="51" customHeight="1">
      <c r="A69" s="100">
        <v>13</v>
      </c>
      <c r="B69" s="551"/>
      <c r="C69" s="114" t="s">
        <v>73</v>
      </c>
      <c r="D69" s="120" t="s">
        <v>809</v>
      </c>
      <c r="E69" s="103"/>
      <c r="F69" s="104">
        <v>195</v>
      </c>
      <c r="G69" s="108"/>
      <c r="H69" s="1332">
        <f t="shared" si="10"/>
        <v>0</v>
      </c>
      <c r="I69" s="1497"/>
      <c r="J69" s="1493">
        <f t="shared" si="11"/>
        <v>0</v>
      </c>
      <c r="K69" s="1497"/>
      <c r="L69" s="1493">
        <f t="shared" si="12"/>
        <v>0</v>
      </c>
      <c r="M69" s="1493">
        <f t="shared" si="13"/>
        <v>0</v>
      </c>
    </row>
    <row r="70" spans="1:13" ht="19.899999999999999" customHeight="1">
      <c r="A70" s="106"/>
      <c r="B70" s="75"/>
      <c r="C70" s="76" t="s">
        <v>50</v>
      </c>
      <c r="D70" s="75" t="s">
        <v>13</v>
      </c>
      <c r="E70" s="103">
        <v>1.21</v>
      </c>
      <c r="F70" s="89">
        <f>F69*E70</f>
        <v>235.95</v>
      </c>
      <c r="G70" s="108"/>
      <c r="H70" s="1332">
        <f t="shared" si="10"/>
        <v>0</v>
      </c>
      <c r="I70" s="108"/>
      <c r="J70" s="1493">
        <f t="shared" si="11"/>
        <v>0</v>
      </c>
      <c r="K70" s="108"/>
      <c r="L70" s="1493">
        <f t="shared" si="12"/>
        <v>0</v>
      </c>
      <c r="M70" s="1493">
        <f t="shared" si="13"/>
        <v>0</v>
      </c>
    </row>
    <row r="71" spans="1:13" ht="19.899999999999999" customHeight="1">
      <c r="A71" s="202"/>
      <c r="B71" s="202"/>
      <c r="C71" s="552" t="s">
        <v>39</v>
      </c>
      <c r="D71" s="202" t="s">
        <v>14</v>
      </c>
      <c r="E71" s="529"/>
      <c r="F71" s="542"/>
      <c r="G71" s="1332"/>
      <c r="H71" s="1498">
        <f>SUM(H8:H70)</f>
        <v>0</v>
      </c>
      <c r="I71" s="1498"/>
      <c r="J71" s="1498">
        <f>SUM(J8:J70)</f>
        <v>0</v>
      </c>
      <c r="K71" s="1498"/>
      <c r="L71" s="1498">
        <f>SUM(L8:L70)</f>
        <v>0</v>
      </c>
      <c r="M71" s="1498">
        <f>SUM(M8:M70)</f>
        <v>0</v>
      </c>
    </row>
    <row r="72" spans="1:13" ht="19.899999999999999" customHeight="1">
      <c r="A72" s="202"/>
      <c r="B72" s="202"/>
      <c r="C72" s="64" t="s">
        <v>247</v>
      </c>
      <c r="D72" s="137" t="s">
        <v>874</v>
      </c>
      <c r="E72" s="61"/>
      <c r="F72" s="65">
        <v>0</v>
      </c>
      <c r="G72" s="80"/>
      <c r="H72" s="80"/>
      <c r="I72" s="80"/>
      <c r="J72" s="1289"/>
      <c r="K72" s="1289"/>
      <c r="L72" s="1289"/>
      <c r="M72" s="1289">
        <f>H71*F72</f>
        <v>0</v>
      </c>
    </row>
    <row r="73" spans="1:13" ht="19.899999999999999" customHeight="1">
      <c r="A73" s="202"/>
      <c r="B73" s="202"/>
      <c r="C73" s="64" t="s">
        <v>39</v>
      </c>
      <c r="D73" s="63"/>
      <c r="E73" s="61"/>
      <c r="F73" s="65"/>
      <c r="G73" s="80"/>
      <c r="H73" s="80"/>
      <c r="I73" s="80"/>
      <c r="J73" s="1289"/>
      <c r="K73" s="1289"/>
      <c r="L73" s="1289"/>
      <c r="M73" s="1289">
        <f>M72+M71</f>
        <v>0</v>
      </c>
    </row>
    <row r="74" spans="1:13" ht="36.75" customHeight="1">
      <c r="A74" s="202"/>
      <c r="B74" s="553"/>
      <c r="C74" s="531" t="s">
        <v>57</v>
      </c>
      <c r="D74" s="554" t="s">
        <v>874</v>
      </c>
      <c r="E74" s="529"/>
      <c r="F74" s="1499">
        <v>0</v>
      </c>
      <c r="G74" s="1332"/>
      <c r="H74" s="1332"/>
      <c r="I74" s="1493"/>
      <c r="J74" s="1493"/>
      <c r="K74" s="1493"/>
      <c r="L74" s="1493"/>
      <c r="M74" s="1493">
        <f>J71*F74</f>
        <v>0</v>
      </c>
    </row>
    <row r="75" spans="1:13" ht="19.899999999999999" customHeight="1">
      <c r="A75" s="202"/>
      <c r="B75" s="555"/>
      <c r="C75" s="540" t="s">
        <v>39</v>
      </c>
      <c r="D75" s="202"/>
      <c r="E75" s="529"/>
      <c r="F75" s="1499"/>
      <c r="G75" s="1332"/>
      <c r="H75" s="1498"/>
      <c r="I75" s="1493"/>
      <c r="J75" s="1493"/>
      <c r="K75" s="1493"/>
      <c r="L75" s="1493"/>
      <c r="M75" s="1493">
        <f>M74+M73</f>
        <v>0</v>
      </c>
    </row>
    <row r="76" spans="1:13" ht="19.899999999999999" customHeight="1">
      <c r="A76" s="202"/>
      <c r="B76" s="202"/>
      <c r="C76" s="531" t="s">
        <v>58</v>
      </c>
      <c r="D76" s="554" t="s">
        <v>874</v>
      </c>
      <c r="E76" s="529"/>
      <c r="F76" s="1499">
        <v>0</v>
      </c>
      <c r="G76" s="1332"/>
      <c r="H76" s="1332"/>
      <c r="I76" s="1493"/>
      <c r="J76" s="1493"/>
      <c r="K76" s="1493"/>
      <c r="L76" s="1493"/>
      <c r="M76" s="1493">
        <f>M75*F76</f>
        <v>0</v>
      </c>
    </row>
    <row r="77" spans="1:13" ht="19.5" customHeight="1">
      <c r="A77" s="202"/>
      <c r="B77" s="202"/>
      <c r="C77" s="540" t="s">
        <v>10</v>
      </c>
      <c r="D77" s="202"/>
      <c r="E77" s="529"/>
      <c r="F77" s="529"/>
      <c r="G77" s="1332"/>
      <c r="H77" s="1498"/>
      <c r="I77" s="1493"/>
      <c r="J77" s="1493"/>
      <c r="K77" s="1493"/>
      <c r="L77" s="1493"/>
      <c r="M77" s="1493">
        <f>M76+M75</f>
        <v>0</v>
      </c>
    </row>
    <row r="78" spans="1:13">
      <c r="A78" s="556"/>
      <c r="B78" s="556"/>
      <c r="C78" s="1649"/>
      <c r="D78" s="1649"/>
      <c r="E78" s="1649"/>
      <c r="F78" s="1649"/>
      <c r="G78" s="1649"/>
      <c r="H78" s="557"/>
      <c r="I78" s="530"/>
      <c r="J78" s="530"/>
      <c r="K78" s="530"/>
      <c r="L78" s="530"/>
      <c r="M78" s="530"/>
    </row>
  </sheetData>
  <protectedRanges>
    <protectedRange sqref="I63:I70 K63:K70 G63:G70" name="Range1"/>
  </protectedRanges>
  <mergeCells count="14">
    <mergeCell ref="C78:G78"/>
    <mergeCell ref="K5:L5"/>
    <mergeCell ref="M5:M6"/>
    <mergeCell ref="A1:H1"/>
    <mergeCell ref="A2:J2"/>
    <mergeCell ref="A3:D3"/>
    <mergeCell ref="A4:H4"/>
    <mergeCell ref="A5:A6"/>
    <mergeCell ref="B5:B6"/>
    <mergeCell ref="C5:C6"/>
    <mergeCell ref="D5:D6"/>
    <mergeCell ref="E5:F5"/>
    <mergeCell ref="G5:H5"/>
    <mergeCell ref="I5:J5"/>
  </mergeCells>
  <pageMargins left="0.3" right="0.17" top="0.3" bottom="0.31" header="0.15" footer="0.16"/>
  <pageSetup paperSize="9" scale="68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 tint="4.9989318521683403E-2"/>
  </sheetPr>
  <dimension ref="A1:M72"/>
  <sheetViews>
    <sheetView zoomScale="85" zoomScaleNormal="85" zoomScaleSheetLayoutView="70" workbookViewId="0">
      <selection activeCell="G9" sqref="G9"/>
    </sheetView>
  </sheetViews>
  <sheetFormatPr defaultColWidth="8.85546875" defaultRowHeight="15.75"/>
  <cols>
    <col min="1" max="1" width="6.28515625" style="28" customWidth="1"/>
    <col min="2" max="2" width="9.5703125" style="28" customWidth="1"/>
    <col min="3" max="3" width="50.42578125" style="28" customWidth="1"/>
    <col min="4" max="4" width="11.28515625" style="28" customWidth="1"/>
    <col min="5" max="5" width="13.42578125" style="28" customWidth="1"/>
    <col min="6" max="6" width="9.42578125" style="28" customWidth="1"/>
    <col min="7" max="7" width="11.28515625" style="28" customWidth="1"/>
    <col min="8" max="8" width="16.28515625" style="28" customWidth="1"/>
    <col min="9" max="9" width="11.28515625" style="28" customWidth="1"/>
    <col min="10" max="10" width="13.5703125" style="28" customWidth="1"/>
    <col min="11" max="12" width="11.28515625" style="28" customWidth="1"/>
    <col min="13" max="13" width="15.85546875" style="28" customWidth="1"/>
    <col min="14" max="16384" width="8.85546875" style="28"/>
  </cols>
  <sheetData>
    <row r="1" spans="1:13" ht="18.75">
      <c r="A1" s="1587" t="s">
        <v>786</v>
      </c>
      <c r="B1" s="1587"/>
      <c r="C1" s="1587"/>
      <c r="D1" s="1587"/>
      <c r="E1" s="1587"/>
      <c r="F1" s="1587"/>
      <c r="G1" s="1587"/>
      <c r="H1" s="1587"/>
      <c r="I1" s="496"/>
      <c r="J1" s="496"/>
      <c r="K1" s="497"/>
      <c r="L1" s="497"/>
      <c r="M1" s="497"/>
    </row>
    <row r="2" spans="1:13" ht="57.6" customHeight="1">
      <c r="A2" s="1564" t="s">
        <v>471</v>
      </c>
      <c r="B2" s="1564"/>
      <c r="C2" s="1564"/>
      <c r="D2" s="1564"/>
      <c r="E2" s="1564"/>
      <c r="F2" s="1564"/>
      <c r="G2" s="1564"/>
      <c r="H2" s="1564"/>
      <c r="I2" s="1564"/>
      <c r="J2" s="1564"/>
      <c r="K2" s="497"/>
      <c r="L2" s="497"/>
      <c r="M2" s="497"/>
    </row>
    <row r="3" spans="1:13" ht="18.75">
      <c r="A3" s="1588" t="s">
        <v>0</v>
      </c>
      <c r="B3" s="1588"/>
      <c r="C3" s="1588"/>
      <c r="D3" s="1588"/>
      <c r="E3" s="1660">
        <f>M67</f>
        <v>0</v>
      </c>
      <c r="F3" s="1660"/>
      <c r="G3" s="496" t="s">
        <v>1</v>
      </c>
      <c r="H3" s="496"/>
      <c r="I3" s="496"/>
      <c r="J3" s="496"/>
      <c r="K3" s="497"/>
      <c r="L3" s="497"/>
      <c r="M3" s="497"/>
    </row>
    <row r="4" spans="1:13" ht="18.75">
      <c r="A4" s="1589"/>
      <c r="B4" s="1589"/>
      <c r="C4" s="1589"/>
      <c r="D4" s="1589"/>
      <c r="E4" s="1589"/>
      <c r="F4" s="1589"/>
      <c r="G4" s="1589"/>
      <c r="H4" s="1589"/>
      <c r="I4" s="496"/>
      <c r="J4" s="496"/>
      <c r="K4" s="497"/>
      <c r="L4" s="497"/>
      <c r="M4" s="497"/>
    </row>
    <row r="5" spans="1:13" ht="40.15" customHeight="1">
      <c r="A5" s="1590"/>
      <c r="B5" s="1568" t="s">
        <v>2</v>
      </c>
      <c r="C5" s="1569" t="s">
        <v>3</v>
      </c>
      <c r="D5" s="1570" t="s">
        <v>4</v>
      </c>
      <c r="E5" s="1590" t="s">
        <v>5</v>
      </c>
      <c r="F5" s="1590"/>
      <c r="G5" s="1590" t="s">
        <v>6</v>
      </c>
      <c r="H5" s="1590"/>
      <c r="I5" s="1561" t="s">
        <v>66</v>
      </c>
      <c r="J5" s="1562"/>
      <c r="K5" s="1561" t="s">
        <v>72</v>
      </c>
      <c r="L5" s="1562"/>
      <c r="M5" s="1563" t="s">
        <v>67</v>
      </c>
    </row>
    <row r="6" spans="1:13" ht="72" customHeight="1">
      <c r="A6" s="1590"/>
      <c r="B6" s="1568"/>
      <c r="C6" s="1569"/>
      <c r="D6" s="1570"/>
      <c r="E6" s="147" t="s">
        <v>7</v>
      </c>
      <c r="F6" s="147" t="s">
        <v>8</v>
      </c>
      <c r="G6" s="499" t="s">
        <v>9</v>
      </c>
      <c r="H6" s="500" t="s">
        <v>10</v>
      </c>
      <c r="I6" s="62" t="s">
        <v>9</v>
      </c>
      <c r="J6" s="62" t="s">
        <v>10</v>
      </c>
      <c r="K6" s="62" t="s">
        <v>9</v>
      </c>
      <c r="L6" s="62" t="s">
        <v>10</v>
      </c>
      <c r="M6" s="1563"/>
    </row>
    <row r="7" spans="1:13" ht="18.75">
      <c r="A7" s="499">
        <v>1</v>
      </c>
      <c r="B7" s="499">
        <v>2</v>
      </c>
      <c r="C7" s="501">
        <v>3</v>
      </c>
      <c r="D7" s="499">
        <v>4</v>
      </c>
      <c r="E7" s="499">
        <v>5</v>
      </c>
      <c r="F7" s="499">
        <v>6</v>
      </c>
      <c r="G7" s="499">
        <v>7</v>
      </c>
      <c r="H7" s="502">
        <v>8</v>
      </c>
      <c r="I7" s="499">
        <v>9</v>
      </c>
      <c r="J7" s="502">
        <v>10</v>
      </c>
      <c r="K7" s="503">
        <v>11</v>
      </c>
      <c r="L7" s="503">
        <v>12</v>
      </c>
      <c r="M7" s="503">
        <v>13</v>
      </c>
    </row>
    <row r="8" spans="1:13" s="23" customFormat="1" ht="49.9" customHeight="1">
      <c r="A8" s="101">
        <v>1</v>
      </c>
      <c r="B8" s="115"/>
      <c r="C8" s="114" t="s">
        <v>351</v>
      </c>
      <c r="D8" s="101" t="s">
        <v>49</v>
      </c>
      <c r="E8" s="103"/>
      <c r="F8" s="123">
        <f>F11+F12</f>
        <v>16</v>
      </c>
      <c r="G8" s="108"/>
      <c r="H8" s="1500"/>
      <c r="I8" s="108"/>
      <c r="J8" s="1500"/>
      <c r="K8" s="108"/>
      <c r="L8" s="1500"/>
      <c r="M8" s="1500"/>
    </row>
    <row r="9" spans="1:13" s="23" customFormat="1" ht="21.6" customHeight="1">
      <c r="A9" s="115">
        <f>A8+0.1</f>
        <v>1.1000000000000001</v>
      </c>
      <c r="B9" s="134"/>
      <c r="C9" s="184" t="s">
        <v>69</v>
      </c>
      <c r="D9" s="115" t="s">
        <v>13</v>
      </c>
      <c r="E9" s="103">
        <v>10</v>
      </c>
      <c r="F9" s="89">
        <f>F8*E9</f>
        <v>160</v>
      </c>
      <c r="G9" s="108"/>
      <c r="H9" s="1500">
        <f t="shared" ref="H9:H37" si="0">F9*G9</f>
        <v>0</v>
      </c>
      <c r="I9" s="108"/>
      <c r="J9" s="1500">
        <f t="shared" ref="J9:J37" si="1">F9*I9</f>
        <v>0</v>
      </c>
      <c r="K9" s="108"/>
      <c r="L9" s="1500">
        <f t="shared" ref="L9:L37" si="2">F9*K9</f>
        <v>0</v>
      </c>
      <c r="M9" s="1500">
        <f t="shared" ref="M9:M37" si="3">H9+J9+L9</f>
        <v>0</v>
      </c>
    </row>
    <row r="10" spans="1:13" s="23" customFormat="1" ht="21.6" customHeight="1">
      <c r="A10" s="115">
        <f>A9+0.1</f>
        <v>1.2000000000000002</v>
      </c>
      <c r="B10" s="63"/>
      <c r="C10" s="276" t="s">
        <v>117</v>
      </c>
      <c r="D10" s="486" t="s">
        <v>14</v>
      </c>
      <c r="E10" s="103">
        <v>1.78</v>
      </c>
      <c r="F10" s="103">
        <f>E10*F8</f>
        <v>28.48</v>
      </c>
      <c r="G10" s="108"/>
      <c r="H10" s="1500">
        <f t="shared" si="0"/>
        <v>0</v>
      </c>
      <c r="I10" s="108"/>
      <c r="J10" s="1500">
        <f t="shared" si="1"/>
        <v>0</v>
      </c>
      <c r="K10" s="1289"/>
      <c r="L10" s="1500">
        <f t="shared" si="2"/>
        <v>0</v>
      </c>
      <c r="M10" s="1500">
        <f t="shared" si="3"/>
        <v>0</v>
      </c>
    </row>
    <row r="11" spans="1:13" s="23" customFormat="1" ht="21.6" customHeight="1">
      <c r="A11" s="115">
        <f>A10+0.1</f>
        <v>1.3000000000000003</v>
      </c>
      <c r="B11" s="115"/>
      <c r="C11" s="184" t="s">
        <v>351</v>
      </c>
      <c r="D11" s="101" t="s">
        <v>49</v>
      </c>
      <c r="E11" s="103"/>
      <c r="F11" s="123">
        <v>10</v>
      </c>
      <c r="G11" s="108"/>
      <c r="H11" s="1500">
        <f t="shared" si="0"/>
        <v>0</v>
      </c>
      <c r="I11" s="108"/>
      <c r="J11" s="1500">
        <f t="shared" si="1"/>
        <v>0</v>
      </c>
      <c r="K11" s="108"/>
      <c r="L11" s="1500">
        <f t="shared" si="2"/>
        <v>0</v>
      </c>
      <c r="M11" s="1500">
        <f t="shared" si="3"/>
        <v>0</v>
      </c>
    </row>
    <row r="12" spans="1:13" s="23" customFormat="1" ht="21.6" customHeight="1">
      <c r="A12" s="115">
        <f>A11+0.1</f>
        <v>1.4000000000000004</v>
      </c>
      <c r="B12" s="115"/>
      <c r="C12" s="184" t="s">
        <v>386</v>
      </c>
      <c r="D12" s="101" t="s">
        <v>49</v>
      </c>
      <c r="E12" s="103"/>
      <c r="F12" s="123">
        <v>6</v>
      </c>
      <c r="G12" s="108"/>
      <c r="H12" s="1500">
        <f t="shared" si="0"/>
        <v>0</v>
      </c>
      <c r="I12" s="108"/>
      <c r="J12" s="1500">
        <f t="shared" si="1"/>
        <v>0</v>
      </c>
      <c r="K12" s="108"/>
      <c r="L12" s="1500">
        <f t="shared" si="2"/>
        <v>0</v>
      </c>
      <c r="M12" s="1500">
        <f t="shared" si="3"/>
        <v>0</v>
      </c>
    </row>
    <row r="13" spans="1:13" s="23" customFormat="1" ht="61.9" customHeight="1">
      <c r="A13" s="101">
        <v>2</v>
      </c>
      <c r="B13" s="115"/>
      <c r="C13" s="114" t="s">
        <v>375</v>
      </c>
      <c r="D13" s="101" t="s">
        <v>49</v>
      </c>
      <c r="E13" s="103"/>
      <c r="F13" s="123">
        <v>1</v>
      </c>
      <c r="G13" s="108"/>
      <c r="H13" s="1500">
        <f t="shared" si="0"/>
        <v>0</v>
      </c>
      <c r="I13" s="108"/>
      <c r="J13" s="1500">
        <f t="shared" si="1"/>
        <v>0</v>
      </c>
      <c r="K13" s="108"/>
      <c r="L13" s="1500">
        <f t="shared" si="2"/>
        <v>0</v>
      </c>
      <c r="M13" s="1500">
        <f t="shared" si="3"/>
        <v>0</v>
      </c>
    </row>
    <row r="14" spans="1:13" s="23" customFormat="1" ht="19.899999999999999" customHeight="1">
      <c r="A14" s="115">
        <f>A13+0.1</f>
        <v>2.1</v>
      </c>
      <c r="B14" s="134"/>
      <c r="C14" s="184" t="s">
        <v>69</v>
      </c>
      <c r="D14" s="115" t="s">
        <v>13</v>
      </c>
      <c r="E14" s="103">
        <v>75</v>
      </c>
      <c r="F14" s="89">
        <f>F13*E14</f>
        <v>75</v>
      </c>
      <c r="G14" s="108"/>
      <c r="H14" s="1500">
        <f t="shared" si="0"/>
        <v>0</v>
      </c>
      <c r="I14" s="108"/>
      <c r="J14" s="1500">
        <f t="shared" si="1"/>
        <v>0</v>
      </c>
      <c r="K14" s="108"/>
      <c r="L14" s="1500">
        <f t="shared" si="2"/>
        <v>0</v>
      </c>
      <c r="M14" s="1500">
        <f t="shared" si="3"/>
        <v>0</v>
      </c>
    </row>
    <row r="15" spans="1:13" s="23" customFormat="1" ht="18.75">
      <c r="A15" s="115">
        <f>A14+0.1</f>
        <v>2.2000000000000002</v>
      </c>
      <c r="B15" s="63"/>
      <c r="C15" s="276" t="s">
        <v>117</v>
      </c>
      <c r="D15" s="486" t="s">
        <v>14</v>
      </c>
      <c r="E15" s="103">
        <v>0.08</v>
      </c>
      <c r="F15" s="103">
        <f>E15*F13</f>
        <v>0.08</v>
      </c>
      <c r="G15" s="108"/>
      <c r="H15" s="1500">
        <f t="shared" si="0"/>
        <v>0</v>
      </c>
      <c r="I15" s="108"/>
      <c r="J15" s="1500">
        <f t="shared" si="1"/>
        <v>0</v>
      </c>
      <c r="K15" s="1289"/>
      <c r="L15" s="1500">
        <f t="shared" si="2"/>
        <v>0</v>
      </c>
      <c r="M15" s="1500">
        <f t="shared" si="3"/>
        <v>0</v>
      </c>
    </row>
    <row r="16" spans="1:13" s="3" customFormat="1" ht="18.75">
      <c r="A16" s="115">
        <f>A15+0.1</f>
        <v>2.3000000000000003</v>
      </c>
      <c r="B16" s="131"/>
      <c r="C16" s="255" t="s">
        <v>375</v>
      </c>
      <c r="D16" s="131" t="s">
        <v>49</v>
      </c>
      <c r="E16" s="504"/>
      <c r="F16" s="268">
        <v>1</v>
      </c>
      <c r="G16" s="1291"/>
      <c r="H16" s="1500">
        <f t="shared" si="0"/>
        <v>0</v>
      </c>
      <c r="I16" s="1289"/>
      <c r="J16" s="1500">
        <f t="shared" si="1"/>
        <v>0</v>
      </c>
      <c r="K16" s="1289"/>
      <c r="L16" s="1500">
        <f t="shared" si="2"/>
        <v>0</v>
      </c>
      <c r="M16" s="1500">
        <f t="shared" si="3"/>
        <v>0</v>
      </c>
    </row>
    <row r="17" spans="1:13" s="3" customFormat="1" ht="49.9" customHeight="1">
      <c r="A17" s="67">
        <v>3</v>
      </c>
      <c r="B17" s="67"/>
      <c r="C17" s="128" t="s">
        <v>376</v>
      </c>
      <c r="D17" s="67" t="s">
        <v>49</v>
      </c>
      <c r="E17" s="91"/>
      <c r="F17" s="341">
        <v>1</v>
      </c>
      <c r="G17" s="261"/>
      <c r="H17" s="1500">
        <f t="shared" si="0"/>
        <v>0</v>
      </c>
      <c r="I17" s="1289"/>
      <c r="J17" s="1500">
        <f t="shared" si="1"/>
        <v>0</v>
      </c>
      <c r="K17" s="1289"/>
      <c r="L17" s="1500">
        <f t="shared" si="2"/>
        <v>0</v>
      </c>
      <c r="M17" s="1500">
        <f t="shared" si="3"/>
        <v>0</v>
      </c>
    </row>
    <row r="18" spans="1:13" s="3" customFormat="1" ht="19.899999999999999" customHeight="1">
      <c r="A18" s="63">
        <f>A17+0.1</f>
        <v>3.1</v>
      </c>
      <c r="B18" s="134"/>
      <c r="C18" s="184" t="s">
        <v>69</v>
      </c>
      <c r="D18" s="63" t="s">
        <v>13</v>
      </c>
      <c r="E18" s="61">
        <v>2.15</v>
      </c>
      <c r="F18" s="62">
        <f>F17*E18</f>
        <v>2.15</v>
      </c>
      <c r="G18" s="80"/>
      <c r="H18" s="1500">
        <f t="shared" si="0"/>
        <v>0</v>
      </c>
      <c r="I18" s="108"/>
      <c r="J18" s="1500">
        <f t="shared" si="1"/>
        <v>0</v>
      </c>
      <c r="K18" s="1289"/>
      <c r="L18" s="1500">
        <f t="shared" si="2"/>
        <v>0</v>
      </c>
      <c r="M18" s="1500">
        <f t="shared" si="3"/>
        <v>0</v>
      </c>
    </row>
    <row r="19" spans="1:13" s="3" customFormat="1" ht="19.899999999999999" customHeight="1">
      <c r="A19" s="63">
        <f>A18+0.1</f>
        <v>3.2</v>
      </c>
      <c r="B19" s="63"/>
      <c r="C19" s="276" t="s">
        <v>117</v>
      </c>
      <c r="D19" s="486" t="s">
        <v>14</v>
      </c>
      <c r="E19" s="61">
        <v>4.9000000000000002E-2</v>
      </c>
      <c r="F19" s="61">
        <f>E19*F17</f>
        <v>4.9000000000000002E-2</v>
      </c>
      <c r="G19" s="108"/>
      <c r="H19" s="1500">
        <f t="shared" si="0"/>
        <v>0</v>
      </c>
      <c r="I19" s="1289"/>
      <c r="J19" s="1500">
        <f t="shared" si="1"/>
        <v>0</v>
      </c>
      <c r="K19" s="1289"/>
      <c r="L19" s="1500">
        <f t="shared" si="2"/>
        <v>0</v>
      </c>
      <c r="M19" s="1500">
        <f t="shared" si="3"/>
        <v>0</v>
      </c>
    </row>
    <row r="20" spans="1:13" s="3" customFormat="1" ht="19.899999999999999" customHeight="1">
      <c r="A20" s="63">
        <f>A19+0.1</f>
        <v>3.3000000000000003</v>
      </c>
      <c r="B20" s="63"/>
      <c r="C20" s="191" t="s">
        <v>376</v>
      </c>
      <c r="D20" s="63" t="s">
        <v>49</v>
      </c>
      <c r="E20" s="61"/>
      <c r="F20" s="62">
        <v>1</v>
      </c>
      <c r="G20" s="80"/>
      <c r="H20" s="1500">
        <f t="shared" si="0"/>
        <v>0</v>
      </c>
      <c r="I20" s="1289"/>
      <c r="J20" s="1500">
        <f t="shared" si="1"/>
        <v>0</v>
      </c>
      <c r="K20" s="1289"/>
      <c r="L20" s="1500">
        <f t="shared" si="2"/>
        <v>0</v>
      </c>
      <c r="M20" s="1500">
        <f t="shared" si="3"/>
        <v>0</v>
      </c>
    </row>
    <row r="21" spans="1:13" s="27" customFormat="1" ht="49.9" customHeight="1">
      <c r="A21" s="134" t="s">
        <v>47</v>
      </c>
      <c r="B21" s="505"/>
      <c r="C21" s="506" t="s">
        <v>377</v>
      </c>
      <c r="D21" s="134" t="s">
        <v>177</v>
      </c>
      <c r="E21" s="482"/>
      <c r="F21" s="129">
        <v>685</v>
      </c>
      <c r="G21" s="1500"/>
      <c r="H21" s="1500">
        <f t="shared" si="0"/>
        <v>0</v>
      </c>
      <c r="I21" s="1500"/>
      <c r="J21" s="1500">
        <f t="shared" si="1"/>
        <v>0</v>
      </c>
      <c r="K21" s="1500"/>
      <c r="L21" s="1500">
        <f t="shared" si="2"/>
        <v>0</v>
      </c>
      <c r="M21" s="1500">
        <f t="shared" si="3"/>
        <v>0</v>
      </c>
    </row>
    <row r="22" spans="1:13" s="27" customFormat="1" ht="19.899999999999999" customHeight="1">
      <c r="A22" s="202">
        <f>A21+0.1</f>
        <v>4.0999999999999996</v>
      </c>
      <c r="B22" s="134"/>
      <c r="C22" s="184" t="s">
        <v>69</v>
      </c>
      <c r="D22" s="486" t="s">
        <v>60</v>
      </c>
      <c r="E22" s="132">
        <v>0.22</v>
      </c>
      <c r="F22" s="132">
        <f>E22*F21</f>
        <v>150.69999999999999</v>
      </c>
      <c r="G22" s="80"/>
      <c r="H22" s="1500">
        <f t="shared" si="0"/>
        <v>0</v>
      </c>
      <c r="I22" s="1289"/>
      <c r="J22" s="1500">
        <f t="shared" si="1"/>
        <v>0</v>
      </c>
      <c r="K22" s="1289"/>
      <c r="L22" s="1500">
        <f t="shared" si="2"/>
        <v>0</v>
      </c>
      <c r="M22" s="1500">
        <f t="shared" si="3"/>
        <v>0</v>
      </c>
    </row>
    <row r="23" spans="1:13" s="27" customFormat="1" ht="19.899999999999999" customHeight="1">
      <c r="A23" s="202">
        <f t="shared" ref="A23:A25" si="4">A22+0.1</f>
        <v>4.1999999999999993</v>
      </c>
      <c r="B23" s="63"/>
      <c r="C23" s="276" t="s">
        <v>117</v>
      </c>
      <c r="D23" s="486" t="s">
        <v>14</v>
      </c>
      <c r="E23" s="132">
        <v>3.8199999999999998E-2</v>
      </c>
      <c r="F23" s="132">
        <f>E23*F21</f>
        <v>26.166999999999998</v>
      </c>
      <c r="G23" s="80"/>
      <c r="H23" s="1500">
        <f t="shared" si="0"/>
        <v>0</v>
      </c>
      <c r="I23" s="1500"/>
      <c r="J23" s="1500">
        <f t="shared" si="1"/>
        <v>0</v>
      </c>
      <c r="K23" s="1289"/>
      <c r="L23" s="1500">
        <f t="shared" si="2"/>
        <v>0</v>
      </c>
      <c r="M23" s="1500">
        <f t="shared" si="3"/>
        <v>0</v>
      </c>
    </row>
    <row r="24" spans="1:13" s="27" customFormat="1" ht="19.899999999999999" customHeight="1">
      <c r="A24" s="202">
        <f t="shared" si="4"/>
        <v>4.2999999999999989</v>
      </c>
      <c r="B24" s="134"/>
      <c r="C24" s="336" t="s">
        <v>378</v>
      </c>
      <c r="D24" s="99" t="str">
        <f>D21</f>
        <v>გრძმ</v>
      </c>
      <c r="E24" s="132" t="s">
        <v>20</v>
      </c>
      <c r="F24" s="132">
        <f>F21</f>
        <v>685</v>
      </c>
      <c r="G24" s="80"/>
      <c r="H24" s="1500">
        <f t="shared" si="0"/>
        <v>0</v>
      </c>
      <c r="I24" s="1289"/>
      <c r="J24" s="1500">
        <f t="shared" si="1"/>
        <v>0</v>
      </c>
      <c r="K24" s="1501"/>
      <c r="L24" s="1500">
        <f t="shared" si="2"/>
        <v>0</v>
      </c>
      <c r="M24" s="1500">
        <f t="shared" si="3"/>
        <v>0</v>
      </c>
    </row>
    <row r="25" spans="1:13" s="27" customFormat="1" ht="19.899999999999999" customHeight="1">
      <c r="A25" s="202">
        <f t="shared" si="4"/>
        <v>4.3999999999999986</v>
      </c>
      <c r="B25" s="134"/>
      <c r="C25" s="336" t="s">
        <v>379</v>
      </c>
      <c r="D25" s="99" t="str">
        <f>D22</f>
        <v>კაც.სთ</v>
      </c>
      <c r="E25" s="132" t="s">
        <v>20</v>
      </c>
      <c r="F25" s="132">
        <v>685</v>
      </c>
      <c r="G25" s="80"/>
      <c r="H25" s="1500">
        <f t="shared" si="0"/>
        <v>0</v>
      </c>
      <c r="I25" s="1289"/>
      <c r="J25" s="1500">
        <f t="shared" si="1"/>
        <v>0</v>
      </c>
      <c r="K25" s="1501"/>
      <c r="L25" s="1500">
        <f t="shared" si="2"/>
        <v>0</v>
      </c>
      <c r="M25" s="1500">
        <f t="shared" si="3"/>
        <v>0</v>
      </c>
    </row>
    <row r="26" spans="1:13" s="22" customFormat="1" ht="33.75" customHeight="1">
      <c r="A26" s="127" t="s">
        <v>48</v>
      </c>
      <c r="B26" s="507"/>
      <c r="C26" s="68" t="s">
        <v>380</v>
      </c>
      <c r="D26" s="127" t="s">
        <v>49</v>
      </c>
      <c r="E26" s="508"/>
      <c r="F26" s="509">
        <v>3</v>
      </c>
      <c r="G26" s="1502"/>
      <c r="H26" s="1500">
        <f t="shared" si="0"/>
        <v>0</v>
      </c>
      <c r="I26" s="1300"/>
      <c r="J26" s="1500">
        <f t="shared" si="1"/>
        <v>0</v>
      </c>
      <c r="K26" s="1300"/>
      <c r="L26" s="1500">
        <f t="shared" si="2"/>
        <v>0</v>
      </c>
      <c r="M26" s="1500">
        <f t="shared" si="3"/>
        <v>0</v>
      </c>
    </row>
    <row r="27" spans="1:13" s="3" customFormat="1" ht="20.100000000000001" customHeight="1">
      <c r="A27" s="248">
        <f>A26+0.1</f>
        <v>5.0999999999999996</v>
      </c>
      <c r="B27" s="131"/>
      <c r="C27" s="191" t="s">
        <v>253</v>
      </c>
      <c r="D27" s="131" t="s">
        <v>13</v>
      </c>
      <c r="E27" s="510">
        <v>9</v>
      </c>
      <c r="F27" s="510">
        <f>F26*E27</f>
        <v>27</v>
      </c>
      <c r="G27" s="1291"/>
      <c r="H27" s="1500">
        <f t="shared" si="0"/>
        <v>0</v>
      </c>
      <c r="I27" s="1291"/>
      <c r="J27" s="1500">
        <f t="shared" si="1"/>
        <v>0</v>
      </c>
      <c r="K27" s="1289"/>
      <c r="L27" s="1500">
        <f t="shared" si="2"/>
        <v>0</v>
      </c>
      <c r="M27" s="1500">
        <f t="shared" si="3"/>
        <v>0</v>
      </c>
    </row>
    <row r="28" spans="1:13" s="3" customFormat="1" ht="20.100000000000001" customHeight="1">
      <c r="A28" s="248">
        <f>A27+0.1</f>
        <v>5.1999999999999993</v>
      </c>
      <c r="B28" s="131"/>
      <c r="C28" s="191" t="s">
        <v>70</v>
      </c>
      <c r="D28" s="80" t="s">
        <v>14</v>
      </c>
      <c r="E28" s="395">
        <v>0.73</v>
      </c>
      <c r="F28" s="186">
        <f>F26*E28</f>
        <v>2.19</v>
      </c>
      <c r="G28" s="108"/>
      <c r="H28" s="1500">
        <f t="shared" si="0"/>
        <v>0</v>
      </c>
      <c r="I28" s="1289"/>
      <c r="J28" s="1500">
        <f t="shared" si="1"/>
        <v>0</v>
      </c>
      <c r="K28" s="108"/>
      <c r="L28" s="1500">
        <f t="shared" si="2"/>
        <v>0</v>
      </c>
      <c r="M28" s="1500">
        <f t="shared" si="3"/>
        <v>0</v>
      </c>
    </row>
    <row r="29" spans="1:13" s="3" customFormat="1" ht="20.100000000000001" customHeight="1">
      <c r="A29" s="248">
        <f>A28+0.1</f>
        <v>5.2999999999999989</v>
      </c>
      <c r="B29" s="131"/>
      <c r="C29" s="64" t="s">
        <v>380</v>
      </c>
      <c r="D29" s="115" t="s">
        <v>49</v>
      </c>
      <c r="E29" s="511"/>
      <c r="F29" s="510">
        <f>F26</f>
        <v>3</v>
      </c>
      <c r="G29" s="1291"/>
      <c r="H29" s="1500">
        <f t="shared" si="0"/>
        <v>0</v>
      </c>
      <c r="I29" s="1289"/>
      <c r="J29" s="1500">
        <f t="shared" si="1"/>
        <v>0</v>
      </c>
      <c r="K29" s="1289"/>
      <c r="L29" s="1500">
        <f t="shared" si="2"/>
        <v>0</v>
      </c>
      <c r="M29" s="1500">
        <f t="shared" si="3"/>
        <v>0</v>
      </c>
    </row>
    <row r="30" spans="1:13" s="22" customFormat="1" ht="51" customHeight="1">
      <c r="A30" s="127" t="s">
        <v>127</v>
      </c>
      <c r="B30" s="127"/>
      <c r="C30" s="128" t="s">
        <v>382</v>
      </c>
      <c r="D30" s="127" t="s">
        <v>55</v>
      </c>
      <c r="E30" s="197"/>
      <c r="F30" s="197">
        <v>150</v>
      </c>
      <c r="G30" s="261"/>
      <c r="H30" s="1500">
        <f t="shared" si="0"/>
        <v>0</v>
      </c>
      <c r="I30" s="1300"/>
      <c r="J30" s="1500">
        <f t="shared" si="1"/>
        <v>0</v>
      </c>
      <c r="K30" s="1300"/>
      <c r="L30" s="1500">
        <f t="shared" si="2"/>
        <v>0</v>
      </c>
      <c r="M30" s="1500">
        <f t="shared" si="3"/>
        <v>0</v>
      </c>
    </row>
    <row r="31" spans="1:13" s="3" customFormat="1" ht="21" customHeight="1">
      <c r="A31" s="248">
        <f>A30+0.1</f>
        <v>6.1</v>
      </c>
      <c r="B31" s="131"/>
      <c r="C31" s="191" t="s">
        <v>381</v>
      </c>
      <c r="D31" s="80" t="s">
        <v>13</v>
      </c>
      <c r="E31" s="153">
        <v>0.13</v>
      </c>
      <c r="F31" s="186">
        <f>E31*F30</f>
        <v>19.5</v>
      </c>
      <c r="G31" s="80"/>
      <c r="H31" s="1500">
        <f t="shared" si="0"/>
        <v>0</v>
      </c>
      <c r="I31" s="80"/>
      <c r="J31" s="1500">
        <f t="shared" si="1"/>
        <v>0</v>
      </c>
      <c r="K31" s="1289"/>
      <c r="L31" s="1500">
        <f t="shared" si="2"/>
        <v>0</v>
      </c>
      <c r="M31" s="1500">
        <f t="shared" si="3"/>
        <v>0</v>
      </c>
    </row>
    <row r="32" spans="1:13" s="3" customFormat="1" ht="21" customHeight="1">
      <c r="A32" s="248">
        <f>A31+0.1</f>
        <v>6.1999999999999993</v>
      </c>
      <c r="B32" s="63"/>
      <c r="C32" s="512" t="s">
        <v>117</v>
      </c>
      <c r="D32" s="205" t="s">
        <v>52</v>
      </c>
      <c r="E32" s="511">
        <f>4.9/100</f>
        <v>4.9000000000000002E-2</v>
      </c>
      <c r="F32" s="511">
        <f>E32*F30</f>
        <v>7.3500000000000005</v>
      </c>
      <c r="G32" s="108"/>
      <c r="H32" s="1500">
        <f t="shared" si="0"/>
        <v>0</v>
      </c>
      <c r="I32" s="1289"/>
      <c r="J32" s="1500">
        <f t="shared" si="1"/>
        <v>0</v>
      </c>
      <c r="K32" s="108"/>
      <c r="L32" s="1500">
        <f t="shared" si="2"/>
        <v>0</v>
      </c>
      <c r="M32" s="1500">
        <f t="shared" si="3"/>
        <v>0</v>
      </c>
    </row>
    <row r="33" spans="1:13" s="3" customFormat="1" ht="24.75" customHeight="1">
      <c r="A33" s="248">
        <f>A32+0.1</f>
        <v>6.2999999999999989</v>
      </c>
      <c r="B33" s="131"/>
      <c r="C33" s="191" t="s">
        <v>383</v>
      </c>
      <c r="D33" s="131" t="s">
        <v>55</v>
      </c>
      <c r="E33" s="186">
        <v>1</v>
      </c>
      <c r="F33" s="186">
        <f>E33*F30</f>
        <v>150</v>
      </c>
      <c r="G33" s="80"/>
      <c r="H33" s="1500">
        <f t="shared" si="0"/>
        <v>0</v>
      </c>
      <c r="I33" s="1289"/>
      <c r="J33" s="1500">
        <f t="shared" si="1"/>
        <v>0</v>
      </c>
      <c r="K33" s="1289"/>
      <c r="L33" s="1500">
        <f t="shared" si="2"/>
        <v>0</v>
      </c>
      <c r="M33" s="1500">
        <f t="shared" si="3"/>
        <v>0</v>
      </c>
    </row>
    <row r="34" spans="1:13" s="22" customFormat="1" ht="55.9" customHeight="1">
      <c r="A34" s="127" t="s">
        <v>122</v>
      </c>
      <c r="B34" s="507"/>
      <c r="C34" s="68" t="s">
        <v>385</v>
      </c>
      <c r="D34" s="127" t="s">
        <v>49</v>
      </c>
      <c r="E34" s="508"/>
      <c r="F34" s="509">
        <v>1</v>
      </c>
      <c r="G34" s="1502"/>
      <c r="H34" s="1500">
        <f t="shared" si="0"/>
        <v>0</v>
      </c>
      <c r="I34" s="1300"/>
      <c r="J34" s="1500">
        <f t="shared" si="1"/>
        <v>0</v>
      </c>
      <c r="K34" s="1300"/>
      <c r="L34" s="1500">
        <f t="shared" si="2"/>
        <v>0</v>
      </c>
      <c r="M34" s="1500">
        <f t="shared" si="3"/>
        <v>0</v>
      </c>
    </row>
    <row r="35" spans="1:13" s="3" customFormat="1" ht="20.100000000000001" customHeight="1">
      <c r="A35" s="248">
        <f>A34+0.1</f>
        <v>7.1</v>
      </c>
      <c r="B35" s="131"/>
      <c r="C35" s="191" t="s">
        <v>253</v>
      </c>
      <c r="D35" s="131" t="s">
        <v>13</v>
      </c>
      <c r="E35" s="510">
        <v>9</v>
      </c>
      <c r="F35" s="510">
        <f>F34*E35</f>
        <v>9</v>
      </c>
      <c r="G35" s="1291"/>
      <c r="H35" s="1500">
        <f t="shared" si="0"/>
        <v>0</v>
      </c>
      <c r="I35" s="1291"/>
      <c r="J35" s="1500">
        <f t="shared" si="1"/>
        <v>0</v>
      </c>
      <c r="K35" s="1289"/>
      <c r="L35" s="1500">
        <f t="shared" si="2"/>
        <v>0</v>
      </c>
      <c r="M35" s="1500">
        <f t="shared" si="3"/>
        <v>0</v>
      </c>
    </row>
    <row r="36" spans="1:13" s="3" customFormat="1" ht="20.100000000000001" customHeight="1">
      <c r="A36" s="248">
        <f>A35+0.1</f>
        <v>7.1999999999999993</v>
      </c>
      <c r="B36" s="131"/>
      <c r="C36" s="191" t="s">
        <v>70</v>
      </c>
      <c r="D36" s="80" t="s">
        <v>14</v>
      </c>
      <c r="E36" s="395">
        <v>0.73</v>
      </c>
      <c r="F36" s="186">
        <f>F34*E36</f>
        <v>0.73</v>
      </c>
      <c r="G36" s="108"/>
      <c r="H36" s="1500">
        <f t="shared" si="0"/>
        <v>0</v>
      </c>
      <c r="I36" s="1289"/>
      <c r="J36" s="1500">
        <f t="shared" si="1"/>
        <v>0</v>
      </c>
      <c r="K36" s="108"/>
      <c r="L36" s="1500">
        <f t="shared" si="2"/>
        <v>0</v>
      </c>
      <c r="M36" s="1500">
        <f t="shared" si="3"/>
        <v>0</v>
      </c>
    </row>
    <row r="37" spans="1:13" s="3" customFormat="1" ht="36.75" customHeight="1">
      <c r="A37" s="248">
        <f>A36+0.1</f>
        <v>7.2999999999999989</v>
      </c>
      <c r="B37" s="131"/>
      <c r="C37" s="64" t="s">
        <v>384</v>
      </c>
      <c r="D37" s="115" t="s">
        <v>49</v>
      </c>
      <c r="E37" s="511"/>
      <c r="F37" s="510">
        <f>F34</f>
        <v>1</v>
      </c>
      <c r="G37" s="1291"/>
      <c r="H37" s="1500">
        <f t="shared" si="0"/>
        <v>0</v>
      </c>
      <c r="I37" s="1289"/>
      <c r="J37" s="1500">
        <f t="shared" si="1"/>
        <v>0</v>
      </c>
      <c r="K37" s="1289"/>
      <c r="L37" s="1500">
        <f t="shared" si="2"/>
        <v>0</v>
      </c>
      <c r="M37" s="1500">
        <f t="shared" si="3"/>
        <v>0</v>
      </c>
    </row>
    <row r="38" spans="1:13" s="44" customFormat="1" ht="50.1" customHeight="1">
      <c r="A38" s="81">
        <v>8</v>
      </c>
      <c r="B38" s="101"/>
      <c r="C38" s="128" t="s">
        <v>745</v>
      </c>
      <c r="D38" s="67" t="s">
        <v>61</v>
      </c>
      <c r="E38" s="91"/>
      <c r="F38" s="69">
        <f>0.6*0.6*0.8*7</f>
        <v>2.016</v>
      </c>
      <c r="G38" s="261"/>
      <c r="H38" s="108">
        <f t="shared" ref="H38:H45" si="5">F38*G38</f>
        <v>0</v>
      </c>
      <c r="I38" s="80"/>
      <c r="J38" s="1352">
        <f t="shared" ref="J38:J45" si="6">F38*I38</f>
        <v>0</v>
      </c>
      <c r="K38" s="80"/>
      <c r="L38" s="1352">
        <f t="shared" ref="L38:L45" si="7">F38*K38</f>
        <v>0</v>
      </c>
      <c r="M38" s="1352">
        <f t="shared" ref="M38:M45" si="8">H38+J38+L38</f>
        <v>0</v>
      </c>
    </row>
    <row r="39" spans="1:13" s="44" customFormat="1" ht="18" customHeight="1">
      <c r="A39" s="248">
        <f t="shared" ref="A39:A45" si="9">A38+0.1</f>
        <v>8.1</v>
      </c>
      <c r="B39" s="131"/>
      <c r="C39" s="191" t="s">
        <v>12</v>
      </c>
      <c r="D39" s="131" t="s">
        <v>13</v>
      </c>
      <c r="E39" s="103">
        <v>3.78</v>
      </c>
      <c r="F39" s="61">
        <f>E39*F38</f>
        <v>7.6204799999999997</v>
      </c>
      <c r="G39" s="80"/>
      <c r="H39" s="108">
        <f t="shared" si="5"/>
        <v>0</v>
      </c>
      <c r="I39" s="108"/>
      <c r="J39" s="1352">
        <f t="shared" si="6"/>
        <v>0</v>
      </c>
      <c r="K39" s="1505"/>
      <c r="L39" s="1352">
        <f t="shared" si="7"/>
        <v>0</v>
      </c>
      <c r="M39" s="1352">
        <f t="shared" si="8"/>
        <v>0</v>
      </c>
    </row>
    <row r="40" spans="1:13" s="44" customFormat="1" ht="18" customHeight="1">
      <c r="A40" s="248">
        <f t="shared" si="9"/>
        <v>8.1999999999999993</v>
      </c>
      <c r="B40" s="131"/>
      <c r="C40" s="191" t="s">
        <v>266</v>
      </c>
      <c r="D40" s="80" t="s">
        <v>14</v>
      </c>
      <c r="E40" s="103">
        <v>0.92</v>
      </c>
      <c r="F40" s="62">
        <f>E40*F38</f>
        <v>1.8547200000000001</v>
      </c>
      <c r="G40" s="80"/>
      <c r="H40" s="108">
        <f t="shared" si="5"/>
        <v>0</v>
      </c>
      <c r="I40" s="80"/>
      <c r="J40" s="1352">
        <f t="shared" si="6"/>
        <v>0</v>
      </c>
      <c r="K40" s="1291"/>
      <c r="L40" s="1352">
        <f t="shared" si="7"/>
        <v>0</v>
      </c>
      <c r="M40" s="1352">
        <f t="shared" si="8"/>
        <v>0</v>
      </c>
    </row>
    <row r="41" spans="1:13" s="44" customFormat="1" ht="18" customHeight="1">
      <c r="A41" s="248">
        <f t="shared" si="9"/>
        <v>8.2999999999999989</v>
      </c>
      <c r="B41" s="63"/>
      <c r="C41" s="64" t="s">
        <v>74</v>
      </c>
      <c r="D41" s="80" t="s">
        <v>810</v>
      </c>
      <c r="E41" s="103">
        <v>1.0149999999999999</v>
      </c>
      <c r="F41" s="62">
        <f>E41*F38</f>
        <v>2.0462399999999996</v>
      </c>
      <c r="G41" s="80"/>
      <c r="H41" s="108">
        <f t="shared" si="5"/>
        <v>0</v>
      </c>
      <c r="I41" s="80"/>
      <c r="J41" s="1352">
        <f t="shared" si="6"/>
        <v>0</v>
      </c>
      <c r="K41" s="80"/>
      <c r="L41" s="1352">
        <f t="shared" si="7"/>
        <v>0</v>
      </c>
      <c r="M41" s="1352">
        <f t="shared" si="8"/>
        <v>0</v>
      </c>
    </row>
    <row r="42" spans="1:13" s="44" customFormat="1" ht="18" customHeight="1">
      <c r="A42" s="248">
        <f t="shared" si="9"/>
        <v>8.3999999999999986</v>
      </c>
      <c r="B42" s="63"/>
      <c r="C42" s="64" t="s">
        <v>401</v>
      </c>
      <c r="D42" s="80" t="s">
        <v>104</v>
      </c>
      <c r="E42" s="254" t="s">
        <v>20</v>
      </c>
      <c r="F42" s="62">
        <f>F38*0.08</f>
        <v>0.16128000000000001</v>
      </c>
      <c r="G42" s="1343"/>
      <c r="H42" s="108">
        <f t="shared" si="5"/>
        <v>0</v>
      </c>
      <c r="I42" s="80"/>
      <c r="J42" s="1352">
        <f t="shared" si="6"/>
        <v>0</v>
      </c>
      <c r="K42" s="80"/>
      <c r="L42" s="1352">
        <f t="shared" si="7"/>
        <v>0</v>
      </c>
      <c r="M42" s="1352">
        <f t="shared" si="8"/>
        <v>0</v>
      </c>
    </row>
    <row r="43" spans="1:13" s="44" customFormat="1" ht="18" customHeight="1">
      <c r="A43" s="248">
        <f>A42+0.1</f>
        <v>8.4999999999999982</v>
      </c>
      <c r="B43" s="63"/>
      <c r="C43" s="255" t="s">
        <v>18</v>
      </c>
      <c r="D43" s="63" t="s">
        <v>811</v>
      </c>
      <c r="E43" s="103">
        <f>70.3/100</f>
        <v>0.70299999999999996</v>
      </c>
      <c r="F43" s="62">
        <f>E43*F38</f>
        <v>1.4172479999999998</v>
      </c>
      <c r="G43" s="80"/>
      <c r="H43" s="108">
        <f t="shared" si="5"/>
        <v>0</v>
      </c>
      <c r="I43" s="80"/>
      <c r="J43" s="1352">
        <f t="shared" si="6"/>
        <v>0</v>
      </c>
      <c r="K43" s="80"/>
      <c r="L43" s="1352">
        <f t="shared" si="7"/>
        <v>0</v>
      </c>
      <c r="M43" s="1352">
        <f t="shared" si="8"/>
        <v>0</v>
      </c>
    </row>
    <row r="44" spans="1:13" s="44" customFormat="1" ht="18" customHeight="1">
      <c r="A44" s="248">
        <f t="shared" si="9"/>
        <v>8.5999999999999979</v>
      </c>
      <c r="B44" s="206"/>
      <c r="C44" s="64" t="s">
        <v>19</v>
      </c>
      <c r="D44" s="80" t="s">
        <v>810</v>
      </c>
      <c r="E44" s="257">
        <f>1.14/100</f>
        <v>1.1399999999999999E-2</v>
      </c>
      <c r="F44" s="258">
        <f>E44*F38</f>
        <v>2.2982399999999997E-2</v>
      </c>
      <c r="G44" s="80"/>
      <c r="H44" s="108">
        <f t="shared" si="5"/>
        <v>0</v>
      </c>
      <c r="I44" s="80"/>
      <c r="J44" s="1352">
        <f t="shared" si="6"/>
        <v>0</v>
      </c>
      <c r="K44" s="80"/>
      <c r="L44" s="1352">
        <f t="shared" si="7"/>
        <v>0</v>
      </c>
      <c r="M44" s="1352">
        <f t="shared" si="8"/>
        <v>0</v>
      </c>
    </row>
    <row r="45" spans="1:13" s="44" customFormat="1" ht="18" customHeight="1">
      <c r="A45" s="248">
        <f t="shared" si="9"/>
        <v>8.6999999999999975</v>
      </c>
      <c r="B45" s="131"/>
      <c r="C45" s="64" t="s">
        <v>333</v>
      </c>
      <c r="D45" s="63" t="s">
        <v>14</v>
      </c>
      <c r="E45" s="259">
        <v>0.6</v>
      </c>
      <c r="F45" s="62">
        <f>E45*F38</f>
        <v>1.2096</v>
      </c>
      <c r="G45" s="80"/>
      <c r="H45" s="108">
        <f t="shared" si="5"/>
        <v>0</v>
      </c>
      <c r="I45" s="80"/>
      <c r="J45" s="1352">
        <f t="shared" si="6"/>
        <v>0</v>
      </c>
      <c r="K45" s="80"/>
      <c r="L45" s="1352">
        <f t="shared" si="7"/>
        <v>0</v>
      </c>
      <c r="M45" s="1352">
        <f t="shared" si="8"/>
        <v>0</v>
      </c>
    </row>
    <row r="46" spans="1:13" s="25" customFormat="1" ht="50.1" customHeight="1">
      <c r="A46" s="67">
        <v>9</v>
      </c>
      <c r="B46" s="184"/>
      <c r="C46" s="185" t="s">
        <v>743</v>
      </c>
      <c r="D46" s="67" t="s">
        <v>49</v>
      </c>
      <c r="E46" s="61"/>
      <c r="F46" s="341">
        <v>7</v>
      </c>
      <c r="G46" s="80"/>
      <c r="H46" s="1332">
        <f t="shared" ref="H46:H50" si="10">F46*G46</f>
        <v>0</v>
      </c>
      <c r="I46" s="1289"/>
      <c r="J46" s="1493">
        <f t="shared" ref="J46:J50" si="11">F46*I46</f>
        <v>0</v>
      </c>
      <c r="K46" s="1289"/>
      <c r="L46" s="1493">
        <f t="shared" ref="L46:L50" si="12">F46*K46</f>
        <v>0</v>
      </c>
      <c r="M46" s="1493">
        <f t="shared" ref="M46:M50" si="13">H46+J46+L46</f>
        <v>0</v>
      </c>
    </row>
    <row r="47" spans="1:13" s="25" customFormat="1" ht="20.100000000000001" customHeight="1">
      <c r="A47" s="63">
        <f>A46+0.1</f>
        <v>9.1</v>
      </c>
      <c r="B47" s="184"/>
      <c r="C47" s="64" t="s">
        <v>54</v>
      </c>
      <c r="D47" s="63" t="s">
        <v>13</v>
      </c>
      <c r="E47" s="61">
        <v>8.4</v>
      </c>
      <c r="F47" s="62">
        <f>F46*E47</f>
        <v>58.800000000000004</v>
      </c>
      <c r="G47" s="80"/>
      <c r="H47" s="1332">
        <f t="shared" si="10"/>
        <v>0</v>
      </c>
      <c r="I47" s="80"/>
      <c r="J47" s="1493">
        <f t="shared" si="11"/>
        <v>0</v>
      </c>
      <c r="K47" s="1289"/>
      <c r="L47" s="1493">
        <f t="shared" si="12"/>
        <v>0</v>
      </c>
      <c r="M47" s="1493">
        <f t="shared" si="13"/>
        <v>0</v>
      </c>
    </row>
    <row r="48" spans="1:13" s="25" customFormat="1" ht="20.100000000000001" customHeight="1">
      <c r="A48" s="63">
        <f>A47+0.1</f>
        <v>9.1999999999999993</v>
      </c>
      <c r="B48" s="184"/>
      <c r="C48" s="64" t="s">
        <v>51</v>
      </c>
      <c r="D48" s="63" t="s">
        <v>52</v>
      </c>
      <c r="E48" s="61">
        <v>3.3</v>
      </c>
      <c r="F48" s="62">
        <f>F46*E48</f>
        <v>23.099999999999998</v>
      </c>
      <c r="G48" s="80"/>
      <c r="H48" s="1332">
        <f t="shared" si="10"/>
        <v>0</v>
      </c>
      <c r="I48" s="1289"/>
      <c r="J48" s="1493">
        <f t="shared" si="11"/>
        <v>0</v>
      </c>
      <c r="K48" s="1289"/>
      <c r="L48" s="1493">
        <f t="shared" si="12"/>
        <v>0</v>
      </c>
      <c r="M48" s="1493">
        <f t="shared" si="13"/>
        <v>0</v>
      </c>
    </row>
    <row r="49" spans="1:13" s="25" customFormat="1" ht="43.5" customHeight="1">
      <c r="A49" s="63">
        <f>A48+0.1</f>
        <v>9.2999999999999989</v>
      </c>
      <c r="B49" s="202"/>
      <c r="C49" s="184" t="s">
        <v>743</v>
      </c>
      <c r="D49" s="202" t="s">
        <v>177</v>
      </c>
      <c r="E49" s="203">
        <v>3</v>
      </c>
      <c r="F49" s="153">
        <f>F46*E49</f>
        <v>21</v>
      </c>
      <c r="G49" s="1332"/>
      <c r="H49" s="1500">
        <f>F49*G49</f>
        <v>0</v>
      </c>
      <c r="I49" s="1493"/>
      <c r="J49" s="1500">
        <f>F49*I49</f>
        <v>0</v>
      </c>
      <c r="K49" s="1493"/>
      <c r="L49" s="1500">
        <f>F49*K49</f>
        <v>0</v>
      </c>
      <c r="M49" s="1500">
        <f>H49+J49+L49</f>
        <v>0</v>
      </c>
    </row>
    <row r="50" spans="1:13" s="25" customFormat="1" ht="20.100000000000001" customHeight="1">
      <c r="A50" s="63">
        <f>A49+0.1</f>
        <v>9.3999999999999986</v>
      </c>
      <c r="B50" s="184"/>
      <c r="C50" s="64" t="s">
        <v>358</v>
      </c>
      <c r="D50" s="63" t="s">
        <v>49</v>
      </c>
      <c r="E50" s="61">
        <v>4</v>
      </c>
      <c r="F50" s="242">
        <f>F46*E50</f>
        <v>28</v>
      </c>
      <c r="G50" s="80"/>
      <c r="H50" s="1332">
        <f t="shared" si="10"/>
        <v>0</v>
      </c>
      <c r="I50" s="1289"/>
      <c r="J50" s="1493">
        <f t="shared" si="11"/>
        <v>0</v>
      </c>
      <c r="K50" s="1289"/>
      <c r="L50" s="1493">
        <f t="shared" si="12"/>
        <v>0</v>
      </c>
      <c r="M50" s="1493">
        <f t="shared" si="13"/>
        <v>0</v>
      </c>
    </row>
    <row r="51" spans="1:13" ht="37.5">
      <c r="A51" s="120" t="s">
        <v>129</v>
      </c>
      <c r="B51" s="120"/>
      <c r="C51" s="275" t="s">
        <v>22</v>
      </c>
      <c r="D51" s="120" t="s">
        <v>813</v>
      </c>
      <c r="E51" s="122"/>
      <c r="F51" s="104">
        <v>6</v>
      </c>
      <c r="G51" s="1498"/>
      <c r="H51" s="1332">
        <f t="shared" ref="H51:H60" si="14">F51*G51</f>
        <v>0</v>
      </c>
      <c r="I51" s="1493"/>
      <c r="J51" s="1493">
        <f t="shared" ref="J51:J60" si="15">F51*I51</f>
        <v>0</v>
      </c>
      <c r="K51" s="1493"/>
      <c r="L51" s="1493">
        <f t="shared" ref="L51:L60" si="16">F51*K51</f>
        <v>0</v>
      </c>
      <c r="M51" s="1493">
        <f t="shared" ref="M51:M60" si="17">H51+J51+L51</f>
        <v>0</v>
      </c>
    </row>
    <row r="52" spans="1:13" ht="18.75">
      <c r="A52" s="106">
        <f>A51+0.1</f>
        <v>10.1</v>
      </c>
      <c r="B52" s="75"/>
      <c r="C52" s="336" t="s">
        <v>12</v>
      </c>
      <c r="D52" s="75" t="s">
        <v>13</v>
      </c>
      <c r="E52" s="273">
        <v>7.7899999999999997E-2</v>
      </c>
      <c r="F52" s="71">
        <f>E52*F51</f>
        <v>0.46739999999999998</v>
      </c>
      <c r="G52" s="1332"/>
      <c r="H52" s="1332">
        <f t="shared" si="14"/>
        <v>0</v>
      </c>
      <c r="I52" s="1493"/>
      <c r="J52" s="1493">
        <f t="shared" si="15"/>
        <v>0</v>
      </c>
      <c r="K52" s="1493"/>
      <c r="L52" s="1493">
        <f t="shared" si="16"/>
        <v>0</v>
      </c>
      <c r="M52" s="1493">
        <f t="shared" si="17"/>
        <v>0</v>
      </c>
    </row>
    <row r="53" spans="1:13" ht="18.75">
      <c r="A53" s="106">
        <f>A52+0.1</f>
        <v>10.199999999999999</v>
      </c>
      <c r="B53" s="75"/>
      <c r="C53" s="276" t="s">
        <v>117</v>
      </c>
      <c r="D53" s="108" t="s">
        <v>14</v>
      </c>
      <c r="E53" s="273">
        <v>2E-3</v>
      </c>
      <c r="F53" s="257">
        <f>E53*F51</f>
        <v>1.2E-2</v>
      </c>
      <c r="G53" s="1332"/>
      <c r="H53" s="1332">
        <f t="shared" si="14"/>
        <v>0</v>
      </c>
      <c r="I53" s="1493"/>
      <c r="J53" s="1493">
        <f t="shared" si="15"/>
        <v>0</v>
      </c>
      <c r="K53" s="1332"/>
      <c r="L53" s="1493">
        <f t="shared" si="16"/>
        <v>0</v>
      </c>
      <c r="M53" s="1493">
        <f t="shared" si="17"/>
        <v>0</v>
      </c>
    </row>
    <row r="54" spans="1:13" ht="18.75">
      <c r="A54" s="106">
        <f>A53+0.1</f>
        <v>10.299999999999999</v>
      </c>
      <c r="B54" s="115"/>
      <c r="C54" s="277" t="s">
        <v>24</v>
      </c>
      <c r="D54" s="108" t="s">
        <v>21</v>
      </c>
      <c r="E54" s="273">
        <v>8.5999999999999993E-2</v>
      </c>
      <c r="F54" s="71">
        <f>E54*F51</f>
        <v>0.51600000000000001</v>
      </c>
      <c r="G54" s="1332"/>
      <c r="H54" s="1332">
        <f t="shared" si="14"/>
        <v>0</v>
      </c>
      <c r="I54" s="1493"/>
      <c r="J54" s="1493">
        <f t="shared" si="15"/>
        <v>0</v>
      </c>
      <c r="K54" s="1493"/>
      <c r="L54" s="1493">
        <f t="shared" si="16"/>
        <v>0</v>
      </c>
      <c r="M54" s="1493">
        <f t="shared" si="17"/>
        <v>0</v>
      </c>
    </row>
    <row r="55" spans="1:13" ht="37.5">
      <c r="A55" s="120" t="s">
        <v>130</v>
      </c>
      <c r="B55" s="120"/>
      <c r="C55" s="275" t="s">
        <v>26</v>
      </c>
      <c r="D55" s="120" t="s">
        <v>813</v>
      </c>
      <c r="E55" s="122"/>
      <c r="F55" s="104">
        <v>6</v>
      </c>
      <c r="G55" s="1498"/>
      <c r="H55" s="1332">
        <f t="shared" si="14"/>
        <v>0</v>
      </c>
      <c r="I55" s="1493"/>
      <c r="J55" s="1493">
        <f t="shared" si="15"/>
        <v>0</v>
      </c>
      <c r="K55" s="1493"/>
      <c r="L55" s="1493">
        <f t="shared" si="16"/>
        <v>0</v>
      </c>
      <c r="M55" s="1493">
        <f t="shared" si="17"/>
        <v>0</v>
      </c>
    </row>
    <row r="56" spans="1:13" ht="18.75">
      <c r="A56" s="106">
        <f>A55+0.1</f>
        <v>11.1</v>
      </c>
      <c r="B56" s="75"/>
      <c r="C56" s="336" t="s">
        <v>12</v>
      </c>
      <c r="D56" s="75" t="s">
        <v>13</v>
      </c>
      <c r="E56" s="273">
        <v>0.68</v>
      </c>
      <c r="F56" s="71">
        <f>E56*F55</f>
        <v>4.08</v>
      </c>
      <c r="G56" s="1332"/>
      <c r="H56" s="1332">
        <f t="shared" si="14"/>
        <v>0</v>
      </c>
      <c r="I56" s="1493"/>
      <c r="J56" s="1493">
        <f t="shared" si="15"/>
        <v>0</v>
      </c>
      <c r="K56" s="1493"/>
      <c r="L56" s="1493">
        <f t="shared" si="16"/>
        <v>0</v>
      </c>
      <c r="M56" s="1493">
        <f t="shared" si="17"/>
        <v>0</v>
      </c>
    </row>
    <row r="57" spans="1:13" ht="18.75">
      <c r="A57" s="106">
        <f>A56+0.1</f>
        <v>11.2</v>
      </c>
      <c r="B57" s="75"/>
      <c r="C57" s="276" t="s">
        <v>117</v>
      </c>
      <c r="D57" s="108" t="s">
        <v>14</v>
      </c>
      <c r="E57" s="257">
        <v>2.9999999999999997E-4</v>
      </c>
      <c r="F57" s="257">
        <f>E57*F55</f>
        <v>1.8E-3</v>
      </c>
      <c r="G57" s="1332"/>
      <c r="H57" s="1332">
        <f t="shared" si="14"/>
        <v>0</v>
      </c>
      <c r="I57" s="1493"/>
      <c r="J57" s="1493">
        <f t="shared" si="15"/>
        <v>0</v>
      </c>
      <c r="K57" s="1332"/>
      <c r="L57" s="1493">
        <f t="shared" si="16"/>
        <v>0</v>
      </c>
      <c r="M57" s="1493">
        <f t="shared" si="17"/>
        <v>0</v>
      </c>
    </row>
    <row r="58" spans="1:13" ht="18.75">
      <c r="A58" s="106">
        <f>A57+0.1</f>
        <v>11.299999999999999</v>
      </c>
      <c r="B58" s="115"/>
      <c r="C58" s="255" t="s">
        <v>27</v>
      </c>
      <c r="D58" s="108" t="s">
        <v>21</v>
      </c>
      <c r="E58" s="273">
        <v>0.246</v>
      </c>
      <c r="F58" s="71">
        <f>E58*F55</f>
        <v>1.476</v>
      </c>
      <c r="G58" s="1332"/>
      <c r="H58" s="1332">
        <f t="shared" si="14"/>
        <v>0</v>
      </c>
      <c r="I58" s="1493"/>
      <c r="J58" s="1493">
        <f t="shared" si="15"/>
        <v>0</v>
      </c>
      <c r="K58" s="1493"/>
      <c r="L58" s="1493">
        <f t="shared" si="16"/>
        <v>0</v>
      </c>
      <c r="M58" s="1493">
        <f t="shared" si="17"/>
        <v>0</v>
      </c>
    </row>
    <row r="59" spans="1:13" ht="18.75">
      <c r="A59" s="106">
        <f>A58+0.1</f>
        <v>11.399999999999999</v>
      </c>
      <c r="B59" s="115"/>
      <c r="C59" s="255" t="s">
        <v>28</v>
      </c>
      <c r="D59" s="108" t="s">
        <v>21</v>
      </c>
      <c r="E59" s="273">
        <f>2.7/100</f>
        <v>2.7000000000000003E-2</v>
      </c>
      <c r="F59" s="71">
        <f>F55*E59</f>
        <v>0.16200000000000003</v>
      </c>
      <c r="G59" s="1332"/>
      <c r="H59" s="1332">
        <f t="shared" si="14"/>
        <v>0</v>
      </c>
      <c r="I59" s="1493"/>
      <c r="J59" s="1493">
        <f t="shared" si="15"/>
        <v>0</v>
      </c>
      <c r="K59" s="1493"/>
      <c r="L59" s="1493">
        <f t="shared" si="16"/>
        <v>0</v>
      </c>
      <c r="M59" s="1493">
        <f t="shared" si="17"/>
        <v>0</v>
      </c>
    </row>
    <row r="60" spans="1:13" ht="18.75">
      <c r="A60" s="106">
        <f>A59+0.1</f>
        <v>11.499999999999998</v>
      </c>
      <c r="B60" s="75"/>
      <c r="C60" s="276" t="s">
        <v>119</v>
      </c>
      <c r="D60" s="108" t="s">
        <v>1</v>
      </c>
      <c r="E60" s="257">
        <v>1.9E-3</v>
      </c>
      <c r="F60" s="273">
        <f>E60*F55</f>
        <v>1.14E-2</v>
      </c>
      <c r="G60" s="1332"/>
      <c r="H60" s="1332">
        <f t="shared" si="14"/>
        <v>0</v>
      </c>
      <c r="I60" s="1493"/>
      <c r="J60" s="1493">
        <f t="shared" si="15"/>
        <v>0</v>
      </c>
      <c r="K60" s="1493"/>
      <c r="L60" s="1493">
        <f t="shared" si="16"/>
        <v>0</v>
      </c>
      <c r="M60" s="1493">
        <f t="shared" si="17"/>
        <v>0</v>
      </c>
    </row>
    <row r="61" spans="1:13" ht="18.75">
      <c r="A61" s="248"/>
      <c r="B61" s="131"/>
      <c r="C61" s="185" t="s">
        <v>39</v>
      </c>
      <c r="D61" s="67" t="s">
        <v>14</v>
      </c>
      <c r="E61" s="513"/>
      <c r="F61" s="513"/>
      <c r="G61" s="1506"/>
      <c r="H61" s="1506">
        <f>SUM(H9:H60)</f>
        <v>0</v>
      </c>
      <c r="I61" s="1506"/>
      <c r="J61" s="1506">
        <f>SUM(J9:J60)</f>
        <v>0</v>
      </c>
      <c r="K61" s="1506"/>
      <c r="L61" s="1506">
        <f>SUM(L9:L60)</f>
        <v>0</v>
      </c>
      <c r="M61" s="1506">
        <f>SUM(M9:M60)</f>
        <v>0</v>
      </c>
    </row>
    <row r="62" spans="1:13" ht="18.75">
      <c r="A62" s="248"/>
      <c r="B62" s="131"/>
      <c r="C62" s="64" t="s">
        <v>247</v>
      </c>
      <c r="D62" s="137" t="s">
        <v>874</v>
      </c>
      <c r="E62" s="61"/>
      <c r="F62" s="65">
        <v>0</v>
      </c>
      <c r="G62" s="80"/>
      <c r="H62" s="80"/>
      <c r="I62" s="80"/>
      <c r="J62" s="80"/>
      <c r="K62" s="80"/>
      <c r="L62" s="1289"/>
      <c r="M62" s="1336">
        <f>H61*F62</f>
        <v>0</v>
      </c>
    </row>
    <row r="63" spans="1:13" ht="18.75">
      <c r="A63" s="248"/>
      <c r="B63" s="131"/>
      <c r="C63" s="68" t="s">
        <v>39</v>
      </c>
      <c r="D63" s="67"/>
      <c r="E63" s="185"/>
      <c r="F63" s="1503"/>
      <c r="G63" s="261"/>
      <c r="H63" s="261"/>
      <c r="I63" s="1507"/>
      <c r="J63" s="1507"/>
      <c r="K63" s="1507"/>
      <c r="L63" s="1507"/>
      <c r="M63" s="1336">
        <f>M62+M61</f>
        <v>0</v>
      </c>
    </row>
    <row r="64" spans="1:13" ht="37.5">
      <c r="A64" s="248"/>
      <c r="B64" s="131"/>
      <c r="C64" s="184" t="s">
        <v>71</v>
      </c>
      <c r="D64" s="63" t="s">
        <v>874</v>
      </c>
      <c r="E64" s="514"/>
      <c r="F64" s="198">
        <v>0</v>
      </c>
      <c r="G64" s="1334"/>
      <c r="H64" s="1508"/>
      <c r="I64" s="1334"/>
      <c r="J64" s="1334"/>
      <c r="K64" s="1334"/>
      <c r="L64" s="1334"/>
      <c r="M64" s="1336">
        <f>J61*F64</f>
        <v>0</v>
      </c>
    </row>
    <row r="65" spans="1:13" ht="18.75">
      <c r="A65" s="248"/>
      <c r="B65" s="67"/>
      <c r="C65" s="185" t="s">
        <v>39</v>
      </c>
      <c r="D65" s="67"/>
      <c r="E65" s="513"/>
      <c r="F65" s="1504"/>
      <c r="G65" s="1506"/>
      <c r="H65" s="1509"/>
      <c r="I65" s="1334"/>
      <c r="J65" s="1334"/>
      <c r="K65" s="1334"/>
      <c r="L65" s="1334"/>
      <c r="M65" s="1336">
        <f>M64+M63</f>
        <v>0</v>
      </c>
    </row>
    <row r="66" spans="1:13" ht="18.75">
      <c r="A66" s="127"/>
      <c r="B66" s="131"/>
      <c r="C66" s="184" t="s">
        <v>147</v>
      </c>
      <c r="D66" s="63" t="s">
        <v>874</v>
      </c>
      <c r="E66" s="514"/>
      <c r="F66" s="198">
        <v>0</v>
      </c>
      <c r="G66" s="1334"/>
      <c r="H66" s="1508"/>
      <c r="I66" s="1334"/>
      <c r="J66" s="1334"/>
      <c r="K66" s="1334"/>
      <c r="L66" s="1334"/>
      <c r="M66" s="1336">
        <f>M65*F66</f>
        <v>0</v>
      </c>
    </row>
    <row r="67" spans="1:13" ht="18.75">
      <c r="A67" s="248"/>
      <c r="B67" s="131"/>
      <c r="C67" s="185" t="s">
        <v>199</v>
      </c>
      <c r="D67" s="67"/>
      <c r="E67" s="513"/>
      <c r="F67" s="513"/>
      <c r="G67" s="1506"/>
      <c r="H67" s="1509"/>
      <c r="I67" s="1334"/>
      <c r="J67" s="1334"/>
      <c r="K67" s="1334"/>
      <c r="L67" s="1334"/>
      <c r="M67" s="1336">
        <f>SUM(M65:M66)</f>
        <v>0</v>
      </c>
    </row>
    <row r="68" spans="1:13" ht="18.75">
      <c r="A68" s="515"/>
      <c r="B68" s="515"/>
      <c r="C68" s="516"/>
      <c r="D68" s="515"/>
      <c r="E68" s="515"/>
      <c r="F68" s="515"/>
      <c r="G68" s="515"/>
      <c r="H68" s="517"/>
      <c r="I68" s="518"/>
      <c r="J68" s="56"/>
      <c r="K68" s="56"/>
      <c r="L68" s="56"/>
      <c r="M68" s="56"/>
    </row>
    <row r="69" spans="1:13" ht="18.75">
      <c r="A69" s="515"/>
      <c r="B69" s="515"/>
      <c r="C69" s="519"/>
      <c r="D69" s="515"/>
      <c r="E69" s="515"/>
      <c r="F69" s="515"/>
      <c r="G69" s="515"/>
      <c r="H69" s="517"/>
      <c r="I69" s="518"/>
      <c r="J69" s="56"/>
      <c r="K69" s="56"/>
      <c r="L69" s="56"/>
      <c r="M69" s="56"/>
    </row>
    <row r="70" spans="1:13" ht="18.75">
      <c r="A70" s="497"/>
      <c r="B70" s="497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</row>
    <row r="71" spans="1:13" ht="18.75">
      <c r="A71" s="497"/>
      <c r="B71" s="497"/>
      <c r="C71" s="497"/>
      <c r="D71" s="497"/>
      <c r="E71" s="497"/>
      <c r="F71" s="497"/>
      <c r="G71" s="497"/>
      <c r="H71" s="497"/>
      <c r="I71" s="497"/>
      <c r="J71" s="497"/>
      <c r="K71" s="497"/>
      <c r="L71" s="497"/>
      <c r="M71" s="497"/>
    </row>
    <row r="72" spans="1:13" ht="18.75">
      <c r="A72" s="497"/>
      <c r="B72" s="497"/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</row>
  </sheetData>
  <protectedRanges>
    <protectedRange sqref="I62:M63" name="Range1_1"/>
    <protectedRange sqref="K51:K60 G51:G60 I51:I60" name="Range1"/>
  </protectedRanges>
  <mergeCells count="14">
    <mergeCell ref="I5:J5"/>
    <mergeCell ref="K5:L5"/>
    <mergeCell ref="M5:M6"/>
    <mergeCell ref="A1:H1"/>
    <mergeCell ref="A2:J2"/>
    <mergeCell ref="A3:D3"/>
    <mergeCell ref="A4:H4"/>
    <mergeCell ref="A5:A6"/>
    <mergeCell ref="B5:B6"/>
    <mergeCell ref="C5:C6"/>
    <mergeCell ref="D5:D6"/>
    <mergeCell ref="E5:F5"/>
    <mergeCell ref="G5:H5"/>
    <mergeCell ref="E3:F3"/>
  </mergeCells>
  <pageMargins left="0.23" right="0.22" top="0.24" bottom="0.31" header="0.16" footer="0.25"/>
  <pageSetup paperSize="9" scale="60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4.9989318521683403E-2"/>
  </sheetPr>
  <dimension ref="A1:M181"/>
  <sheetViews>
    <sheetView topLeftCell="A160" zoomScale="70" zoomScaleNormal="70" zoomScaleSheetLayoutView="70" workbookViewId="0">
      <selection activeCell="I172" sqref="I172"/>
    </sheetView>
  </sheetViews>
  <sheetFormatPr defaultRowHeight="15.75"/>
  <cols>
    <col min="1" max="1" width="6.140625" style="46" customWidth="1"/>
    <col min="2" max="2" width="10.7109375" style="452" customWidth="1"/>
    <col min="3" max="3" width="56" style="48" customWidth="1"/>
    <col min="4" max="4" width="16.7109375" style="10" customWidth="1"/>
    <col min="5" max="5" width="15.7109375" style="47" customWidth="1"/>
    <col min="6" max="6" width="16.140625" style="38" customWidth="1"/>
    <col min="7" max="7" width="13.85546875" style="449" customWidth="1"/>
    <col min="8" max="8" width="15.140625" style="39" customWidth="1"/>
    <col min="9" max="9" width="13.7109375" style="37" customWidth="1"/>
    <col min="10" max="10" width="13.85546875" style="47" customWidth="1"/>
    <col min="11" max="11" width="11.42578125" style="47" customWidth="1"/>
    <col min="12" max="12" width="13.42578125" style="37" customWidth="1"/>
    <col min="13" max="13" width="12.85546875" style="37" customWidth="1"/>
    <col min="14" max="235" width="8.85546875" style="3"/>
    <col min="236" max="236" width="4.7109375" style="3" customWidth="1"/>
    <col min="237" max="237" width="17.85546875" style="3" customWidth="1"/>
    <col min="238" max="238" width="41.28515625" style="3" customWidth="1"/>
    <col min="239" max="239" width="8.140625" style="3" customWidth="1"/>
    <col min="240" max="240" width="7.85546875" style="3" customWidth="1"/>
    <col min="241" max="241" width="7.7109375" style="3" bestFit="1" customWidth="1"/>
    <col min="242" max="242" width="8.140625" style="3" customWidth="1"/>
    <col min="243" max="243" width="9.28515625" style="3" customWidth="1"/>
    <col min="244" max="244" width="9.28515625" style="3" bestFit="1" customWidth="1"/>
    <col min="245" max="246" width="8.85546875" style="3"/>
    <col min="247" max="247" width="9.28515625" style="3" bestFit="1" customWidth="1"/>
    <col min="248" max="248" width="9.7109375" style="3" bestFit="1" customWidth="1"/>
    <col min="249" max="491" width="8.85546875" style="3"/>
    <col min="492" max="492" width="4.7109375" style="3" customWidth="1"/>
    <col min="493" max="493" width="17.85546875" style="3" customWidth="1"/>
    <col min="494" max="494" width="41.28515625" style="3" customWidth="1"/>
    <col min="495" max="495" width="8.140625" style="3" customWidth="1"/>
    <col min="496" max="496" width="7.85546875" style="3" customWidth="1"/>
    <col min="497" max="497" width="7.7109375" style="3" bestFit="1" customWidth="1"/>
    <col min="498" max="498" width="8.140625" style="3" customWidth="1"/>
    <col min="499" max="499" width="9.28515625" style="3" customWidth="1"/>
    <col min="500" max="500" width="9.28515625" style="3" bestFit="1" customWidth="1"/>
    <col min="501" max="502" width="8.85546875" style="3"/>
    <col min="503" max="503" width="9.28515625" style="3" bestFit="1" customWidth="1"/>
    <col min="504" max="504" width="9.7109375" style="3" bestFit="1" customWidth="1"/>
    <col min="505" max="747" width="8.85546875" style="3"/>
    <col min="748" max="748" width="4.7109375" style="3" customWidth="1"/>
    <col min="749" max="749" width="17.85546875" style="3" customWidth="1"/>
    <col min="750" max="750" width="41.28515625" style="3" customWidth="1"/>
    <col min="751" max="751" width="8.140625" style="3" customWidth="1"/>
    <col min="752" max="752" width="7.85546875" style="3" customWidth="1"/>
    <col min="753" max="753" width="7.7109375" style="3" bestFit="1" customWidth="1"/>
    <col min="754" max="754" width="8.140625" style="3" customWidth="1"/>
    <col min="755" max="755" width="9.28515625" style="3" customWidth="1"/>
    <col min="756" max="756" width="9.28515625" style="3" bestFit="1" customWidth="1"/>
    <col min="757" max="758" width="8.85546875" style="3"/>
    <col min="759" max="759" width="9.28515625" style="3" bestFit="1" customWidth="1"/>
    <col min="760" max="760" width="9.7109375" style="3" bestFit="1" customWidth="1"/>
    <col min="761" max="1003" width="8.85546875" style="3"/>
    <col min="1004" max="1004" width="4.7109375" style="3" customWidth="1"/>
    <col min="1005" max="1005" width="17.85546875" style="3" customWidth="1"/>
    <col min="1006" max="1006" width="41.28515625" style="3" customWidth="1"/>
    <col min="1007" max="1007" width="8.140625" style="3" customWidth="1"/>
    <col min="1008" max="1008" width="7.85546875" style="3" customWidth="1"/>
    <col min="1009" max="1009" width="7.7109375" style="3" bestFit="1" customWidth="1"/>
    <col min="1010" max="1010" width="8.140625" style="3" customWidth="1"/>
    <col min="1011" max="1011" width="9.28515625" style="3" customWidth="1"/>
    <col min="1012" max="1012" width="9.28515625" style="3" bestFit="1" customWidth="1"/>
    <col min="1013" max="1014" width="8.85546875" style="3"/>
    <col min="1015" max="1015" width="9.28515625" style="3" bestFit="1" customWidth="1"/>
    <col min="1016" max="1016" width="9.7109375" style="3" bestFit="1" customWidth="1"/>
    <col min="1017" max="1259" width="8.85546875" style="3"/>
    <col min="1260" max="1260" width="4.7109375" style="3" customWidth="1"/>
    <col min="1261" max="1261" width="17.85546875" style="3" customWidth="1"/>
    <col min="1262" max="1262" width="41.28515625" style="3" customWidth="1"/>
    <col min="1263" max="1263" width="8.140625" style="3" customWidth="1"/>
    <col min="1264" max="1264" width="7.85546875" style="3" customWidth="1"/>
    <col min="1265" max="1265" width="7.7109375" style="3" bestFit="1" customWidth="1"/>
    <col min="1266" max="1266" width="8.140625" style="3" customWidth="1"/>
    <col min="1267" max="1267" width="9.28515625" style="3" customWidth="1"/>
    <col min="1268" max="1268" width="9.28515625" style="3" bestFit="1" customWidth="1"/>
    <col min="1269" max="1270" width="8.85546875" style="3"/>
    <col min="1271" max="1271" width="9.28515625" style="3" bestFit="1" customWidth="1"/>
    <col min="1272" max="1272" width="9.7109375" style="3" bestFit="1" customWidth="1"/>
    <col min="1273" max="1515" width="8.85546875" style="3"/>
    <col min="1516" max="1516" width="4.7109375" style="3" customWidth="1"/>
    <col min="1517" max="1517" width="17.85546875" style="3" customWidth="1"/>
    <col min="1518" max="1518" width="41.28515625" style="3" customWidth="1"/>
    <col min="1519" max="1519" width="8.140625" style="3" customWidth="1"/>
    <col min="1520" max="1520" width="7.85546875" style="3" customWidth="1"/>
    <col min="1521" max="1521" width="7.7109375" style="3" bestFit="1" customWidth="1"/>
    <col min="1522" max="1522" width="8.140625" style="3" customWidth="1"/>
    <col min="1523" max="1523" width="9.28515625" style="3" customWidth="1"/>
    <col min="1524" max="1524" width="9.28515625" style="3" bestFit="1" customWidth="1"/>
    <col min="1525" max="1526" width="8.85546875" style="3"/>
    <col min="1527" max="1527" width="9.28515625" style="3" bestFit="1" customWidth="1"/>
    <col min="1528" max="1528" width="9.7109375" style="3" bestFit="1" customWidth="1"/>
    <col min="1529" max="1771" width="8.85546875" style="3"/>
    <col min="1772" max="1772" width="4.7109375" style="3" customWidth="1"/>
    <col min="1773" max="1773" width="17.85546875" style="3" customWidth="1"/>
    <col min="1774" max="1774" width="41.28515625" style="3" customWidth="1"/>
    <col min="1775" max="1775" width="8.140625" style="3" customWidth="1"/>
    <col min="1776" max="1776" width="7.85546875" style="3" customWidth="1"/>
    <col min="1777" max="1777" width="7.7109375" style="3" bestFit="1" customWidth="1"/>
    <col min="1778" max="1778" width="8.140625" style="3" customWidth="1"/>
    <col min="1779" max="1779" width="9.28515625" style="3" customWidth="1"/>
    <col min="1780" max="1780" width="9.28515625" style="3" bestFit="1" customWidth="1"/>
    <col min="1781" max="1782" width="8.85546875" style="3"/>
    <col min="1783" max="1783" width="9.28515625" style="3" bestFit="1" customWidth="1"/>
    <col min="1784" max="1784" width="9.7109375" style="3" bestFit="1" customWidth="1"/>
    <col min="1785" max="2027" width="8.85546875" style="3"/>
    <col min="2028" max="2028" width="4.7109375" style="3" customWidth="1"/>
    <col min="2029" max="2029" width="17.85546875" style="3" customWidth="1"/>
    <col min="2030" max="2030" width="41.28515625" style="3" customWidth="1"/>
    <col min="2031" max="2031" width="8.140625" style="3" customWidth="1"/>
    <col min="2032" max="2032" width="7.85546875" style="3" customWidth="1"/>
    <col min="2033" max="2033" width="7.7109375" style="3" bestFit="1" customWidth="1"/>
    <col min="2034" max="2034" width="8.140625" style="3" customWidth="1"/>
    <col min="2035" max="2035" width="9.28515625" style="3" customWidth="1"/>
    <col min="2036" max="2036" width="9.28515625" style="3" bestFit="1" customWidth="1"/>
    <col min="2037" max="2038" width="8.85546875" style="3"/>
    <col min="2039" max="2039" width="9.28515625" style="3" bestFit="1" customWidth="1"/>
    <col min="2040" max="2040" width="9.7109375" style="3" bestFit="1" customWidth="1"/>
    <col min="2041" max="2283" width="8.85546875" style="3"/>
    <col min="2284" max="2284" width="4.7109375" style="3" customWidth="1"/>
    <col min="2285" max="2285" width="17.85546875" style="3" customWidth="1"/>
    <col min="2286" max="2286" width="41.28515625" style="3" customWidth="1"/>
    <col min="2287" max="2287" width="8.140625" style="3" customWidth="1"/>
    <col min="2288" max="2288" width="7.85546875" style="3" customWidth="1"/>
    <col min="2289" max="2289" width="7.7109375" style="3" bestFit="1" customWidth="1"/>
    <col min="2290" max="2290" width="8.140625" style="3" customWidth="1"/>
    <col min="2291" max="2291" width="9.28515625" style="3" customWidth="1"/>
    <col min="2292" max="2292" width="9.28515625" style="3" bestFit="1" customWidth="1"/>
    <col min="2293" max="2294" width="8.85546875" style="3"/>
    <col min="2295" max="2295" width="9.28515625" style="3" bestFit="1" customWidth="1"/>
    <col min="2296" max="2296" width="9.7109375" style="3" bestFit="1" customWidth="1"/>
    <col min="2297" max="2539" width="8.85546875" style="3"/>
    <col min="2540" max="2540" width="4.7109375" style="3" customWidth="1"/>
    <col min="2541" max="2541" width="17.85546875" style="3" customWidth="1"/>
    <col min="2542" max="2542" width="41.28515625" style="3" customWidth="1"/>
    <col min="2543" max="2543" width="8.140625" style="3" customWidth="1"/>
    <col min="2544" max="2544" width="7.85546875" style="3" customWidth="1"/>
    <col min="2545" max="2545" width="7.7109375" style="3" bestFit="1" customWidth="1"/>
    <col min="2546" max="2546" width="8.140625" style="3" customWidth="1"/>
    <col min="2547" max="2547" width="9.28515625" style="3" customWidth="1"/>
    <col min="2548" max="2548" width="9.28515625" style="3" bestFit="1" customWidth="1"/>
    <col min="2549" max="2550" width="8.85546875" style="3"/>
    <col min="2551" max="2551" width="9.28515625" style="3" bestFit="1" customWidth="1"/>
    <col min="2552" max="2552" width="9.7109375" style="3" bestFit="1" customWidth="1"/>
    <col min="2553" max="2795" width="8.85546875" style="3"/>
    <col min="2796" max="2796" width="4.7109375" style="3" customWidth="1"/>
    <col min="2797" max="2797" width="17.85546875" style="3" customWidth="1"/>
    <col min="2798" max="2798" width="41.28515625" style="3" customWidth="1"/>
    <col min="2799" max="2799" width="8.140625" style="3" customWidth="1"/>
    <col min="2800" max="2800" width="7.85546875" style="3" customWidth="1"/>
    <col min="2801" max="2801" width="7.7109375" style="3" bestFit="1" customWidth="1"/>
    <col min="2802" max="2802" width="8.140625" style="3" customWidth="1"/>
    <col min="2803" max="2803" width="9.28515625" style="3" customWidth="1"/>
    <col min="2804" max="2804" width="9.28515625" style="3" bestFit="1" customWidth="1"/>
    <col min="2805" max="2806" width="8.85546875" style="3"/>
    <col min="2807" max="2807" width="9.28515625" style="3" bestFit="1" customWidth="1"/>
    <col min="2808" max="2808" width="9.7109375" style="3" bestFit="1" customWidth="1"/>
    <col min="2809" max="3051" width="8.85546875" style="3"/>
    <col min="3052" max="3052" width="4.7109375" style="3" customWidth="1"/>
    <col min="3053" max="3053" width="17.85546875" style="3" customWidth="1"/>
    <col min="3054" max="3054" width="41.28515625" style="3" customWidth="1"/>
    <col min="3055" max="3055" width="8.140625" style="3" customWidth="1"/>
    <col min="3056" max="3056" width="7.85546875" style="3" customWidth="1"/>
    <col min="3057" max="3057" width="7.7109375" style="3" bestFit="1" customWidth="1"/>
    <col min="3058" max="3058" width="8.140625" style="3" customWidth="1"/>
    <col min="3059" max="3059" width="9.28515625" style="3" customWidth="1"/>
    <col min="3060" max="3060" width="9.28515625" style="3" bestFit="1" customWidth="1"/>
    <col min="3061" max="3062" width="8.85546875" style="3"/>
    <col min="3063" max="3063" width="9.28515625" style="3" bestFit="1" customWidth="1"/>
    <col min="3064" max="3064" width="9.7109375" style="3" bestFit="1" customWidth="1"/>
    <col min="3065" max="3307" width="8.85546875" style="3"/>
    <col min="3308" max="3308" width="4.7109375" style="3" customWidth="1"/>
    <col min="3309" max="3309" width="17.85546875" style="3" customWidth="1"/>
    <col min="3310" max="3310" width="41.28515625" style="3" customWidth="1"/>
    <col min="3311" max="3311" width="8.140625" style="3" customWidth="1"/>
    <col min="3312" max="3312" width="7.85546875" style="3" customWidth="1"/>
    <col min="3313" max="3313" width="7.7109375" style="3" bestFit="1" customWidth="1"/>
    <col min="3314" max="3314" width="8.140625" style="3" customWidth="1"/>
    <col min="3315" max="3315" width="9.28515625" style="3" customWidth="1"/>
    <col min="3316" max="3316" width="9.28515625" style="3" bestFit="1" customWidth="1"/>
    <col min="3317" max="3318" width="8.85546875" style="3"/>
    <col min="3319" max="3319" width="9.28515625" style="3" bestFit="1" customWidth="1"/>
    <col min="3320" max="3320" width="9.7109375" style="3" bestFit="1" customWidth="1"/>
    <col min="3321" max="3563" width="8.85546875" style="3"/>
    <col min="3564" max="3564" width="4.7109375" style="3" customWidth="1"/>
    <col min="3565" max="3565" width="17.85546875" style="3" customWidth="1"/>
    <col min="3566" max="3566" width="41.28515625" style="3" customWidth="1"/>
    <col min="3567" max="3567" width="8.140625" style="3" customWidth="1"/>
    <col min="3568" max="3568" width="7.85546875" style="3" customWidth="1"/>
    <col min="3569" max="3569" width="7.7109375" style="3" bestFit="1" customWidth="1"/>
    <col min="3570" max="3570" width="8.140625" style="3" customWidth="1"/>
    <col min="3571" max="3571" width="9.28515625" style="3" customWidth="1"/>
    <col min="3572" max="3572" width="9.28515625" style="3" bestFit="1" customWidth="1"/>
    <col min="3573" max="3574" width="8.85546875" style="3"/>
    <col min="3575" max="3575" width="9.28515625" style="3" bestFit="1" customWidth="1"/>
    <col min="3576" max="3576" width="9.7109375" style="3" bestFit="1" customWidth="1"/>
    <col min="3577" max="3819" width="8.85546875" style="3"/>
    <col min="3820" max="3820" width="4.7109375" style="3" customWidth="1"/>
    <col min="3821" max="3821" width="17.85546875" style="3" customWidth="1"/>
    <col min="3822" max="3822" width="41.28515625" style="3" customWidth="1"/>
    <col min="3823" max="3823" width="8.140625" style="3" customWidth="1"/>
    <col min="3824" max="3824" width="7.85546875" style="3" customWidth="1"/>
    <col min="3825" max="3825" width="7.7109375" style="3" bestFit="1" customWidth="1"/>
    <col min="3826" max="3826" width="8.140625" style="3" customWidth="1"/>
    <col min="3827" max="3827" width="9.28515625" style="3" customWidth="1"/>
    <col min="3828" max="3828" width="9.28515625" style="3" bestFit="1" customWidth="1"/>
    <col min="3829" max="3830" width="8.85546875" style="3"/>
    <col min="3831" max="3831" width="9.28515625" style="3" bestFit="1" customWidth="1"/>
    <col min="3832" max="3832" width="9.7109375" style="3" bestFit="1" customWidth="1"/>
    <col min="3833" max="4075" width="8.85546875" style="3"/>
    <col min="4076" max="4076" width="4.7109375" style="3" customWidth="1"/>
    <col min="4077" max="4077" width="17.85546875" style="3" customWidth="1"/>
    <col min="4078" max="4078" width="41.28515625" style="3" customWidth="1"/>
    <col min="4079" max="4079" width="8.140625" style="3" customWidth="1"/>
    <col min="4080" max="4080" width="7.85546875" style="3" customWidth="1"/>
    <col min="4081" max="4081" width="7.7109375" style="3" bestFit="1" customWidth="1"/>
    <col min="4082" max="4082" width="8.140625" style="3" customWidth="1"/>
    <col min="4083" max="4083" width="9.28515625" style="3" customWidth="1"/>
    <col min="4084" max="4084" width="9.28515625" style="3" bestFit="1" customWidth="1"/>
    <col min="4085" max="4086" width="8.85546875" style="3"/>
    <col min="4087" max="4087" width="9.28515625" style="3" bestFit="1" customWidth="1"/>
    <col min="4088" max="4088" width="9.7109375" style="3" bestFit="1" customWidth="1"/>
    <col min="4089" max="4331" width="8.85546875" style="3"/>
    <col min="4332" max="4332" width="4.7109375" style="3" customWidth="1"/>
    <col min="4333" max="4333" width="17.85546875" style="3" customWidth="1"/>
    <col min="4334" max="4334" width="41.28515625" style="3" customWidth="1"/>
    <col min="4335" max="4335" width="8.140625" style="3" customWidth="1"/>
    <col min="4336" max="4336" width="7.85546875" style="3" customWidth="1"/>
    <col min="4337" max="4337" width="7.7109375" style="3" bestFit="1" customWidth="1"/>
    <col min="4338" max="4338" width="8.140625" style="3" customWidth="1"/>
    <col min="4339" max="4339" width="9.28515625" style="3" customWidth="1"/>
    <col min="4340" max="4340" width="9.28515625" style="3" bestFit="1" customWidth="1"/>
    <col min="4341" max="4342" width="8.85546875" style="3"/>
    <col min="4343" max="4343" width="9.28515625" style="3" bestFit="1" customWidth="1"/>
    <col min="4344" max="4344" width="9.7109375" style="3" bestFit="1" customWidth="1"/>
    <col min="4345" max="4587" width="8.85546875" style="3"/>
    <col min="4588" max="4588" width="4.7109375" style="3" customWidth="1"/>
    <col min="4589" max="4589" width="17.85546875" style="3" customWidth="1"/>
    <col min="4590" max="4590" width="41.28515625" style="3" customWidth="1"/>
    <col min="4591" max="4591" width="8.140625" style="3" customWidth="1"/>
    <col min="4592" max="4592" width="7.85546875" style="3" customWidth="1"/>
    <col min="4593" max="4593" width="7.7109375" style="3" bestFit="1" customWidth="1"/>
    <col min="4594" max="4594" width="8.140625" style="3" customWidth="1"/>
    <col min="4595" max="4595" width="9.28515625" style="3" customWidth="1"/>
    <col min="4596" max="4596" width="9.28515625" style="3" bestFit="1" customWidth="1"/>
    <col min="4597" max="4598" width="8.85546875" style="3"/>
    <col min="4599" max="4599" width="9.28515625" style="3" bestFit="1" customWidth="1"/>
    <col min="4600" max="4600" width="9.7109375" style="3" bestFit="1" customWidth="1"/>
    <col min="4601" max="4843" width="8.85546875" style="3"/>
    <col min="4844" max="4844" width="4.7109375" style="3" customWidth="1"/>
    <col min="4845" max="4845" width="17.85546875" style="3" customWidth="1"/>
    <col min="4846" max="4846" width="41.28515625" style="3" customWidth="1"/>
    <col min="4847" max="4847" width="8.140625" style="3" customWidth="1"/>
    <col min="4848" max="4848" width="7.85546875" style="3" customWidth="1"/>
    <col min="4849" max="4849" width="7.7109375" style="3" bestFit="1" customWidth="1"/>
    <col min="4850" max="4850" width="8.140625" style="3" customWidth="1"/>
    <col min="4851" max="4851" width="9.28515625" style="3" customWidth="1"/>
    <col min="4852" max="4852" width="9.28515625" style="3" bestFit="1" customWidth="1"/>
    <col min="4853" max="4854" width="8.85546875" style="3"/>
    <col min="4855" max="4855" width="9.28515625" style="3" bestFit="1" customWidth="1"/>
    <col min="4856" max="4856" width="9.7109375" style="3" bestFit="1" customWidth="1"/>
    <col min="4857" max="5099" width="8.85546875" style="3"/>
    <col min="5100" max="5100" width="4.7109375" style="3" customWidth="1"/>
    <col min="5101" max="5101" width="17.85546875" style="3" customWidth="1"/>
    <col min="5102" max="5102" width="41.28515625" style="3" customWidth="1"/>
    <col min="5103" max="5103" width="8.140625" style="3" customWidth="1"/>
    <col min="5104" max="5104" width="7.85546875" style="3" customWidth="1"/>
    <col min="5105" max="5105" width="7.7109375" style="3" bestFit="1" customWidth="1"/>
    <col min="5106" max="5106" width="8.140625" style="3" customWidth="1"/>
    <col min="5107" max="5107" width="9.28515625" style="3" customWidth="1"/>
    <col min="5108" max="5108" width="9.28515625" style="3" bestFit="1" customWidth="1"/>
    <col min="5109" max="5110" width="8.85546875" style="3"/>
    <col min="5111" max="5111" width="9.28515625" style="3" bestFit="1" customWidth="1"/>
    <col min="5112" max="5112" width="9.7109375" style="3" bestFit="1" customWidth="1"/>
    <col min="5113" max="5355" width="8.85546875" style="3"/>
    <col min="5356" max="5356" width="4.7109375" style="3" customWidth="1"/>
    <col min="5357" max="5357" width="17.85546875" style="3" customWidth="1"/>
    <col min="5358" max="5358" width="41.28515625" style="3" customWidth="1"/>
    <col min="5359" max="5359" width="8.140625" style="3" customWidth="1"/>
    <col min="5360" max="5360" width="7.85546875" style="3" customWidth="1"/>
    <col min="5361" max="5361" width="7.7109375" style="3" bestFit="1" customWidth="1"/>
    <col min="5362" max="5362" width="8.140625" style="3" customWidth="1"/>
    <col min="5363" max="5363" width="9.28515625" style="3" customWidth="1"/>
    <col min="5364" max="5364" width="9.28515625" style="3" bestFit="1" customWidth="1"/>
    <col min="5365" max="5366" width="8.85546875" style="3"/>
    <col min="5367" max="5367" width="9.28515625" style="3" bestFit="1" customWidth="1"/>
    <col min="5368" max="5368" width="9.7109375" style="3" bestFit="1" customWidth="1"/>
    <col min="5369" max="5611" width="8.85546875" style="3"/>
    <col min="5612" max="5612" width="4.7109375" style="3" customWidth="1"/>
    <col min="5613" max="5613" width="17.85546875" style="3" customWidth="1"/>
    <col min="5614" max="5614" width="41.28515625" style="3" customWidth="1"/>
    <col min="5615" max="5615" width="8.140625" style="3" customWidth="1"/>
    <col min="5616" max="5616" width="7.85546875" style="3" customWidth="1"/>
    <col min="5617" max="5617" width="7.7109375" style="3" bestFit="1" customWidth="1"/>
    <col min="5618" max="5618" width="8.140625" style="3" customWidth="1"/>
    <col min="5619" max="5619" width="9.28515625" style="3" customWidth="1"/>
    <col min="5620" max="5620" width="9.28515625" style="3" bestFit="1" customWidth="1"/>
    <col min="5621" max="5622" width="8.85546875" style="3"/>
    <col min="5623" max="5623" width="9.28515625" style="3" bestFit="1" customWidth="1"/>
    <col min="5624" max="5624" width="9.7109375" style="3" bestFit="1" customWidth="1"/>
    <col min="5625" max="5867" width="8.85546875" style="3"/>
    <col min="5868" max="5868" width="4.7109375" style="3" customWidth="1"/>
    <col min="5869" max="5869" width="17.85546875" style="3" customWidth="1"/>
    <col min="5870" max="5870" width="41.28515625" style="3" customWidth="1"/>
    <col min="5871" max="5871" width="8.140625" style="3" customWidth="1"/>
    <col min="5872" max="5872" width="7.85546875" style="3" customWidth="1"/>
    <col min="5873" max="5873" width="7.7109375" style="3" bestFit="1" customWidth="1"/>
    <col min="5874" max="5874" width="8.140625" style="3" customWidth="1"/>
    <col min="5875" max="5875" width="9.28515625" style="3" customWidth="1"/>
    <col min="5876" max="5876" width="9.28515625" style="3" bestFit="1" customWidth="1"/>
    <col min="5877" max="5878" width="8.85546875" style="3"/>
    <col min="5879" max="5879" width="9.28515625" style="3" bestFit="1" customWidth="1"/>
    <col min="5880" max="5880" width="9.7109375" style="3" bestFit="1" customWidth="1"/>
    <col min="5881" max="6123" width="8.85546875" style="3"/>
    <col min="6124" max="6124" width="4.7109375" style="3" customWidth="1"/>
    <col min="6125" max="6125" width="17.85546875" style="3" customWidth="1"/>
    <col min="6126" max="6126" width="41.28515625" style="3" customWidth="1"/>
    <col min="6127" max="6127" width="8.140625" style="3" customWidth="1"/>
    <col min="6128" max="6128" width="7.85546875" style="3" customWidth="1"/>
    <col min="6129" max="6129" width="7.7109375" style="3" bestFit="1" customWidth="1"/>
    <col min="6130" max="6130" width="8.140625" style="3" customWidth="1"/>
    <col min="6131" max="6131" width="9.28515625" style="3" customWidth="1"/>
    <col min="6132" max="6132" width="9.28515625" style="3" bestFit="1" customWidth="1"/>
    <col min="6133" max="6134" width="8.85546875" style="3"/>
    <col min="6135" max="6135" width="9.28515625" style="3" bestFit="1" customWidth="1"/>
    <col min="6136" max="6136" width="9.7109375" style="3" bestFit="1" customWidth="1"/>
    <col min="6137" max="6379" width="8.85546875" style="3"/>
    <col min="6380" max="6380" width="4.7109375" style="3" customWidth="1"/>
    <col min="6381" max="6381" width="17.85546875" style="3" customWidth="1"/>
    <col min="6382" max="6382" width="41.28515625" style="3" customWidth="1"/>
    <col min="6383" max="6383" width="8.140625" style="3" customWidth="1"/>
    <col min="6384" max="6384" width="7.85546875" style="3" customWidth="1"/>
    <col min="6385" max="6385" width="7.7109375" style="3" bestFit="1" customWidth="1"/>
    <col min="6386" max="6386" width="8.140625" style="3" customWidth="1"/>
    <col min="6387" max="6387" width="9.28515625" style="3" customWidth="1"/>
    <col min="6388" max="6388" width="9.28515625" style="3" bestFit="1" customWidth="1"/>
    <col min="6389" max="6390" width="8.85546875" style="3"/>
    <col min="6391" max="6391" width="9.28515625" style="3" bestFit="1" customWidth="1"/>
    <col min="6392" max="6392" width="9.7109375" style="3" bestFit="1" customWidth="1"/>
    <col min="6393" max="6635" width="8.85546875" style="3"/>
    <col min="6636" max="6636" width="4.7109375" style="3" customWidth="1"/>
    <col min="6637" max="6637" width="17.85546875" style="3" customWidth="1"/>
    <col min="6638" max="6638" width="41.28515625" style="3" customWidth="1"/>
    <col min="6639" max="6639" width="8.140625" style="3" customWidth="1"/>
    <col min="6640" max="6640" width="7.85546875" style="3" customWidth="1"/>
    <col min="6641" max="6641" width="7.7109375" style="3" bestFit="1" customWidth="1"/>
    <col min="6642" max="6642" width="8.140625" style="3" customWidth="1"/>
    <col min="6643" max="6643" width="9.28515625" style="3" customWidth="1"/>
    <col min="6644" max="6644" width="9.28515625" style="3" bestFit="1" customWidth="1"/>
    <col min="6645" max="6646" width="8.85546875" style="3"/>
    <col min="6647" max="6647" width="9.28515625" style="3" bestFit="1" customWidth="1"/>
    <col min="6648" max="6648" width="9.7109375" style="3" bestFit="1" customWidth="1"/>
    <col min="6649" max="6891" width="8.85546875" style="3"/>
    <col min="6892" max="6892" width="4.7109375" style="3" customWidth="1"/>
    <col min="6893" max="6893" width="17.85546875" style="3" customWidth="1"/>
    <col min="6894" max="6894" width="41.28515625" style="3" customWidth="1"/>
    <col min="6895" max="6895" width="8.140625" style="3" customWidth="1"/>
    <col min="6896" max="6896" width="7.85546875" style="3" customWidth="1"/>
    <col min="6897" max="6897" width="7.7109375" style="3" bestFit="1" customWidth="1"/>
    <col min="6898" max="6898" width="8.140625" style="3" customWidth="1"/>
    <col min="6899" max="6899" width="9.28515625" style="3" customWidth="1"/>
    <col min="6900" max="6900" width="9.28515625" style="3" bestFit="1" customWidth="1"/>
    <col min="6901" max="6902" width="8.85546875" style="3"/>
    <col min="6903" max="6903" width="9.28515625" style="3" bestFit="1" customWidth="1"/>
    <col min="6904" max="6904" width="9.7109375" style="3" bestFit="1" customWidth="1"/>
    <col min="6905" max="7147" width="8.85546875" style="3"/>
    <col min="7148" max="7148" width="4.7109375" style="3" customWidth="1"/>
    <col min="7149" max="7149" width="17.85546875" style="3" customWidth="1"/>
    <col min="7150" max="7150" width="41.28515625" style="3" customWidth="1"/>
    <col min="7151" max="7151" width="8.140625" style="3" customWidth="1"/>
    <col min="7152" max="7152" width="7.85546875" style="3" customWidth="1"/>
    <col min="7153" max="7153" width="7.7109375" style="3" bestFit="1" customWidth="1"/>
    <col min="7154" max="7154" width="8.140625" style="3" customWidth="1"/>
    <col min="7155" max="7155" width="9.28515625" style="3" customWidth="1"/>
    <col min="7156" max="7156" width="9.28515625" style="3" bestFit="1" customWidth="1"/>
    <col min="7157" max="7158" width="8.85546875" style="3"/>
    <col min="7159" max="7159" width="9.28515625" style="3" bestFit="1" customWidth="1"/>
    <col min="7160" max="7160" width="9.7109375" style="3" bestFit="1" customWidth="1"/>
    <col min="7161" max="7403" width="8.85546875" style="3"/>
    <col min="7404" max="7404" width="4.7109375" style="3" customWidth="1"/>
    <col min="7405" max="7405" width="17.85546875" style="3" customWidth="1"/>
    <col min="7406" max="7406" width="41.28515625" style="3" customWidth="1"/>
    <col min="7407" max="7407" width="8.140625" style="3" customWidth="1"/>
    <col min="7408" max="7408" width="7.85546875" style="3" customWidth="1"/>
    <col min="7409" max="7409" width="7.7109375" style="3" bestFit="1" customWidth="1"/>
    <col min="7410" max="7410" width="8.140625" style="3" customWidth="1"/>
    <col min="7411" max="7411" width="9.28515625" style="3" customWidth="1"/>
    <col min="7412" max="7412" width="9.28515625" style="3" bestFit="1" customWidth="1"/>
    <col min="7413" max="7414" width="8.85546875" style="3"/>
    <col min="7415" max="7415" width="9.28515625" style="3" bestFit="1" customWidth="1"/>
    <col min="7416" max="7416" width="9.7109375" style="3" bestFit="1" customWidth="1"/>
    <col min="7417" max="7659" width="8.85546875" style="3"/>
    <col min="7660" max="7660" width="4.7109375" style="3" customWidth="1"/>
    <col min="7661" max="7661" width="17.85546875" style="3" customWidth="1"/>
    <col min="7662" max="7662" width="41.28515625" style="3" customWidth="1"/>
    <col min="7663" max="7663" width="8.140625" style="3" customWidth="1"/>
    <col min="7664" max="7664" width="7.85546875" style="3" customWidth="1"/>
    <col min="7665" max="7665" width="7.7109375" style="3" bestFit="1" customWidth="1"/>
    <col min="7666" max="7666" width="8.140625" style="3" customWidth="1"/>
    <col min="7667" max="7667" width="9.28515625" style="3" customWidth="1"/>
    <col min="7668" max="7668" width="9.28515625" style="3" bestFit="1" customWidth="1"/>
    <col min="7669" max="7670" width="8.85546875" style="3"/>
    <col min="7671" max="7671" width="9.28515625" style="3" bestFit="1" customWidth="1"/>
    <col min="7672" max="7672" width="9.7109375" style="3" bestFit="1" customWidth="1"/>
    <col min="7673" max="7915" width="8.85546875" style="3"/>
    <col min="7916" max="7916" width="4.7109375" style="3" customWidth="1"/>
    <col min="7917" max="7917" width="17.85546875" style="3" customWidth="1"/>
    <col min="7918" max="7918" width="41.28515625" style="3" customWidth="1"/>
    <col min="7919" max="7919" width="8.140625" style="3" customWidth="1"/>
    <col min="7920" max="7920" width="7.85546875" style="3" customWidth="1"/>
    <col min="7921" max="7921" width="7.7109375" style="3" bestFit="1" customWidth="1"/>
    <col min="7922" max="7922" width="8.140625" style="3" customWidth="1"/>
    <col min="7923" max="7923" width="9.28515625" style="3" customWidth="1"/>
    <col min="7924" max="7924" width="9.28515625" style="3" bestFit="1" customWidth="1"/>
    <col min="7925" max="7926" width="8.85546875" style="3"/>
    <col min="7927" max="7927" width="9.28515625" style="3" bestFit="1" customWidth="1"/>
    <col min="7928" max="7928" width="9.7109375" style="3" bestFit="1" customWidth="1"/>
    <col min="7929" max="8171" width="8.85546875" style="3"/>
    <col min="8172" max="8172" width="4.7109375" style="3" customWidth="1"/>
    <col min="8173" max="8173" width="17.85546875" style="3" customWidth="1"/>
    <col min="8174" max="8174" width="41.28515625" style="3" customWidth="1"/>
    <col min="8175" max="8175" width="8.140625" style="3" customWidth="1"/>
    <col min="8176" max="8176" width="7.85546875" style="3" customWidth="1"/>
    <col min="8177" max="8177" width="7.7109375" style="3" bestFit="1" customWidth="1"/>
    <col min="8178" max="8178" width="8.140625" style="3" customWidth="1"/>
    <col min="8179" max="8179" width="9.28515625" style="3" customWidth="1"/>
    <col min="8180" max="8180" width="9.28515625" style="3" bestFit="1" customWidth="1"/>
    <col min="8181" max="8182" width="8.85546875" style="3"/>
    <col min="8183" max="8183" width="9.28515625" style="3" bestFit="1" customWidth="1"/>
    <col min="8184" max="8184" width="9.7109375" style="3" bestFit="1" customWidth="1"/>
    <col min="8185" max="8427" width="8.85546875" style="3"/>
    <col min="8428" max="8428" width="4.7109375" style="3" customWidth="1"/>
    <col min="8429" max="8429" width="17.85546875" style="3" customWidth="1"/>
    <col min="8430" max="8430" width="41.28515625" style="3" customWidth="1"/>
    <col min="8431" max="8431" width="8.140625" style="3" customWidth="1"/>
    <col min="8432" max="8432" width="7.85546875" style="3" customWidth="1"/>
    <col min="8433" max="8433" width="7.7109375" style="3" bestFit="1" customWidth="1"/>
    <col min="8434" max="8434" width="8.140625" style="3" customWidth="1"/>
    <col min="8435" max="8435" width="9.28515625" style="3" customWidth="1"/>
    <col min="8436" max="8436" width="9.28515625" style="3" bestFit="1" customWidth="1"/>
    <col min="8437" max="8438" width="8.85546875" style="3"/>
    <col min="8439" max="8439" width="9.28515625" style="3" bestFit="1" customWidth="1"/>
    <col min="8440" max="8440" width="9.7109375" style="3" bestFit="1" customWidth="1"/>
    <col min="8441" max="8683" width="8.85546875" style="3"/>
    <col min="8684" max="8684" width="4.7109375" style="3" customWidth="1"/>
    <col min="8685" max="8685" width="17.85546875" style="3" customWidth="1"/>
    <col min="8686" max="8686" width="41.28515625" style="3" customWidth="1"/>
    <col min="8687" max="8687" width="8.140625" style="3" customWidth="1"/>
    <col min="8688" max="8688" width="7.85546875" style="3" customWidth="1"/>
    <col min="8689" max="8689" width="7.7109375" style="3" bestFit="1" customWidth="1"/>
    <col min="8690" max="8690" width="8.140625" style="3" customWidth="1"/>
    <col min="8691" max="8691" width="9.28515625" style="3" customWidth="1"/>
    <col min="8692" max="8692" width="9.28515625" style="3" bestFit="1" customWidth="1"/>
    <col min="8693" max="8694" width="8.85546875" style="3"/>
    <col min="8695" max="8695" width="9.28515625" style="3" bestFit="1" customWidth="1"/>
    <col min="8696" max="8696" width="9.7109375" style="3" bestFit="1" customWidth="1"/>
    <col min="8697" max="8939" width="8.85546875" style="3"/>
    <col min="8940" max="8940" width="4.7109375" style="3" customWidth="1"/>
    <col min="8941" max="8941" width="17.85546875" style="3" customWidth="1"/>
    <col min="8942" max="8942" width="41.28515625" style="3" customWidth="1"/>
    <col min="8943" max="8943" width="8.140625" style="3" customWidth="1"/>
    <col min="8944" max="8944" width="7.85546875" style="3" customWidth="1"/>
    <col min="8945" max="8945" width="7.7109375" style="3" bestFit="1" customWidth="1"/>
    <col min="8946" max="8946" width="8.140625" style="3" customWidth="1"/>
    <col min="8947" max="8947" width="9.28515625" style="3" customWidth="1"/>
    <col min="8948" max="8948" width="9.28515625" style="3" bestFit="1" customWidth="1"/>
    <col min="8949" max="8950" width="8.85546875" style="3"/>
    <col min="8951" max="8951" width="9.28515625" style="3" bestFit="1" customWidth="1"/>
    <col min="8952" max="8952" width="9.7109375" style="3" bestFit="1" customWidth="1"/>
    <col min="8953" max="9195" width="8.85546875" style="3"/>
    <col min="9196" max="9196" width="4.7109375" style="3" customWidth="1"/>
    <col min="9197" max="9197" width="17.85546875" style="3" customWidth="1"/>
    <col min="9198" max="9198" width="41.28515625" style="3" customWidth="1"/>
    <col min="9199" max="9199" width="8.140625" style="3" customWidth="1"/>
    <col min="9200" max="9200" width="7.85546875" style="3" customWidth="1"/>
    <col min="9201" max="9201" width="7.7109375" style="3" bestFit="1" customWidth="1"/>
    <col min="9202" max="9202" width="8.140625" style="3" customWidth="1"/>
    <col min="9203" max="9203" width="9.28515625" style="3" customWidth="1"/>
    <col min="9204" max="9204" width="9.28515625" style="3" bestFit="1" customWidth="1"/>
    <col min="9205" max="9206" width="8.85546875" style="3"/>
    <col min="9207" max="9207" width="9.28515625" style="3" bestFit="1" customWidth="1"/>
    <col min="9208" max="9208" width="9.7109375" style="3" bestFit="1" customWidth="1"/>
    <col min="9209" max="9451" width="8.85546875" style="3"/>
    <col min="9452" max="9452" width="4.7109375" style="3" customWidth="1"/>
    <col min="9453" max="9453" width="17.85546875" style="3" customWidth="1"/>
    <col min="9454" max="9454" width="41.28515625" style="3" customWidth="1"/>
    <col min="9455" max="9455" width="8.140625" style="3" customWidth="1"/>
    <col min="9456" max="9456" width="7.85546875" style="3" customWidth="1"/>
    <col min="9457" max="9457" width="7.7109375" style="3" bestFit="1" customWidth="1"/>
    <col min="9458" max="9458" width="8.140625" style="3" customWidth="1"/>
    <col min="9459" max="9459" width="9.28515625" style="3" customWidth="1"/>
    <col min="9460" max="9460" width="9.28515625" style="3" bestFit="1" customWidth="1"/>
    <col min="9461" max="9462" width="8.85546875" style="3"/>
    <col min="9463" max="9463" width="9.28515625" style="3" bestFit="1" customWidth="1"/>
    <col min="9464" max="9464" width="9.7109375" style="3" bestFit="1" customWidth="1"/>
    <col min="9465" max="9707" width="8.85546875" style="3"/>
    <col min="9708" max="9708" width="4.7109375" style="3" customWidth="1"/>
    <col min="9709" max="9709" width="17.85546875" style="3" customWidth="1"/>
    <col min="9710" max="9710" width="41.28515625" style="3" customWidth="1"/>
    <col min="9711" max="9711" width="8.140625" style="3" customWidth="1"/>
    <col min="9712" max="9712" width="7.85546875" style="3" customWidth="1"/>
    <col min="9713" max="9713" width="7.7109375" style="3" bestFit="1" customWidth="1"/>
    <col min="9714" max="9714" width="8.140625" style="3" customWidth="1"/>
    <col min="9715" max="9715" width="9.28515625" style="3" customWidth="1"/>
    <col min="9716" max="9716" width="9.28515625" style="3" bestFit="1" customWidth="1"/>
    <col min="9717" max="9718" width="8.85546875" style="3"/>
    <col min="9719" max="9719" width="9.28515625" style="3" bestFit="1" customWidth="1"/>
    <col min="9720" max="9720" width="9.7109375" style="3" bestFit="1" customWidth="1"/>
    <col min="9721" max="9963" width="8.85546875" style="3"/>
    <col min="9964" max="9964" width="4.7109375" style="3" customWidth="1"/>
    <col min="9965" max="9965" width="17.85546875" style="3" customWidth="1"/>
    <col min="9966" max="9966" width="41.28515625" style="3" customWidth="1"/>
    <col min="9967" max="9967" width="8.140625" style="3" customWidth="1"/>
    <col min="9968" max="9968" width="7.85546875" style="3" customWidth="1"/>
    <col min="9969" max="9969" width="7.7109375" style="3" bestFit="1" customWidth="1"/>
    <col min="9970" max="9970" width="8.140625" style="3" customWidth="1"/>
    <col min="9971" max="9971" width="9.28515625" style="3" customWidth="1"/>
    <col min="9972" max="9972" width="9.28515625" style="3" bestFit="1" customWidth="1"/>
    <col min="9973" max="9974" width="8.85546875" style="3"/>
    <col min="9975" max="9975" width="9.28515625" style="3" bestFit="1" customWidth="1"/>
    <col min="9976" max="9976" width="9.7109375" style="3" bestFit="1" customWidth="1"/>
    <col min="9977" max="10219" width="8.85546875" style="3"/>
    <col min="10220" max="10220" width="4.7109375" style="3" customWidth="1"/>
    <col min="10221" max="10221" width="17.85546875" style="3" customWidth="1"/>
    <col min="10222" max="10222" width="41.28515625" style="3" customWidth="1"/>
    <col min="10223" max="10223" width="8.140625" style="3" customWidth="1"/>
    <col min="10224" max="10224" width="7.85546875" style="3" customWidth="1"/>
    <col min="10225" max="10225" width="7.7109375" style="3" bestFit="1" customWidth="1"/>
    <col min="10226" max="10226" width="8.140625" style="3" customWidth="1"/>
    <col min="10227" max="10227" width="9.28515625" style="3" customWidth="1"/>
    <col min="10228" max="10228" width="9.28515625" style="3" bestFit="1" customWidth="1"/>
    <col min="10229" max="10230" width="8.85546875" style="3"/>
    <col min="10231" max="10231" width="9.28515625" style="3" bestFit="1" customWidth="1"/>
    <col min="10232" max="10232" width="9.7109375" style="3" bestFit="1" customWidth="1"/>
    <col min="10233" max="10475" width="8.85546875" style="3"/>
    <col min="10476" max="10476" width="4.7109375" style="3" customWidth="1"/>
    <col min="10477" max="10477" width="17.85546875" style="3" customWidth="1"/>
    <col min="10478" max="10478" width="41.28515625" style="3" customWidth="1"/>
    <col min="10479" max="10479" width="8.140625" style="3" customWidth="1"/>
    <col min="10480" max="10480" width="7.85546875" style="3" customWidth="1"/>
    <col min="10481" max="10481" width="7.7109375" style="3" bestFit="1" customWidth="1"/>
    <col min="10482" max="10482" width="8.140625" style="3" customWidth="1"/>
    <col min="10483" max="10483" width="9.28515625" style="3" customWidth="1"/>
    <col min="10484" max="10484" width="9.28515625" style="3" bestFit="1" customWidth="1"/>
    <col min="10485" max="10486" width="8.85546875" style="3"/>
    <col min="10487" max="10487" width="9.28515625" style="3" bestFit="1" customWidth="1"/>
    <col min="10488" max="10488" width="9.7109375" style="3" bestFit="1" customWidth="1"/>
    <col min="10489" max="10731" width="8.85546875" style="3"/>
    <col min="10732" max="10732" width="4.7109375" style="3" customWidth="1"/>
    <col min="10733" max="10733" width="17.85546875" style="3" customWidth="1"/>
    <col min="10734" max="10734" width="41.28515625" style="3" customWidth="1"/>
    <col min="10735" max="10735" width="8.140625" style="3" customWidth="1"/>
    <col min="10736" max="10736" width="7.85546875" style="3" customWidth="1"/>
    <col min="10737" max="10737" width="7.7109375" style="3" bestFit="1" customWidth="1"/>
    <col min="10738" max="10738" width="8.140625" style="3" customWidth="1"/>
    <col min="10739" max="10739" width="9.28515625" style="3" customWidth="1"/>
    <col min="10740" max="10740" width="9.28515625" style="3" bestFit="1" customWidth="1"/>
    <col min="10741" max="10742" width="8.85546875" style="3"/>
    <col min="10743" max="10743" width="9.28515625" style="3" bestFit="1" customWidth="1"/>
    <col min="10744" max="10744" width="9.7109375" style="3" bestFit="1" customWidth="1"/>
    <col min="10745" max="10987" width="8.85546875" style="3"/>
    <col min="10988" max="10988" width="4.7109375" style="3" customWidth="1"/>
    <col min="10989" max="10989" width="17.85546875" style="3" customWidth="1"/>
    <col min="10990" max="10990" width="41.28515625" style="3" customWidth="1"/>
    <col min="10991" max="10991" width="8.140625" style="3" customWidth="1"/>
    <col min="10992" max="10992" width="7.85546875" style="3" customWidth="1"/>
    <col min="10993" max="10993" width="7.7109375" style="3" bestFit="1" customWidth="1"/>
    <col min="10994" max="10994" width="8.140625" style="3" customWidth="1"/>
    <col min="10995" max="10995" width="9.28515625" style="3" customWidth="1"/>
    <col min="10996" max="10996" width="9.28515625" style="3" bestFit="1" customWidth="1"/>
    <col min="10997" max="10998" width="8.85546875" style="3"/>
    <col min="10999" max="10999" width="9.28515625" style="3" bestFit="1" customWidth="1"/>
    <col min="11000" max="11000" width="9.7109375" style="3" bestFit="1" customWidth="1"/>
    <col min="11001" max="11243" width="8.85546875" style="3"/>
    <col min="11244" max="11244" width="4.7109375" style="3" customWidth="1"/>
    <col min="11245" max="11245" width="17.85546875" style="3" customWidth="1"/>
    <col min="11246" max="11246" width="41.28515625" style="3" customWidth="1"/>
    <col min="11247" max="11247" width="8.140625" style="3" customWidth="1"/>
    <col min="11248" max="11248" width="7.85546875" style="3" customWidth="1"/>
    <col min="11249" max="11249" width="7.7109375" style="3" bestFit="1" customWidth="1"/>
    <col min="11250" max="11250" width="8.140625" style="3" customWidth="1"/>
    <col min="11251" max="11251" width="9.28515625" style="3" customWidth="1"/>
    <col min="11252" max="11252" width="9.28515625" style="3" bestFit="1" customWidth="1"/>
    <col min="11253" max="11254" width="8.85546875" style="3"/>
    <col min="11255" max="11255" width="9.28515625" style="3" bestFit="1" customWidth="1"/>
    <col min="11256" max="11256" width="9.7109375" style="3" bestFit="1" customWidth="1"/>
    <col min="11257" max="11499" width="8.85546875" style="3"/>
    <col min="11500" max="11500" width="4.7109375" style="3" customWidth="1"/>
    <col min="11501" max="11501" width="17.85546875" style="3" customWidth="1"/>
    <col min="11502" max="11502" width="41.28515625" style="3" customWidth="1"/>
    <col min="11503" max="11503" width="8.140625" style="3" customWidth="1"/>
    <col min="11504" max="11504" width="7.85546875" style="3" customWidth="1"/>
    <col min="11505" max="11505" width="7.7109375" style="3" bestFit="1" customWidth="1"/>
    <col min="11506" max="11506" width="8.140625" style="3" customWidth="1"/>
    <col min="11507" max="11507" width="9.28515625" style="3" customWidth="1"/>
    <col min="11508" max="11508" width="9.28515625" style="3" bestFit="1" customWidth="1"/>
    <col min="11509" max="11510" width="8.85546875" style="3"/>
    <col min="11511" max="11511" width="9.28515625" style="3" bestFit="1" customWidth="1"/>
    <col min="11512" max="11512" width="9.7109375" style="3" bestFit="1" customWidth="1"/>
    <col min="11513" max="11755" width="8.85546875" style="3"/>
    <col min="11756" max="11756" width="4.7109375" style="3" customWidth="1"/>
    <col min="11757" max="11757" width="17.85546875" style="3" customWidth="1"/>
    <col min="11758" max="11758" width="41.28515625" style="3" customWidth="1"/>
    <col min="11759" max="11759" width="8.140625" style="3" customWidth="1"/>
    <col min="11760" max="11760" width="7.85546875" style="3" customWidth="1"/>
    <col min="11761" max="11761" width="7.7109375" style="3" bestFit="1" customWidth="1"/>
    <col min="11762" max="11762" width="8.140625" style="3" customWidth="1"/>
    <col min="11763" max="11763" width="9.28515625" style="3" customWidth="1"/>
    <col min="11764" max="11764" width="9.28515625" style="3" bestFit="1" customWidth="1"/>
    <col min="11765" max="11766" width="8.85546875" style="3"/>
    <col min="11767" max="11767" width="9.28515625" style="3" bestFit="1" customWidth="1"/>
    <col min="11768" max="11768" width="9.7109375" style="3" bestFit="1" customWidth="1"/>
    <col min="11769" max="12011" width="8.85546875" style="3"/>
    <col min="12012" max="12012" width="4.7109375" style="3" customWidth="1"/>
    <col min="12013" max="12013" width="17.85546875" style="3" customWidth="1"/>
    <col min="12014" max="12014" width="41.28515625" style="3" customWidth="1"/>
    <col min="12015" max="12015" width="8.140625" style="3" customWidth="1"/>
    <col min="12016" max="12016" width="7.85546875" style="3" customWidth="1"/>
    <col min="12017" max="12017" width="7.7109375" style="3" bestFit="1" customWidth="1"/>
    <col min="12018" max="12018" width="8.140625" style="3" customWidth="1"/>
    <col min="12019" max="12019" width="9.28515625" style="3" customWidth="1"/>
    <col min="12020" max="12020" width="9.28515625" style="3" bestFit="1" customWidth="1"/>
    <col min="12021" max="12022" width="8.85546875" style="3"/>
    <col min="12023" max="12023" width="9.28515625" style="3" bestFit="1" customWidth="1"/>
    <col min="12024" max="12024" width="9.7109375" style="3" bestFit="1" customWidth="1"/>
    <col min="12025" max="12267" width="8.85546875" style="3"/>
    <col min="12268" max="12268" width="4.7109375" style="3" customWidth="1"/>
    <col min="12269" max="12269" width="17.85546875" style="3" customWidth="1"/>
    <col min="12270" max="12270" width="41.28515625" style="3" customWidth="1"/>
    <col min="12271" max="12271" width="8.140625" style="3" customWidth="1"/>
    <col min="12272" max="12272" width="7.85546875" style="3" customWidth="1"/>
    <col min="12273" max="12273" width="7.7109375" style="3" bestFit="1" customWidth="1"/>
    <col min="12274" max="12274" width="8.140625" style="3" customWidth="1"/>
    <col min="12275" max="12275" width="9.28515625" style="3" customWidth="1"/>
    <col min="12276" max="12276" width="9.28515625" style="3" bestFit="1" customWidth="1"/>
    <col min="12277" max="12278" width="8.85546875" style="3"/>
    <col min="12279" max="12279" width="9.28515625" style="3" bestFit="1" customWidth="1"/>
    <col min="12280" max="12280" width="9.7109375" style="3" bestFit="1" customWidth="1"/>
    <col min="12281" max="12523" width="8.85546875" style="3"/>
    <col min="12524" max="12524" width="4.7109375" style="3" customWidth="1"/>
    <col min="12525" max="12525" width="17.85546875" style="3" customWidth="1"/>
    <col min="12526" max="12526" width="41.28515625" style="3" customWidth="1"/>
    <col min="12527" max="12527" width="8.140625" style="3" customWidth="1"/>
    <col min="12528" max="12528" width="7.85546875" style="3" customWidth="1"/>
    <col min="12529" max="12529" width="7.7109375" style="3" bestFit="1" customWidth="1"/>
    <col min="12530" max="12530" width="8.140625" style="3" customWidth="1"/>
    <col min="12531" max="12531" width="9.28515625" style="3" customWidth="1"/>
    <col min="12532" max="12532" width="9.28515625" style="3" bestFit="1" customWidth="1"/>
    <col min="12533" max="12534" width="8.85546875" style="3"/>
    <col min="12535" max="12535" width="9.28515625" style="3" bestFit="1" customWidth="1"/>
    <col min="12536" max="12536" width="9.7109375" style="3" bestFit="1" customWidth="1"/>
    <col min="12537" max="12779" width="8.85546875" style="3"/>
    <col min="12780" max="12780" width="4.7109375" style="3" customWidth="1"/>
    <col min="12781" max="12781" width="17.85546875" style="3" customWidth="1"/>
    <col min="12782" max="12782" width="41.28515625" style="3" customWidth="1"/>
    <col min="12783" max="12783" width="8.140625" style="3" customWidth="1"/>
    <col min="12784" max="12784" width="7.85546875" style="3" customWidth="1"/>
    <col min="12785" max="12785" width="7.7109375" style="3" bestFit="1" customWidth="1"/>
    <col min="12786" max="12786" width="8.140625" style="3" customWidth="1"/>
    <col min="12787" max="12787" width="9.28515625" style="3" customWidth="1"/>
    <col min="12788" max="12788" width="9.28515625" style="3" bestFit="1" customWidth="1"/>
    <col min="12789" max="12790" width="8.85546875" style="3"/>
    <col min="12791" max="12791" width="9.28515625" style="3" bestFit="1" customWidth="1"/>
    <col min="12792" max="12792" width="9.7109375" style="3" bestFit="1" customWidth="1"/>
    <col min="12793" max="13035" width="8.85546875" style="3"/>
    <col min="13036" max="13036" width="4.7109375" style="3" customWidth="1"/>
    <col min="13037" max="13037" width="17.85546875" style="3" customWidth="1"/>
    <col min="13038" max="13038" width="41.28515625" style="3" customWidth="1"/>
    <col min="13039" max="13039" width="8.140625" style="3" customWidth="1"/>
    <col min="13040" max="13040" width="7.85546875" style="3" customWidth="1"/>
    <col min="13041" max="13041" width="7.7109375" style="3" bestFit="1" customWidth="1"/>
    <col min="13042" max="13042" width="8.140625" style="3" customWidth="1"/>
    <col min="13043" max="13043" width="9.28515625" style="3" customWidth="1"/>
    <col min="13044" max="13044" width="9.28515625" style="3" bestFit="1" customWidth="1"/>
    <col min="13045" max="13046" width="8.85546875" style="3"/>
    <col min="13047" max="13047" width="9.28515625" style="3" bestFit="1" customWidth="1"/>
    <col min="13048" max="13048" width="9.7109375" style="3" bestFit="1" customWidth="1"/>
    <col min="13049" max="13291" width="8.85546875" style="3"/>
    <col min="13292" max="13292" width="4.7109375" style="3" customWidth="1"/>
    <col min="13293" max="13293" width="17.85546875" style="3" customWidth="1"/>
    <col min="13294" max="13294" width="41.28515625" style="3" customWidth="1"/>
    <col min="13295" max="13295" width="8.140625" style="3" customWidth="1"/>
    <col min="13296" max="13296" width="7.85546875" style="3" customWidth="1"/>
    <col min="13297" max="13297" width="7.7109375" style="3" bestFit="1" customWidth="1"/>
    <col min="13298" max="13298" width="8.140625" style="3" customWidth="1"/>
    <col min="13299" max="13299" width="9.28515625" style="3" customWidth="1"/>
    <col min="13300" max="13300" width="9.28515625" style="3" bestFit="1" customWidth="1"/>
    <col min="13301" max="13302" width="8.85546875" style="3"/>
    <col min="13303" max="13303" width="9.28515625" style="3" bestFit="1" customWidth="1"/>
    <col min="13304" max="13304" width="9.7109375" style="3" bestFit="1" customWidth="1"/>
    <col min="13305" max="13547" width="8.85546875" style="3"/>
    <col min="13548" max="13548" width="4.7109375" style="3" customWidth="1"/>
    <col min="13549" max="13549" width="17.85546875" style="3" customWidth="1"/>
    <col min="13550" max="13550" width="41.28515625" style="3" customWidth="1"/>
    <col min="13551" max="13551" width="8.140625" style="3" customWidth="1"/>
    <col min="13552" max="13552" width="7.85546875" style="3" customWidth="1"/>
    <col min="13553" max="13553" width="7.7109375" style="3" bestFit="1" customWidth="1"/>
    <col min="13554" max="13554" width="8.140625" style="3" customWidth="1"/>
    <col min="13555" max="13555" width="9.28515625" style="3" customWidth="1"/>
    <col min="13556" max="13556" width="9.28515625" style="3" bestFit="1" customWidth="1"/>
    <col min="13557" max="13558" width="8.85546875" style="3"/>
    <col min="13559" max="13559" width="9.28515625" style="3" bestFit="1" customWidth="1"/>
    <col min="13560" max="13560" width="9.7109375" style="3" bestFit="1" customWidth="1"/>
    <col min="13561" max="13803" width="8.85546875" style="3"/>
    <col min="13804" max="13804" width="4.7109375" style="3" customWidth="1"/>
    <col min="13805" max="13805" width="17.85546875" style="3" customWidth="1"/>
    <col min="13806" max="13806" width="41.28515625" style="3" customWidth="1"/>
    <col min="13807" max="13807" width="8.140625" style="3" customWidth="1"/>
    <col min="13808" max="13808" width="7.85546875" style="3" customWidth="1"/>
    <col min="13809" max="13809" width="7.7109375" style="3" bestFit="1" customWidth="1"/>
    <col min="13810" max="13810" width="8.140625" style="3" customWidth="1"/>
    <col min="13811" max="13811" width="9.28515625" style="3" customWidth="1"/>
    <col min="13812" max="13812" width="9.28515625" style="3" bestFit="1" customWidth="1"/>
    <col min="13813" max="13814" width="8.85546875" style="3"/>
    <col min="13815" max="13815" width="9.28515625" style="3" bestFit="1" customWidth="1"/>
    <col min="13816" max="13816" width="9.7109375" style="3" bestFit="1" customWidth="1"/>
    <col min="13817" max="14059" width="8.85546875" style="3"/>
    <col min="14060" max="14060" width="4.7109375" style="3" customWidth="1"/>
    <col min="14061" max="14061" width="17.85546875" style="3" customWidth="1"/>
    <col min="14062" max="14062" width="41.28515625" style="3" customWidth="1"/>
    <col min="14063" max="14063" width="8.140625" style="3" customWidth="1"/>
    <col min="14064" max="14064" width="7.85546875" style="3" customWidth="1"/>
    <col min="14065" max="14065" width="7.7109375" style="3" bestFit="1" customWidth="1"/>
    <col min="14066" max="14066" width="8.140625" style="3" customWidth="1"/>
    <col min="14067" max="14067" width="9.28515625" style="3" customWidth="1"/>
    <col min="14068" max="14068" width="9.28515625" style="3" bestFit="1" customWidth="1"/>
    <col min="14069" max="14070" width="8.85546875" style="3"/>
    <col min="14071" max="14071" width="9.28515625" style="3" bestFit="1" customWidth="1"/>
    <col min="14072" max="14072" width="9.7109375" style="3" bestFit="1" customWidth="1"/>
    <col min="14073" max="14315" width="8.85546875" style="3"/>
    <col min="14316" max="14316" width="4.7109375" style="3" customWidth="1"/>
    <col min="14317" max="14317" width="17.85546875" style="3" customWidth="1"/>
    <col min="14318" max="14318" width="41.28515625" style="3" customWidth="1"/>
    <col min="14319" max="14319" width="8.140625" style="3" customWidth="1"/>
    <col min="14320" max="14320" width="7.85546875" style="3" customWidth="1"/>
    <col min="14321" max="14321" width="7.7109375" style="3" bestFit="1" customWidth="1"/>
    <col min="14322" max="14322" width="8.140625" style="3" customWidth="1"/>
    <col min="14323" max="14323" width="9.28515625" style="3" customWidth="1"/>
    <col min="14324" max="14324" width="9.28515625" style="3" bestFit="1" customWidth="1"/>
    <col min="14325" max="14326" width="8.85546875" style="3"/>
    <col min="14327" max="14327" width="9.28515625" style="3" bestFit="1" customWidth="1"/>
    <col min="14328" max="14328" width="9.7109375" style="3" bestFit="1" customWidth="1"/>
    <col min="14329" max="14571" width="8.85546875" style="3"/>
    <col min="14572" max="14572" width="4.7109375" style="3" customWidth="1"/>
    <col min="14573" max="14573" width="17.85546875" style="3" customWidth="1"/>
    <col min="14574" max="14574" width="41.28515625" style="3" customWidth="1"/>
    <col min="14575" max="14575" width="8.140625" style="3" customWidth="1"/>
    <col min="14576" max="14576" width="7.85546875" style="3" customWidth="1"/>
    <col min="14577" max="14577" width="7.7109375" style="3" bestFit="1" customWidth="1"/>
    <col min="14578" max="14578" width="8.140625" style="3" customWidth="1"/>
    <col min="14579" max="14579" width="9.28515625" style="3" customWidth="1"/>
    <col min="14580" max="14580" width="9.28515625" style="3" bestFit="1" customWidth="1"/>
    <col min="14581" max="14582" width="8.85546875" style="3"/>
    <col min="14583" max="14583" width="9.28515625" style="3" bestFit="1" customWidth="1"/>
    <col min="14584" max="14584" width="9.7109375" style="3" bestFit="1" customWidth="1"/>
    <col min="14585" max="14827" width="8.85546875" style="3"/>
    <col min="14828" max="14828" width="4.7109375" style="3" customWidth="1"/>
    <col min="14829" max="14829" width="17.85546875" style="3" customWidth="1"/>
    <col min="14830" max="14830" width="41.28515625" style="3" customWidth="1"/>
    <col min="14831" max="14831" width="8.140625" style="3" customWidth="1"/>
    <col min="14832" max="14832" width="7.85546875" style="3" customWidth="1"/>
    <col min="14833" max="14833" width="7.7109375" style="3" bestFit="1" customWidth="1"/>
    <col min="14834" max="14834" width="8.140625" style="3" customWidth="1"/>
    <col min="14835" max="14835" width="9.28515625" style="3" customWidth="1"/>
    <col min="14836" max="14836" width="9.28515625" style="3" bestFit="1" customWidth="1"/>
    <col min="14837" max="14838" width="8.85546875" style="3"/>
    <col min="14839" max="14839" width="9.28515625" style="3" bestFit="1" customWidth="1"/>
    <col min="14840" max="14840" width="9.7109375" style="3" bestFit="1" customWidth="1"/>
    <col min="14841" max="15083" width="8.85546875" style="3"/>
    <col min="15084" max="15084" width="4.7109375" style="3" customWidth="1"/>
    <col min="15085" max="15085" width="17.85546875" style="3" customWidth="1"/>
    <col min="15086" max="15086" width="41.28515625" style="3" customWidth="1"/>
    <col min="15087" max="15087" width="8.140625" style="3" customWidth="1"/>
    <col min="15088" max="15088" width="7.85546875" style="3" customWidth="1"/>
    <col min="15089" max="15089" width="7.7109375" style="3" bestFit="1" customWidth="1"/>
    <col min="15090" max="15090" width="8.140625" style="3" customWidth="1"/>
    <col min="15091" max="15091" width="9.28515625" style="3" customWidth="1"/>
    <col min="15092" max="15092" width="9.28515625" style="3" bestFit="1" customWidth="1"/>
    <col min="15093" max="15094" width="8.85546875" style="3"/>
    <col min="15095" max="15095" width="9.28515625" style="3" bestFit="1" customWidth="1"/>
    <col min="15096" max="15096" width="9.7109375" style="3" bestFit="1" customWidth="1"/>
    <col min="15097" max="15339" width="8.85546875" style="3"/>
    <col min="15340" max="15340" width="4.7109375" style="3" customWidth="1"/>
    <col min="15341" max="15341" width="17.85546875" style="3" customWidth="1"/>
    <col min="15342" max="15342" width="41.28515625" style="3" customWidth="1"/>
    <col min="15343" max="15343" width="8.140625" style="3" customWidth="1"/>
    <col min="15344" max="15344" width="7.85546875" style="3" customWidth="1"/>
    <col min="15345" max="15345" width="7.7109375" style="3" bestFit="1" customWidth="1"/>
    <col min="15346" max="15346" width="8.140625" style="3" customWidth="1"/>
    <col min="15347" max="15347" width="9.28515625" style="3" customWidth="1"/>
    <col min="15348" max="15348" width="9.28515625" style="3" bestFit="1" customWidth="1"/>
    <col min="15349" max="15350" width="8.85546875" style="3"/>
    <col min="15351" max="15351" width="9.28515625" style="3" bestFit="1" customWidth="1"/>
    <col min="15352" max="15352" width="9.7109375" style="3" bestFit="1" customWidth="1"/>
    <col min="15353" max="15595" width="8.85546875" style="3"/>
    <col min="15596" max="15596" width="4.7109375" style="3" customWidth="1"/>
    <col min="15597" max="15597" width="17.85546875" style="3" customWidth="1"/>
    <col min="15598" max="15598" width="41.28515625" style="3" customWidth="1"/>
    <col min="15599" max="15599" width="8.140625" style="3" customWidth="1"/>
    <col min="15600" max="15600" width="7.85546875" style="3" customWidth="1"/>
    <col min="15601" max="15601" width="7.7109375" style="3" bestFit="1" customWidth="1"/>
    <col min="15602" max="15602" width="8.140625" style="3" customWidth="1"/>
    <col min="15603" max="15603" width="9.28515625" style="3" customWidth="1"/>
    <col min="15604" max="15604" width="9.28515625" style="3" bestFit="1" customWidth="1"/>
    <col min="15605" max="15606" width="8.85546875" style="3"/>
    <col min="15607" max="15607" width="9.28515625" style="3" bestFit="1" customWidth="1"/>
    <col min="15608" max="15608" width="9.7109375" style="3" bestFit="1" customWidth="1"/>
    <col min="15609" max="15851" width="8.85546875" style="3"/>
    <col min="15852" max="15852" width="4.7109375" style="3" customWidth="1"/>
    <col min="15853" max="15853" width="17.85546875" style="3" customWidth="1"/>
    <col min="15854" max="15854" width="41.28515625" style="3" customWidth="1"/>
    <col min="15855" max="15855" width="8.140625" style="3" customWidth="1"/>
    <col min="15856" max="15856" width="7.85546875" style="3" customWidth="1"/>
    <col min="15857" max="15857" width="7.7109375" style="3" bestFit="1" customWidth="1"/>
    <col min="15858" max="15858" width="8.140625" style="3" customWidth="1"/>
    <col min="15859" max="15859" width="9.28515625" style="3" customWidth="1"/>
    <col min="15860" max="15860" width="9.28515625" style="3" bestFit="1" customWidth="1"/>
    <col min="15861" max="15862" width="8.85546875" style="3"/>
    <col min="15863" max="15863" width="9.28515625" style="3" bestFit="1" customWidth="1"/>
    <col min="15864" max="15864" width="9.7109375" style="3" bestFit="1" customWidth="1"/>
    <col min="15865" max="16107" width="8.85546875" style="3"/>
    <col min="16108" max="16108" width="4.7109375" style="3" customWidth="1"/>
    <col min="16109" max="16109" width="17.85546875" style="3" customWidth="1"/>
    <col min="16110" max="16110" width="41.28515625" style="3" customWidth="1"/>
    <col min="16111" max="16111" width="8.140625" style="3" customWidth="1"/>
    <col min="16112" max="16112" width="7.85546875" style="3" customWidth="1"/>
    <col min="16113" max="16113" width="7.7109375" style="3" bestFit="1" customWidth="1"/>
    <col min="16114" max="16114" width="8.140625" style="3" customWidth="1"/>
    <col min="16115" max="16115" width="9.28515625" style="3" customWidth="1"/>
    <col min="16116" max="16116" width="9.28515625" style="3" bestFit="1" customWidth="1"/>
    <col min="16117" max="16118" width="8.85546875" style="3"/>
    <col min="16119" max="16119" width="9.28515625" style="3" bestFit="1" customWidth="1"/>
    <col min="16120" max="16120" width="9.7109375" style="3" bestFit="1" customWidth="1"/>
    <col min="16121" max="16367" width="8.85546875" style="3"/>
    <col min="16368" max="16384" width="8.85546875" style="3" customWidth="1"/>
  </cols>
  <sheetData>
    <row r="1" spans="1:13" s="45" customFormat="1" ht="33" customHeight="1">
      <c r="A1" s="1564" t="s">
        <v>695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</row>
    <row r="2" spans="1:13" s="45" customFormat="1" ht="33" customHeight="1">
      <c r="A2" s="1564" t="s">
        <v>453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</row>
    <row r="3" spans="1:13" s="45" customFormat="1" ht="33" customHeight="1">
      <c r="A3" s="52"/>
      <c r="B3" s="495"/>
      <c r="C3" s="52"/>
      <c r="D3" s="52"/>
      <c r="E3" s="52"/>
      <c r="F3" s="52"/>
      <c r="G3" s="451"/>
      <c r="H3" s="52"/>
      <c r="I3" s="52"/>
      <c r="J3" s="52"/>
      <c r="K3" s="52"/>
      <c r="L3" s="52"/>
      <c r="M3" s="52"/>
    </row>
    <row r="4" spans="1:13" s="45" customFormat="1" ht="33" customHeight="1">
      <c r="A4" s="1661"/>
      <c r="B4" s="1661"/>
      <c r="C4" s="1661"/>
      <c r="D4" s="1661"/>
      <c r="E4" s="1661"/>
      <c r="F4" s="1661"/>
      <c r="G4" s="1661"/>
      <c r="H4" s="1661"/>
      <c r="I4" s="56"/>
      <c r="J4" s="56"/>
      <c r="K4" s="56"/>
      <c r="L4" s="56"/>
      <c r="M4" s="56"/>
    </row>
    <row r="5" spans="1:13" s="45" customFormat="1" ht="45.75" customHeight="1">
      <c r="A5" s="1666" t="s">
        <v>153</v>
      </c>
      <c r="B5" s="1592" t="s">
        <v>2</v>
      </c>
      <c r="C5" s="1667" t="s">
        <v>3</v>
      </c>
      <c r="D5" s="1570" t="s">
        <v>4</v>
      </c>
      <c r="E5" s="1666" t="s">
        <v>5</v>
      </c>
      <c r="F5" s="1666"/>
      <c r="G5" s="1662" t="s">
        <v>6</v>
      </c>
      <c r="H5" s="1663"/>
      <c r="I5" s="1662" t="s">
        <v>66</v>
      </c>
      <c r="J5" s="1663"/>
      <c r="K5" s="1662" t="s">
        <v>72</v>
      </c>
      <c r="L5" s="1663"/>
      <c r="M5" s="1591" t="s">
        <v>67</v>
      </c>
    </row>
    <row r="6" spans="1:13" s="45" customFormat="1" ht="89.25" customHeight="1">
      <c r="A6" s="1666"/>
      <c r="B6" s="1592"/>
      <c r="C6" s="1667"/>
      <c r="D6" s="1570"/>
      <c r="E6" s="147" t="s">
        <v>7</v>
      </c>
      <c r="F6" s="147" t="s">
        <v>8</v>
      </c>
      <c r="G6" s="211" t="s">
        <v>9</v>
      </c>
      <c r="H6" s="80" t="s">
        <v>10</v>
      </c>
      <c r="I6" s="63" t="s">
        <v>9</v>
      </c>
      <c r="J6" s="80" t="s">
        <v>10</v>
      </c>
      <c r="K6" s="63" t="s">
        <v>9</v>
      </c>
      <c r="L6" s="80" t="s">
        <v>10</v>
      </c>
      <c r="M6" s="1591"/>
    </row>
    <row r="7" spans="1:13" s="45" customFormat="1" ht="26.25" customHeight="1">
      <c r="A7" s="63">
        <v>1</v>
      </c>
      <c r="B7" s="211">
        <v>2</v>
      </c>
      <c r="C7" s="64">
        <v>3</v>
      </c>
      <c r="D7" s="63">
        <v>4</v>
      </c>
      <c r="E7" s="61">
        <v>5</v>
      </c>
      <c r="F7" s="61">
        <v>6</v>
      </c>
      <c r="G7" s="212">
        <v>7</v>
      </c>
      <c r="H7" s="65">
        <v>8</v>
      </c>
      <c r="I7" s="61">
        <v>9</v>
      </c>
      <c r="J7" s="65">
        <v>10</v>
      </c>
      <c r="K7" s="61">
        <v>11</v>
      </c>
      <c r="L7" s="65">
        <v>12</v>
      </c>
      <c r="M7" s="65">
        <v>13</v>
      </c>
    </row>
    <row r="8" spans="1:13" ht="26.25" customHeight="1">
      <c r="A8" s="66"/>
      <c r="B8" s="211"/>
      <c r="C8" s="68" t="s">
        <v>473</v>
      </c>
      <c r="D8" s="63"/>
      <c r="E8" s="62"/>
      <c r="F8" s="62"/>
      <c r="G8" s="1517"/>
      <c r="H8" s="108">
        <f t="shared" ref="H8:H99" si="0">F8*G8</f>
        <v>0</v>
      </c>
      <c r="I8" s="80"/>
      <c r="J8" s="1500">
        <f t="shared" ref="J8:J99" si="1">F8*I8</f>
        <v>0</v>
      </c>
      <c r="K8" s="1289"/>
      <c r="L8" s="1500">
        <f t="shared" ref="L8:L99" si="2">F8*K8</f>
        <v>0</v>
      </c>
      <c r="M8" s="1500">
        <f t="shared" ref="M8:M99" si="3">H8+J8+L8</f>
        <v>0</v>
      </c>
    </row>
    <row r="9" spans="1:13" s="5" customFormat="1" ht="26.25" customHeight="1">
      <c r="A9" s="100">
        <v>1</v>
      </c>
      <c r="B9" s="217"/>
      <c r="C9" s="114" t="s">
        <v>715</v>
      </c>
      <c r="D9" s="120" t="s">
        <v>131</v>
      </c>
      <c r="E9" s="103"/>
      <c r="F9" s="104">
        <v>0.12</v>
      </c>
      <c r="G9" s="479"/>
      <c r="H9" s="108">
        <f t="shared" ref="H9:H10" si="4">F9*G9</f>
        <v>0</v>
      </c>
      <c r="I9" s="1497"/>
      <c r="J9" s="1500">
        <f t="shared" ref="J9:J10" si="5">F9*I9</f>
        <v>0</v>
      </c>
      <c r="K9" s="1497"/>
      <c r="L9" s="1500">
        <f t="shared" ref="L9:L10" si="6">F9*K9</f>
        <v>0</v>
      </c>
      <c r="M9" s="1500">
        <f t="shared" ref="M9:M10" si="7">H9+J9+L9</f>
        <v>0</v>
      </c>
    </row>
    <row r="10" spans="1:13" s="5" customFormat="1" ht="26.25" customHeight="1">
      <c r="A10" s="106">
        <f>A9+0.1</f>
        <v>1.1000000000000001</v>
      </c>
      <c r="B10" s="224"/>
      <c r="C10" s="76" t="s">
        <v>50</v>
      </c>
      <c r="D10" s="75" t="s">
        <v>131</v>
      </c>
      <c r="E10" s="103">
        <v>1</v>
      </c>
      <c r="F10" s="89">
        <f>F9*E10</f>
        <v>0.12</v>
      </c>
      <c r="G10" s="479"/>
      <c r="H10" s="108">
        <f t="shared" si="4"/>
        <v>0</v>
      </c>
      <c r="I10" s="108"/>
      <c r="J10" s="1500">
        <f t="shared" si="5"/>
        <v>0</v>
      </c>
      <c r="K10" s="108"/>
      <c r="L10" s="1500">
        <f t="shared" si="6"/>
        <v>0</v>
      </c>
      <c r="M10" s="1500">
        <f t="shared" si="7"/>
        <v>0</v>
      </c>
    </row>
    <row r="11" spans="1:13" s="20" customFormat="1" ht="42" customHeight="1">
      <c r="A11" s="100">
        <v>2</v>
      </c>
      <c r="B11" s="217"/>
      <c r="C11" s="114" t="s">
        <v>746</v>
      </c>
      <c r="D11" s="120" t="s">
        <v>809</v>
      </c>
      <c r="E11" s="103"/>
      <c r="F11" s="104">
        <f>0.4*0.2*15</f>
        <v>1.2000000000000002</v>
      </c>
      <c r="G11" s="479"/>
      <c r="H11" s="108">
        <f t="shared" ref="H11:H18" si="8">F11*G11</f>
        <v>0</v>
      </c>
      <c r="I11" s="1497"/>
      <c r="J11" s="1500">
        <f t="shared" ref="J11:J18" si="9">F11*I11</f>
        <v>0</v>
      </c>
      <c r="K11" s="1497"/>
      <c r="L11" s="1500">
        <f t="shared" ref="L11:L18" si="10">F11*K11</f>
        <v>0</v>
      </c>
      <c r="M11" s="1500">
        <f t="shared" ref="M11:M18" si="11">H11+J11+L11</f>
        <v>0</v>
      </c>
    </row>
    <row r="12" spans="1:13" s="49" customFormat="1" ht="26.25" customHeight="1">
      <c r="A12" s="106">
        <f>A11+0.1</f>
        <v>2.1</v>
      </c>
      <c r="B12" s="224"/>
      <c r="C12" s="76" t="s">
        <v>50</v>
      </c>
      <c r="D12" s="75" t="s">
        <v>13</v>
      </c>
      <c r="E12" s="103">
        <v>2.06</v>
      </c>
      <c r="F12" s="89">
        <f>F11*E12</f>
        <v>2.4720000000000004</v>
      </c>
      <c r="G12" s="479"/>
      <c r="H12" s="108">
        <f t="shared" si="8"/>
        <v>0</v>
      </c>
      <c r="I12" s="108"/>
      <c r="J12" s="1500">
        <f t="shared" si="9"/>
        <v>0</v>
      </c>
      <c r="K12" s="108"/>
      <c r="L12" s="1500">
        <f t="shared" si="10"/>
        <v>0</v>
      </c>
      <c r="M12" s="1500">
        <f t="shared" si="11"/>
        <v>0</v>
      </c>
    </row>
    <row r="13" spans="1:13" s="4" customFormat="1" ht="26.25" customHeight="1">
      <c r="A13" s="100">
        <v>3</v>
      </c>
      <c r="B13" s="281"/>
      <c r="C13" s="121" t="s">
        <v>415</v>
      </c>
      <c r="D13" s="101" t="s">
        <v>812</v>
      </c>
      <c r="E13" s="122"/>
      <c r="F13" s="104">
        <v>0.2</v>
      </c>
      <c r="G13" s="478"/>
      <c r="H13" s="108">
        <f t="shared" si="8"/>
        <v>0</v>
      </c>
      <c r="I13" s="1356"/>
      <c r="J13" s="1500">
        <f t="shared" si="9"/>
        <v>0</v>
      </c>
      <c r="K13" s="1356"/>
      <c r="L13" s="1500">
        <f t="shared" si="10"/>
        <v>0</v>
      </c>
      <c r="M13" s="1500">
        <f t="shared" si="11"/>
        <v>0</v>
      </c>
    </row>
    <row r="14" spans="1:13" s="5" customFormat="1" ht="26.25" customHeight="1">
      <c r="A14" s="106">
        <f>A13+0.1</f>
        <v>3.1</v>
      </c>
      <c r="B14" s="224"/>
      <c r="C14" s="76" t="s">
        <v>50</v>
      </c>
      <c r="D14" s="75" t="s">
        <v>13</v>
      </c>
      <c r="E14" s="109">
        <f>18/10</f>
        <v>1.8</v>
      </c>
      <c r="F14" s="71">
        <f>E14*F13</f>
        <v>0.36000000000000004</v>
      </c>
      <c r="G14" s="479"/>
      <c r="H14" s="108">
        <f t="shared" si="8"/>
        <v>0</v>
      </c>
      <c r="I14" s="1352"/>
      <c r="J14" s="1500">
        <f t="shared" si="9"/>
        <v>0</v>
      </c>
      <c r="K14" s="1352"/>
      <c r="L14" s="1500">
        <f t="shared" si="10"/>
        <v>0</v>
      </c>
      <c r="M14" s="1500">
        <f t="shared" si="11"/>
        <v>0</v>
      </c>
    </row>
    <row r="15" spans="1:13" s="5" customFormat="1" ht="26.25" customHeight="1">
      <c r="A15" s="106">
        <f>A14+0.1</f>
        <v>3.2</v>
      </c>
      <c r="B15" s="213"/>
      <c r="C15" s="76" t="s">
        <v>42</v>
      </c>
      <c r="D15" s="115" t="s">
        <v>810</v>
      </c>
      <c r="E15" s="109">
        <f>11/10</f>
        <v>1.1000000000000001</v>
      </c>
      <c r="F15" s="89">
        <f>E15*F13</f>
        <v>0.22000000000000003</v>
      </c>
      <c r="G15" s="479"/>
      <c r="H15" s="108">
        <f t="shared" si="8"/>
        <v>0</v>
      </c>
      <c r="I15" s="1352"/>
      <c r="J15" s="1500">
        <f t="shared" si="9"/>
        <v>0</v>
      </c>
      <c r="K15" s="1352"/>
      <c r="L15" s="1500">
        <f t="shared" si="10"/>
        <v>0</v>
      </c>
      <c r="M15" s="1500">
        <f t="shared" si="11"/>
        <v>0</v>
      </c>
    </row>
    <row r="16" spans="1:13" s="4" customFormat="1" ht="42.75" customHeight="1">
      <c r="A16" s="100">
        <v>4</v>
      </c>
      <c r="B16" s="281"/>
      <c r="C16" s="453" t="s">
        <v>261</v>
      </c>
      <c r="D16" s="101" t="s">
        <v>812</v>
      </c>
      <c r="E16" s="122"/>
      <c r="F16" s="104">
        <v>0.2</v>
      </c>
      <c r="G16" s="478"/>
      <c r="H16" s="108">
        <f t="shared" si="8"/>
        <v>0</v>
      </c>
      <c r="I16" s="1356"/>
      <c r="J16" s="1500">
        <f t="shared" si="9"/>
        <v>0</v>
      </c>
      <c r="K16" s="1356"/>
      <c r="L16" s="1500">
        <f t="shared" si="10"/>
        <v>0</v>
      </c>
      <c r="M16" s="1500">
        <f t="shared" si="11"/>
        <v>0</v>
      </c>
    </row>
    <row r="17" spans="1:13" s="5" customFormat="1" ht="33" customHeight="1">
      <c r="A17" s="106">
        <f>A16+0.1</f>
        <v>4.0999999999999996</v>
      </c>
      <c r="B17" s="224"/>
      <c r="C17" s="76" t="s">
        <v>50</v>
      </c>
      <c r="D17" s="75" t="s">
        <v>13</v>
      </c>
      <c r="E17" s="109">
        <f>18/10</f>
        <v>1.8</v>
      </c>
      <c r="F17" s="71">
        <f>E17*F16</f>
        <v>0.36000000000000004</v>
      </c>
      <c r="G17" s="479"/>
      <c r="H17" s="108">
        <f t="shared" si="8"/>
        <v>0</v>
      </c>
      <c r="I17" s="1352"/>
      <c r="J17" s="1500">
        <f t="shared" si="9"/>
        <v>0</v>
      </c>
      <c r="K17" s="1352"/>
      <c r="L17" s="1500">
        <f t="shared" si="10"/>
        <v>0</v>
      </c>
      <c r="M17" s="1500">
        <f t="shared" si="11"/>
        <v>0</v>
      </c>
    </row>
    <row r="18" spans="1:13" s="5" customFormat="1" ht="33" customHeight="1">
      <c r="A18" s="106">
        <f>A17+0.1</f>
        <v>4.1999999999999993</v>
      </c>
      <c r="B18" s="229"/>
      <c r="C18" s="76" t="s">
        <v>218</v>
      </c>
      <c r="D18" s="454"/>
      <c r="E18" s="109">
        <f>11/10</f>
        <v>1.1000000000000001</v>
      </c>
      <c r="F18" s="89">
        <f>E18*F16</f>
        <v>0.22000000000000003</v>
      </c>
      <c r="G18" s="479"/>
      <c r="H18" s="108">
        <f t="shared" si="8"/>
        <v>0</v>
      </c>
      <c r="I18" s="1352"/>
      <c r="J18" s="1500">
        <f t="shared" si="9"/>
        <v>0</v>
      </c>
      <c r="K18" s="1352"/>
      <c r="L18" s="1500">
        <f t="shared" si="10"/>
        <v>0</v>
      </c>
      <c r="M18" s="1500">
        <f t="shared" si="11"/>
        <v>0</v>
      </c>
    </row>
    <row r="19" spans="1:13" s="45" customFormat="1" ht="33" customHeight="1">
      <c r="A19" s="455" t="s">
        <v>48</v>
      </c>
      <c r="B19" s="456"/>
      <c r="C19" s="457" t="s">
        <v>747</v>
      </c>
      <c r="D19" s="458" t="s">
        <v>64</v>
      </c>
      <c r="E19" s="459"/>
      <c r="F19" s="190">
        <f>1.2*0.0006</f>
        <v>7.1999999999999994E-4</v>
      </c>
      <c r="G19" s="1518"/>
      <c r="H19" s="80">
        <f t="shared" ref="H19:H29" si="12">F19*G19</f>
        <v>0</v>
      </c>
      <c r="I19" s="1519"/>
      <c r="J19" s="1289">
        <f t="shared" ref="J19:J29" si="13">F19*I19</f>
        <v>0</v>
      </c>
      <c r="K19" s="1520"/>
      <c r="L19" s="1289">
        <f t="shared" ref="L19:L29" si="14">F19*K19</f>
        <v>0</v>
      </c>
      <c r="M19" s="1289">
        <f t="shared" ref="M19:M29" si="15">H19+J19+L19</f>
        <v>0</v>
      </c>
    </row>
    <row r="20" spans="1:13" s="45" customFormat="1" ht="33" customHeight="1">
      <c r="A20" s="248">
        <f>A19+0.1</f>
        <v>5.0999999999999996</v>
      </c>
      <c r="B20" s="460"/>
      <c r="C20" s="461" t="s">
        <v>748</v>
      </c>
      <c r="D20" s="458" t="s">
        <v>749</v>
      </c>
      <c r="E20" s="459">
        <v>0.3</v>
      </c>
      <c r="F20" s="459">
        <f>F19*E20</f>
        <v>2.1599999999999996E-4</v>
      </c>
      <c r="G20" s="1518"/>
      <c r="H20" s="80">
        <f t="shared" si="12"/>
        <v>0</v>
      </c>
      <c r="I20" s="1520"/>
      <c r="J20" s="1289">
        <f t="shared" si="13"/>
        <v>0</v>
      </c>
      <c r="K20" s="1521"/>
      <c r="L20" s="1289">
        <f t="shared" si="14"/>
        <v>0</v>
      </c>
      <c r="M20" s="1289">
        <f t="shared" si="15"/>
        <v>0</v>
      </c>
    </row>
    <row r="21" spans="1:13" s="45" customFormat="1" ht="33" customHeight="1">
      <c r="A21" s="248">
        <f>A20+0.1</f>
        <v>5.1999999999999993</v>
      </c>
      <c r="B21" s="462"/>
      <c r="C21" s="463" t="s">
        <v>750</v>
      </c>
      <c r="D21" s="464" t="s">
        <v>64</v>
      </c>
      <c r="E21" s="465">
        <v>1.03</v>
      </c>
      <c r="F21" s="465">
        <f>F19*E21</f>
        <v>7.4159999999999992E-4</v>
      </c>
      <c r="G21" s="1518"/>
      <c r="H21" s="80">
        <f t="shared" si="12"/>
        <v>0</v>
      </c>
      <c r="I21" s="1519"/>
      <c r="J21" s="1289">
        <f t="shared" si="13"/>
        <v>0</v>
      </c>
      <c r="K21" s="1520"/>
      <c r="L21" s="1289">
        <f t="shared" si="14"/>
        <v>0</v>
      </c>
      <c r="M21" s="1289">
        <f t="shared" si="15"/>
        <v>0</v>
      </c>
    </row>
    <row r="22" spans="1:13" s="45" customFormat="1" ht="43.5" customHeight="1">
      <c r="A22" s="466" t="s">
        <v>127</v>
      </c>
      <c r="B22" s="467"/>
      <c r="C22" s="468" t="s">
        <v>751</v>
      </c>
      <c r="D22" s="466" t="s">
        <v>752</v>
      </c>
      <c r="E22" s="469"/>
      <c r="F22" s="190">
        <f>1.2/100</f>
        <v>1.2E-2</v>
      </c>
      <c r="G22" s="1522"/>
      <c r="H22" s="80">
        <f t="shared" si="12"/>
        <v>0</v>
      </c>
      <c r="I22" s="1521"/>
      <c r="J22" s="1289">
        <f t="shared" si="13"/>
        <v>0</v>
      </c>
      <c r="K22" s="1523"/>
      <c r="L22" s="1289">
        <f t="shared" si="14"/>
        <v>0</v>
      </c>
      <c r="M22" s="1289">
        <f t="shared" si="15"/>
        <v>0</v>
      </c>
    </row>
    <row r="23" spans="1:13" s="45" customFormat="1" ht="36" customHeight="1">
      <c r="A23" s="248">
        <f>A22+0.1</f>
        <v>6.1</v>
      </c>
      <c r="B23" s="460"/>
      <c r="C23" s="470" t="s">
        <v>307</v>
      </c>
      <c r="D23" s="471" t="s">
        <v>13</v>
      </c>
      <c r="E23" s="469">
        <f>(3.75)</f>
        <v>3.75</v>
      </c>
      <c r="F23" s="469">
        <f>F22*E23</f>
        <v>4.4999999999999998E-2</v>
      </c>
      <c r="G23" s="1524"/>
      <c r="H23" s="80">
        <f t="shared" si="12"/>
        <v>0</v>
      </c>
      <c r="I23" s="1523"/>
      <c r="J23" s="1289">
        <f t="shared" si="13"/>
        <v>0</v>
      </c>
      <c r="K23" s="1523"/>
      <c r="L23" s="1289">
        <f t="shared" si="14"/>
        <v>0</v>
      </c>
      <c r="M23" s="1289">
        <f t="shared" si="15"/>
        <v>0</v>
      </c>
    </row>
    <row r="24" spans="1:13" s="45" customFormat="1" ht="36" customHeight="1">
      <c r="A24" s="248">
        <f t="shared" ref="A24:A29" si="16">A23+0.1</f>
        <v>6.1999999999999993</v>
      </c>
      <c r="B24" s="460"/>
      <c r="C24" s="470" t="s">
        <v>753</v>
      </c>
      <c r="D24" s="471" t="s">
        <v>749</v>
      </c>
      <c r="E24" s="469">
        <v>0.30199999999999999</v>
      </c>
      <c r="F24" s="469">
        <f>F22*E24</f>
        <v>3.6240000000000001E-3</v>
      </c>
      <c r="G24" s="1522"/>
      <c r="H24" s="80">
        <f t="shared" si="12"/>
        <v>0</v>
      </c>
      <c r="I24" s="1523"/>
      <c r="J24" s="1289">
        <f t="shared" si="13"/>
        <v>0</v>
      </c>
      <c r="K24" s="1521"/>
      <c r="L24" s="1289">
        <f t="shared" si="14"/>
        <v>0</v>
      </c>
      <c r="M24" s="1289">
        <f t="shared" si="15"/>
        <v>0</v>
      </c>
    </row>
    <row r="25" spans="1:13" s="45" customFormat="1" ht="36" customHeight="1">
      <c r="A25" s="248">
        <f t="shared" si="16"/>
        <v>6.2999999999999989</v>
      </c>
      <c r="B25" s="460"/>
      <c r="C25" s="470" t="s">
        <v>754</v>
      </c>
      <c r="D25" s="471" t="s">
        <v>749</v>
      </c>
      <c r="E25" s="469">
        <v>0.37</v>
      </c>
      <c r="F25" s="469">
        <f>F22*E25</f>
        <v>4.4400000000000004E-3</v>
      </c>
      <c r="G25" s="1522"/>
      <c r="H25" s="80">
        <f t="shared" si="12"/>
        <v>0</v>
      </c>
      <c r="I25" s="1521"/>
      <c r="J25" s="1289">
        <f t="shared" si="13"/>
        <v>0</v>
      </c>
      <c r="K25" s="80"/>
      <c r="L25" s="1289">
        <f t="shared" si="14"/>
        <v>0</v>
      </c>
      <c r="M25" s="1289">
        <f t="shared" si="15"/>
        <v>0</v>
      </c>
    </row>
    <row r="26" spans="1:13" s="45" customFormat="1" ht="36" customHeight="1">
      <c r="A26" s="248">
        <f t="shared" si="16"/>
        <v>6.3999999999999986</v>
      </c>
      <c r="B26" s="460"/>
      <c r="C26" s="470" t="s">
        <v>755</v>
      </c>
      <c r="D26" s="471" t="s">
        <v>749</v>
      </c>
      <c r="E26" s="469">
        <v>1.1100000000000001</v>
      </c>
      <c r="F26" s="469">
        <f>F22*E26</f>
        <v>1.3320000000000002E-2</v>
      </c>
      <c r="G26" s="1522"/>
      <c r="H26" s="80">
        <f t="shared" si="12"/>
        <v>0</v>
      </c>
      <c r="I26" s="1521"/>
      <c r="J26" s="1289">
        <f t="shared" si="13"/>
        <v>0</v>
      </c>
      <c r="K26" s="80"/>
      <c r="L26" s="1289">
        <f t="shared" si="14"/>
        <v>0</v>
      </c>
      <c r="M26" s="1289">
        <f t="shared" si="15"/>
        <v>0</v>
      </c>
    </row>
    <row r="27" spans="1:13" s="45" customFormat="1" ht="36" customHeight="1">
      <c r="A27" s="248">
        <f t="shared" si="16"/>
        <v>6.4999999999999982</v>
      </c>
      <c r="B27" s="460"/>
      <c r="C27" s="470" t="s">
        <v>756</v>
      </c>
      <c r="D27" s="471" t="s">
        <v>14</v>
      </c>
      <c r="E27" s="469">
        <v>0.23</v>
      </c>
      <c r="F27" s="469">
        <f>F22*E27</f>
        <v>2.7600000000000003E-3</v>
      </c>
      <c r="G27" s="1522"/>
      <c r="H27" s="80">
        <f t="shared" si="12"/>
        <v>0</v>
      </c>
      <c r="I27" s="1521"/>
      <c r="J27" s="1289">
        <f t="shared" si="13"/>
        <v>0</v>
      </c>
      <c r="K27" s="1521"/>
      <c r="L27" s="1289">
        <f t="shared" si="14"/>
        <v>0</v>
      </c>
      <c r="M27" s="1289">
        <f t="shared" si="15"/>
        <v>0</v>
      </c>
    </row>
    <row r="28" spans="1:13" s="45" customFormat="1" ht="36" customHeight="1">
      <c r="A28" s="248">
        <f t="shared" si="16"/>
        <v>6.5999999999999979</v>
      </c>
      <c r="B28" s="460"/>
      <c r="C28" s="470" t="s">
        <v>757</v>
      </c>
      <c r="D28" s="471" t="s">
        <v>64</v>
      </c>
      <c r="E28" s="469">
        <f>(97.7+12.2*2)/10</f>
        <v>12.209999999999999</v>
      </c>
      <c r="F28" s="469">
        <f>F22*E28</f>
        <v>0.14651999999999998</v>
      </c>
      <c r="G28" s="1522"/>
      <c r="H28" s="80">
        <f t="shared" si="12"/>
        <v>0</v>
      </c>
      <c r="I28" s="1521"/>
      <c r="J28" s="1289">
        <f t="shared" si="13"/>
        <v>0</v>
      </c>
      <c r="K28" s="1523"/>
      <c r="L28" s="1289">
        <f t="shared" si="14"/>
        <v>0</v>
      </c>
      <c r="M28" s="1289">
        <f t="shared" si="15"/>
        <v>0</v>
      </c>
    </row>
    <row r="29" spans="1:13" s="45" customFormat="1" ht="36" customHeight="1">
      <c r="A29" s="248">
        <f t="shared" si="16"/>
        <v>6.6999999999999975</v>
      </c>
      <c r="B29" s="460"/>
      <c r="C29" s="470" t="s">
        <v>198</v>
      </c>
      <c r="D29" s="471" t="s">
        <v>14</v>
      </c>
      <c r="E29" s="469">
        <f>1.45</f>
        <v>1.45</v>
      </c>
      <c r="F29" s="469">
        <f>F22*E29</f>
        <v>1.7399999999999999E-2</v>
      </c>
      <c r="G29" s="1522"/>
      <c r="H29" s="80">
        <f t="shared" si="12"/>
        <v>0</v>
      </c>
      <c r="I29" s="1521"/>
      <c r="J29" s="1289">
        <f t="shared" si="13"/>
        <v>0</v>
      </c>
      <c r="K29" s="1523"/>
      <c r="L29" s="1289">
        <f t="shared" si="14"/>
        <v>0</v>
      </c>
      <c r="M29" s="1289">
        <f t="shared" si="15"/>
        <v>0</v>
      </c>
    </row>
    <row r="30" spans="1:13" s="4" customFormat="1" ht="46.5" customHeight="1">
      <c r="A30" s="120" t="s">
        <v>122</v>
      </c>
      <c r="B30" s="260"/>
      <c r="C30" s="68" t="s">
        <v>699</v>
      </c>
      <c r="D30" s="120" t="s">
        <v>203</v>
      </c>
      <c r="E30" s="122"/>
      <c r="F30" s="123">
        <v>350</v>
      </c>
      <c r="G30" s="478"/>
      <c r="H30" s="108">
        <f t="shared" si="0"/>
        <v>0</v>
      </c>
      <c r="I30" s="1356"/>
      <c r="J30" s="1500">
        <f t="shared" si="1"/>
        <v>0</v>
      </c>
      <c r="K30" s="1356"/>
      <c r="L30" s="1500">
        <f t="shared" si="2"/>
        <v>0</v>
      </c>
      <c r="M30" s="1500">
        <f t="shared" si="3"/>
        <v>0</v>
      </c>
    </row>
    <row r="31" spans="1:13" s="5" customFormat="1" ht="36" customHeight="1">
      <c r="A31" s="106">
        <f>A30+0.1</f>
        <v>7.1</v>
      </c>
      <c r="B31" s="224"/>
      <c r="C31" s="76" t="s">
        <v>50</v>
      </c>
      <c r="D31" s="108" t="s">
        <v>13</v>
      </c>
      <c r="E31" s="472">
        <v>1.6</v>
      </c>
      <c r="F31" s="71">
        <f>E31*F30</f>
        <v>560</v>
      </c>
      <c r="G31" s="479"/>
      <c r="H31" s="108">
        <f t="shared" si="0"/>
        <v>0</v>
      </c>
      <c r="I31" s="1352"/>
      <c r="J31" s="1500">
        <f t="shared" si="1"/>
        <v>0</v>
      </c>
      <c r="K31" s="1352"/>
      <c r="L31" s="1500">
        <f t="shared" si="2"/>
        <v>0</v>
      </c>
      <c r="M31" s="1500">
        <f t="shared" si="3"/>
        <v>0</v>
      </c>
    </row>
    <row r="32" spans="1:13" s="5" customFormat="1" ht="36" customHeight="1">
      <c r="A32" s="106">
        <f>A31+0.1</f>
        <v>7.1999999999999993</v>
      </c>
      <c r="B32" s="224"/>
      <c r="C32" s="97" t="s">
        <v>140</v>
      </c>
      <c r="D32" s="108" t="s">
        <v>14</v>
      </c>
      <c r="E32" s="472">
        <v>0.14799999999999999</v>
      </c>
      <c r="F32" s="71">
        <f>E32*F30</f>
        <v>51.8</v>
      </c>
      <c r="G32" s="479"/>
      <c r="H32" s="108">
        <f t="shared" si="0"/>
        <v>0</v>
      </c>
      <c r="I32" s="1352"/>
      <c r="J32" s="1500">
        <f t="shared" si="1"/>
        <v>0</v>
      </c>
      <c r="K32" s="108"/>
      <c r="L32" s="1500">
        <f t="shared" si="2"/>
        <v>0</v>
      </c>
      <c r="M32" s="1500">
        <f t="shared" si="3"/>
        <v>0</v>
      </c>
    </row>
    <row r="33" spans="1:13" s="5" customFormat="1" ht="36" customHeight="1">
      <c r="A33" s="106">
        <f>A32+0.1</f>
        <v>7.2999999999999989</v>
      </c>
      <c r="B33" s="224"/>
      <c r="C33" s="64" t="s">
        <v>694</v>
      </c>
      <c r="D33" s="75" t="s">
        <v>207</v>
      </c>
      <c r="E33" s="89">
        <v>1</v>
      </c>
      <c r="F33" s="71">
        <f>E33*F30</f>
        <v>350</v>
      </c>
      <c r="G33" s="479"/>
      <c r="H33" s="108">
        <f t="shared" si="0"/>
        <v>0</v>
      </c>
      <c r="I33" s="1352"/>
      <c r="J33" s="1500">
        <f t="shared" si="1"/>
        <v>0</v>
      </c>
      <c r="K33" s="1352"/>
      <c r="L33" s="1500">
        <f t="shared" si="2"/>
        <v>0</v>
      </c>
      <c r="M33" s="1500">
        <f t="shared" si="3"/>
        <v>0</v>
      </c>
    </row>
    <row r="34" spans="1:13" s="5" customFormat="1" ht="36" customHeight="1">
      <c r="A34" s="106">
        <f t="shared" ref="A34:A35" si="17">A33+0.1</f>
        <v>7.3999999999999986</v>
      </c>
      <c r="B34" s="224"/>
      <c r="C34" s="64" t="s">
        <v>759</v>
      </c>
      <c r="D34" s="75" t="s">
        <v>177</v>
      </c>
      <c r="E34" s="89">
        <v>1</v>
      </c>
      <c r="F34" s="71">
        <f>E34*F30</f>
        <v>350</v>
      </c>
      <c r="G34" s="479"/>
      <c r="H34" s="108">
        <f t="shared" ref="H34" si="18">F34*G34</f>
        <v>0</v>
      </c>
      <c r="I34" s="1352"/>
      <c r="J34" s="1500">
        <f t="shared" ref="J34" si="19">F34*I34</f>
        <v>0</v>
      </c>
      <c r="K34" s="1352"/>
      <c r="L34" s="1500">
        <f t="shared" ref="L34" si="20">F34*K34</f>
        <v>0</v>
      </c>
      <c r="M34" s="1500">
        <f t="shared" ref="M34" si="21">H34+J34+L34</f>
        <v>0</v>
      </c>
    </row>
    <row r="35" spans="1:13" s="5" customFormat="1" ht="36" customHeight="1">
      <c r="A35" s="106">
        <f t="shared" si="17"/>
        <v>7.4999999999999982</v>
      </c>
      <c r="B35" s="473"/>
      <c r="C35" s="64" t="s">
        <v>65</v>
      </c>
      <c r="D35" s="63" t="s">
        <v>14</v>
      </c>
      <c r="E35" s="472">
        <v>0.128</v>
      </c>
      <c r="F35" s="71">
        <f>E35*F30</f>
        <v>44.800000000000004</v>
      </c>
      <c r="G35" s="1517"/>
      <c r="H35" s="108">
        <f t="shared" si="0"/>
        <v>0</v>
      </c>
      <c r="I35" s="1352"/>
      <c r="J35" s="1500">
        <f t="shared" si="1"/>
        <v>0</v>
      </c>
      <c r="K35" s="1352"/>
      <c r="L35" s="1500">
        <f t="shared" si="2"/>
        <v>0</v>
      </c>
      <c r="M35" s="1500">
        <f t="shared" si="3"/>
        <v>0</v>
      </c>
    </row>
    <row r="36" spans="1:13" ht="36" customHeight="1">
      <c r="A36" s="67">
        <v>8</v>
      </c>
      <c r="B36" s="211"/>
      <c r="C36" s="68" t="s">
        <v>418</v>
      </c>
      <c r="D36" s="67" t="s">
        <v>56</v>
      </c>
      <c r="E36" s="61"/>
      <c r="F36" s="69">
        <v>0.15</v>
      </c>
      <c r="G36" s="1290"/>
      <c r="H36" s="108">
        <f t="shared" si="0"/>
        <v>0</v>
      </c>
      <c r="I36" s="1289"/>
      <c r="J36" s="1500">
        <f t="shared" si="1"/>
        <v>0</v>
      </c>
      <c r="K36" s="1289"/>
      <c r="L36" s="1500">
        <f t="shared" si="2"/>
        <v>0</v>
      </c>
      <c r="M36" s="1500">
        <f t="shared" si="3"/>
        <v>0</v>
      </c>
    </row>
    <row r="37" spans="1:13" s="5" customFormat="1" ht="36" customHeight="1">
      <c r="A37" s="106">
        <f>A36+0.1</f>
        <v>8.1</v>
      </c>
      <c r="B37" s="224"/>
      <c r="C37" s="76" t="s">
        <v>50</v>
      </c>
      <c r="D37" s="108" t="s">
        <v>13</v>
      </c>
      <c r="E37" s="472">
        <v>12</v>
      </c>
      <c r="F37" s="71">
        <f>E37*F36</f>
        <v>1.7999999999999998</v>
      </c>
      <c r="G37" s="479"/>
      <c r="H37" s="108">
        <f t="shared" si="0"/>
        <v>0</v>
      </c>
      <c r="I37" s="1352"/>
      <c r="J37" s="1500">
        <f t="shared" si="1"/>
        <v>0</v>
      </c>
      <c r="K37" s="1352"/>
      <c r="L37" s="1500">
        <f t="shared" si="2"/>
        <v>0</v>
      </c>
      <c r="M37" s="1500">
        <f t="shared" si="3"/>
        <v>0</v>
      </c>
    </row>
    <row r="38" spans="1:13" s="5" customFormat="1" ht="36" customHeight="1">
      <c r="A38" s="106">
        <f>A37+0.1</f>
        <v>8.1999999999999993</v>
      </c>
      <c r="B38" s="224"/>
      <c r="C38" s="76" t="s">
        <v>140</v>
      </c>
      <c r="D38" s="108" t="s">
        <v>14</v>
      </c>
      <c r="E38" s="472">
        <v>0.14000000000000001</v>
      </c>
      <c r="F38" s="71">
        <f>F36*E38</f>
        <v>2.1000000000000001E-2</v>
      </c>
      <c r="G38" s="479"/>
      <c r="H38" s="108">
        <f t="shared" si="0"/>
        <v>0</v>
      </c>
      <c r="I38" s="1352"/>
      <c r="J38" s="1500">
        <f t="shared" si="1"/>
        <v>0</v>
      </c>
      <c r="K38" s="1352"/>
      <c r="L38" s="1500">
        <f t="shared" si="2"/>
        <v>0</v>
      </c>
      <c r="M38" s="1500">
        <f t="shared" si="3"/>
        <v>0</v>
      </c>
    </row>
    <row r="39" spans="1:13" s="5" customFormat="1" ht="36" customHeight="1">
      <c r="A39" s="106">
        <f>A38+0.1</f>
        <v>8.2999999999999989</v>
      </c>
      <c r="B39" s="224"/>
      <c r="C39" s="76" t="s">
        <v>417</v>
      </c>
      <c r="D39" s="108" t="s">
        <v>55</v>
      </c>
      <c r="E39" s="472">
        <v>100</v>
      </c>
      <c r="F39" s="71">
        <f>F36*E39</f>
        <v>15</v>
      </c>
      <c r="G39" s="479"/>
      <c r="H39" s="108">
        <f t="shared" si="0"/>
        <v>0</v>
      </c>
      <c r="I39" s="1352"/>
      <c r="J39" s="1500">
        <f t="shared" si="1"/>
        <v>0</v>
      </c>
      <c r="K39" s="1352"/>
      <c r="L39" s="1500">
        <f t="shared" si="2"/>
        <v>0</v>
      </c>
      <c r="M39" s="1500">
        <f t="shared" si="3"/>
        <v>0</v>
      </c>
    </row>
    <row r="40" spans="1:13" s="5" customFormat="1" ht="45.75" customHeight="1">
      <c r="A40" s="106"/>
      <c r="B40" s="224"/>
      <c r="C40" s="121" t="s">
        <v>758</v>
      </c>
      <c r="D40" s="108"/>
      <c r="E40" s="472"/>
      <c r="F40" s="71"/>
      <c r="G40" s="479"/>
      <c r="H40" s="108"/>
      <c r="I40" s="1352"/>
      <c r="J40" s="1500"/>
      <c r="K40" s="1352"/>
      <c r="L40" s="1500"/>
      <c r="M40" s="1500"/>
    </row>
    <row r="41" spans="1:13" s="20" customFormat="1" ht="35.25" customHeight="1">
      <c r="A41" s="100">
        <v>1</v>
      </c>
      <c r="B41" s="217"/>
      <c r="C41" s="114" t="s">
        <v>746</v>
      </c>
      <c r="D41" s="120" t="s">
        <v>809</v>
      </c>
      <c r="E41" s="103"/>
      <c r="F41" s="104">
        <v>2.2000000000000002</v>
      </c>
      <c r="G41" s="479"/>
      <c r="H41" s="108">
        <f t="shared" ref="H41:H52" si="22">F41*G41</f>
        <v>0</v>
      </c>
      <c r="I41" s="1497"/>
      <c r="J41" s="1500">
        <f t="shared" ref="J41:J52" si="23">F41*I41</f>
        <v>0</v>
      </c>
      <c r="K41" s="1497"/>
      <c r="L41" s="1500">
        <f t="shared" ref="L41:L52" si="24">F41*K41</f>
        <v>0</v>
      </c>
      <c r="M41" s="1500">
        <f t="shared" ref="M41:M52" si="25">H41+J41+L41</f>
        <v>0</v>
      </c>
    </row>
    <row r="42" spans="1:13" s="49" customFormat="1" ht="35.25" customHeight="1">
      <c r="A42" s="106">
        <f>A41+0.1</f>
        <v>1.1000000000000001</v>
      </c>
      <c r="B42" s="224"/>
      <c r="C42" s="76" t="s">
        <v>50</v>
      </c>
      <c r="D42" s="75" t="s">
        <v>13</v>
      </c>
      <c r="E42" s="103">
        <v>2.06</v>
      </c>
      <c r="F42" s="89">
        <f>F41*E42</f>
        <v>4.5320000000000009</v>
      </c>
      <c r="G42" s="479"/>
      <c r="H42" s="108">
        <f t="shared" si="22"/>
        <v>0</v>
      </c>
      <c r="I42" s="108"/>
      <c r="J42" s="1500">
        <f t="shared" si="23"/>
        <v>0</v>
      </c>
      <c r="K42" s="108"/>
      <c r="L42" s="1500">
        <f t="shared" si="24"/>
        <v>0</v>
      </c>
      <c r="M42" s="1500">
        <f t="shared" si="25"/>
        <v>0</v>
      </c>
    </row>
    <row r="43" spans="1:13" s="4" customFormat="1" ht="51" customHeight="1">
      <c r="A43" s="100">
        <v>2</v>
      </c>
      <c r="B43" s="281"/>
      <c r="C43" s="453" t="s">
        <v>261</v>
      </c>
      <c r="D43" s="101" t="s">
        <v>812</v>
      </c>
      <c r="E43" s="122"/>
      <c r="F43" s="104">
        <v>0.66</v>
      </c>
      <c r="G43" s="478"/>
      <c r="H43" s="108">
        <f t="shared" si="22"/>
        <v>0</v>
      </c>
      <c r="I43" s="1356"/>
      <c r="J43" s="1500">
        <f t="shared" si="23"/>
        <v>0</v>
      </c>
      <c r="K43" s="1356"/>
      <c r="L43" s="1500">
        <f t="shared" si="24"/>
        <v>0</v>
      </c>
      <c r="M43" s="1500">
        <f t="shared" si="25"/>
        <v>0</v>
      </c>
    </row>
    <row r="44" spans="1:13" s="5" customFormat="1" ht="30.75" customHeight="1">
      <c r="A44" s="106">
        <f>A43+0.1</f>
        <v>2.1</v>
      </c>
      <c r="B44" s="224"/>
      <c r="C44" s="76" t="s">
        <v>50</v>
      </c>
      <c r="D44" s="75" t="s">
        <v>13</v>
      </c>
      <c r="E44" s="109">
        <f>18/10</f>
        <v>1.8</v>
      </c>
      <c r="F44" s="71">
        <f>E44*F43</f>
        <v>1.1880000000000002</v>
      </c>
      <c r="G44" s="479"/>
      <c r="H44" s="108">
        <f t="shared" si="22"/>
        <v>0</v>
      </c>
      <c r="I44" s="1352"/>
      <c r="J44" s="1500">
        <f t="shared" si="23"/>
        <v>0</v>
      </c>
      <c r="K44" s="1352"/>
      <c r="L44" s="1500">
        <f t="shared" si="24"/>
        <v>0</v>
      </c>
      <c r="M44" s="1500">
        <f t="shared" si="25"/>
        <v>0</v>
      </c>
    </row>
    <row r="45" spans="1:13" s="5" customFormat="1" ht="30.75" customHeight="1">
      <c r="A45" s="106">
        <f>A44+0.1</f>
        <v>2.2000000000000002</v>
      </c>
      <c r="B45" s="229"/>
      <c r="C45" s="76" t="s">
        <v>218</v>
      </c>
      <c r="D45" s="115" t="s">
        <v>810</v>
      </c>
      <c r="E45" s="109">
        <f>11/10</f>
        <v>1.1000000000000001</v>
      </c>
      <c r="F45" s="89">
        <f>E45*F43</f>
        <v>0.72600000000000009</v>
      </c>
      <c r="G45" s="479"/>
      <c r="H45" s="108">
        <f t="shared" si="22"/>
        <v>0</v>
      </c>
      <c r="I45" s="1352"/>
      <c r="J45" s="1500">
        <f t="shared" si="23"/>
        <v>0</v>
      </c>
      <c r="K45" s="1352"/>
      <c r="L45" s="1500">
        <f t="shared" si="24"/>
        <v>0</v>
      </c>
      <c r="M45" s="1500">
        <f t="shared" si="25"/>
        <v>0</v>
      </c>
    </row>
    <row r="46" spans="1:13" s="45" customFormat="1" ht="30.75" customHeight="1">
      <c r="A46" s="81">
        <v>3</v>
      </c>
      <c r="B46" s="226"/>
      <c r="C46" s="128" t="s">
        <v>711</v>
      </c>
      <c r="D46" s="67" t="s">
        <v>61</v>
      </c>
      <c r="E46" s="91"/>
      <c r="F46" s="69">
        <v>2.1</v>
      </c>
      <c r="G46" s="1287"/>
      <c r="H46" s="108">
        <f t="shared" si="22"/>
        <v>0</v>
      </c>
      <c r="I46" s="80"/>
      <c r="J46" s="1352">
        <f t="shared" si="23"/>
        <v>0</v>
      </c>
      <c r="K46" s="80"/>
      <c r="L46" s="1352">
        <f t="shared" si="24"/>
        <v>0</v>
      </c>
      <c r="M46" s="1352">
        <f t="shared" si="25"/>
        <v>0</v>
      </c>
    </row>
    <row r="47" spans="1:13" s="45" customFormat="1" ht="30.75" customHeight="1">
      <c r="A47" s="248">
        <f t="shared" ref="A47:A52" si="26">A46+0.1</f>
        <v>3.1</v>
      </c>
      <c r="B47" s="249"/>
      <c r="C47" s="191" t="s">
        <v>12</v>
      </c>
      <c r="D47" s="131" t="s">
        <v>13</v>
      </c>
      <c r="E47" s="103">
        <v>3.78</v>
      </c>
      <c r="F47" s="61">
        <f>E47*F46</f>
        <v>7.9379999999999997</v>
      </c>
      <c r="G47" s="1290"/>
      <c r="H47" s="108">
        <f t="shared" si="22"/>
        <v>0</v>
      </c>
      <c r="I47" s="108"/>
      <c r="J47" s="1352">
        <f t="shared" si="23"/>
        <v>0</v>
      </c>
      <c r="K47" s="1505"/>
      <c r="L47" s="1352">
        <f t="shared" si="24"/>
        <v>0</v>
      </c>
      <c r="M47" s="1352">
        <f t="shared" si="25"/>
        <v>0</v>
      </c>
    </row>
    <row r="48" spans="1:13" s="45" customFormat="1" ht="30.75" customHeight="1">
      <c r="A48" s="248">
        <f t="shared" si="26"/>
        <v>3.2</v>
      </c>
      <c r="B48" s="249"/>
      <c r="C48" s="191" t="s">
        <v>266</v>
      </c>
      <c r="D48" s="80" t="s">
        <v>14</v>
      </c>
      <c r="E48" s="103">
        <v>0.92</v>
      </c>
      <c r="F48" s="62">
        <f>E48*F46</f>
        <v>1.9320000000000002</v>
      </c>
      <c r="G48" s="1290"/>
      <c r="H48" s="108">
        <f t="shared" si="22"/>
        <v>0</v>
      </c>
      <c r="I48" s="80"/>
      <c r="J48" s="1352">
        <f t="shared" si="23"/>
        <v>0</v>
      </c>
      <c r="K48" s="1291"/>
      <c r="L48" s="1352">
        <f t="shared" si="24"/>
        <v>0</v>
      </c>
      <c r="M48" s="1352">
        <f t="shared" si="25"/>
        <v>0</v>
      </c>
    </row>
    <row r="49" spans="1:13" s="45" customFormat="1" ht="30.75" customHeight="1">
      <c r="A49" s="248">
        <f t="shared" si="26"/>
        <v>3.3000000000000003</v>
      </c>
      <c r="B49" s="224"/>
      <c r="C49" s="64" t="s">
        <v>74</v>
      </c>
      <c r="D49" s="80" t="s">
        <v>810</v>
      </c>
      <c r="E49" s="103">
        <v>1.0149999999999999</v>
      </c>
      <c r="F49" s="62">
        <f>E49*F46</f>
        <v>2.1315</v>
      </c>
      <c r="G49" s="1290"/>
      <c r="H49" s="108">
        <f t="shared" si="22"/>
        <v>0</v>
      </c>
      <c r="I49" s="80"/>
      <c r="J49" s="1352">
        <f t="shared" si="23"/>
        <v>0</v>
      </c>
      <c r="K49" s="80"/>
      <c r="L49" s="1352">
        <f t="shared" si="24"/>
        <v>0</v>
      </c>
      <c r="M49" s="1352">
        <f t="shared" si="25"/>
        <v>0</v>
      </c>
    </row>
    <row r="50" spans="1:13" s="45" customFormat="1" ht="30.75" customHeight="1">
      <c r="A50" s="248">
        <f t="shared" si="26"/>
        <v>3.4000000000000004</v>
      </c>
      <c r="B50" s="211"/>
      <c r="C50" s="255" t="s">
        <v>18</v>
      </c>
      <c r="D50" s="63" t="s">
        <v>811</v>
      </c>
      <c r="E50" s="103">
        <f>70.3/100</f>
        <v>0.70299999999999996</v>
      </c>
      <c r="F50" s="62">
        <f>E50*F46</f>
        <v>1.4762999999999999</v>
      </c>
      <c r="G50" s="1290"/>
      <c r="H50" s="108">
        <f t="shared" si="22"/>
        <v>0</v>
      </c>
      <c r="I50" s="80"/>
      <c r="J50" s="1352">
        <f t="shared" si="23"/>
        <v>0</v>
      </c>
      <c r="K50" s="80"/>
      <c r="L50" s="1352">
        <f t="shared" si="24"/>
        <v>0</v>
      </c>
      <c r="M50" s="1352">
        <f t="shared" si="25"/>
        <v>0</v>
      </c>
    </row>
    <row r="51" spans="1:13" s="45" customFormat="1" ht="30.75" customHeight="1">
      <c r="A51" s="248">
        <f t="shared" si="26"/>
        <v>3.5000000000000004</v>
      </c>
      <c r="B51" s="256"/>
      <c r="C51" s="64" t="s">
        <v>19</v>
      </c>
      <c r="D51" s="80" t="s">
        <v>810</v>
      </c>
      <c r="E51" s="257">
        <f>1.14/100</f>
        <v>1.1399999999999999E-2</v>
      </c>
      <c r="F51" s="258">
        <f>E51*F46</f>
        <v>2.3939999999999999E-2</v>
      </c>
      <c r="G51" s="1290"/>
      <c r="H51" s="108">
        <f t="shared" si="22"/>
        <v>0</v>
      </c>
      <c r="I51" s="80"/>
      <c r="J51" s="1352">
        <f t="shared" si="23"/>
        <v>0</v>
      </c>
      <c r="K51" s="80"/>
      <c r="L51" s="1352">
        <f t="shared" si="24"/>
        <v>0</v>
      </c>
      <c r="M51" s="1352">
        <f t="shared" si="25"/>
        <v>0</v>
      </c>
    </row>
    <row r="52" spans="1:13" s="45" customFormat="1" ht="30.75" customHeight="1">
      <c r="A52" s="248">
        <f t="shared" si="26"/>
        <v>3.6000000000000005</v>
      </c>
      <c r="B52" s="249"/>
      <c r="C52" s="64" t="s">
        <v>333</v>
      </c>
      <c r="D52" s="63" t="s">
        <v>14</v>
      </c>
      <c r="E52" s="259">
        <v>0.6</v>
      </c>
      <c r="F52" s="62">
        <f>E52*F46</f>
        <v>1.26</v>
      </c>
      <c r="G52" s="1290"/>
      <c r="H52" s="108">
        <f t="shared" si="22"/>
        <v>0</v>
      </c>
      <c r="I52" s="80"/>
      <c r="J52" s="1352">
        <f t="shared" si="23"/>
        <v>0</v>
      </c>
      <c r="K52" s="80"/>
      <c r="L52" s="1352">
        <f t="shared" si="24"/>
        <v>0</v>
      </c>
      <c r="M52" s="1352">
        <f t="shared" si="25"/>
        <v>0</v>
      </c>
    </row>
    <row r="53" spans="1:13" s="4" customFormat="1" ht="48" customHeight="1">
      <c r="A53" s="120" t="s">
        <v>47</v>
      </c>
      <c r="B53" s="260"/>
      <c r="C53" s="68" t="s">
        <v>764</v>
      </c>
      <c r="D53" s="120" t="s">
        <v>203</v>
      </c>
      <c r="E53" s="122"/>
      <c r="F53" s="123">
        <v>97</v>
      </c>
      <c r="G53" s="478"/>
      <c r="H53" s="108">
        <f t="shared" ref="H53:H73" si="27">F53*G53</f>
        <v>0</v>
      </c>
      <c r="I53" s="1356"/>
      <c r="J53" s="1500">
        <f t="shared" ref="J53:J73" si="28">F53*I53</f>
        <v>0</v>
      </c>
      <c r="K53" s="1356"/>
      <c r="L53" s="1500">
        <f t="shared" ref="L53:L73" si="29">F53*K53</f>
        <v>0</v>
      </c>
      <c r="M53" s="1500">
        <f t="shared" ref="M53:M73" si="30">H53+J53+L53</f>
        <v>0</v>
      </c>
    </row>
    <row r="54" spans="1:13" s="5" customFormat="1" ht="33" customHeight="1">
      <c r="A54" s="106">
        <f>A53+0.1</f>
        <v>4.0999999999999996</v>
      </c>
      <c r="B54" s="224"/>
      <c r="C54" s="76" t="s">
        <v>50</v>
      </c>
      <c r="D54" s="108" t="s">
        <v>13</v>
      </c>
      <c r="E54" s="472">
        <v>1.6</v>
      </c>
      <c r="F54" s="71">
        <f>E54*F53</f>
        <v>155.20000000000002</v>
      </c>
      <c r="G54" s="479"/>
      <c r="H54" s="108">
        <f t="shared" si="27"/>
        <v>0</v>
      </c>
      <c r="I54" s="1352"/>
      <c r="J54" s="1500">
        <f t="shared" si="28"/>
        <v>0</v>
      </c>
      <c r="K54" s="1352"/>
      <c r="L54" s="1500">
        <f t="shared" si="29"/>
        <v>0</v>
      </c>
      <c r="M54" s="1500">
        <f t="shared" si="30"/>
        <v>0</v>
      </c>
    </row>
    <row r="55" spans="1:13" s="5" customFormat="1" ht="33" customHeight="1">
      <c r="A55" s="106">
        <f t="shared" ref="A55:A58" si="31">A54+0.1</f>
        <v>4.1999999999999993</v>
      </c>
      <c r="B55" s="224"/>
      <c r="C55" s="64" t="s">
        <v>761</v>
      </c>
      <c r="D55" s="75" t="s">
        <v>207</v>
      </c>
      <c r="E55" s="89">
        <v>1.01</v>
      </c>
      <c r="F55" s="71">
        <f>E55*F53</f>
        <v>97.97</v>
      </c>
      <c r="G55" s="479"/>
      <c r="H55" s="108">
        <f t="shared" si="27"/>
        <v>0</v>
      </c>
      <c r="I55" s="1352"/>
      <c r="J55" s="1500">
        <f t="shared" si="28"/>
        <v>0</v>
      </c>
      <c r="K55" s="1352"/>
      <c r="L55" s="1500">
        <f t="shared" si="29"/>
        <v>0</v>
      </c>
      <c r="M55" s="1500">
        <f t="shared" si="30"/>
        <v>0</v>
      </c>
    </row>
    <row r="56" spans="1:13" s="5" customFormat="1" ht="33" customHeight="1">
      <c r="A56" s="106">
        <f t="shared" si="31"/>
        <v>4.2999999999999989</v>
      </c>
      <c r="B56" s="224"/>
      <c r="C56" s="64" t="s">
        <v>763</v>
      </c>
      <c r="D56" s="75" t="s">
        <v>11</v>
      </c>
      <c r="E56" s="89" t="s">
        <v>20</v>
      </c>
      <c r="F56" s="71">
        <f>88</f>
        <v>88</v>
      </c>
      <c r="G56" s="479"/>
      <c r="H56" s="108">
        <f t="shared" si="27"/>
        <v>0</v>
      </c>
      <c r="I56" s="1352"/>
      <c r="J56" s="1500"/>
      <c r="K56" s="1352"/>
      <c r="L56" s="1500"/>
      <c r="M56" s="1500">
        <f t="shared" si="30"/>
        <v>0</v>
      </c>
    </row>
    <row r="57" spans="1:13" s="5" customFormat="1" ht="33" customHeight="1">
      <c r="A57" s="106">
        <f t="shared" si="31"/>
        <v>4.3999999999999986</v>
      </c>
      <c r="B57" s="224"/>
      <c r="C57" s="64" t="s">
        <v>759</v>
      </c>
      <c r="D57" s="75" t="s">
        <v>43</v>
      </c>
      <c r="E57" s="89" t="s">
        <v>20</v>
      </c>
      <c r="F57" s="71">
        <v>110</v>
      </c>
      <c r="G57" s="479"/>
      <c r="H57" s="108">
        <f t="shared" si="27"/>
        <v>0</v>
      </c>
      <c r="I57" s="1352"/>
      <c r="J57" s="1500">
        <f t="shared" si="28"/>
        <v>0</v>
      </c>
      <c r="K57" s="1352"/>
      <c r="L57" s="1500">
        <f t="shared" si="29"/>
        <v>0</v>
      </c>
      <c r="M57" s="1500">
        <f t="shared" si="30"/>
        <v>0</v>
      </c>
    </row>
    <row r="58" spans="1:13" s="5" customFormat="1" ht="33" customHeight="1">
      <c r="A58" s="106">
        <f t="shared" si="31"/>
        <v>4.4999999999999982</v>
      </c>
      <c r="B58" s="473"/>
      <c r="C58" s="64" t="s">
        <v>65</v>
      </c>
      <c r="D58" s="63" t="s">
        <v>14</v>
      </c>
      <c r="E58" s="472">
        <v>0.128</v>
      </c>
      <c r="F58" s="71">
        <f>E58*F53</f>
        <v>12.416</v>
      </c>
      <c r="G58" s="1517"/>
      <c r="H58" s="108">
        <f t="shared" si="27"/>
        <v>0</v>
      </c>
      <c r="I58" s="1352"/>
      <c r="J58" s="1500">
        <f t="shared" si="28"/>
        <v>0</v>
      </c>
      <c r="K58" s="1352"/>
      <c r="L58" s="1500">
        <f t="shared" si="29"/>
        <v>0</v>
      </c>
      <c r="M58" s="1500">
        <f t="shared" si="30"/>
        <v>0</v>
      </c>
    </row>
    <row r="59" spans="1:13" s="19" customFormat="1" ht="51" customHeight="1">
      <c r="A59" s="120" t="s">
        <v>48</v>
      </c>
      <c r="B59" s="281"/>
      <c r="C59" s="275" t="s">
        <v>22</v>
      </c>
      <c r="D59" s="120" t="s">
        <v>813</v>
      </c>
      <c r="E59" s="122"/>
      <c r="F59" s="104">
        <v>21</v>
      </c>
      <c r="G59" s="1525"/>
      <c r="H59" s="1332">
        <f t="shared" si="27"/>
        <v>0</v>
      </c>
      <c r="I59" s="1493"/>
      <c r="J59" s="1493">
        <f t="shared" si="28"/>
        <v>0</v>
      </c>
      <c r="K59" s="1493"/>
      <c r="L59" s="1493">
        <f t="shared" si="29"/>
        <v>0</v>
      </c>
      <c r="M59" s="1493">
        <f t="shared" si="30"/>
        <v>0</v>
      </c>
    </row>
    <row r="60" spans="1:13" s="19" customFormat="1" ht="26.25" customHeight="1">
      <c r="A60" s="106">
        <f>A59+0.1</f>
        <v>5.0999999999999996</v>
      </c>
      <c r="B60" s="224"/>
      <c r="C60" s="336" t="s">
        <v>12</v>
      </c>
      <c r="D60" s="75" t="s">
        <v>13</v>
      </c>
      <c r="E60" s="273">
        <v>7.7899999999999997E-2</v>
      </c>
      <c r="F60" s="71">
        <f>E60*F59</f>
        <v>1.6358999999999999</v>
      </c>
      <c r="G60" s="1526"/>
      <c r="H60" s="1332">
        <f t="shared" si="27"/>
        <v>0</v>
      </c>
      <c r="I60" s="1493"/>
      <c r="J60" s="1493">
        <f t="shared" si="28"/>
        <v>0</v>
      </c>
      <c r="K60" s="1493"/>
      <c r="L60" s="1493">
        <f t="shared" si="29"/>
        <v>0</v>
      </c>
      <c r="M60" s="1493">
        <f t="shared" si="30"/>
        <v>0</v>
      </c>
    </row>
    <row r="61" spans="1:13" s="19" customFormat="1" ht="26.25" customHeight="1">
      <c r="A61" s="106">
        <f>A60+0.1</f>
        <v>5.1999999999999993</v>
      </c>
      <c r="B61" s="224"/>
      <c r="C61" s="276" t="s">
        <v>117</v>
      </c>
      <c r="D61" s="108" t="s">
        <v>14</v>
      </c>
      <c r="E61" s="273">
        <v>2E-3</v>
      </c>
      <c r="F61" s="257">
        <f>E61*F59</f>
        <v>4.2000000000000003E-2</v>
      </c>
      <c r="G61" s="1526"/>
      <c r="H61" s="1332">
        <f t="shared" si="27"/>
        <v>0</v>
      </c>
      <c r="I61" s="1493"/>
      <c r="J61" s="1493">
        <f t="shared" si="28"/>
        <v>0</v>
      </c>
      <c r="K61" s="1332"/>
      <c r="L61" s="1493">
        <f t="shared" si="29"/>
        <v>0</v>
      </c>
      <c r="M61" s="1493">
        <f t="shared" si="30"/>
        <v>0</v>
      </c>
    </row>
    <row r="62" spans="1:13" s="19" customFormat="1" ht="26.25" customHeight="1">
      <c r="A62" s="106">
        <f>A61+0.1</f>
        <v>5.2999999999999989</v>
      </c>
      <c r="B62" s="229"/>
      <c r="C62" s="277" t="s">
        <v>24</v>
      </c>
      <c r="D62" s="108" t="s">
        <v>21</v>
      </c>
      <c r="E62" s="273">
        <v>8.5999999999999993E-2</v>
      </c>
      <c r="F62" s="71">
        <f>E62*F59</f>
        <v>1.8059999999999998</v>
      </c>
      <c r="G62" s="1526"/>
      <c r="H62" s="1332">
        <f t="shared" si="27"/>
        <v>0</v>
      </c>
      <c r="I62" s="1493"/>
      <c r="J62" s="1493">
        <f t="shared" si="28"/>
        <v>0</v>
      </c>
      <c r="K62" s="1493"/>
      <c r="L62" s="1493">
        <f t="shared" si="29"/>
        <v>0</v>
      </c>
      <c r="M62" s="1493">
        <f t="shared" si="30"/>
        <v>0</v>
      </c>
    </row>
    <row r="63" spans="1:13" s="19" customFormat="1" ht="51" customHeight="1">
      <c r="A63" s="120" t="s">
        <v>122</v>
      </c>
      <c r="B63" s="281"/>
      <c r="C63" s="275" t="s">
        <v>26</v>
      </c>
      <c r="D63" s="120" t="s">
        <v>813</v>
      </c>
      <c r="E63" s="122"/>
      <c r="F63" s="104">
        <v>21</v>
      </c>
      <c r="G63" s="1525"/>
      <c r="H63" s="1332">
        <f t="shared" si="27"/>
        <v>0</v>
      </c>
      <c r="I63" s="1493"/>
      <c r="J63" s="1493">
        <f t="shared" si="28"/>
        <v>0</v>
      </c>
      <c r="K63" s="1493"/>
      <c r="L63" s="1493">
        <f t="shared" si="29"/>
        <v>0</v>
      </c>
      <c r="M63" s="1493">
        <f t="shared" si="30"/>
        <v>0</v>
      </c>
    </row>
    <row r="64" spans="1:13" s="19" customFormat="1" ht="26.25" customHeight="1">
      <c r="A64" s="106">
        <f>A63+0.1</f>
        <v>7.1</v>
      </c>
      <c r="B64" s="224"/>
      <c r="C64" s="336" t="s">
        <v>12</v>
      </c>
      <c r="D64" s="75" t="s">
        <v>13</v>
      </c>
      <c r="E64" s="273">
        <v>0.68</v>
      </c>
      <c r="F64" s="71">
        <f>E64*F63</f>
        <v>14.280000000000001</v>
      </c>
      <c r="G64" s="1526"/>
      <c r="H64" s="1332">
        <f t="shared" si="27"/>
        <v>0</v>
      </c>
      <c r="I64" s="1493"/>
      <c r="J64" s="1493">
        <f t="shared" si="28"/>
        <v>0</v>
      </c>
      <c r="K64" s="1493"/>
      <c r="L64" s="1493">
        <f t="shared" si="29"/>
        <v>0</v>
      </c>
      <c r="M64" s="1493">
        <f t="shared" si="30"/>
        <v>0</v>
      </c>
    </row>
    <row r="65" spans="1:13" s="19" customFormat="1" ht="26.25" customHeight="1">
      <c r="A65" s="106">
        <f>A64+0.1</f>
        <v>7.1999999999999993</v>
      </c>
      <c r="B65" s="224"/>
      <c r="C65" s="276" t="s">
        <v>117</v>
      </c>
      <c r="D65" s="108" t="s">
        <v>14</v>
      </c>
      <c r="E65" s="257">
        <v>2.9999999999999997E-4</v>
      </c>
      <c r="F65" s="257">
        <f>E65*F63</f>
        <v>6.2999999999999992E-3</v>
      </c>
      <c r="G65" s="1526"/>
      <c r="H65" s="1332">
        <f t="shared" si="27"/>
        <v>0</v>
      </c>
      <c r="I65" s="1493"/>
      <c r="J65" s="1493">
        <f t="shared" si="28"/>
        <v>0</v>
      </c>
      <c r="K65" s="1332"/>
      <c r="L65" s="1493">
        <f t="shared" si="29"/>
        <v>0</v>
      </c>
      <c r="M65" s="1493">
        <f t="shared" si="30"/>
        <v>0</v>
      </c>
    </row>
    <row r="66" spans="1:13" s="19" customFormat="1" ht="26.25" customHeight="1">
      <c r="A66" s="106">
        <f>A65+0.1</f>
        <v>7.2999999999999989</v>
      </c>
      <c r="B66" s="229"/>
      <c r="C66" s="255" t="s">
        <v>27</v>
      </c>
      <c r="D66" s="108" t="s">
        <v>21</v>
      </c>
      <c r="E66" s="273">
        <v>0.246</v>
      </c>
      <c r="F66" s="71">
        <f>E66*F63</f>
        <v>5.1660000000000004</v>
      </c>
      <c r="G66" s="1526"/>
      <c r="H66" s="1332">
        <f t="shared" si="27"/>
        <v>0</v>
      </c>
      <c r="I66" s="1493"/>
      <c r="J66" s="1493">
        <f t="shared" si="28"/>
        <v>0</v>
      </c>
      <c r="K66" s="1493"/>
      <c r="L66" s="1493">
        <f t="shared" si="29"/>
        <v>0</v>
      </c>
      <c r="M66" s="1493">
        <f t="shared" si="30"/>
        <v>0</v>
      </c>
    </row>
    <row r="67" spans="1:13" s="19" customFormat="1" ht="26.25" customHeight="1">
      <c r="A67" s="106">
        <f>A66+0.1</f>
        <v>7.3999999999999986</v>
      </c>
      <c r="B67" s="229"/>
      <c r="C67" s="255" t="s">
        <v>28</v>
      </c>
      <c r="D67" s="108" t="s">
        <v>21</v>
      </c>
      <c r="E67" s="273">
        <f>2.7/100</f>
        <v>2.7000000000000003E-2</v>
      </c>
      <c r="F67" s="71">
        <f>F63*E67</f>
        <v>0.56700000000000006</v>
      </c>
      <c r="G67" s="1526"/>
      <c r="H67" s="1332">
        <f t="shared" si="27"/>
        <v>0</v>
      </c>
      <c r="I67" s="1493"/>
      <c r="J67" s="1493">
        <f t="shared" si="28"/>
        <v>0</v>
      </c>
      <c r="K67" s="1493"/>
      <c r="L67" s="1493">
        <f t="shared" si="29"/>
        <v>0</v>
      </c>
      <c r="M67" s="1493">
        <f t="shared" si="30"/>
        <v>0</v>
      </c>
    </row>
    <row r="68" spans="1:13" s="19" customFormat="1" ht="26.25" customHeight="1">
      <c r="A68" s="106">
        <f>A67+0.1</f>
        <v>7.4999999999999982</v>
      </c>
      <c r="B68" s="224"/>
      <c r="C68" s="276" t="s">
        <v>119</v>
      </c>
      <c r="D68" s="108" t="s">
        <v>1</v>
      </c>
      <c r="E68" s="257">
        <v>1.9E-3</v>
      </c>
      <c r="F68" s="273">
        <f>E68*F63</f>
        <v>3.9899999999999998E-2</v>
      </c>
      <c r="G68" s="1526"/>
      <c r="H68" s="1332">
        <f t="shared" si="27"/>
        <v>0</v>
      </c>
      <c r="I68" s="1493"/>
      <c r="J68" s="1493">
        <f t="shared" si="28"/>
        <v>0</v>
      </c>
      <c r="K68" s="1493"/>
      <c r="L68" s="1493">
        <f t="shared" si="29"/>
        <v>0</v>
      </c>
      <c r="M68" s="1493">
        <f t="shared" si="30"/>
        <v>0</v>
      </c>
    </row>
    <row r="69" spans="1:13" s="15" customFormat="1" ht="26.25" customHeight="1">
      <c r="A69" s="358">
        <v>8</v>
      </c>
      <c r="B69" s="359"/>
      <c r="C69" s="404" t="s">
        <v>713</v>
      </c>
      <c r="D69" s="388" t="s">
        <v>43</v>
      </c>
      <c r="E69" s="389"/>
      <c r="F69" s="381">
        <v>110</v>
      </c>
      <c r="G69" s="1527"/>
      <c r="H69" s="108">
        <f t="shared" si="27"/>
        <v>0</v>
      </c>
      <c r="I69" s="1300"/>
      <c r="J69" s="1352">
        <f t="shared" si="28"/>
        <v>0</v>
      </c>
      <c r="K69" s="1216"/>
      <c r="L69" s="1352">
        <f t="shared" si="29"/>
        <v>0</v>
      </c>
      <c r="M69" s="1352">
        <f t="shared" si="30"/>
        <v>0</v>
      </c>
    </row>
    <row r="70" spans="1:13" s="15" customFormat="1" ht="26.25" customHeight="1">
      <c r="A70" s="367">
        <f t="shared" ref="A70:A73" si="32">A69+0.1</f>
        <v>8.1</v>
      </c>
      <c r="B70" s="211"/>
      <c r="C70" s="191" t="s">
        <v>23</v>
      </c>
      <c r="D70" s="131" t="s">
        <v>13</v>
      </c>
      <c r="E70" s="389">
        <v>0.83</v>
      </c>
      <c r="F70" s="396">
        <f>F69*E70</f>
        <v>91.3</v>
      </c>
      <c r="G70" s="1527"/>
      <c r="H70" s="108">
        <f t="shared" si="27"/>
        <v>0</v>
      </c>
      <c r="I70" s="1337"/>
      <c r="J70" s="1352">
        <f t="shared" si="28"/>
        <v>0</v>
      </c>
      <c r="K70" s="1216"/>
      <c r="L70" s="1352">
        <f t="shared" si="29"/>
        <v>0</v>
      </c>
      <c r="M70" s="1352">
        <f t="shared" si="30"/>
        <v>0</v>
      </c>
    </row>
    <row r="71" spans="1:13" s="15" customFormat="1" ht="26.25" customHeight="1">
      <c r="A71" s="367">
        <f t="shared" si="32"/>
        <v>8.1999999999999993</v>
      </c>
      <c r="B71" s="373"/>
      <c r="C71" s="405" t="s">
        <v>760</v>
      </c>
      <c r="D71" s="372" t="s">
        <v>43</v>
      </c>
      <c r="E71" s="389">
        <v>1.28</v>
      </c>
      <c r="F71" s="396">
        <f>F69*E71</f>
        <v>140.80000000000001</v>
      </c>
      <c r="G71" s="1528"/>
      <c r="H71" s="108">
        <f t="shared" si="27"/>
        <v>0</v>
      </c>
      <c r="I71" s="1300"/>
      <c r="J71" s="1352">
        <f t="shared" si="28"/>
        <v>0</v>
      </c>
      <c r="K71" s="1216"/>
      <c r="L71" s="1352">
        <f t="shared" si="29"/>
        <v>0</v>
      </c>
      <c r="M71" s="1352">
        <f t="shared" si="30"/>
        <v>0</v>
      </c>
    </row>
    <row r="72" spans="1:13" s="15" customFormat="1" ht="26.25" customHeight="1">
      <c r="A72" s="367">
        <f t="shared" si="32"/>
        <v>8.2999999999999989</v>
      </c>
      <c r="B72" s="373"/>
      <c r="C72" s="405" t="s">
        <v>714</v>
      </c>
      <c r="D72" s="372" t="s">
        <v>11</v>
      </c>
      <c r="E72" s="389" t="s">
        <v>20</v>
      </c>
      <c r="F72" s="389">
        <v>875</v>
      </c>
      <c r="G72" s="1529"/>
      <c r="H72" s="108">
        <f t="shared" si="27"/>
        <v>0</v>
      </c>
      <c r="I72" s="1300"/>
      <c r="J72" s="1352">
        <f t="shared" si="28"/>
        <v>0</v>
      </c>
      <c r="K72" s="1216"/>
      <c r="L72" s="1352">
        <f t="shared" si="29"/>
        <v>0</v>
      </c>
      <c r="M72" s="1352">
        <f t="shared" si="30"/>
        <v>0</v>
      </c>
    </row>
    <row r="73" spans="1:13" s="15" customFormat="1" ht="26.25" customHeight="1">
      <c r="A73" s="367">
        <f t="shared" si="32"/>
        <v>8.3999999999999986</v>
      </c>
      <c r="B73" s="375"/>
      <c r="C73" s="407" t="s">
        <v>119</v>
      </c>
      <c r="D73" s="377" t="s">
        <v>14</v>
      </c>
      <c r="E73" s="399">
        <v>7.8E-2</v>
      </c>
      <c r="F73" s="389">
        <f>F69*E73</f>
        <v>8.58</v>
      </c>
      <c r="G73" s="1529"/>
      <c r="H73" s="108">
        <f t="shared" si="27"/>
        <v>0</v>
      </c>
      <c r="I73" s="1300"/>
      <c r="J73" s="1352">
        <f t="shared" si="28"/>
        <v>0</v>
      </c>
      <c r="K73" s="1216"/>
      <c r="L73" s="1352">
        <f t="shared" si="29"/>
        <v>0</v>
      </c>
      <c r="M73" s="1352">
        <f t="shared" si="30"/>
        <v>0</v>
      </c>
    </row>
    <row r="74" spans="1:13" s="5" customFormat="1" ht="26.25" customHeight="1">
      <c r="A74" s="106"/>
      <c r="B74" s="473"/>
      <c r="C74" s="68" t="s">
        <v>712</v>
      </c>
      <c r="D74" s="63"/>
      <c r="E74" s="472"/>
      <c r="F74" s="71"/>
      <c r="G74" s="1517"/>
      <c r="H74" s="108">
        <f t="shared" si="0"/>
        <v>0</v>
      </c>
      <c r="I74" s="1352"/>
      <c r="J74" s="1500">
        <f t="shared" si="1"/>
        <v>0</v>
      </c>
      <c r="K74" s="1352"/>
      <c r="L74" s="1500">
        <f t="shared" si="2"/>
        <v>0</v>
      </c>
      <c r="M74" s="1500">
        <f t="shared" si="3"/>
        <v>0</v>
      </c>
    </row>
    <row r="75" spans="1:13" s="4" customFormat="1" ht="51" customHeight="1">
      <c r="A75" s="120" t="s">
        <v>44</v>
      </c>
      <c r="B75" s="281"/>
      <c r="C75" s="114" t="s">
        <v>215</v>
      </c>
      <c r="D75" s="120" t="s">
        <v>809</v>
      </c>
      <c r="E75" s="122"/>
      <c r="F75" s="104">
        <v>62</v>
      </c>
      <c r="G75" s="478"/>
      <c r="H75" s="108">
        <f t="shared" si="0"/>
        <v>0</v>
      </c>
      <c r="I75" s="1356"/>
      <c r="J75" s="1500">
        <f t="shared" si="1"/>
        <v>0</v>
      </c>
      <c r="K75" s="1356"/>
      <c r="L75" s="1500">
        <f t="shared" si="2"/>
        <v>0</v>
      </c>
      <c r="M75" s="1500">
        <f t="shared" si="3"/>
        <v>0</v>
      </c>
    </row>
    <row r="76" spans="1:13" s="5" customFormat="1" ht="28.5" customHeight="1">
      <c r="A76" s="106">
        <f>A75+0.1</f>
        <v>1.1000000000000001</v>
      </c>
      <c r="B76" s="224"/>
      <c r="C76" s="76" t="s">
        <v>50</v>
      </c>
      <c r="D76" s="75" t="s">
        <v>13</v>
      </c>
      <c r="E76" s="109">
        <f>20/1000</f>
        <v>0.02</v>
      </c>
      <c r="F76" s="71">
        <f>E76*F75</f>
        <v>1.24</v>
      </c>
      <c r="G76" s="479"/>
      <c r="H76" s="108">
        <f t="shared" si="0"/>
        <v>0</v>
      </c>
      <c r="I76" s="1352"/>
      <c r="J76" s="1500">
        <f t="shared" si="1"/>
        <v>0</v>
      </c>
      <c r="K76" s="1352"/>
      <c r="L76" s="1500">
        <f t="shared" si="2"/>
        <v>0</v>
      </c>
      <c r="M76" s="1500">
        <f t="shared" si="3"/>
        <v>0</v>
      </c>
    </row>
    <row r="77" spans="1:13" s="5" customFormat="1" ht="28.5" customHeight="1">
      <c r="A77" s="106">
        <f>A76+0.1</f>
        <v>1.2000000000000002</v>
      </c>
      <c r="B77" s="224"/>
      <c r="C77" s="76" t="s">
        <v>816</v>
      </c>
      <c r="D77" s="75" t="s">
        <v>156</v>
      </c>
      <c r="E77" s="257">
        <f>44.8/1000</f>
        <v>4.48E-2</v>
      </c>
      <c r="F77" s="71">
        <f>E77*F75</f>
        <v>2.7776000000000001</v>
      </c>
      <c r="G77" s="479"/>
      <c r="H77" s="108">
        <f t="shared" si="0"/>
        <v>0</v>
      </c>
      <c r="I77" s="1352"/>
      <c r="J77" s="1500">
        <f t="shared" si="1"/>
        <v>0</v>
      </c>
      <c r="K77" s="80"/>
      <c r="L77" s="1500">
        <f t="shared" si="2"/>
        <v>0</v>
      </c>
      <c r="M77" s="1500">
        <f t="shared" si="3"/>
        <v>0</v>
      </c>
    </row>
    <row r="78" spans="1:13" s="5" customFormat="1" ht="28.5" customHeight="1">
      <c r="A78" s="106">
        <f>A77+0.1</f>
        <v>1.3000000000000003</v>
      </c>
      <c r="B78" s="224"/>
      <c r="C78" s="97" t="s">
        <v>140</v>
      </c>
      <c r="D78" s="75" t="s">
        <v>14</v>
      </c>
      <c r="E78" s="475">
        <f>2.1/1000</f>
        <v>2.1000000000000003E-3</v>
      </c>
      <c r="F78" s="273">
        <f>E78*F75</f>
        <v>0.13020000000000001</v>
      </c>
      <c r="G78" s="479"/>
      <c r="H78" s="108">
        <f t="shared" si="0"/>
        <v>0</v>
      </c>
      <c r="I78" s="1352"/>
      <c r="J78" s="1500">
        <f t="shared" si="1"/>
        <v>0</v>
      </c>
      <c r="K78" s="108"/>
      <c r="L78" s="1500">
        <f t="shared" si="2"/>
        <v>0</v>
      </c>
      <c r="M78" s="1500">
        <f t="shared" si="3"/>
        <v>0</v>
      </c>
    </row>
    <row r="79" spans="1:13" s="5" customFormat="1" ht="28.5" customHeight="1">
      <c r="A79" s="106">
        <f>A78+0.1</f>
        <v>1.4000000000000004</v>
      </c>
      <c r="B79" s="224"/>
      <c r="C79" s="76" t="s">
        <v>59</v>
      </c>
      <c r="D79" s="115" t="s">
        <v>15</v>
      </c>
      <c r="E79" s="475">
        <f>0.05/1000</f>
        <v>5.0000000000000002E-5</v>
      </c>
      <c r="F79" s="273">
        <f>F75*E79</f>
        <v>3.1000000000000003E-3</v>
      </c>
      <c r="G79" s="479"/>
      <c r="H79" s="108">
        <f t="shared" si="0"/>
        <v>0</v>
      </c>
      <c r="I79" s="1352"/>
      <c r="J79" s="1500">
        <f t="shared" si="1"/>
        <v>0</v>
      </c>
      <c r="K79" s="1352"/>
      <c r="L79" s="1500">
        <f t="shared" si="2"/>
        <v>0</v>
      </c>
      <c r="M79" s="1500">
        <f t="shared" si="3"/>
        <v>0</v>
      </c>
    </row>
    <row r="80" spans="1:13" s="20" customFormat="1" ht="28.5" customHeight="1">
      <c r="A80" s="100">
        <v>2</v>
      </c>
      <c r="B80" s="217"/>
      <c r="C80" s="114" t="s">
        <v>216</v>
      </c>
      <c r="D80" s="120" t="s">
        <v>809</v>
      </c>
      <c r="E80" s="103"/>
      <c r="F80" s="104">
        <f>F75*0.1</f>
        <v>6.2</v>
      </c>
      <c r="G80" s="479"/>
      <c r="H80" s="108">
        <f t="shared" si="0"/>
        <v>0</v>
      </c>
      <c r="I80" s="1497"/>
      <c r="J80" s="1500">
        <f t="shared" si="1"/>
        <v>0</v>
      </c>
      <c r="K80" s="1497"/>
      <c r="L80" s="1500">
        <f t="shared" si="2"/>
        <v>0</v>
      </c>
      <c r="M80" s="1500">
        <f t="shared" si="3"/>
        <v>0</v>
      </c>
    </row>
    <row r="81" spans="1:13" s="49" customFormat="1" ht="28.5" customHeight="1">
      <c r="A81" s="106">
        <f>A80+0.1</f>
        <v>2.1</v>
      </c>
      <c r="B81" s="224"/>
      <c r="C81" s="76" t="s">
        <v>50</v>
      </c>
      <c r="D81" s="75" t="s">
        <v>13</v>
      </c>
      <c r="E81" s="103">
        <v>2.06</v>
      </c>
      <c r="F81" s="89">
        <f>F80*E81</f>
        <v>12.772</v>
      </c>
      <c r="G81" s="479"/>
      <c r="H81" s="108">
        <f t="shared" si="0"/>
        <v>0</v>
      </c>
      <c r="I81" s="108"/>
      <c r="J81" s="1500">
        <f t="shared" si="1"/>
        <v>0</v>
      </c>
      <c r="K81" s="108"/>
      <c r="L81" s="1500">
        <f t="shared" si="2"/>
        <v>0</v>
      </c>
      <c r="M81" s="1500">
        <f t="shared" si="3"/>
        <v>0</v>
      </c>
    </row>
    <row r="82" spans="1:13" s="4" customFormat="1" ht="28.5" customHeight="1">
      <c r="A82" s="100">
        <v>3</v>
      </c>
      <c r="B82" s="281"/>
      <c r="C82" s="121" t="s">
        <v>415</v>
      </c>
      <c r="D82" s="101" t="s">
        <v>812</v>
      </c>
      <c r="E82" s="122"/>
      <c r="F82" s="104">
        <v>40.799999999999997</v>
      </c>
      <c r="G82" s="478"/>
      <c r="H82" s="108">
        <f t="shared" si="0"/>
        <v>0</v>
      </c>
      <c r="I82" s="1356"/>
      <c r="J82" s="1500">
        <f t="shared" si="1"/>
        <v>0</v>
      </c>
      <c r="K82" s="1356"/>
      <c r="L82" s="1500">
        <f t="shared" si="2"/>
        <v>0</v>
      </c>
      <c r="M82" s="1500">
        <f t="shared" si="3"/>
        <v>0</v>
      </c>
    </row>
    <row r="83" spans="1:13" s="5" customFormat="1" ht="28.5" customHeight="1">
      <c r="A83" s="106">
        <f>A82+0.1</f>
        <v>3.1</v>
      </c>
      <c r="B83" s="224"/>
      <c r="C83" s="76" t="s">
        <v>50</v>
      </c>
      <c r="D83" s="75" t="s">
        <v>13</v>
      </c>
      <c r="E83" s="109">
        <f>18/10</f>
        <v>1.8</v>
      </c>
      <c r="F83" s="71">
        <f>E83*F82</f>
        <v>73.44</v>
      </c>
      <c r="G83" s="479"/>
      <c r="H83" s="108">
        <f t="shared" si="0"/>
        <v>0</v>
      </c>
      <c r="I83" s="1352"/>
      <c r="J83" s="1500">
        <f t="shared" si="1"/>
        <v>0</v>
      </c>
      <c r="K83" s="1352"/>
      <c r="L83" s="1500">
        <f t="shared" si="2"/>
        <v>0</v>
      </c>
      <c r="M83" s="1500">
        <f t="shared" si="3"/>
        <v>0</v>
      </c>
    </row>
    <row r="84" spans="1:13" s="5" customFormat="1" ht="28.5" customHeight="1">
      <c r="A84" s="106">
        <f>A83+0.1</f>
        <v>3.2</v>
      </c>
      <c r="B84" s="213"/>
      <c r="C84" s="76" t="s">
        <v>42</v>
      </c>
      <c r="D84" s="115" t="s">
        <v>810</v>
      </c>
      <c r="E84" s="109">
        <f>11/10</f>
        <v>1.1000000000000001</v>
      </c>
      <c r="F84" s="89">
        <f>E84*F82</f>
        <v>44.88</v>
      </c>
      <c r="G84" s="479"/>
      <c r="H84" s="108">
        <f t="shared" si="0"/>
        <v>0</v>
      </c>
      <c r="I84" s="1352"/>
      <c r="J84" s="1500">
        <f t="shared" si="1"/>
        <v>0</v>
      </c>
      <c r="K84" s="1352"/>
      <c r="L84" s="1500">
        <f t="shared" si="2"/>
        <v>0</v>
      </c>
      <c r="M84" s="1500">
        <f t="shared" si="3"/>
        <v>0</v>
      </c>
    </row>
    <row r="85" spans="1:13" s="4" customFormat="1" ht="51" customHeight="1">
      <c r="A85" s="100">
        <v>4</v>
      </c>
      <c r="B85" s="281"/>
      <c r="C85" s="453" t="s">
        <v>217</v>
      </c>
      <c r="D85" s="101" t="s">
        <v>812</v>
      </c>
      <c r="E85" s="122"/>
      <c r="F85" s="104">
        <v>22</v>
      </c>
      <c r="G85" s="478"/>
      <c r="H85" s="108">
        <f t="shared" si="0"/>
        <v>0</v>
      </c>
      <c r="I85" s="1356"/>
      <c r="J85" s="1500">
        <f t="shared" si="1"/>
        <v>0</v>
      </c>
      <c r="K85" s="1356"/>
      <c r="L85" s="1500">
        <f t="shared" si="2"/>
        <v>0</v>
      </c>
      <c r="M85" s="1500">
        <f t="shared" si="3"/>
        <v>0</v>
      </c>
    </row>
    <row r="86" spans="1:13" s="5" customFormat="1" ht="31.5" customHeight="1">
      <c r="A86" s="106">
        <f>A85+0.1</f>
        <v>4.0999999999999996</v>
      </c>
      <c r="B86" s="224"/>
      <c r="C86" s="76" t="s">
        <v>50</v>
      </c>
      <c r="D86" s="75" t="s">
        <v>13</v>
      </c>
      <c r="E86" s="109">
        <f>18/10</f>
        <v>1.8</v>
      </c>
      <c r="F86" s="71">
        <f>E86*F85</f>
        <v>39.6</v>
      </c>
      <c r="G86" s="479"/>
      <c r="H86" s="108">
        <f t="shared" si="0"/>
        <v>0</v>
      </c>
      <c r="I86" s="1352"/>
      <c r="J86" s="1500">
        <f t="shared" si="1"/>
        <v>0</v>
      </c>
      <c r="K86" s="1352"/>
      <c r="L86" s="1500">
        <f t="shared" si="2"/>
        <v>0</v>
      </c>
      <c r="M86" s="1500">
        <f t="shared" si="3"/>
        <v>0</v>
      </c>
    </row>
    <row r="87" spans="1:13" s="5" customFormat="1" ht="31.5" customHeight="1">
      <c r="A87" s="106">
        <f>A86+0.1</f>
        <v>4.1999999999999993</v>
      </c>
      <c r="B87" s="229"/>
      <c r="C87" s="76" t="s">
        <v>218</v>
      </c>
      <c r="D87" s="115" t="s">
        <v>810</v>
      </c>
      <c r="E87" s="109">
        <f>11/10</f>
        <v>1.1000000000000001</v>
      </c>
      <c r="F87" s="89">
        <f>E87*F85</f>
        <v>24.200000000000003</v>
      </c>
      <c r="G87" s="479"/>
      <c r="H87" s="108">
        <f t="shared" si="0"/>
        <v>0</v>
      </c>
      <c r="I87" s="1352"/>
      <c r="J87" s="1500">
        <f t="shared" si="1"/>
        <v>0</v>
      </c>
      <c r="K87" s="1352"/>
      <c r="L87" s="1500">
        <f t="shared" si="2"/>
        <v>0</v>
      </c>
      <c r="M87" s="1500">
        <f t="shared" si="3"/>
        <v>0</v>
      </c>
    </row>
    <row r="88" spans="1:13" s="49" customFormat="1" ht="31.5" customHeight="1">
      <c r="A88" s="225">
        <v>5</v>
      </c>
      <c r="B88" s="226"/>
      <c r="C88" s="121" t="s">
        <v>416</v>
      </c>
      <c r="D88" s="101" t="s">
        <v>16</v>
      </c>
      <c r="E88" s="227"/>
      <c r="F88" s="476">
        <f>43.5*1.85</f>
        <v>80.475000000000009</v>
      </c>
      <c r="G88" s="478"/>
      <c r="H88" s="108">
        <f t="shared" si="0"/>
        <v>0</v>
      </c>
      <c r="I88" s="108"/>
      <c r="J88" s="1500">
        <f t="shared" si="1"/>
        <v>0</v>
      </c>
      <c r="K88" s="108"/>
      <c r="L88" s="1500">
        <f t="shared" si="2"/>
        <v>0</v>
      </c>
      <c r="M88" s="1500">
        <f t="shared" si="3"/>
        <v>0</v>
      </c>
    </row>
    <row r="89" spans="1:13" s="49" customFormat="1" ht="31.5" customHeight="1">
      <c r="A89" s="106">
        <f>A88+0.1</f>
        <v>5.0999999999999996</v>
      </c>
      <c r="B89" s="224"/>
      <c r="C89" s="76" t="s">
        <v>219</v>
      </c>
      <c r="D89" s="115" t="s">
        <v>16</v>
      </c>
      <c r="E89" s="89">
        <v>1</v>
      </c>
      <c r="F89" s="103">
        <f>E89*F88</f>
        <v>80.475000000000009</v>
      </c>
      <c r="G89" s="479"/>
      <c r="H89" s="108">
        <f t="shared" si="0"/>
        <v>0</v>
      </c>
      <c r="I89" s="108"/>
      <c r="J89" s="1500">
        <f t="shared" si="1"/>
        <v>0</v>
      </c>
      <c r="K89" s="108"/>
      <c r="L89" s="1500">
        <f t="shared" si="2"/>
        <v>0</v>
      </c>
      <c r="M89" s="1500">
        <f t="shared" si="3"/>
        <v>0</v>
      </c>
    </row>
    <row r="90" spans="1:13" s="4" customFormat="1" ht="31.5" customHeight="1">
      <c r="A90" s="120" t="s">
        <v>122</v>
      </c>
      <c r="B90" s="260"/>
      <c r="C90" s="68" t="s">
        <v>420</v>
      </c>
      <c r="D90" s="120" t="s">
        <v>203</v>
      </c>
      <c r="E90" s="122"/>
      <c r="F90" s="123">
        <v>0</v>
      </c>
      <c r="G90" s="478"/>
      <c r="H90" s="108">
        <f t="shared" si="0"/>
        <v>0</v>
      </c>
      <c r="I90" s="1356"/>
      <c r="J90" s="1500">
        <f t="shared" si="1"/>
        <v>0</v>
      </c>
      <c r="K90" s="1356"/>
      <c r="L90" s="1500">
        <f t="shared" si="2"/>
        <v>0</v>
      </c>
      <c r="M90" s="1500">
        <f t="shared" si="3"/>
        <v>0</v>
      </c>
    </row>
    <row r="91" spans="1:13" s="5" customFormat="1" ht="31.5" customHeight="1">
      <c r="A91" s="106">
        <f>A90+0.1</f>
        <v>7.1</v>
      </c>
      <c r="B91" s="224"/>
      <c r="C91" s="76" t="s">
        <v>50</v>
      </c>
      <c r="D91" s="108" t="s">
        <v>13</v>
      </c>
      <c r="E91" s="472">
        <v>1.6</v>
      </c>
      <c r="F91" s="71">
        <f>E91*F90</f>
        <v>0</v>
      </c>
      <c r="G91" s="479"/>
      <c r="H91" s="108">
        <f t="shared" si="0"/>
        <v>0</v>
      </c>
      <c r="I91" s="1352"/>
      <c r="J91" s="1500">
        <f t="shared" si="1"/>
        <v>0</v>
      </c>
      <c r="K91" s="1352"/>
      <c r="L91" s="1500">
        <f t="shared" si="2"/>
        <v>0</v>
      </c>
      <c r="M91" s="1500">
        <f t="shared" si="3"/>
        <v>0</v>
      </c>
    </row>
    <row r="92" spans="1:13" s="5" customFormat="1" ht="31.5" customHeight="1">
      <c r="A92" s="106">
        <f>A91+0.1</f>
        <v>7.1999999999999993</v>
      </c>
      <c r="B92" s="224"/>
      <c r="C92" s="97" t="s">
        <v>140</v>
      </c>
      <c r="D92" s="108" t="s">
        <v>14</v>
      </c>
      <c r="E92" s="472">
        <v>0.14799999999999999</v>
      </c>
      <c r="F92" s="71">
        <f>E92*F90</f>
        <v>0</v>
      </c>
      <c r="G92" s="479"/>
      <c r="H92" s="108">
        <f t="shared" si="0"/>
        <v>0</v>
      </c>
      <c r="I92" s="1352"/>
      <c r="J92" s="1500">
        <f t="shared" si="1"/>
        <v>0</v>
      </c>
      <c r="K92" s="108"/>
      <c r="L92" s="1500">
        <f t="shared" si="2"/>
        <v>0</v>
      </c>
      <c r="M92" s="1500">
        <f t="shared" si="3"/>
        <v>0</v>
      </c>
    </row>
    <row r="93" spans="1:13" s="5" customFormat="1" ht="31.5" customHeight="1">
      <c r="A93" s="106">
        <f>A92+0.1</f>
        <v>7.2999999999999989</v>
      </c>
      <c r="B93" s="224"/>
      <c r="C93" s="64" t="s">
        <v>419</v>
      </c>
      <c r="D93" s="75" t="s">
        <v>207</v>
      </c>
      <c r="E93" s="89">
        <v>1</v>
      </c>
      <c r="F93" s="71">
        <f>E93*F90</f>
        <v>0</v>
      </c>
      <c r="G93" s="479"/>
      <c r="H93" s="108">
        <f t="shared" si="0"/>
        <v>0</v>
      </c>
      <c r="I93" s="1352"/>
      <c r="J93" s="1500">
        <f t="shared" si="1"/>
        <v>0</v>
      </c>
      <c r="K93" s="1352"/>
      <c r="L93" s="1500">
        <f t="shared" si="2"/>
        <v>0</v>
      </c>
      <c r="M93" s="1500">
        <f t="shared" si="3"/>
        <v>0</v>
      </c>
    </row>
    <row r="94" spans="1:13" s="5" customFormat="1" ht="31.5" customHeight="1">
      <c r="A94" s="106">
        <f>A93+0.1</f>
        <v>7.3999999999999986</v>
      </c>
      <c r="B94" s="473"/>
      <c r="C94" s="64" t="s">
        <v>65</v>
      </c>
      <c r="D94" s="63" t="s">
        <v>14</v>
      </c>
      <c r="E94" s="472">
        <v>0.128</v>
      </c>
      <c r="F94" s="71">
        <f>E94*F93</f>
        <v>0</v>
      </c>
      <c r="G94" s="1517"/>
      <c r="H94" s="108">
        <f t="shared" si="0"/>
        <v>0</v>
      </c>
      <c r="I94" s="1352"/>
      <c r="J94" s="1500">
        <f t="shared" si="1"/>
        <v>0</v>
      </c>
      <c r="K94" s="1352"/>
      <c r="L94" s="1500">
        <f t="shared" si="2"/>
        <v>0</v>
      </c>
      <c r="M94" s="1500">
        <f t="shared" si="3"/>
        <v>0</v>
      </c>
    </row>
    <row r="95" spans="1:13" ht="31.5" customHeight="1">
      <c r="A95" s="67">
        <v>8</v>
      </c>
      <c r="B95" s="211"/>
      <c r="C95" s="68" t="s">
        <v>418</v>
      </c>
      <c r="D95" s="67" t="s">
        <v>56</v>
      </c>
      <c r="E95" s="61"/>
      <c r="F95" s="477">
        <f>185.5/100</f>
        <v>1.855</v>
      </c>
      <c r="G95" s="1290"/>
      <c r="H95" s="108">
        <f t="shared" si="0"/>
        <v>0</v>
      </c>
      <c r="I95" s="1289"/>
      <c r="J95" s="1500">
        <f t="shared" si="1"/>
        <v>0</v>
      </c>
      <c r="K95" s="1289"/>
      <c r="L95" s="1500">
        <f t="shared" si="2"/>
        <v>0</v>
      </c>
      <c r="M95" s="1500">
        <f t="shared" si="3"/>
        <v>0</v>
      </c>
    </row>
    <row r="96" spans="1:13" ht="31.5" customHeight="1">
      <c r="A96" s="63">
        <f>A95+0.1</f>
        <v>8.1</v>
      </c>
      <c r="B96" s="224"/>
      <c r="C96" s="76" t="s">
        <v>50</v>
      </c>
      <c r="D96" s="108" t="s">
        <v>13</v>
      </c>
      <c r="E96" s="62">
        <v>12</v>
      </c>
      <c r="F96" s="62">
        <f>E96*F95</f>
        <v>22.259999999999998</v>
      </c>
      <c r="G96" s="1290"/>
      <c r="H96" s="108">
        <f t="shared" si="0"/>
        <v>0</v>
      </c>
      <c r="I96" s="1289"/>
      <c r="J96" s="1500">
        <f t="shared" si="1"/>
        <v>0</v>
      </c>
      <c r="K96" s="1289"/>
      <c r="L96" s="1500">
        <f t="shared" si="2"/>
        <v>0</v>
      </c>
      <c r="M96" s="1500">
        <f t="shared" si="3"/>
        <v>0</v>
      </c>
    </row>
    <row r="97" spans="1:13" ht="31.5" customHeight="1">
      <c r="A97" s="63">
        <f>A96+0.1</f>
        <v>8.1999999999999993</v>
      </c>
      <c r="B97" s="224"/>
      <c r="C97" s="97" t="s">
        <v>140</v>
      </c>
      <c r="D97" s="108" t="s">
        <v>14</v>
      </c>
      <c r="E97" s="61">
        <v>0.14000000000000001</v>
      </c>
      <c r="F97" s="62">
        <f>F95*E97</f>
        <v>0.25970000000000004</v>
      </c>
      <c r="G97" s="1290"/>
      <c r="H97" s="108">
        <f t="shared" si="0"/>
        <v>0</v>
      </c>
      <c r="I97" s="1289"/>
      <c r="J97" s="1500">
        <f t="shared" si="1"/>
        <v>0</v>
      </c>
      <c r="K97" s="1289"/>
      <c r="L97" s="1500">
        <f t="shared" si="2"/>
        <v>0</v>
      </c>
      <c r="M97" s="1500">
        <f t="shared" si="3"/>
        <v>0</v>
      </c>
    </row>
    <row r="98" spans="1:13" ht="31.5" customHeight="1">
      <c r="A98" s="63">
        <f>A97+0.1</f>
        <v>8.2999999999999989</v>
      </c>
      <c r="B98" s="211"/>
      <c r="C98" s="64" t="s">
        <v>417</v>
      </c>
      <c r="D98" s="63" t="s">
        <v>55</v>
      </c>
      <c r="E98" s="61">
        <v>100</v>
      </c>
      <c r="F98" s="62">
        <f>F95*E98</f>
        <v>185.5</v>
      </c>
      <c r="G98" s="1290"/>
      <c r="H98" s="108">
        <f t="shared" si="0"/>
        <v>0</v>
      </c>
      <c r="I98" s="1289"/>
      <c r="J98" s="1500">
        <f t="shared" si="1"/>
        <v>0</v>
      </c>
      <c r="K98" s="1289"/>
      <c r="L98" s="1500">
        <f t="shared" si="2"/>
        <v>0</v>
      </c>
      <c r="M98" s="1500">
        <f t="shared" si="3"/>
        <v>0</v>
      </c>
    </row>
    <row r="99" spans="1:13" s="4" customFormat="1" ht="31.5" customHeight="1">
      <c r="A99" s="120" t="s">
        <v>123</v>
      </c>
      <c r="B99" s="260"/>
      <c r="C99" s="68" t="s">
        <v>421</v>
      </c>
      <c r="D99" s="120" t="s">
        <v>203</v>
      </c>
      <c r="E99" s="122"/>
      <c r="F99" s="123">
        <v>201.5</v>
      </c>
      <c r="G99" s="478"/>
      <c r="H99" s="108">
        <f t="shared" si="0"/>
        <v>0</v>
      </c>
      <c r="I99" s="1356"/>
      <c r="J99" s="1500">
        <f t="shared" si="1"/>
        <v>0</v>
      </c>
      <c r="K99" s="1356"/>
      <c r="L99" s="1500">
        <f t="shared" si="2"/>
        <v>0</v>
      </c>
      <c r="M99" s="1500">
        <f t="shared" si="3"/>
        <v>0</v>
      </c>
    </row>
    <row r="100" spans="1:13" s="5" customFormat="1" ht="31.5" customHeight="1">
      <c r="A100" s="106">
        <f>A99+0.1</f>
        <v>8.1</v>
      </c>
      <c r="B100" s="224"/>
      <c r="C100" s="76" t="s">
        <v>50</v>
      </c>
      <c r="D100" s="108" t="s">
        <v>13</v>
      </c>
      <c r="E100" s="472">
        <v>1.6</v>
      </c>
      <c r="F100" s="71">
        <f>E100*F99</f>
        <v>322.40000000000003</v>
      </c>
      <c r="G100" s="479"/>
      <c r="H100" s="108">
        <f t="shared" ref="H100:H172" si="33">F100*G100</f>
        <v>0</v>
      </c>
      <c r="I100" s="1352"/>
      <c r="J100" s="1500">
        <f t="shared" ref="J100:J172" si="34">F100*I100</f>
        <v>0</v>
      </c>
      <c r="K100" s="1352"/>
      <c r="L100" s="1500">
        <f t="shared" ref="L100:L172" si="35">F100*K100</f>
        <v>0</v>
      </c>
      <c r="M100" s="1500">
        <f t="shared" ref="M100:M172" si="36">H100+J100+L100</f>
        <v>0</v>
      </c>
    </row>
    <row r="101" spans="1:13" s="5" customFormat="1" ht="31.5" customHeight="1">
      <c r="A101" s="106">
        <f>A100+0.1</f>
        <v>8.1999999999999993</v>
      </c>
      <c r="B101" s="224"/>
      <c r="C101" s="97" t="s">
        <v>140</v>
      </c>
      <c r="D101" s="108" t="s">
        <v>14</v>
      </c>
      <c r="E101" s="472">
        <v>0.14799999999999999</v>
      </c>
      <c r="F101" s="71">
        <f>E101*F99</f>
        <v>29.821999999999999</v>
      </c>
      <c r="G101" s="479"/>
      <c r="H101" s="108">
        <f t="shared" si="33"/>
        <v>0</v>
      </c>
      <c r="I101" s="1352"/>
      <c r="J101" s="1500">
        <f t="shared" si="34"/>
        <v>0</v>
      </c>
      <c r="K101" s="108"/>
      <c r="L101" s="1500">
        <f t="shared" si="35"/>
        <v>0</v>
      </c>
      <c r="M101" s="1500">
        <f t="shared" si="36"/>
        <v>0</v>
      </c>
    </row>
    <row r="102" spans="1:13" s="5" customFormat="1" ht="31.5" customHeight="1">
      <c r="A102" s="106">
        <f>A101+0.1</f>
        <v>8.2999999999999989</v>
      </c>
      <c r="B102" s="224"/>
      <c r="C102" s="64" t="s">
        <v>765</v>
      </c>
      <c r="D102" s="75" t="s">
        <v>207</v>
      </c>
      <c r="E102" s="89">
        <v>1</v>
      </c>
      <c r="F102" s="71">
        <f>E102*F99</f>
        <v>201.5</v>
      </c>
      <c r="G102" s="479"/>
      <c r="H102" s="108">
        <f t="shared" si="33"/>
        <v>0</v>
      </c>
      <c r="I102" s="1352"/>
      <c r="J102" s="1500">
        <f t="shared" si="34"/>
        <v>0</v>
      </c>
      <c r="K102" s="1352"/>
      <c r="L102" s="1500">
        <f t="shared" si="35"/>
        <v>0</v>
      </c>
      <c r="M102" s="1500">
        <f t="shared" si="36"/>
        <v>0</v>
      </c>
    </row>
    <row r="103" spans="1:13" s="5" customFormat="1" ht="31.5" customHeight="1">
      <c r="A103" s="106">
        <f>A102+0.1</f>
        <v>8.3999999999999986</v>
      </c>
      <c r="B103" s="473"/>
      <c r="C103" s="64" t="s">
        <v>65</v>
      </c>
      <c r="D103" s="63" t="s">
        <v>14</v>
      </c>
      <c r="E103" s="472">
        <v>0.128</v>
      </c>
      <c r="F103" s="71">
        <f>E103*F99</f>
        <v>25.792000000000002</v>
      </c>
      <c r="G103" s="1517"/>
      <c r="H103" s="108">
        <f t="shared" si="33"/>
        <v>0</v>
      </c>
      <c r="I103" s="1352"/>
      <c r="J103" s="1500">
        <f t="shared" si="34"/>
        <v>0</v>
      </c>
      <c r="K103" s="1352"/>
      <c r="L103" s="1500">
        <f t="shared" si="35"/>
        <v>0</v>
      </c>
      <c r="M103" s="1500">
        <f t="shared" si="36"/>
        <v>0</v>
      </c>
    </row>
    <row r="104" spans="1:13" s="4" customFormat="1" ht="31.5" customHeight="1">
      <c r="A104" s="120" t="s">
        <v>128</v>
      </c>
      <c r="B104" s="260"/>
      <c r="C104" s="68" t="s">
        <v>423</v>
      </c>
      <c r="D104" s="120" t="s">
        <v>203</v>
      </c>
      <c r="E104" s="122"/>
      <c r="F104" s="123">
        <v>82</v>
      </c>
      <c r="G104" s="478"/>
      <c r="H104" s="108">
        <f t="shared" si="33"/>
        <v>0</v>
      </c>
      <c r="I104" s="1356"/>
      <c r="J104" s="1500">
        <f t="shared" si="34"/>
        <v>0</v>
      </c>
      <c r="K104" s="1356"/>
      <c r="L104" s="1500">
        <f t="shared" si="35"/>
        <v>0</v>
      </c>
      <c r="M104" s="1500">
        <f t="shared" si="36"/>
        <v>0</v>
      </c>
    </row>
    <row r="105" spans="1:13" s="5" customFormat="1" ht="31.5" customHeight="1">
      <c r="A105" s="106">
        <f>A104+0.1</f>
        <v>9.1</v>
      </c>
      <c r="B105" s="224"/>
      <c r="C105" s="76" t="s">
        <v>50</v>
      </c>
      <c r="D105" s="108" t="s">
        <v>13</v>
      </c>
      <c r="E105" s="472">
        <v>1.6</v>
      </c>
      <c r="F105" s="71">
        <f>E105*F104</f>
        <v>131.20000000000002</v>
      </c>
      <c r="G105" s="479"/>
      <c r="H105" s="108">
        <f t="shared" si="33"/>
        <v>0</v>
      </c>
      <c r="I105" s="1352"/>
      <c r="J105" s="1500">
        <f t="shared" si="34"/>
        <v>0</v>
      </c>
      <c r="K105" s="1352"/>
      <c r="L105" s="1500">
        <f t="shared" si="35"/>
        <v>0</v>
      </c>
      <c r="M105" s="1500">
        <f t="shared" si="36"/>
        <v>0</v>
      </c>
    </row>
    <row r="106" spans="1:13" s="5" customFormat="1" ht="31.5" customHeight="1">
      <c r="A106" s="106">
        <f>A105+0.1</f>
        <v>9.1999999999999993</v>
      </c>
      <c r="B106" s="224"/>
      <c r="C106" s="97" t="s">
        <v>140</v>
      </c>
      <c r="D106" s="108" t="s">
        <v>14</v>
      </c>
      <c r="E106" s="472">
        <v>0.14799999999999999</v>
      </c>
      <c r="F106" s="71">
        <f>E106*F104</f>
        <v>12.135999999999999</v>
      </c>
      <c r="G106" s="479"/>
      <c r="H106" s="108">
        <f t="shared" si="33"/>
        <v>0</v>
      </c>
      <c r="I106" s="1352"/>
      <c r="J106" s="1500">
        <f t="shared" si="34"/>
        <v>0</v>
      </c>
      <c r="K106" s="108"/>
      <c r="L106" s="1500">
        <f t="shared" si="35"/>
        <v>0</v>
      </c>
      <c r="M106" s="1500">
        <f t="shared" si="36"/>
        <v>0</v>
      </c>
    </row>
    <row r="107" spans="1:13" s="5" customFormat="1" ht="31.5" customHeight="1">
      <c r="A107" s="106">
        <f>A106+0.1</f>
        <v>9.2999999999999989</v>
      </c>
      <c r="B107" s="224"/>
      <c r="C107" s="64" t="s">
        <v>424</v>
      </c>
      <c r="D107" s="75" t="s">
        <v>207</v>
      </c>
      <c r="E107" s="89">
        <v>1</v>
      </c>
      <c r="F107" s="71">
        <f>E107*F104</f>
        <v>82</v>
      </c>
      <c r="G107" s="479"/>
      <c r="H107" s="108">
        <f t="shared" si="33"/>
        <v>0</v>
      </c>
      <c r="I107" s="1352"/>
      <c r="J107" s="1500">
        <f t="shared" si="34"/>
        <v>0</v>
      </c>
      <c r="K107" s="1352"/>
      <c r="L107" s="1500">
        <f t="shared" si="35"/>
        <v>0</v>
      </c>
      <c r="M107" s="1500">
        <f t="shared" si="36"/>
        <v>0</v>
      </c>
    </row>
    <row r="108" spans="1:13" s="5" customFormat="1" ht="31.5" customHeight="1">
      <c r="A108" s="106">
        <f>A107+0.1</f>
        <v>9.3999999999999986</v>
      </c>
      <c r="B108" s="473"/>
      <c r="C108" s="64" t="s">
        <v>65</v>
      </c>
      <c r="D108" s="63" t="s">
        <v>14</v>
      </c>
      <c r="E108" s="472">
        <v>0.128</v>
      </c>
      <c r="F108" s="71">
        <f>E108*F104</f>
        <v>10.496</v>
      </c>
      <c r="G108" s="1517"/>
      <c r="H108" s="108">
        <f t="shared" si="33"/>
        <v>0</v>
      </c>
      <c r="I108" s="1352"/>
      <c r="J108" s="1500">
        <f t="shared" si="34"/>
        <v>0</v>
      </c>
      <c r="K108" s="1352"/>
      <c r="L108" s="1500">
        <f t="shared" si="35"/>
        <v>0</v>
      </c>
      <c r="M108" s="1500">
        <f t="shared" si="36"/>
        <v>0</v>
      </c>
    </row>
    <row r="109" spans="1:13" s="7" customFormat="1" ht="51" customHeight="1">
      <c r="A109" s="100">
        <v>10</v>
      </c>
      <c r="B109" s="478"/>
      <c r="C109" s="162" t="s">
        <v>212</v>
      </c>
      <c r="D109" s="161" t="s">
        <v>11</v>
      </c>
      <c r="E109" s="104"/>
      <c r="F109" s="104">
        <v>14</v>
      </c>
      <c r="G109" s="478"/>
      <c r="H109" s="108">
        <f t="shared" si="33"/>
        <v>0</v>
      </c>
      <c r="I109" s="108"/>
      <c r="J109" s="1500">
        <f t="shared" si="34"/>
        <v>0</v>
      </c>
      <c r="K109" s="108"/>
      <c r="L109" s="1500">
        <f t="shared" si="35"/>
        <v>0</v>
      </c>
      <c r="M109" s="1500">
        <f t="shared" si="36"/>
        <v>0</v>
      </c>
    </row>
    <row r="110" spans="1:13" s="7" customFormat="1" ht="25.5" customHeight="1">
      <c r="A110" s="100">
        <v>10</v>
      </c>
      <c r="B110" s="224"/>
      <c r="C110" s="76" t="s">
        <v>50</v>
      </c>
      <c r="D110" s="108" t="s">
        <v>13</v>
      </c>
      <c r="E110" s="89">
        <v>1.51</v>
      </c>
      <c r="F110" s="89">
        <f>E110*F109</f>
        <v>21.14</v>
      </c>
      <c r="G110" s="479"/>
      <c r="H110" s="108">
        <f t="shared" si="33"/>
        <v>0</v>
      </c>
      <c r="I110" s="108"/>
      <c r="J110" s="1500">
        <f t="shared" si="34"/>
        <v>0</v>
      </c>
      <c r="K110" s="108"/>
      <c r="L110" s="1500">
        <f t="shared" si="35"/>
        <v>0</v>
      </c>
      <c r="M110" s="1500">
        <f t="shared" si="36"/>
        <v>0</v>
      </c>
    </row>
    <row r="111" spans="1:13" s="7" customFormat="1" ht="25.5" customHeight="1">
      <c r="A111" s="100">
        <v>10</v>
      </c>
      <c r="B111" s="224"/>
      <c r="C111" s="97" t="s">
        <v>140</v>
      </c>
      <c r="D111" s="108" t="s">
        <v>14</v>
      </c>
      <c r="E111" s="89">
        <v>0.1</v>
      </c>
      <c r="F111" s="89">
        <f>E111*F109</f>
        <v>1.4000000000000001</v>
      </c>
      <c r="G111" s="479"/>
      <c r="H111" s="108">
        <f t="shared" si="33"/>
        <v>0</v>
      </c>
      <c r="I111" s="108"/>
      <c r="J111" s="1500">
        <f t="shared" si="34"/>
        <v>0</v>
      </c>
      <c r="K111" s="108"/>
      <c r="L111" s="1500">
        <f t="shared" si="35"/>
        <v>0</v>
      </c>
      <c r="M111" s="1500">
        <f t="shared" si="36"/>
        <v>0</v>
      </c>
    </row>
    <row r="112" spans="1:13" s="7" customFormat="1" ht="25.5" customHeight="1">
      <c r="A112" s="100">
        <v>10</v>
      </c>
      <c r="B112" s="479"/>
      <c r="C112" s="164" t="s">
        <v>425</v>
      </c>
      <c r="D112" s="108" t="s">
        <v>11</v>
      </c>
      <c r="E112" s="89" t="s">
        <v>20</v>
      </c>
      <c r="F112" s="89">
        <f>F109</f>
        <v>14</v>
      </c>
      <c r="G112" s="479"/>
      <c r="H112" s="108">
        <f t="shared" si="33"/>
        <v>0</v>
      </c>
      <c r="I112" s="108"/>
      <c r="J112" s="1500">
        <f t="shared" si="34"/>
        <v>0</v>
      </c>
      <c r="K112" s="108"/>
      <c r="L112" s="1500">
        <f t="shared" si="35"/>
        <v>0</v>
      </c>
      <c r="M112" s="1500">
        <f t="shared" si="36"/>
        <v>0</v>
      </c>
    </row>
    <row r="113" spans="1:13" s="7" customFormat="1" ht="25.5" customHeight="1">
      <c r="A113" s="100">
        <v>10</v>
      </c>
      <c r="B113" s="473"/>
      <c r="C113" s="64" t="s">
        <v>65</v>
      </c>
      <c r="D113" s="63" t="s">
        <v>14</v>
      </c>
      <c r="E113" s="89">
        <v>7.0000000000000007E-2</v>
      </c>
      <c r="F113" s="89">
        <f>E113*F109</f>
        <v>0.98000000000000009</v>
      </c>
      <c r="G113" s="1517"/>
      <c r="H113" s="108">
        <f t="shared" si="33"/>
        <v>0</v>
      </c>
      <c r="I113" s="108"/>
      <c r="J113" s="1500">
        <f t="shared" si="34"/>
        <v>0</v>
      </c>
      <c r="K113" s="108"/>
      <c r="L113" s="1500">
        <f t="shared" si="35"/>
        <v>0</v>
      </c>
      <c r="M113" s="1500">
        <f t="shared" si="36"/>
        <v>0</v>
      </c>
    </row>
    <row r="114" spans="1:13" s="8" customFormat="1" ht="25.5" customHeight="1">
      <c r="A114" s="168" t="s">
        <v>130</v>
      </c>
      <c r="B114" s="480"/>
      <c r="C114" s="177" t="s">
        <v>426</v>
      </c>
      <c r="D114" s="176" t="s">
        <v>204</v>
      </c>
      <c r="E114" s="481"/>
      <c r="F114" s="481">
        <v>1</v>
      </c>
      <c r="G114" s="1287"/>
      <c r="H114" s="108">
        <f t="shared" si="33"/>
        <v>0</v>
      </c>
      <c r="I114" s="261"/>
      <c r="J114" s="1500">
        <f t="shared" si="34"/>
        <v>0</v>
      </c>
      <c r="K114" s="261"/>
      <c r="L114" s="1500">
        <f t="shared" si="35"/>
        <v>0</v>
      </c>
      <c r="M114" s="1500">
        <f t="shared" si="36"/>
        <v>0</v>
      </c>
    </row>
    <row r="115" spans="1:13" s="8" customFormat="1" ht="25.5" customHeight="1">
      <c r="A115" s="85">
        <f>A114+0.1</f>
        <v>11.1</v>
      </c>
      <c r="B115" s="224"/>
      <c r="C115" s="76" t="s">
        <v>50</v>
      </c>
      <c r="D115" s="131" t="s">
        <v>13</v>
      </c>
      <c r="E115" s="132">
        <v>5.68</v>
      </c>
      <c r="F115" s="132">
        <f>F114*E115</f>
        <v>5.68</v>
      </c>
      <c r="G115" s="1290"/>
      <c r="H115" s="108">
        <f t="shared" si="33"/>
        <v>0</v>
      </c>
      <c r="I115" s="80"/>
      <c r="J115" s="1500">
        <f t="shared" si="34"/>
        <v>0</v>
      </c>
      <c r="K115" s="80"/>
      <c r="L115" s="1500">
        <f t="shared" si="35"/>
        <v>0</v>
      </c>
      <c r="M115" s="1500">
        <f t="shared" si="36"/>
        <v>0</v>
      </c>
    </row>
    <row r="116" spans="1:13" s="8" customFormat="1" ht="25.5" customHeight="1">
      <c r="A116" s="85">
        <f t="shared" ref="A116:A119" si="37">A115+0.1</f>
        <v>11.2</v>
      </c>
      <c r="B116" s="224"/>
      <c r="C116" s="97" t="s">
        <v>140</v>
      </c>
      <c r="D116" s="131" t="s">
        <v>14</v>
      </c>
      <c r="E116" s="132">
        <v>0.33</v>
      </c>
      <c r="F116" s="132">
        <f>F114*E116</f>
        <v>0.33</v>
      </c>
      <c r="G116" s="1290"/>
      <c r="H116" s="108">
        <f t="shared" si="33"/>
        <v>0</v>
      </c>
      <c r="I116" s="80"/>
      <c r="J116" s="1500">
        <f t="shared" si="34"/>
        <v>0</v>
      </c>
      <c r="K116" s="108"/>
      <c r="L116" s="1500">
        <f t="shared" si="35"/>
        <v>0</v>
      </c>
      <c r="M116" s="1500">
        <f t="shared" si="36"/>
        <v>0</v>
      </c>
    </row>
    <row r="117" spans="1:13" s="8" customFormat="1" ht="25.5" customHeight="1">
      <c r="A117" s="85">
        <f t="shared" si="37"/>
        <v>11.299999999999999</v>
      </c>
      <c r="B117" s="249"/>
      <c r="C117" s="133" t="s">
        <v>427</v>
      </c>
      <c r="D117" s="134" t="s">
        <v>11</v>
      </c>
      <c r="E117" s="482">
        <v>1</v>
      </c>
      <c r="F117" s="132">
        <f>F114*E117</f>
        <v>1</v>
      </c>
      <c r="G117" s="1290"/>
      <c r="H117" s="108">
        <f t="shared" si="33"/>
        <v>0</v>
      </c>
      <c r="I117" s="80"/>
      <c r="J117" s="1500">
        <f t="shared" si="34"/>
        <v>0</v>
      </c>
      <c r="K117" s="1500"/>
      <c r="L117" s="1500">
        <f t="shared" si="35"/>
        <v>0</v>
      </c>
      <c r="M117" s="1500">
        <f t="shared" si="36"/>
        <v>0</v>
      </c>
    </row>
    <row r="118" spans="1:13" s="8" customFormat="1" ht="25.5" customHeight="1">
      <c r="A118" s="85">
        <f t="shared" si="37"/>
        <v>11.399999999999999</v>
      </c>
      <c r="B118" s="483"/>
      <c r="C118" s="133" t="s">
        <v>237</v>
      </c>
      <c r="D118" s="134" t="s">
        <v>21</v>
      </c>
      <c r="E118" s="132">
        <v>2.6</v>
      </c>
      <c r="F118" s="132">
        <f>F114*E118</f>
        <v>2.6</v>
      </c>
      <c r="G118" s="1290"/>
      <c r="H118" s="108">
        <f t="shared" si="33"/>
        <v>0</v>
      </c>
      <c r="I118" s="80"/>
      <c r="J118" s="1500">
        <f t="shared" si="34"/>
        <v>0</v>
      </c>
      <c r="K118" s="80"/>
      <c r="L118" s="1500">
        <f t="shared" si="35"/>
        <v>0</v>
      </c>
      <c r="M118" s="1500">
        <f t="shared" si="36"/>
        <v>0</v>
      </c>
    </row>
    <row r="119" spans="1:13" s="8" customFormat="1" ht="25.5" customHeight="1">
      <c r="A119" s="85">
        <f t="shared" si="37"/>
        <v>11.499999999999998</v>
      </c>
      <c r="B119" s="473"/>
      <c r="C119" s="64" t="s">
        <v>65</v>
      </c>
      <c r="D119" s="63" t="s">
        <v>14</v>
      </c>
      <c r="E119" s="132">
        <v>1.3</v>
      </c>
      <c r="F119" s="132">
        <f>F114*E119</f>
        <v>1.3</v>
      </c>
      <c r="G119" s="1517"/>
      <c r="H119" s="108">
        <f t="shared" si="33"/>
        <v>0</v>
      </c>
      <c r="I119" s="80"/>
      <c r="J119" s="1500">
        <f t="shared" si="34"/>
        <v>0</v>
      </c>
      <c r="K119" s="80"/>
      <c r="L119" s="1500">
        <f t="shared" si="35"/>
        <v>0</v>
      </c>
      <c r="M119" s="1500">
        <f t="shared" si="36"/>
        <v>0</v>
      </c>
    </row>
    <row r="120" spans="1:13" s="19" customFormat="1" ht="51" customHeight="1">
      <c r="A120" s="484">
        <v>12</v>
      </c>
      <c r="B120" s="226"/>
      <c r="C120" s="114" t="s">
        <v>220</v>
      </c>
      <c r="D120" s="101" t="s">
        <v>11</v>
      </c>
      <c r="E120" s="227"/>
      <c r="F120" s="485">
        <v>1</v>
      </c>
      <c r="G120" s="478"/>
      <c r="H120" s="108">
        <f t="shared" si="33"/>
        <v>0</v>
      </c>
      <c r="I120" s="1352"/>
      <c r="J120" s="1500">
        <f t="shared" si="34"/>
        <v>0</v>
      </c>
      <c r="K120" s="1352"/>
      <c r="L120" s="1500">
        <f t="shared" si="35"/>
        <v>0</v>
      </c>
      <c r="M120" s="1500">
        <f t="shared" si="36"/>
        <v>0</v>
      </c>
    </row>
    <row r="121" spans="1:13" s="19" customFormat="1" ht="27.75" customHeight="1">
      <c r="A121" s="486">
        <f>A120+0.1</f>
        <v>12.1</v>
      </c>
      <c r="B121" s="224"/>
      <c r="C121" s="76" t="s">
        <v>50</v>
      </c>
      <c r="D121" s="75" t="s">
        <v>13</v>
      </c>
      <c r="E121" s="273">
        <v>1.34</v>
      </c>
      <c r="F121" s="487">
        <f>F120*E121</f>
        <v>1.34</v>
      </c>
      <c r="G121" s="479"/>
      <c r="H121" s="108">
        <f t="shared" si="33"/>
        <v>0</v>
      </c>
      <c r="I121" s="108"/>
      <c r="J121" s="1500">
        <f t="shared" si="34"/>
        <v>0</v>
      </c>
      <c r="K121" s="1352"/>
      <c r="L121" s="1500">
        <f t="shared" si="35"/>
        <v>0</v>
      </c>
      <c r="M121" s="1500">
        <f t="shared" si="36"/>
        <v>0</v>
      </c>
    </row>
    <row r="122" spans="1:13" s="19" customFormat="1" ht="27.75" customHeight="1">
      <c r="A122" s="486">
        <f t="shared" ref="A122:A124" si="38">A121+0.1</f>
        <v>12.2</v>
      </c>
      <c r="B122" s="224"/>
      <c r="C122" s="97" t="s">
        <v>140</v>
      </c>
      <c r="D122" s="488" t="s">
        <v>52</v>
      </c>
      <c r="E122" s="273">
        <v>0.06</v>
      </c>
      <c r="F122" s="103">
        <f>F120*E122</f>
        <v>0.06</v>
      </c>
      <c r="G122" s="479"/>
      <c r="H122" s="108">
        <f t="shared" si="33"/>
        <v>0</v>
      </c>
      <c r="I122" s="1352"/>
      <c r="J122" s="1500">
        <f t="shared" si="34"/>
        <v>0</v>
      </c>
      <c r="K122" s="108"/>
      <c r="L122" s="1500">
        <f t="shared" si="35"/>
        <v>0</v>
      </c>
      <c r="M122" s="1500">
        <f t="shared" si="36"/>
        <v>0</v>
      </c>
    </row>
    <row r="123" spans="1:13" s="19" customFormat="1" ht="27.75" customHeight="1">
      <c r="A123" s="486">
        <f t="shared" si="38"/>
        <v>12.299999999999999</v>
      </c>
      <c r="B123" s="489"/>
      <c r="C123" s="490" t="s">
        <v>221</v>
      </c>
      <c r="D123" s="115" t="s">
        <v>11</v>
      </c>
      <c r="E123" s="103" t="s">
        <v>20</v>
      </c>
      <c r="F123" s="491">
        <v>1</v>
      </c>
      <c r="G123" s="1530"/>
      <c r="H123" s="108">
        <f t="shared" si="33"/>
        <v>0</v>
      </c>
      <c r="I123" s="1352"/>
      <c r="J123" s="1500">
        <f t="shared" si="34"/>
        <v>0</v>
      </c>
      <c r="K123" s="1352"/>
      <c r="L123" s="1500">
        <f t="shared" si="35"/>
        <v>0</v>
      </c>
      <c r="M123" s="1500">
        <f t="shared" si="36"/>
        <v>0</v>
      </c>
    </row>
    <row r="124" spans="1:13" s="19" customFormat="1" ht="27.75" customHeight="1">
      <c r="A124" s="486">
        <f t="shared" si="38"/>
        <v>12.399999999999999</v>
      </c>
      <c r="B124" s="473"/>
      <c r="C124" s="64" t="s">
        <v>65</v>
      </c>
      <c r="D124" s="63" t="s">
        <v>14</v>
      </c>
      <c r="E124" s="273">
        <v>0.18</v>
      </c>
      <c r="F124" s="103">
        <f>F120*E124</f>
        <v>0.18</v>
      </c>
      <c r="G124" s="1517"/>
      <c r="H124" s="108">
        <f t="shared" si="33"/>
        <v>0</v>
      </c>
      <c r="I124" s="1352"/>
      <c r="J124" s="1500">
        <f t="shared" si="34"/>
        <v>0</v>
      </c>
      <c r="K124" s="1352"/>
      <c r="L124" s="1500">
        <f t="shared" si="35"/>
        <v>0</v>
      </c>
      <c r="M124" s="1500">
        <f t="shared" si="36"/>
        <v>0</v>
      </c>
    </row>
    <row r="125" spans="1:13" s="8" customFormat="1" ht="27.75" customHeight="1">
      <c r="A125" s="127" t="s">
        <v>208</v>
      </c>
      <c r="B125" s="260"/>
      <c r="C125" s="128" t="s">
        <v>766</v>
      </c>
      <c r="D125" s="127" t="s">
        <v>49</v>
      </c>
      <c r="E125" s="129"/>
      <c r="F125" s="129">
        <v>14</v>
      </c>
      <c r="G125" s="1287"/>
      <c r="H125" s="108">
        <f t="shared" ref="H125:H134" si="39">F125*G125</f>
        <v>0</v>
      </c>
      <c r="I125" s="261"/>
      <c r="J125" s="1500">
        <f t="shared" ref="J125:J134" si="40">F125*I125</f>
        <v>0</v>
      </c>
      <c r="K125" s="261"/>
      <c r="L125" s="1500">
        <f t="shared" ref="L125:L134" si="41">F125*K125</f>
        <v>0</v>
      </c>
      <c r="M125" s="1500">
        <f t="shared" ref="M125:M134" si="42">H125+J125+L125</f>
        <v>0</v>
      </c>
    </row>
    <row r="126" spans="1:13" s="8" customFormat="1" ht="27.75" customHeight="1">
      <c r="A126" s="85">
        <f>A125+0.1</f>
        <v>13.1</v>
      </c>
      <c r="B126" s="224"/>
      <c r="C126" s="76" t="s">
        <v>50</v>
      </c>
      <c r="D126" s="131" t="s">
        <v>13</v>
      </c>
      <c r="E126" s="132">
        <v>1.51</v>
      </c>
      <c r="F126" s="132">
        <f>F125*E126</f>
        <v>21.14</v>
      </c>
      <c r="G126" s="1290"/>
      <c r="H126" s="108">
        <f t="shared" si="39"/>
        <v>0</v>
      </c>
      <c r="I126" s="80"/>
      <c r="J126" s="1500">
        <f t="shared" si="40"/>
        <v>0</v>
      </c>
      <c r="K126" s="80"/>
      <c r="L126" s="1500">
        <f t="shared" si="41"/>
        <v>0</v>
      </c>
      <c r="M126" s="1500">
        <f t="shared" si="42"/>
        <v>0</v>
      </c>
    </row>
    <row r="127" spans="1:13" s="8" customFormat="1" ht="27.75" customHeight="1">
      <c r="A127" s="85">
        <f t="shared" ref="A127:A129" si="43">A126+0.1</f>
        <v>13.2</v>
      </c>
      <c r="B127" s="224"/>
      <c r="C127" s="97" t="s">
        <v>140</v>
      </c>
      <c r="D127" s="131" t="s">
        <v>14</v>
      </c>
      <c r="E127" s="132">
        <v>0.13</v>
      </c>
      <c r="F127" s="132">
        <f>F125*E127</f>
        <v>1.82</v>
      </c>
      <c r="G127" s="1290"/>
      <c r="H127" s="108">
        <f t="shared" si="39"/>
        <v>0</v>
      </c>
      <c r="I127" s="80"/>
      <c r="J127" s="1500">
        <f t="shared" si="40"/>
        <v>0</v>
      </c>
      <c r="K127" s="108"/>
      <c r="L127" s="1500">
        <f t="shared" si="41"/>
        <v>0</v>
      </c>
      <c r="M127" s="1500">
        <f t="shared" si="42"/>
        <v>0</v>
      </c>
    </row>
    <row r="128" spans="1:13" s="8" customFormat="1" ht="27.75" customHeight="1">
      <c r="A128" s="85">
        <f t="shared" si="43"/>
        <v>13.299999999999999</v>
      </c>
      <c r="B128" s="249"/>
      <c r="C128" s="133" t="s">
        <v>766</v>
      </c>
      <c r="D128" s="134" t="s">
        <v>49</v>
      </c>
      <c r="E128" s="132"/>
      <c r="F128" s="132">
        <f>F125</f>
        <v>14</v>
      </c>
      <c r="G128" s="1290"/>
      <c r="H128" s="108">
        <f t="shared" si="39"/>
        <v>0</v>
      </c>
      <c r="I128" s="80"/>
      <c r="J128" s="1500">
        <f t="shared" si="40"/>
        <v>0</v>
      </c>
      <c r="K128" s="80"/>
      <c r="L128" s="1500">
        <f t="shared" si="41"/>
        <v>0</v>
      </c>
      <c r="M128" s="1500">
        <f t="shared" si="42"/>
        <v>0</v>
      </c>
    </row>
    <row r="129" spans="1:13" s="8" customFormat="1" ht="27.75" customHeight="1">
      <c r="A129" s="85">
        <f t="shared" si="43"/>
        <v>13.399999999999999</v>
      </c>
      <c r="B129" s="473"/>
      <c r="C129" s="64" t="s">
        <v>65</v>
      </c>
      <c r="D129" s="63" t="s">
        <v>14</v>
      </c>
      <c r="E129" s="132">
        <v>7.0000000000000007E-2</v>
      </c>
      <c r="F129" s="132">
        <f>F125*E129</f>
        <v>0.98000000000000009</v>
      </c>
      <c r="G129" s="1517"/>
      <c r="H129" s="108">
        <f t="shared" si="39"/>
        <v>0</v>
      </c>
      <c r="I129" s="80"/>
      <c r="J129" s="1500">
        <f t="shared" si="40"/>
        <v>0</v>
      </c>
      <c r="K129" s="80"/>
      <c r="L129" s="1500">
        <f t="shared" si="41"/>
        <v>0</v>
      </c>
      <c r="M129" s="1500">
        <f t="shared" si="42"/>
        <v>0</v>
      </c>
    </row>
    <row r="130" spans="1:13" s="7" customFormat="1" ht="51" customHeight="1">
      <c r="A130" s="100">
        <v>10</v>
      </c>
      <c r="B130" s="478"/>
      <c r="C130" s="162" t="s">
        <v>767</v>
      </c>
      <c r="D130" s="161" t="s">
        <v>11</v>
      </c>
      <c r="E130" s="104"/>
      <c r="F130" s="104">
        <v>1</v>
      </c>
      <c r="G130" s="478"/>
      <c r="H130" s="108">
        <f t="shared" si="39"/>
        <v>0</v>
      </c>
      <c r="I130" s="108"/>
      <c r="J130" s="1500">
        <f t="shared" si="40"/>
        <v>0</v>
      </c>
      <c r="K130" s="108"/>
      <c r="L130" s="1500">
        <f t="shared" si="41"/>
        <v>0</v>
      </c>
      <c r="M130" s="1500">
        <f t="shared" si="42"/>
        <v>0</v>
      </c>
    </row>
    <row r="131" spans="1:13" s="7" customFormat="1" ht="27" customHeight="1">
      <c r="A131" s="106">
        <f>A130+0.1</f>
        <v>10.1</v>
      </c>
      <c r="B131" s="224"/>
      <c r="C131" s="76" t="s">
        <v>50</v>
      </c>
      <c r="D131" s="108" t="s">
        <v>13</v>
      </c>
      <c r="E131" s="89">
        <v>1.51</v>
      </c>
      <c r="F131" s="89">
        <f>E131*F130</f>
        <v>1.51</v>
      </c>
      <c r="G131" s="479"/>
      <c r="H131" s="108">
        <f t="shared" si="39"/>
        <v>0</v>
      </c>
      <c r="I131" s="108"/>
      <c r="J131" s="1500">
        <f t="shared" si="40"/>
        <v>0</v>
      </c>
      <c r="K131" s="108"/>
      <c r="L131" s="1500">
        <f t="shared" si="41"/>
        <v>0</v>
      </c>
      <c r="M131" s="1500">
        <f t="shared" si="42"/>
        <v>0</v>
      </c>
    </row>
    <row r="132" spans="1:13" s="7" customFormat="1" ht="27" customHeight="1">
      <c r="A132" s="106">
        <f t="shared" ref="A132:A134" si="44">A131+0.1</f>
        <v>10.199999999999999</v>
      </c>
      <c r="B132" s="224"/>
      <c r="C132" s="97" t="s">
        <v>140</v>
      </c>
      <c r="D132" s="108" t="s">
        <v>14</v>
      </c>
      <c r="E132" s="89">
        <v>0.1</v>
      </c>
      <c r="F132" s="89">
        <f>E132*F130</f>
        <v>0.1</v>
      </c>
      <c r="G132" s="479"/>
      <c r="H132" s="108">
        <f t="shared" si="39"/>
        <v>0</v>
      </c>
      <c r="I132" s="108"/>
      <c r="J132" s="1500">
        <f t="shared" si="40"/>
        <v>0</v>
      </c>
      <c r="K132" s="108"/>
      <c r="L132" s="1500">
        <f t="shared" si="41"/>
        <v>0</v>
      </c>
      <c r="M132" s="1500">
        <f t="shared" si="42"/>
        <v>0</v>
      </c>
    </row>
    <row r="133" spans="1:13" s="7" customFormat="1" ht="27" customHeight="1">
      <c r="A133" s="106">
        <f t="shared" si="44"/>
        <v>10.299999999999999</v>
      </c>
      <c r="B133" s="479"/>
      <c r="C133" s="164" t="s">
        <v>767</v>
      </c>
      <c r="D133" s="108" t="s">
        <v>11</v>
      </c>
      <c r="E133" s="89" t="s">
        <v>20</v>
      </c>
      <c r="F133" s="89">
        <f>F130</f>
        <v>1</v>
      </c>
      <c r="G133" s="479"/>
      <c r="H133" s="108">
        <f t="shared" si="39"/>
        <v>0</v>
      </c>
      <c r="I133" s="108"/>
      <c r="J133" s="1500">
        <f t="shared" si="40"/>
        <v>0</v>
      </c>
      <c r="K133" s="108"/>
      <c r="L133" s="1500">
        <f t="shared" si="41"/>
        <v>0</v>
      </c>
      <c r="M133" s="1500">
        <f t="shared" si="42"/>
        <v>0</v>
      </c>
    </row>
    <row r="134" spans="1:13" s="7" customFormat="1" ht="27" customHeight="1">
      <c r="A134" s="106">
        <f t="shared" si="44"/>
        <v>10.399999999999999</v>
      </c>
      <c r="B134" s="473"/>
      <c r="C134" s="64" t="s">
        <v>65</v>
      </c>
      <c r="D134" s="63" t="s">
        <v>14</v>
      </c>
      <c r="E134" s="89">
        <v>7.0000000000000007E-2</v>
      </c>
      <c r="F134" s="89">
        <f>E134*F130</f>
        <v>7.0000000000000007E-2</v>
      </c>
      <c r="G134" s="1517"/>
      <c r="H134" s="108">
        <f t="shared" si="39"/>
        <v>0</v>
      </c>
      <c r="I134" s="108"/>
      <c r="J134" s="1500">
        <f t="shared" si="40"/>
        <v>0</v>
      </c>
      <c r="K134" s="108"/>
      <c r="L134" s="1500">
        <f t="shared" si="41"/>
        <v>0</v>
      </c>
      <c r="M134" s="1500">
        <f t="shared" si="42"/>
        <v>0</v>
      </c>
    </row>
    <row r="135" spans="1:13" s="8" customFormat="1" ht="27" customHeight="1">
      <c r="A135" s="127" t="s">
        <v>209</v>
      </c>
      <c r="B135" s="260"/>
      <c r="C135" s="128" t="s">
        <v>222</v>
      </c>
      <c r="D135" s="127" t="s">
        <v>49</v>
      </c>
      <c r="E135" s="129"/>
      <c r="F135" s="129">
        <f>F138</f>
        <v>1</v>
      </c>
      <c r="G135" s="1287"/>
      <c r="H135" s="108">
        <f t="shared" si="33"/>
        <v>0</v>
      </c>
      <c r="I135" s="261"/>
      <c r="J135" s="1500">
        <f t="shared" si="34"/>
        <v>0</v>
      </c>
      <c r="K135" s="261"/>
      <c r="L135" s="1500">
        <f t="shared" si="35"/>
        <v>0</v>
      </c>
      <c r="M135" s="1500">
        <f t="shared" si="36"/>
        <v>0</v>
      </c>
    </row>
    <row r="136" spans="1:13" s="8" customFormat="1" ht="27" customHeight="1">
      <c r="A136" s="99">
        <f>A135+0.1</f>
        <v>14.1</v>
      </c>
      <c r="B136" s="224"/>
      <c r="C136" s="76" t="s">
        <v>50</v>
      </c>
      <c r="D136" s="131" t="s">
        <v>13</v>
      </c>
      <c r="E136" s="132">
        <v>1.51</v>
      </c>
      <c r="F136" s="132">
        <f>F135*E136</f>
        <v>1.51</v>
      </c>
      <c r="G136" s="1290"/>
      <c r="H136" s="108">
        <f t="shared" si="33"/>
        <v>0</v>
      </c>
      <c r="I136" s="80"/>
      <c r="J136" s="1500">
        <f t="shared" si="34"/>
        <v>0</v>
      </c>
      <c r="K136" s="80"/>
      <c r="L136" s="1500">
        <f t="shared" si="35"/>
        <v>0</v>
      </c>
      <c r="M136" s="1500">
        <f t="shared" si="36"/>
        <v>0</v>
      </c>
    </row>
    <row r="137" spans="1:13" s="8" customFormat="1" ht="27" customHeight="1">
      <c r="A137" s="85">
        <f t="shared" ref="A137:A140" si="45">A136+0.1</f>
        <v>14.2</v>
      </c>
      <c r="B137" s="224"/>
      <c r="C137" s="97" t="s">
        <v>140</v>
      </c>
      <c r="D137" s="131" t="s">
        <v>14</v>
      </c>
      <c r="E137" s="132">
        <v>0.13</v>
      </c>
      <c r="F137" s="132">
        <f>F135*E137</f>
        <v>0.13</v>
      </c>
      <c r="G137" s="1290"/>
      <c r="H137" s="108">
        <f t="shared" si="33"/>
        <v>0</v>
      </c>
      <c r="I137" s="80"/>
      <c r="J137" s="1500">
        <f t="shared" si="34"/>
        <v>0</v>
      </c>
      <c r="K137" s="108"/>
      <c r="L137" s="1500">
        <f t="shared" si="35"/>
        <v>0</v>
      </c>
      <c r="M137" s="1500">
        <f t="shared" si="36"/>
        <v>0</v>
      </c>
    </row>
    <row r="138" spans="1:13" s="8" customFormat="1" ht="27" customHeight="1">
      <c r="A138" s="85">
        <f t="shared" si="45"/>
        <v>14.299999999999999</v>
      </c>
      <c r="B138" s="249"/>
      <c r="C138" s="133" t="s">
        <v>223</v>
      </c>
      <c r="D138" s="134" t="s">
        <v>49</v>
      </c>
      <c r="E138" s="132"/>
      <c r="F138" s="132">
        <v>1</v>
      </c>
      <c r="G138" s="1290"/>
      <c r="H138" s="108">
        <f t="shared" si="33"/>
        <v>0</v>
      </c>
      <c r="I138" s="80"/>
      <c r="J138" s="1500">
        <f t="shared" si="34"/>
        <v>0</v>
      </c>
      <c r="K138" s="80"/>
      <c r="L138" s="1500">
        <f t="shared" si="35"/>
        <v>0</v>
      </c>
      <c r="M138" s="1500">
        <f t="shared" si="36"/>
        <v>0</v>
      </c>
    </row>
    <row r="139" spans="1:13" s="8" customFormat="1" ht="27" customHeight="1">
      <c r="A139" s="85">
        <f t="shared" si="45"/>
        <v>14.399999999999999</v>
      </c>
      <c r="B139" s="249"/>
      <c r="C139" s="133" t="s">
        <v>224</v>
      </c>
      <c r="D139" s="134" t="s">
        <v>21</v>
      </c>
      <c r="E139" s="132">
        <v>1.1000000000000001</v>
      </c>
      <c r="F139" s="132">
        <f>F135*E139</f>
        <v>1.1000000000000001</v>
      </c>
      <c r="G139" s="1290"/>
      <c r="H139" s="108">
        <f t="shared" si="33"/>
        <v>0</v>
      </c>
      <c r="I139" s="80"/>
      <c r="J139" s="1500">
        <f t="shared" si="34"/>
        <v>0</v>
      </c>
      <c r="K139" s="80"/>
      <c r="L139" s="1500">
        <f t="shared" si="35"/>
        <v>0</v>
      </c>
      <c r="M139" s="1500">
        <f t="shared" si="36"/>
        <v>0</v>
      </c>
    </row>
    <row r="140" spans="1:13" s="8" customFormat="1" ht="27" customHeight="1">
      <c r="A140" s="85">
        <f t="shared" si="45"/>
        <v>14.499999999999998</v>
      </c>
      <c r="B140" s="473"/>
      <c r="C140" s="64" t="s">
        <v>65</v>
      </c>
      <c r="D140" s="63" t="s">
        <v>14</v>
      </c>
      <c r="E140" s="132">
        <v>7.0000000000000007E-2</v>
      </c>
      <c r="F140" s="132">
        <f>F135*E140</f>
        <v>7.0000000000000007E-2</v>
      </c>
      <c r="G140" s="1517"/>
      <c r="H140" s="108">
        <f t="shared" si="33"/>
        <v>0</v>
      </c>
      <c r="I140" s="80"/>
      <c r="J140" s="1500">
        <f t="shared" si="34"/>
        <v>0</v>
      </c>
      <c r="K140" s="80"/>
      <c r="L140" s="1500">
        <f t="shared" si="35"/>
        <v>0</v>
      </c>
      <c r="M140" s="1500">
        <f t="shared" si="36"/>
        <v>0</v>
      </c>
    </row>
    <row r="141" spans="1:13" s="4" customFormat="1" ht="27" customHeight="1">
      <c r="A141" s="120" t="s">
        <v>209</v>
      </c>
      <c r="B141" s="260"/>
      <c r="C141" s="68" t="s">
        <v>428</v>
      </c>
      <c r="D141" s="120" t="s">
        <v>203</v>
      </c>
      <c r="E141" s="122"/>
      <c r="F141" s="123">
        <v>183</v>
      </c>
      <c r="G141" s="478"/>
      <c r="H141" s="108">
        <f t="shared" si="33"/>
        <v>0</v>
      </c>
      <c r="I141" s="1356"/>
      <c r="J141" s="1500">
        <f t="shared" si="34"/>
        <v>0</v>
      </c>
      <c r="K141" s="1356"/>
      <c r="L141" s="1500">
        <f t="shared" si="35"/>
        <v>0</v>
      </c>
      <c r="M141" s="1500">
        <f t="shared" si="36"/>
        <v>0</v>
      </c>
    </row>
    <row r="142" spans="1:13" s="5" customFormat="1" ht="27" customHeight="1">
      <c r="A142" s="106">
        <f>A141+0.1</f>
        <v>14.1</v>
      </c>
      <c r="B142" s="224"/>
      <c r="C142" s="76" t="s">
        <v>50</v>
      </c>
      <c r="D142" s="108" t="s">
        <v>13</v>
      </c>
      <c r="E142" s="472">
        <v>1.6</v>
      </c>
      <c r="F142" s="71">
        <f>E142*F141</f>
        <v>292.8</v>
      </c>
      <c r="G142" s="479"/>
      <c r="H142" s="108">
        <f t="shared" si="33"/>
        <v>0</v>
      </c>
      <c r="I142" s="1352"/>
      <c r="J142" s="1500">
        <f t="shared" si="34"/>
        <v>0</v>
      </c>
      <c r="K142" s="1352"/>
      <c r="L142" s="1500">
        <f t="shared" si="35"/>
        <v>0</v>
      </c>
      <c r="M142" s="1500">
        <f t="shared" si="36"/>
        <v>0</v>
      </c>
    </row>
    <row r="143" spans="1:13" s="5" customFormat="1" ht="27" customHeight="1">
      <c r="A143" s="106">
        <f t="shared" ref="A143:A146" si="46">A142+0.1</f>
        <v>14.2</v>
      </c>
      <c r="B143" s="224"/>
      <c r="C143" s="97" t="s">
        <v>140</v>
      </c>
      <c r="D143" s="108" t="s">
        <v>14</v>
      </c>
      <c r="E143" s="472">
        <v>0.14799999999999999</v>
      </c>
      <c r="F143" s="71">
        <f>E143*F141</f>
        <v>27.084</v>
      </c>
      <c r="G143" s="479"/>
      <c r="H143" s="108">
        <f t="shared" si="33"/>
        <v>0</v>
      </c>
      <c r="I143" s="1352"/>
      <c r="J143" s="1500">
        <f t="shared" si="34"/>
        <v>0</v>
      </c>
      <c r="K143" s="108"/>
      <c r="L143" s="1500">
        <f t="shared" si="35"/>
        <v>0</v>
      </c>
      <c r="M143" s="1500">
        <f t="shared" si="36"/>
        <v>0</v>
      </c>
    </row>
    <row r="144" spans="1:13" s="5" customFormat="1" ht="27" customHeight="1">
      <c r="A144" s="106">
        <f t="shared" si="46"/>
        <v>14.299999999999999</v>
      </c>
      <c r="B144" s="224"/>
      <c r="C144" s="64" t="s">
        <v>422</v>
      </c>
      <c r="D144" s="75" t="s">
        <v>207</v>
      </c>
      <c r="E144" s="89">
        <v>1</v>
      </c>
      <c r="F144" s="71">
        <f>E144*F141</f>
        <v>183</v>
      </c>
      <c r="G144" s="479"/>
      <c r="H144" s="108">
        <f t="shared" si="33"/>
        <v>0</v>
      </c>
      <c r="I144" s="1352"/>
      <c r="J144" s="1500">
        <f t="shared" si="34"/>
        <v>0</v>
      </c>
      <c r="K144" s="1352"/>
      <c r="L144" s="1500">
        <f t="shared" si="35"/>
        <v>0</v>
      </c>
      <c r="M144" s="1500">
        <f t="shared" si="36"/>
        <v>0</v>
      </c>
    </row>
    <row r="145" spans="1:13" s="5" customFormat="1" ht="27" customHeight="1">
      <c r="A145" s="106">
        <f t="shared" si="46"/>
        <v>14.399999999999999</v>
      </c>
      <c r="B145" s="224"/>
      <c r="C145" s="64" t="s">
        <v>429</v>
      </c>
      <c r="D145" s="75" t="s">
        <v>49</v>
      </c>
      <c r="E145" s="89"/>
      <c r="F145" s="71">
        <v>20</v>
      </c>
      <c r="G145" s="479"/>
      <c r="H145" s="108">
        <f t="shared" si="33"/>
        <v>0</v>
      </c>
      <c r="I145" s="1352"/>
      <c r="J145" s="1500">
        <f t="shared" si="34"/>
        <v>0</v>
      </c>
      <c r="K145" s="1352"/>
      <c r="L145" s="1500">
        <f t="shared" si="35"/>
        <v>0</v>
      </c>
      <c r="M145" s="1500">
        <f t="shared" si="36"/>
        <v>0</v>
      </c>
    </row>
    <row r="146" spans="1:13" s="5" customFormat="1" ht="27" customHeight="1">
      <c r="A146" s="106">
        <f t="shared" si="46"/>
        <v>14.499999999999998</v>
      </c>
      <c r="B146" s="473"/>
      <c r="C146" s="64" t="s">
        <v>65</v>
      </c>
      <c r="D146" s="63" t="s">
        <v>14</v>
      </c>
      <c r="E146" s="472">
        <v>0.128</v>
      </c>
      <c r="F146" s="71">
        <f>E146*F141</f>
        <v>23.423999999999999</v>
      </c>
      <c r="G146" s="1517"/>
      <c r="H146" s="108">
        <f t="shared" si="33"/>
        <v>0</v>
      </c>
      <c r="I146" s="1352"/>
      <c r="J146" s="1500">
        <f t="shared" si="34"/>
        <v>0</v>
      </c>
      <c r="K146" s="1352"/>
      <c r="L146" s="1500">
        <f t="shared" si="35"/>
        <v>0</v>
      </c>
      <c r="M146" s="1500">
        <f t="shared" si="36"/>
        <v>0</v>
      </c>
    </row>
    <row r="147" spans="1:13" s="4" customFormat="1" ht="51" customHeight="1">
      <c r="A147" s="120" t="s">
        <v>210</v>
      </c>
      <c r="B147" s="281"/>
      <c r="C147" s="121" t="s">
        <v>430</v>
      </c>
      <c r="D147" s="120" t="s">
        <v>11</v>
      </c>
      <c r="E147" s="122"/>
      <c r="F147" s="104">
        <v>13</v>
      </c>
      <c r="G147" s="478"/>
      <c r="H147" s="108">
        <f t="shared" si="33"/>
        <v>0</v>
      </c>
      <c r="I147" s="1356"/>
      <c r="J147" s="1500">
        <f t="shared" si="34"/>
        <v>0</v>
      </c>
      <c r="K147" s="1356"/>
      <c r="L147" s="1500">
        <f t="shared" si="35"/>
        <v>0</v>
      </c>
      <c r="M147" s="1500">
        <f t="shared" si="36"/>
        <v>0</v>
      </c>
    </row>
    <row r="148" spans="1:13" s="5" customFormat="1" ht="30" customHeight="1">
      <c r="A148" s="106">
        <f>A147+0.1</f>
        <v>15.1</v>
      </c>
      <c r="B148" s="224"/>
      <c r="C148" s="76" t="s">
        <v>50</v>
      </c>
      <c r="D148" s="108" t="s">
        <v>13</v>
      </c>
      <c r="E148" s="109">
        <v>12.6</v>
      </c>
      <c r="F148" s="71">
        <f>E148*F147</f>
        <v>163.79999999999998</v>
      </c>
      <c r="G148" s="479"/>
      <c r="H148" s="108">
        <f t="shared" si="33"/>
        <v>0</v>
      </c>
      <c r="I148" s="1352"/>
      <c r="J148" s="1500">
        <f t="shared" si="34"/>
        <v>0</v>
      </c>
      <c r="K148" s="1352"/>
      <c r="L148" s="1500">
        <f t="shared" si="35"/>
        <v>0</v>
      </c>
      <c r="M148" s="1500">
        <f t="shared" si="36"/>
        <v>0</v>
      </c>
    </row>
    <row r="149" spans="1:13" s="5" customFormat="1" ht="30" customHeight="1">
      <c r="A149" s="106">
        <f>A148+0.1</f>
        <v>15.2</v>
      </c>
      <c r="B149" s="224"/>
      <c r="C149" s="97" t="s">
        <v>140</v>
      </c>
      <c r="D149" s="108" t="s">
        <v>14</v>
      </c>
      <c r="E149" s="109">
        <v>2.08</v>
      </c>
      <c r="F149" s="71">
        <f>E149*F147</f>
        <v>27.04</v>
      </c>
      <c r="G149" s="479"/>
      <c r="H149" s="108">
        <f t="shared" si="33"/>
        <v>0</v>
      </c>
      <c r="I149" s="1352"/>
      <c r="J149" s="1500">
        <f t="shared" si="34"/>
        <v>0</v>
      </c>
      <c r="K149" s="108"/>
      <c r="L149" s="1500">
        <f t="shared" si="35"/>
        <v>0</v>
      </c>
      <c r="M149" s="1500">
        <f t="shared" si="36"/>
        <v>0</v>
      </c>
    </row>
    <row r="150" spans="1:13" s="5" customFormat="1" ht="51" customHeight="1">
      <c r="A150" s="106">
        <f>A149+0.1</f>
        <v>15.299999999999999</v>
      </c>
      <c r="B150" s="224"/>
      <c r="C150" s="76" t="s">
        <v>431</v>
      </c>
      <c r="D150" s="75" t="s">
        <v>11</v>
      </c>
      <c r="E150" s="109">
        <v>1</v>
      </c>
      <c r="F150" s="89">
        <f>E150*F147</f>
        <v>13</v>
      </c>
      <c r="G150" s="479"/>
      <c r="H150" s="108">
        <f t="shared" si="33"/>
        <v>0</v>
      </c>
      <c r="I150" s="1352"/>
      <c r="J150" s="1500">
        <f t="shared" si="34"/>
        <v>0</v>
      </c>
      <c r="K150" s="1352"/>
      <c r="L150" s="1500">
        <f t="shared" si="35"/>
        <v>0</v>
      </c>
      <c r="M150" s="1500">
        <f t="shared" si="36"/>
        <v>0</v>
      </c>
    </row>
    <row r="151" spans="1:13" s="5" customFormat="1" ht="32.25" customHeight="1">
      <c r="A151" s="106">
        <f>A150+0.1</f>
        <v>15.399999999999999</v>
      </c>
      <c r="B151" s="473"/>
      <c r="C151" s="64" t="s">
        <v>65</v>
      </c>
      <c r="D151" s="63" t="s">
        <v>14</v>
      </c>
      <c r="E151" s="109">
        <v>7.01</v>
      </c>
      <c r="F151" s="71">
        <f>E151*F147</f>
        <v>91.13</v>
      </c>
      <c r="G151" s="1517"/>
      <c r="H151" s="108">
        <f t="shared" si="33"/>
        <v>0</v>
      </c>
      <c r="I151" s="1352"/>
      <c r="J151" s="1500">
        <f t="shared" si="34"/>
        <v>0</v>
      </c>
      <c r="K151" s="1352"/>
      <c r="L151" s="1500">
        <f t="shared" si="35"/>
        <v>0</v>
      </c>
      <c r="M151" s="1500">
        <f t="shared" si="36"/>
        <v>0</v>
      </c>
    </row>
    <row r="152" spans="1:13" s="4" customFormat="1" ht="32.25" customHeight="1">
      <c r="A152" s="120" t="s">
        <v>211</v>
      </c>
      <c r="B152" s="281"/>
      <c r="C152" s="121" t="s">
        <v>432</v>
      </c>
      <c r="D152" s="120" t="s">
        <v>11</v>
      </c>
      <c r="E152" s="122"/>
      <c r="F152" s="163">
        <f>F154+F155+F156</f>
        <v>12</v>
      </c>
      <c r="G152" s="478"/>
      <c r="H152" s="108">
        <f t="shared" si="33"/>
        <v>0</v>
      </c>
      <c r="I152" s="1356"/>
      <c r="J152" s="1500">
        <f t="shared" si="34"/>
        <v>0</v>
      </c>
      <c r="K152" s="1356"/>
      <c r="L152" s="1500">
        <f t="shared" si="35"/>
        <v>0</v>
      </c>
      <c r="M152" s="1500">
        <f t="shared" si="36"/>
        <v>0</v>
      </c>
    </row>
    <row r="153" spans="1:13" s="5" customFormat="1" ht="32.25" customHeight="1">
      <c r="A153" s="106">
        <f>A152+0.1</f>
        <v>16.100000000000001</v>
      </c>
      <c r="B153" s="224"/>
      <c r="C153" s="76" t="s">
        <v>50</v>
      </c>
      <c r="D153" s="108" t="s">
        <v>11</v>
      </c>
      <c r="E153" s="109">
        <v>1</v>
      </c>
      <c r="F153" s="151">
        <f>E153*F152</f>
        <v>12</v>
      </c>
      <c r="G153" s="479"/>
      <c r="H153" s="108">
        <f t="shared" si="33"/>
        <v>0</v>
      </c>
      <c r="I153" s="1352"/>
      <c r="J153" s="1500">
        <f t="shared" si="34"/>
        <v>0</v>
      </c>
      <c r="K153" s="1352"/>
      <c r="L153" s="1500">
        <f t="shared" si="35"/>
        <v>0</v>
      </c>
      <c r="M153" s="1500">
        <f t="shared" si="36"/>
        <v>0</v>
      </c>
    </row>
    <row r="154" spans="1:13" s="5" customFormat="1" ht="63" customHeight="1">
      <c r="A154" s="106">
        <f t="shared" ref="A154:A156" si="47">A153+0.1</f>
        <v>16.200000000000003</v>
      </c>
      <c r="B154" s="224"/>
      <c r="C154" s="76" t="s">
        <v>433</v>
      </c>
      <c r="D154" s="75" t="s">
        <v>11</v>
      </c>
      <c r="E154" s="109" t="s">
        <v>20</v>
      </c>
      <c r="F154" s="155">
        <v>6</v>
      </c>
      <c r="G154" s="479"/>
      <c r="H154" s="108">
        <f t="shared" si="33"/>
        <v>0</v>
      </c>
      <c r="I154" s="1352"/>
      <c r="J154" s="1500">
        <f t="shared" si="34"/>
        <v>0</v>
      </c>
      <c r="K154" s="1352"/>
      <c r="L154" s="1500">
        <f t="shared" si="35"/>
        <v>0</v>
      </c>
      <c r="M154" s="1500">
        <f t="shared" si="36"/>
        <v>0</v>
      </c>
    </row>
    <row r="155" spans="1:13" s="5" customFormat="1" ht="68.25" customHeight="1">
      <c r="A155" s="106">
        <f t="shared" si="47"/>
        <v>16.300000000000004</v>
      </c>
      <c r="B155" s="224"/>
      <c r="C155" s="76" t="s">
        <v>434</v>
      </c>
      <c r="D155" s="75" t="s">
        <v>11</v>
      </c>
      <c r="E155" s="109" t="s">
        <v>20</v>
      </c>
      <c r="F155" s="155">
        <v>2</v>
      </c>
      <c r="G155" s="479"/>
      <c r="H155" s="108">
        <f t="shared" si="33"/>
        <v>0</v>
      </c>
      <c r="I155" s="1352"/>
      <c r="J155" s="1500">
        <f t="shared" si="34"/>
        <v>0</v>
      </c>
      <c r="K155" s="1352"/>
      <c r="L155" s="1500">
        <f t="shared" si="35"/>
        <v>0</v>
      </c>
      <c r="M155" s="1500">
        <f t="shared" si="36"/>
        <v>0</v>
      </c>
    </row>
    <row r="156" spans="1:13" s="5" customFormat="1" ht="63.75" customHeight="1">
      <c r="A156" s="106">
        <f t="shared" si="47"/>
        <v>16.400000000000006</v>
      </c>
      <c r="B156" s="224"/>
      <c r="C156" s="76" t="s">
        <v>435</v>
      </c>
      <c r="D156" s="75" t="s">
        <v>11</v>
      </c>
      <c r="E156" s="109" t="s">
        <v>20</v>
      </c>
      <c r="F156" s="155">
        <v>4</v>
      </c>
      <c r="G156" s="479"/>
      <c r="H156" s="108">
        <f t="shared" si="33"/>
        <v>0</v>
      </c>
      <c r="I156" s="1352"/>
      <c r="J156" s="1500">
        <f t="shared" si="34"/>
        <v>0</v>
      </c>
      <c r="K156" s="1352"/>
      <c r="L156" s="1500">
        <f t="shared" si="35"/>
        <v>0</v>
      </c>
      <c r="M156" s="1500">
        <f t="shared" si="36"/>
        <v>0</v>
      </c>
    </row>
    <row r="157" spans="1:13" s="5" customFormat="1" ht="27.75" customHeight="1">
      <c r="A157" s="106"/>
      <c r="B157" s="345"/>
      <c r="C157" s="121" t="s">
        <v>698</v>
      </c>
      <c r="D157" s="75"/>
      <c r="E157" s="109"/>
      <c r="F157" s="155"/>
      <c r="G157" s="479"/>
      <c r="H157" s="108"/>
      <c r="I157" s="1352"/>
      <c r="J157" s="1500"/>
      <c r="K157" s="1352"/>
      <c r="L157" s="1500"/>
      <c r="M157" s="1500"/>
    </row>
    <row r="158" spans="1:13" s="2" customFormat="1" ht="27.75" customHeight="1">
      <c r="A158" s="236">
        <v>1</v>
      </c>
      <c r="B158" s="237"/>
      <c r="C158" s="337" t="s">
        <v>697</v>
      </c>
      <c r="D158" s="67" t="s">
        <v>15</v>
      </c>
      <c r="E158" s="91"/>
      <c r="F158" s="91">
        <v>1.95</v>
      </c>
      <c r="G158" s="1287"/>
      <c r="H158" s="80">
        <f t="shared" si="33"/>
        <v>0</v>
      </c>
      <c r="I158" s="261"/>
      <c r="J158" s="1289">
        <f t="shared" si="34"/>
        <v>0</v>
      </c>
      <c r="K158" s="261"/>
      <c r="L158" s="1289">
        <f t="shared" si="35"/>
        <v>0</v>
      </c>
      <c r="M158" s="1289">
        <f t="shared" si="36"/>
        <v>0</v>
      </c>
    </row>
    <row r="159" spans="1:13" s="45" customFormat="1" ht="27.75" customHeight="1">
      <c r="A159" s="492">
        <f>A158+0.1</f>
        <v>1.1000000000000001</v>
      </c>
      <c r="B159" s="241"/>
      <c r="C159" s="336" t="s">
        <v>12</v>
      </c>
      <c r="D159" s="131" t="s">
        <v>13</v>
      </c>
      <c r="E159" s="493">
        <v>2.06</v>
      </c>
      <c r="F159" s="62">
        <f>F158*E159</f>
        <v>4.0170000000000003</v>
      </c>
      <c r="G159" s="1290"/>
      <c r="H159" s="80">
        <f t="shared" si="33"/>
        <v>0</v>
      </c>
      <c r="I159" s="80"/>
      <c r="J159" s="1289">
        <f t="shared" si="34"/>
        <v>0</v>
      </c>
      <c r="K159" s="80"/>
      <c r="L159" s="1289">
        <f t="shared" si="35"/>
        <v>0</v>
      </c>
      <c r="M159" s="1289">
        <f t="shared" si="36"/>
        <v>0</v>
      </c>
    </row>
    <row r="160" spans="1:13" s="2" customFormat="1" ht="38.25" customHeight="1">
      <c r="A160" s="236">
        <v>2</v>
      </c>
      <c r="B160" s="237"/>
      <c r="C160" s="337" t="s">
        <v>116</v>
      </c>
      <c r="D160" s="67" t="s">
        <v>61</v>
      </c>
      <c r="E160" s="91"/>
      <c r="F160" s="91">
        <f>6.5*3*0.1</f>
        <v>1.9500000000000002</v>
      </c>
      <c r="G160" s="1287"/>
      <c r="H160" s="80">
        <f t="shared" si="33"/>
        <v>0</v>
      </c>
      <c r="I160" s="261"/>
      <c r="J160" s="1289">
        <f t="shared" si="34"/>
        <v>0</v>
      </c>
      <c r="K160" s="261"/>
      <c r="L160" s="1289">
        <f t="shared" si="35"/>
        <v>0</v>
      </c>
      <c r="M160" s="1289">
        <f t="shared" si="36"/>
        <v>0</v>
      </c>
    </row>
    <row r="161" spans="1:13" s="50" customFormat="1" ht="25.5" customHeight="1">
      <c r="A161" s="240">
        <f>A160+0.1</f>
        <v>2.1</v>
      </c>
      <c r="B161" s="241"/>
      <c r="C161" s="336" t="s">
        <v>12</v>
      </c>
      <c r="D161" s="131" t="s">
        <v>13</v>
      </c>
      <c r="E161" s="132">
        <v>3.16</v>
      </c>
      <c r="F161" s="242">
        <f>E161*F160</f>
        <v>6.1620000000000008</v>
      </c>
      <c r="G161" s="1293"/>
      <c r="H161" s="80">
        <f t="shared" si="33"/>
        <v>0</v>
      </c>
      <c r="I161" s="80"/>
      <c r="J161" s="1289">
        <f t="shared" si="34"/>
        <v>0</v>
      </c>
      <c r="K161" s="80"/>
      <c r="L161" s="1289">
        <f t="shared" si="35"/>
        <v>0</v>
      </c>
      <c r="M161" s="1289">
        <f t="shared" si="36"/>
        <v>0</v>
      </c>
    </row>
    <row r="162" spans="1:13" s="45" customFormat="1" ht="25.5" customHeight="1">
      <c r="A162" s="240">
        <f>A161+0.1</f>
        <v>2.2000000000000002</v>
      </c>
      <c r="B162" s="211"/>
      <c r="C162" s="336" t="s">
        <v>59</v>
      </c>
      <c r="D162" s="63" t="s">
        <v>61</v>
      </c>
      <c r="E162" s="132">
        <v>1.25</v>
      </c>
      <c r="F162" s="62">
        <f>E162*F160</f>
        <v>2.4375</v>
      </c>
      <c r="G162" s="1296"/>
      <c r="H162" s="80">
        <f t="shared" si="33"/>
        <v>0</v>
      </c>
      <c r="I162" s="80"/>
      <c r="J162" s="1289">
        <f t="shared" si="34"/>
        <v>0</v>
      </c>
      <c r="K162" s="80"/>
      <c r="L162" s="1289">
        <f t="shared" si="35"/>
        <v>0</v>
      </c>
      <c r="M162" s="1289">
        <f t="shared" si="36"/>
        <v>0</v>
      </c>
    </row>
    <row r="163" spans="1:13" s="45" customFormat="1" ht="25.5" customHeight="1">
      <c r="A163" s="240">
        <f>A162+0.1</f>
        <v>2.3000000000000003</v>
      </c>
      <c r="B163" s="246"/>
      <c r="C163" s="276" t="s">
        <v>119</v>
      </c>
      <c r="D163" s="80" t="s">
        <v>1</v>
      </c>
      <c r="E163" s="93">
        <v>1E-3</v>
      </c>
      <c r="F163" s="93">
        <f>E163*F160</f>
        <v>1.9500000000000001E-3</v>
      </c>
      <c r="G163" s="479"/>
      <c r="H163" s="80">
        <f t="shared" si="33"/>
        <v>0</v>
      </c>
      <c r="I163" s="80"/>
      <c r="J163" s="1289">
        <f t="shared" si="34"/>
        <v>0</v>
      </c>
      <c r="K163" s="80"/>
      <c r="L163" s="1289">
        <f t="shared" si="35"/>
        <v>0</v>
      </c>
      <c r="M163" s="1289">
        <f t="shared" si="36"/>
        <v>0</v>
      </c>
    </row>
    <row r="164" spans="1:13" s="2" customFormat="1" ht="51" customHeight="1">
      <c r="A164" s="236">
        <v>3</v>
      </c>
      <c r="B164" s="237"/>
      <c r="C164" s="337" t="s">
        <v>696</v>
      </c>
      <c r="D164" s="67" t="s">
        <v>61</v>
      </c>
      <c r="E164" s="91"/>
      <c r="F164" s="91">
        <v>3.9</v>
      </c>
      <c r="G164" s="1287"/>
      <c r="H164" s="80">
        <f t="shared" si="33"/>
        <v>0</v>
      </c>
      <c r="I164" s="261"/>
      <c r="J164" s="1289">
        <f t="shared" si="34"/>
        <v>0</v>
      </c>
      <c r="K164" s="261"/>
      <c r="L164" s="1289">
        <f t="shared" si="35"/>
        <v>0</v>
      </c>
      <c r="M164" s="1289">
        <f t="shared" si="36"/>
        <v>0</v>
      </c>
    </row>
    <row r="165" spans="1:13" s="45" customFormat="1" ht="24" customHeight="1">
      <c r="A165" s="240">
        <f t="shared" ref="A165:A171" si="48">A164+0.1</f>
        <v>3.1</v>
      </c>
      <c r="B165" s="241"/>
      <c r="C165" s="336" t="s">
        <v>12</v>
      </c>
      <c r="D165" s="131" t="s">
        <v>13</v>
      </c>
      <c r="E165" s="61">
        <v>1.87</v>
      </c>
      <c r="F165" s="62">
        <f>F164*E165</f>
        <v>7.2930000000000001</v>
      </c>
      <c r="G165" s="1293"/>
      <c r="H165" s="80">
        <f t="shared" si="33"/>
        <v>0</v>
      </c>
      <c r="I165" s="80"/>
      <c r="J165" s="1289">
        <f t="shared" si="34"/>
        <v>0</v>
      </c>
      <c r="K165" s="80"/>
      <c r="L165" s="1289">
        <f t="shared" si="35"/>
        <v>0</v>
      </c>
      <c r="M165" s="1289">
        <f t="shared" si="36"/>
        <v>0</v>
      </c>
    </row>
    <row r="166" spans="1:13" s="45" customFormat="1" ht="24" customHeight="1">
      <c r="A166" s="240">
        <f t="shared" si="48"/>
        <v>3.2</v>
      </c>
      <c r="B166" s="241"/>
      <c r="C166" s="276" t="s">
        <v>117</v>
      </c>
      <c r="D166" s="80" t="s">
        <v>14</v>
      </c>
      <c r="E166" s="61">
        <v>0.77</v>
      </c>
      <c r="F166" s="62">
        <f>F164*E166</f>
        <v>3.0030000000000001</v>
      </c>
      <c r="G166" s="1290"/>
      <c r="H166" s="80">
        <f t="shared" si="33"/>
        <v>0</v>
      </c>
      <c r="I166" s="80"/>
      <c r="J166" s="1289">
        <f t="shared" si="34"/>
        <v>0</v>
      </c>
      <c r="K166" s="1294"/>
      <c r="L166" s="1289">
        <f t="shared" si="35"/>
        <v>0</v>
      </c>
      <c r="M166" s="1289">
        <f t="shared" si="36"/>
        <v>0</v>
      </c>
    </row>
    <row r="167" spans="1:13" s="45" customFormat="1" ht="24" customHeight="1">
      <c r="A167" s="240">
        <f t="shared" si="48"/>
        <v>3.3000000000000003</v>
      </c>
      <c r="B167" s="249"/>
      <c r="C167" s="184" t="s">
        <v>75</v>
      </c>
      <c r="D167" s="63" t="s">
        <v>61</v>
      </c>
      <c r="E167" s="61">
        <v>1.0149999999999999</v>
      </c>
      <c r="F167" s="62">
        <f>E167*F164</f>
        <v>3.9584999999999995</v>
      </c>
      <c r="G167" s="1295"/>
      <c r="H167" s="80">
        <f t="shared" si="33"/>
        <v>0</v>
      </c>
      <c r="I167" s="80"/>
      <c r="J167" s="1289">
        <f t="shared" si="34"/>
        <v>0</v>
      </c>
      <c r="K167" s="80"/>
      <c r="L167" s="1289">
        <f t="shared" si="35"/>
        <v>0</v>
      </c>
      <c r="M167" s="1289">
        <f t="shared" si="36"/>
        <v>0</v>
      </c>
    </row>
    <row r="168" spans="1:13" s="45" customFormat="1" ht="24" customHeight="1">
      <c r="A168" s="240">
        <f t="shared" si="48"/>
        <v>3.4000000000000004</v>
      </c>
      <c r="B168" s="249"/>
      <c r="C168" s="184" t="s">
        <v>272</v>
      </c>
      <c r="D168" s="63" t="s">
        <v>43</v>
      </c>
      <c r="E168" s="61" t="s">
        <v>20</v>
      </c>
      <c r="F168" s="93">
        <v>0.31</v>
      </c>
      <c r="G168" s="1296"/>
      <c r="H168" s="80">
        <f t="shared" si="33"/>
        <v>0</v>
      </c>
      <c r="I168" s="80"/>
      <c r="J168" s="1289">
        <f t="shared" si="34"/>
        <v>0</v>
      </c>
      <c r="K168" s="80"/>
      <c r="L168" s="1289">
        <f t="shared" si="35"/>
        <v>0</v>
      </c>
      <c r="M168" s="1289">
        <f t="shared" si="36"/>
        <v>0</v>
      </c>
    </row>
    <row r="169" spans="1:13" s="45" customFormat="1" ht="24" customHeight="1">
      <c r="A169" s="240">
        <f t="shared" si="48"/>
        <v>3.5000000000000004</v>
      </c>
      <c r="B169" s="249"/>
      <c r="C169" s="184" t="s">
        <v>81</v>
      </c>
      <c r="D169" s="63" t="s">
        <v>811</v>
      </c>
      <c r="E169" s="61">
        <f>7.54/100</f>
        <v>7.5399999999999995E-2</v>
      </c>
      <c r="F169" s="62">
        <f>E169*F164</f>
        <v>0.29405999999999999</v>
      </c>
      <c r="G169" s="1297"/>
      <c r="H169" s="80">
        <f t="shared" si="33"/>
        <v>0</v>
      </c>
      <c r="I169" s="80"/>
      <c r="J169" s="1289">
        <f t="shared" si="34"/>
        <v>0</v>
      </c>
      <c r="K169" s="80"/>
      <c r="L169" s="1289">
        <f t="shared" si="35"/>
        <v>0</v>
      </c>
      <c r="M169" s="1289">
        <f t="shared" si="36"/>
        <v>0</v>
      </c>
    </row>
    <row r="170" spans="1:13" s="16" customFormat="1" ht="29.25" customHeight="1">
      <c r="A170" s="240">
        <f t="shared" si="48"/>
        <v>3.6000000000000005</v>
      </c>
      <c r="B170" s="256"/>
      <c r="C170" s="184" t="s">
        <v>82</v>
      </c>
      <c r="D170" s="63" t="s">
        <v>61</v>
      </c>
      <c r="E170" s="61">
        <f>0.08/100</f>
        <v>8.0000000000000004E-4</v>
      </c>
      <c r="F170" s="62">
        <f>E170*F164</f>
        <v>3.1199999999999999E-3</v>
      </c>
      <c r="G170" s="1296"/>
      <c r="H170" s="80">
        <f t="shared" si="33"/>
        <v>0</v>
      </c>
      <c r="I170" s="80"/>
      <c r="J170" s="1289">
        <f t="shared" si="34"/>
        <v>0</v>
      </c>
      <c r="K170" s="80"/>
      <c r="L170" s="1289">
        <f t="shared" si="35"/>
        <v>0</v>
      </c>
      <c r="M170" s="1289">
        <f t="shared" si="36"/>
        <v>0</v>
      </c>
    </row>
    <row r="171" spans="1:13" s="17" customFormat="1" ht="24" customHeight="1">
      <c r="A171" s="240">
        <f t="shared" si="48"/>
        <v>3.7000000000000006</v>
      </c>
      <c r="B171" s="246"/>
      <c r="C171" s="276" t="s">
        <v>119</v>
      </c>
      <c r="D171" s="63" t="s">
        <v>14</v>
      </c>
      <c r="E171" s="61">
        <v>7.0000000000000007E-2</v>
      </c>
      <c r="F171" s="62">
        <f>E171*F164</f>
        <v>0.27300000000000002</v>
      </c>
      <c r="G171" s="479"/>
      <c r="H171" s="80">
        <f t="shared" si="33"/>
        <v>0</v>
      </c>
      <c r="I171" s="80"/>
      <c r="J171" s="1289">
        <f t="shared" si="34"/>
        <v>0</v>
      </c>
      <c r="K171" s="80"/>
      <c r="L171" s="1289">
        <f t="shared" si="35"/>
        <v>0</v>
      </c>
      <c r="M171" s="1289">
        <f t="shared" si="36"/>
        <v>0</v>
      </c>
    </row>
    <row r="172" spans="1:13" s="4" customFormat="1" ht="74.25" customHeight="1">
      <c r="A172" s="100">
        <v>4</v>
      </c>
      <c r="B172" s="281"/>
      <c r="C172" s="121" t="s">
        <v>873</v>
      </c>
      <c r="D172" s="120" t="s">
        <v>11</v>
      </c>
      <c r="E172" s="122" t="s">
        <v>20</v>
      </c>
      <c r="F172" s="163">
        <v>1</v>
      </c>
      <c r="G172" s="478"/>
      <c r="H172" s="161">
        <f t="shared" si="33"/>
        <v>0</v>
      </c>
      <c r="I172" s="1356"/>
      <c r="J172" s="1531">
        <f t="shared" si="34"/>
        <v>0</v>
      </c>
      <c r="K172" s="1356"/>
      <c r="L172" s="1531">
        <f t="shared" si="35"/>
        <v>0</v>
      </c>
      <c r="M172" s="1531">
        <f t="shared" si="36"/>
        <v>0</v>
      </c>
    </row>
    <row r="173" spans="1:13" ht="38.25" customHeight="1">
      <c r="A173" s="66"/>
      <c r="B173" s="494"/>
      <c r="C173" s="68" t="s">
        <v>142</v>
      </c>
      <c r="D173" s="67" t="s">
        <v>14</v>
      </c>
      <c r="E173" s="69"/>
      <c r="F173" s="150"/>
      <c r="G173" s="1287"/>
      <c r="H173" s="261">
        <f>SUM(H8:H172)</f>
        <v>0</v>
      </c>
      <c r="I173" s="1300"/>
      <c r="J173" s="261">
        <f>SUM(J8:J172)</f>
        <v>0</v>
      </c>
      <c r="K173" s="1300"/>
      <c r="L173" s="261">
        <f>SUM(L8:L172)</f>
        <v>0</v>
      </c>
      <c r="M173" s="261">
        <f>SUM(M8:M172)</f>
        <v>0</v>
      </c>
    </row>
    <row r="174" spans="1:13" ht="26.25" customHeight="1">
      <c r="A174" s="66"/>
      <c r="B174" s="211"/>
      <c r="C174" s="64" t="s">
        <v>149</v>
      </c>
      <c r="D174" s="137" t="s">
        <v>874</v>
      </c>
      <c r="E174" s="62"/>
      <c r="F174" s="65">
        <v>0</v>
      </c>
      <c r="G174" s="1290"/>
      <c r="H174" s="1289"/>
      <c r="I174" s="1289"/>
      <c r="J174" s="1289"/>
      <c r="K174" s="1289"/>
      <c r="L174" s="1289"/>
      <c r="M174" s="261">
        <f>H173*F174</f>
        <v>0</v>
      </c>
    </row>
    <row r="175" spans="1:13" ht="26.25" customHeight="1">
      <c r="A175" s="66"/>
      <c r="B175" s="211"/>
      <c r="C175" s="64" t="s">
        <v>143</v>
      </c>
      <c r="D175" s="63"/>
      <c r="E175" s="62"/>
      <c r="F175" s="65"/>
      <c r="G175" s="1290"/>
      <c r="H175" s="1289"/>
      <c r="I175" s="1289"/>
      <c r="J175" s="1289"/>
      <c r="K175" s="1289"/>
      <c r="L175" s="1289"/>
      <c r="M175" s="261">
        <f>M174+M173</f>
        <v>0</v>
      </c>
    </row>
    <row r="176" spans="1:13" ht="26.25" customHeight="1">
      <c r="A176" s="66"/>
      <c r="B176" s="211"/>
      <c r="C176" s="64" t="s">
        <v>144</v>
      </c>
      <c r="D176" s="137" t="s">
        <v>874</v>
      </c>
      <c r="E176" s="62"/>
      <c r="F176" s="65">
        <v>0</v>
      </c>
      <c r="G176" s="1290"/>
      <c r="H176" s="1289"/>
      <c r="I176" s="1289"/>
      <c r="J176" s="1289"/>
      <c r="K176" s="1289"/>
      <c r="L176" s="1289"/>
      <c r="M176" s="261">
        <f>M175*F176</f>
        <v>0</v>
      </c>
    </row>
    <row r="177" spans="1:13" ht="26.25" customHeight="1">
      <c r="A177" s="66"/>
      <c r="B177" s="211"/>
      <c r="C177" s="64" t="s">
        <v>39</v>
      </c>
      <c r="D177" s="63"/>
      <c r="E177" s="62"/>
      <c r="F177" s="65"/>
      <c r="G177" s="1290"/>
      <c r="H177" s="1289"/>
      <c r="I177" s="1289"/>
      <c r="J177" s="1289"/>
      <c r="K177" s="1289"/>
      <c r="L177" s="1289"/>
      <c r="M177" s="261">
        <f>SUM(M175:M176)</f>
        <v>0</v>
      </c>
    </row>
    <row r="178" spans="1:13" ht="26.25" customHeight="1">
      <c r="A178" s="66"/>
      <c r="B178" s="211"/>
      <c r="C178" s="64" t="s">
        <v>145</v>
      </c>
      <c r="D178" s="137" t="s">
        <v>874</v>
      </c>
      <c r="E178" s="62"/>
      <c r="F178" s="65">
        <v>0</v>
      </c>
      <c r="G178" s="1290"/>
      <c r="H178" s="1289"/>
      <c r="I178" s="1289"/>
      <c r="J178" s="1289"/>
      <c r="K178" s="1289"/>
      <c r="L178" s="1289"/>
      <c r="M178" s="261">
        <f>M177*F178</f>
        <v>0</v>
      </c>
    </row>
    <row r="179" spans="1:13" ht="26.25" customHeight="1">
      <c r="A179" s="66"/>
      <c r="B179" s="249"/>
      <c r="C179" s="64" t="s">
        <v>39</v>
      </c>
      <c r="D179" s="67"/>
      <c r="E179" s="62"/>
      <c r="F179" s="62"/>
      <c r="G179" s="1290"/>
      <c r="H179" s="1289"/>
      <c r="I179" s="1289"/>
      <c r="J179" s="1289"/>
      <c r="K179" s="1289"/>
      <c r="L179" s="1289"/>
      <c r="M179" s="261">
        <f>SUM(M177:M178)</f>
        <v>0</v>
      </c>
    </row>
    <row r="180" spans="1:13">
      <c r="A180" s="10"/>
      <c r="B180" s="450"/>
      <c r="C180" s="11"/>
      <c r="F180" s="47"/>
      <c r="H180" s="47"/>
      <c r="I180" s="47"/>
      <c r="L180" s="47"/>
      <c r="M180" s="47"/>
    </row>
    <row r="181" spans="1:13">
      <c r="A181" s="12"/>
      <c r="B181" s="451"/>
      <c r="C181" s="1664"/>
      <c r="D181" s="1664"/>
      <c r="E181" s="51"/>
      <c r="F181" s="1665"/>
      <c r="G181" s="1665"/>
      <c r="H181" s="1665"/>
      <c r="I181" s="47"/>
      <c r="L181" s="47"/>
      <c r="M181" s="47"/>
    </row>
  </sheetData>
  <protectedRanges>
    <protectedRange sqref="G119 G124 G113 K141:K142 K144:K148 G140:G157 K150:K157 I141:I157 K93:K100 K102:K105 K107:K108 G173:M179 G172 K172 I172 K79:K91 K33:K77 G129 G134 G8:G108 I8:I108 K8:K31" name="Range1"/>
  </protectedRanges>
  <mergeCells count="14">
    <mergeCell ref="C181:D181"/>
    <mergeCell ref="F181:H181"/>
    <mergeCell ref="A5:A6"/>
    <mergeCell ref="B5:B6"/>
    <mergeCell ref="C5:C6"/>
    <mergeCell ref="D5:D6"/>
    <mergeCell ref="E5:F5"/>
    <mergeCell ref="A1:M1"/>
    <mergeCell ref="A2:M2"/>
    <mergeCell ref="A4:H4"/>
    <mergeCell ref="G5:H5"/>
    <mergeCell ref="I5:J5"/>
    <mergeCell ref="K5:L5"/>
    <mergeCell ref="M5:M6"/>
  </mergeCells>
  <pageMargins left="0.32" right="0.27" top="0.43" bottom="0.36" header="0.16" footer="0.3"/>
  <pageSetup paperSize="9" scale="61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 tint="4.9989318521683403E-2"/>
  </sheetPr>
  <dimension ref="A1:G13"/>
  <sheetViews>
    <sheetView zoomScaleNormal="100" zoomScaleSheetLayoutView="85" workbookViewId="0">
      <selection activeCell="C4" sqref="C4:C5"/>
    </sheetView>
  </sheetViews>
  <sheetFormatPr defaultColWidth="9.140625" defaultRowHeight="15.75"/>
  <cols>
    <col min="1" max="1" width="6.140625" style="436" customWidth="1"/>
    <col min="2" max="2" width="16.85546875" style="436" customWidth="1"/>
    <col min="3" max="3" width="47.85546875" style="436" customWidth="1"/>
    <col min="4" max="4" width="15.5703125" style="436" customWidth="1"/>
    <col min="5" max="5" width="16.7109375" style="436" customWidth="1"/>
    <col min="6" max="6" width="13" style="436" customWidth="1"/>
    <col min="7" max="7" width="15.28515625" style="436" customWidth="1"/>
    <col min="8" max="251" width="9.140625" style="436"/>
    <col min="252" max="252" width="3.85546875" style="436" customWidth="1"/>
    <col min="253" max="253" width="11.85546875" style="436" customWidth="1"/>
    <col min="254" max="254" width="47.28515625" style="436" customWidth="1"/>
    <col min="255" max="258" width="13.28515625" style="436" customWidth="1"/>
    <col min="259" max="263" width="0" style="436" hidden="1" customWidth="1"/>
    <col min="264" max="507" width="9.140625" style="436"/>
    <col min="508" max="508" width="3.85546875" style="436" customWidth="1"/>
    <col min="509" max="509" width="11.85546875" style="436" customWidth="1"/>
    <col min="510" max="510" width="47.28515625" style="436" customWidth="1"/>
    <col min="511" max="514" width="13.28515625" style="436" customWidth="1"/>
    <col min="515" max="519" width="0" style="436" hidden="1" customWidth="1"/>
    <col min="520" max="763" width="9.140625" style="436"/>
    <col min="764" max="764" width="3.85546875" style="436" customWidth="1"/>
    <col min="765" max="765" width="11.85546875" style="436" customWidth="1"/>
    <col min="766" max="766" width="47.28515625" style="436" customWidth="1"/>
    <col min="767" max="770" width="13.28515625" style="436" customWidth="1"/>
    <col min="771" max="775" width="0" style="436" hidden="1" customWidth="1"/>
    <col min="776" max="1019" width="9.140625" style="436"/>
    <col min="1020" max="1020" width="3.85546875" style="436" customWidth="1"/>
    <col min="1021" max="1021" width="11.85546875" style="436" customWidth="1"/>
    <col min="1022" max="1022" width="47.28515625" style="436" customWidth="1"/>
    <col min="1023" max="1026" width="13.28515625" style="436" customWidth="1"/>
    <col min="1027" max="1031" width="0" style="436" hidden="1" customWidth="1"/>
    <col min="1032" max="1275" width="9.140625" style="436"/>
    <col min="1276" max="1276" width="3.85546875" style="436" customWidth="1"/>
    <col min="1277" max="1277" width="11.85546875" style="436" customWidth="1"/>
    <col min="1278" max="1278" width="47.28515625" style="436" customWidth="1"/>
    <col min="1279" max="1282" width="13.28515625" style="436" customWidth="1"/>
    <col min="1283" max="1287" width="0" style="436" hidden="1" customWidth="1"/>
    <col min="1288" max="1531" width="9.140625" style="436"/>
    <col min="1532" max="1532" width="3.85546875" style="436" customWidth="1"/>
    <col min="1533" max="1533" width="11.85546875" style="436" customWidth="1"/>
    <col min="1534" max="1534" width="47.28515625" style="436" customWidth="1"/>
    <col min="1535" max="1538" width="13.28515625" style="436" customWidth="1"/>
    <col min="1539" max="1543" width="0" style="436" hidden="1" customWidth="1"/>
    <col min="1544" max="1787" width="9.140625" style="436"/>
    <col min="1788" max="1788" width="3.85546875" style="436" customWidth="1"/>
    <col min="1789" max="1789" width="11.85546875" style="436" customWidth="1"/>
    <col min="1790" max="1790" width="47.28515625" style="436" customWidth="1"/>
    <col min="1791" max="1794" width="13.28515625" style="436" customWidth="1"/>
    <col min="1795" max="1799" width="0" style="436" hidden="1" customWidth="1"/>
    <col min="1800" max="2043" width="9.140625" style="436"/>
    <col min="2044" max="2044" width="3.85546875" style="436" customWidth="1"/>
    <col min="2045" max="2045" width="11.85546875" style="436" customWidth="1"/>
    <col min="2046" max="2046" width="47.28515625" style="436" customWidth="1"/>
    <col min="2047" max="2050" width="13.28515625" style="436" customWidth="1"/>
    <col min="2051" max="2055" width="0" style="436" hidden="1" customWidth="1"/>
    <col min="2056" max="2299" width="9.140625" style="436"/>
    <col min="2300" max="2300" width="3.85546875" style="436" customWidth="1"/>
    <col min="2301" max="2301" width="11.85546875" style="436" customWidth="1"/>
    <col min="2302" max="2302" width="47.28515625" style="436" customWidth="1"/>
    <col min="2303" max="2306" width="13.28515625" style="436" customWidth="1"/>
    <col min="2307" max="2311" width="0" style="436" hidden="1" customWidth="1"/>
    <col min="2312" max="2555" width="9.140625" style="436"/>
    <col min="2556" max="2556" width="3.85546875" style="436" customWidth="1"/>
    <col min="2557" max="2557" width="11.85546875" style="436" customWidth="1"/>
    <col min="2558" max="2558" width="47.28515625" style="436" customWidth="1"/>
    <col min="2559" max="2562" width="13.28515625" style="436" customWidth="1"/>
    <col min="2563" max="2567" width="0" style="436" hidden="1" customWidth="1"/>
    <col min="2568" max="2811" width="9.140625" style="436"/>
    <col min="2812" max="2812" width="3.85546875" style="436" customWidth="1"/>
    <col min="2813" max="2813" width="11.85546875" style="436" customWidth="1"/>
    <col min="2814" max="2814" width="47.28515625" style="436" customWidth="1"/>
    <col min="2815" max="2818" width="13.28515625" style="436" customWidth="1"/>
    <col min="2819" max="2823" width="0" style="436" hidden="1" customWidth="1"/>
    <col min="2824" max="3067" width="9.140625" style="436"/>
    <col min="3068" max="3068" width="3.85546875" style="436" customWidth="1"/>
    <col min="3069" max="3069" width="11.85546875" style="436" customWidth="1"/>
    <col min="3070" max="3070" width="47.28515625" style="436" customWidth="1"/>
    <col min="3071" max="3074" width="13.28515625" style="436" customWidth="1"/>
    <col min="3075" max="3079" width="0" style="436" hidden="1" customWidth="1"/>
    <col min="3080" max="3323" width="9.140625" style="436"/>
    <col min="3324" max="3324" width="3.85546875" style="436" customWidth="1"/>
    <col min="3325" max="3325" width="11.85546875" style="436" customWidth="1"/>
    <col min="3326" max="3326" width="47.28515625" style="436" customWidth="1"/>
    <col min="3327" max="3330" width="13.28515625" style="436" customWidth="1"/>
    <col min="3331" max="3335" width="0" style="436" hidden="1" customWidth="1"/>
    <col min="3336" max="3579" width="9.140625" style="436"/>
    <col min="3580" max="3580" width="3.85546875" style="436" customWidth="1"/>
    <col min="3581" max="3581" width="11.85546875" style="436" customWidth="1"/>
    <col min="3582" max="3582" width="47.28515625" style="436" customWidth="1"/>
    <col min="3583" max="3586" width="13.28515625" style="436" customWidth="1"/>
    <col min="3587" max="3591" width="0" style="436" hidden="1" customWidth="1"/>
    <col min="3592" max="3835" width="9.140625" style="436"/>
    <col min="3836" max="3836" width="3.85546875" style="436" customWidth="1"/>
    <col min="3837" max="3837" width="11.85546875" style="436" customWidth="1"/>
    <col min="3838" max="3838" width="47.28515625" style="436" customWidth="1"/>
    <col min="3839" max="3842" width="13.28515625" style="436" customWidth="1"/>
    <col min="3843" max="3847" width="0" style="436" hidden="1" customWidth="1"/>
    <col min="3848" max="4091" width="9.140625" style="436"/>
    <col min="4092" max="4092" width="3.85546875" style="436" customWidth="1"/>
    <col min="4093" max="4093" width="11.85546875" style="436" customWidth="1"/>
    <col min="4094" max="4094" width="47.28515625" style="436" customWidth="1"/>
    <col min="4095" max="4098" width="13.28515625" style="436" customWidth="1"/>
    <col min="4099" max="4103" width="0" style="436" hidden="1" customWidth="1"/>
    <col min="4104" max="4347" width="9.140625" style="436"/>
    <col min="4348" max="4348" width="3.85546875" style="436" customWidth="1"/>
    <col min="4349" max="4349" width="11.85546875" style="436" customWidth="1"/>
    <col min="4350" max="4350" width="47.28515625" style="436" customWidth="1"/>
    <col min="4351" max="4354" width="13.28515625" style="436" customWidth="1"/>
    <col min="4355" max="4359" width="0" style="436" hidden="1" customWidth="1"/>
    <col min="4360" max="4603" width="9.140625" style="436"/>
    <col min="4604" max="4604" width="3.85546875" style="436" customWidth="1"/>
    <col min="4605" max="4605" width="11.85546875" style="436" customWidth="1"/>
    <col min="4606" max="4606" width="47.28515625" style="436" customWidth="1"/>
    <col min="4607" max="4610" width="13.28515625" style="436" customWidth="1"/>
    <col min="4611" max="4615" width="0" style="436" hidden="1" customWidth="1"/>
    <col min="4616" max="4859" width="9.140625" style="436"/>
    <col min="4860" max="4860" width="3.85546875" style="436" customWidth="1"/>
    <col min="4861" max="4861" width="11.85546875" style="436" customWidth="1"/>
    <col min="4862" max="4862" width="47.28515625" style="436" customWidth="1"/>
    <col min="4863" max="4866" width="13.28515625" style="436" customWidth="1"/>
    <col min="4867" max="4871" width="0" style="436" hidden="1" customWidth="1"/>
    <col min="4872" max="5115" width="9.140625" style="436"/>
    <col min="5116" max="5116" width="3.85546875" style="436" customWidth="1"/>
    <col min="5117" max="5117" width="11.85546875" style="436" customWidth="1"/>
    <col min="5118" max="5118" width="47.28515625" style="436" customWidth="1"/>
    <col min="5119" max="5122" width="13.28515625" style="436" customWidth="1"/>
    <col min="5123" max="5127" width="0" style="436" hidden="1" customWidth="1"/>
    <col min="5128" max="5371" width="9.140625" style="436"/>
    <col min="5372" max="5372" width="3.85546875" style="436" customWidth="1"/>
    <col min="5373" max="5373" width="11.85546875" style="436" customWidth="1"/>
    <col min="5374" max="5374" width="47.28515625" style="436" customWidth="1"/>
    <col min="5375" max="5378" width="13.28515625" style="436" customWidth="1"/>
    <col min="5379" max="5383" width="0" style="436" hidden="1" customWidth="1"/>
    <col min="5384" max="5627" width="9.140625" style="436"/>
    <col min="5628" max="5628" width="3.85546875" style="436" customWidth="1"/>
    <col min="5629" max="5629" width="11.85546875" style="436" customWidth="1"/>
    <col min="5630" max="5630" width="47.28515625" style="436" customWidth="1"/>
    <col min="5631" max="5634" width="13.28515625" style="436" customWidth="1"/>
    <col min="5635" max="5639" width="0" style="436" hidden="1" customWidth="1"/>
    <col min="5640" max="5883" width="9.140625" style="436"/>
    <col min="5884" max="5884" width="3.85546875" style="436" customWidth="1"/>
    <col min="5885" max="5885" width="11.85546875" style="436" customWidth="1"/>
    <col min="5886" max="5886" width="47.28515625" style="436" customWidth="1"/>
    <col min="5887" max="5890" width="13.28515625" style="436" customWidth="1"/>
    <col min="5891" max="5895" width="0" style="436" hidden="1" customWidth="1"/>
    <col min="5896" max="6139" width="9.140625" style="436"/>
    <col min="6140" max="6140" width="3.85546875" style="436" customWidth="1"/>
    <col min="6141" max="6141" width="11.85546875" style="436" customWidth="1"/>
    <col min="6142" max="6142" width="47.28515625" style="436" customWidth="1"/>
    <col min="6143" max="6146" width="13.28515625" style="436" customWidth="1"/>
    <col min="6147" max="6151" width="0" style="436" hidden="1" customWidth="1"/>
    <col min="6152" max="6395" width="9.140625" style="436"/>
    <col min="6396" max="6396" width="3.85546875" style="436" customWidth="1"/>
    <col min="6397" max="6397" width="11.85546875" style="436" customWidth="1"/>
    <col min="6398" max="6398" width="47.28515625" style="436" customWidth="1"/>
    <col min="6399" max="6402" width="13.28515625" style="436" customWidth="1"/>
    <col min="6403" max="6407" width="0" style="436" hidden="1" customWidth="1"/>
    <col min="6408" max="6651" width="9.140625" style="436"/>
    <col min="6652" max="6652" width="3.85546875" style="436" customWidth="1"/>
    <col min="6653" max="6653" width="11.85546875" style="436" customWidth="1"/>
    <col min="6654" max="6654" width="47.28515625" style="436" customWidth="1"/>
    <col min="6655" max="6658" width="13.28515625" style="436" customWidth="1"/>
    <col min="6659" max="6663" width="0" style="436" hidden="1" customWidth="1"/>
    <col min="6664" max="6907" width="9.140625" style="436"/>
    <col min="6908" max="6908" width="3.85546875" style="436" customWidth="1"/>
    <col min="6909" max="6909" width="11.85546875" style="436" customWidth="1"/>
    <col min="6910" max="6910" width="47.28515625" style="436" customWidth="1"/>
    <col min="6911" max="6914" width="13.28515625" style="436" customWidth="1"/>
    <col min="6915" max="6919" width="0" style="436" hidden="1" customWidth="1"/>
    <col min="6920" max="7163" width="9.140625" style="436"/>
    <col min="7164" max="7164" width="3.85546875" style="436" customWidth="1"/>
    <col min="7165" max="7165" width="11.85546875" style="436" customWidth="1"/>
    <col min="7166" max="7166" width="47.28515625" style="436" customWidth="1"/>
    <col min="7167" max="7170" width="13.28515625" style="436" customWidth="1"/>
    <col min="7171" max="7175" width="0" style="436" hidden="1" customWidth="1"/>
    <col min="7176" max="7419" width="9.140625" style="436"/>
    <col min="7420" max="7420" width="3.85546875" style="436" customWidth="1"/>
    <col min="7421" max="7421" width="11.85546875" style="436" customWidth="1"/>
    <col min="7422" max="7422" width="47.28515625" style="436" customWidth="1"/>
    <col min="7423" max="7426" width="13.28515625" style="436" customWidth="1"/>
    <col min="7427" max="7431" width="0" style="436" hidden="1" customWidth="1"/>
    <col min="7432" max="7675" width="9.140625" style="436"/>
    <col min="7676" max="7676" width="3.85546875" style="436" customWidth="1"/>
    <col min="7677" max="7677" width="11.85546875" style="436" customWidth="1"/>
    <col min="7678" max="7678" width="47.28515625" style="436" customWidth="1"/>
    <col min="7679" max="7682" width="13.28515625" style="436" customWidth="1"/>
    <col min="7683" max="7687" width="0" style="436" hidden="1" customWidth="1"/>
    <col min="7688" max="7931" width="9.140625" style="436"/>
    <col min="7932" max="7932" width="3.85546875" style="436" customWidth="1"/>
    <col min="7933" max="7933" width="11.85546875" style="436" customWidth="1"/>
    <col min="7934" max="7934" width="47.28515625" style="436" customWidth="1"/>
    <col min="7935" max="7938" width="13.28515625" style="436" customWidth="1"/>
    <col min="7939" max="7943" width="0" style="436" hidden="1" customWidth="1"/>
    <col min="7944" max="8187" width="9.140625" style="436"/>
    <col min="8188" max="8188" width="3.85546875" style="436" customWidth="1"/>
    <col min="8189" max="8189" width="11.85546875" style="436" customWidth="1"/>
    <col min="8190" max="8190" width="47.28515625" style="436" customWidth="1"/>
    <col min="8191" max="8194" width="13.28515625" style="436" customWidth="1"/>
    <col min="8195" max="8199" width="0" style="436" hidden="1" customWidth="1"/>
    <col min="8200" max="8443" width="9.140625" style="436"/>
    <col min="8444" max="8444" width="3.85546875" style="436" customWidth="1"/>
    <col min="8445" max="8445" width="11.85546875" style="436" customWidth="1"/>
    <col min="8446" max="8446" width="47.28515625" style="436" customWidth="1"/>
    <col min="8447" max="8450" width="13.28515625" style="436" customWidth="1"/>
    <col min="8451" max="8455" width="0" style="436" hidden="1" customWidth="1"/>
    <col min="8456" max="8699" width="9.140625" style="436"/>
    <col min="8700" max="8700" width="3.85546875" style="436" customWidth="1"/>
    <col min="8701" max="8701" width="11.85546875" style="436" customWidth="1"/>
    <col min="8702" max="8702" width="47.28515625" style="436" customWidth="1"/>
    <col min="8703" max="8706" width="13.28515625" style="436" customWidth="1"/>
    <col min="8707" max="8711" width="0" style="436" hidden="1" customWidth="1"/>
    <col min="8712" max="8955" width="9.140625" style="436"/>
    <col min="8956" max="8956" width="3.85546875" style="436" customWidth="1"/>
    <col min="8957" max="8957" width="11.85546875" style="436" customWidth="1"/>
    <col min="8958" max="8958" width="47.28515625" style="436" customWidth="1"/>
    <col min="8959" max="8962" width="13.28515625" style="436" customWidth="1"/>
    <col min="8963" max="8967" width="0" style="436" hidden="1" customWidth="1"/>
    <col min="8968" max="9211" width="9.140625" style="436"/>
    <col min="9212" max="9212" width="3.85546875" style="436" customWidth="1"/>
    <col min="9213" max="9213" width="11.85546875" style="436" customWidth="1"/>
    <col min="9214" max="9214" width="47.28515625" style="436" customWidth="1"/>
    <col min="9215" max="9218" width="13.28515625" style="436" customWidth="1"/>
    <col min="9219" max="9223" width="0" style="436" hidden="1" customWidth="1"/>
    <col min="9224" max="9467" width="9.140625" style="436"/>
    <col min="9468" max="9468" width="3.85546875" style="436" customWidth="1"/>
    <col min="9469" max="9469" width="11.85546875" style="436" customWidth="1"/>
    <col min="9470" max="9470" width="47.28515625" style="436" customWidth="1"/>
    <col min="9471" max="9474" width="13.28515625" style="436" customWidth="1"/>
    <col min="9475" max="9479" width="0" style="436" hidden="1" customWidth="1"/>
    <col min="9480" max="9723" width="9.140625" style="436"/>
    <col min="9724" max="9724" width="3.85546875" style="436" customWidth="1"/>
    <col min="9725" max="9725" width="11.85546875" style="436" customWidth="1"/>
    <col min="9726" max="9726" width="47.28515625" style="436" customWidth="1"/>
    <col min="9727" max="9730" width="13.28515625" style="436" customWidth="1"/>
    <col min="9731" max="9735" width="0" style="436" hidden="1" customWidth="1"/>
    <col min="9736" max="9979" width="9.140625" style="436"/>
    <col min="9980" max="9980" width="3.85546875" style="436" customWidth="1"/>
    <col min="9981" max="9981" width="11.85546875" style="436" customWidth="1"/>
    <col min="9982" max="9982" width="47.28515625" style="436" customWidth="1"/>
    <col min="9983" max="9986" width="13.28515625" style="436" customWidth="1"/>
    <col min="9987" max="9991" width="0" style="436" hidden="1" customWidth="1"/>
    <col min="9992" max="10235" width="9.140625" style="436"/>
    <col min="10236" max="10236" width="3.85546875" style="436" customWidth="1"/>
    <col min="10237" max="10237" width="11.85546875" style="436" customWidth="1"/>
    <col min="10238" max="10238" width="47.28515625" style="436" customWidth="1"/>
    <col min="10239" max="10242" width="13.28515625" style="436" customWidth="1"/>
    <col min="10243" max="10247" width="0" style="436" hidden="1" customWidth="1"/>
    <col min="10248" max="10491" width="9.140625" style="436"/>
    <col min="10492" max="10492" width="3.85546875" style="436" customWidth="1"/>
    <col min="10493" max="10493" width="11.85546875" style="436" customWidth="1"/>
    <col min="10494" max="10494" width="47.28515625" style="436" customWidth="1"/>
    <col min="10495" max="10498" width="13.28515625" style="436" customWidth="1"/>
    <col min="10499" max="10503" width="0" style="436" hidden="1" customWidth="1"/>
    <col min="10504" max="10747" width="9.140625" style="436"/>
    <col min="10748" max="10748" width="3.85546875" style="436" customWidth="1"/>
    <col min="10749" max="10749" width="11.85546875" style="436" customWidth="1"/>
    <col min="10750" max="10750" width="47.28515625" style="436" customWidth="1"/>
    <col min="10751" max="10754" width="13.28515625" style="436" customWidth="1"/>
    <col min="10755" max="10759" width="0" style="436" hidden="1" customWidth="1"/>
    <col min="10760" max="11003" width="9.140625" style="436"/>
    <col min="11004" max="11004" width="3.85546875" style="436" customWidth="1"/>
    <col min="11005" max="11005" width="11.85546875" style="436" customWidth="1"/>
    <col min="11006" max="11006" width="47.28515625" style="436" customWidth="1"/>
    <col min="11007" max="11010" width="13.28515625" style="436" customWidth="1"/>
    <col min="11011" max="11015" width="0" style="436" hidden="1" customWidth="1"/>
    <col min="11016" max="11259" width="9.140625" style="436"/>
    <col min="11260" max="11260" width="3.85546875" style="436" customWidth="1"/>
    <col min="11261" max="11261" width="11.85546875" style="436" customWidth="1"/>
    <col min="11262" max="11262" width="47.28515625" style="436" customWidth="1"/>
    <col min="11263" max="11266" width="13.28515625" style="436" customWidth="1"/>
    <col min="11267" max="11271" width="0" style="436" hidden="1" customWidth="1"/>
    <col min="11272" max="11515" width="9.140625" style="436"/>
    <col min="11516" max="11516" width="3.85546875" style="436" customWidth="1"/>
    <col min="11517" max="11517" width="11.85546875" style="436" customWidth="1"/>
    <col min="11518" max="11518" width="47.28515625" style="436" customWidth="1"/>
    <col min="11519" max="11522" width="13.28515625" style="436" customWidth="1"/>
    <col min="11523" max="11527" width="0" style="436" hidden="1" customWidth="1"/>
    <col min="11528" max="11771" width="9.140625" style="436"/>
    <col min="11772" max="11772" width="3.85546875" style="436" customWidth="1"/>
    <col min="11773" max="11773" width="11.85546875" style="436" customWidth="1"/>
    <col min="11774" max="11774" width="47.28515625" style="436" customWidth="1"/>
    <col min="11775" max="11778" width="13.28515625" style="436" customWidth="1"/>
    <col min="11779" max="11783" width="0" style="436" hidden="1" customWidth="1"/>
    <col min="11784" max="12027" width="9.140625" style="436"/>
    <col min="12028" max="12028" width="3.85546875" style="436" customWidth="1"/>
    <col min="12029" max="12029" width="11.85546875" style="436" customWidth="1"/>
    <col min="12030" max="12030" width="47.28515625" style="436" customWidth="1"/>
    <col min="12031" max="12034" width="13.28515625" style="436" customWidth="1"/>
    <col min="12035" max="12039" width="0" style="436" hidden="1" customWidth="1"/>
    <col min="12040" max="12283" width="9.140625" style="436"/>
    <col min="12284" max="12284" width="3.85546875" style="436" customWidth="1"/>
    <col min="12285" max="12285" width="11.85546875" style="436" customWidth="1"/>
    <col min="12286" max="12286" width="47.28515625" style="436" customWidth="1"/>
    <col min="12287" max="12290" width="13.28515625" style="436" customWidth="1"/>
    <col min="12291" max="12295" width="0" style="436" hidden="1" customWidth="1"/>
    <col min="12296" max="12539" width="9.140625" style="436"/>
    <col min="12540" max="12540" width="3.85546875" style="436" customWidth="1"/>
    <col min="12541" max="12541" width="11.85546875" style="436" customWidth="1"/>
    <col min="12542" max="12542" width="47.28515625" style="436" customWidth="1"/>
    <col min="12543" max="12546" width="13.28515625" style="436" customWidth="1"/>
    <col min="12547" max="12551" width="0" style="436" hidden="1" customWidth="1"/>
    <col min="12552" max="12795" width="9.140625" style="436"/>
    <col min="12796" max="12796" width="3.85546875" style="436" customWidth="1"/>
    <col min="12797" max="12797" width="11.85546875" style="436" customWidth="1"/>
    <col min="12798" max="12798" width="47.28515625" style="436" customWidth="1"/>
    <col min="12799" max="12802" width="13.28515625" style="436" customWidth="1"/>
    <col min="12803" max="12807" width="0" style="436" hidden="1" customWidth="1"/>
    <col min="12808" max="13051" width="9.140625" style="436"/>
    <col min="13052" max="13052" width="3.85546875" style="436" customWidth="1"/>
    <col min="13053" max="13053" width="11.85546875" style="436" customWidth="1"/>
    <col min="13054" max="13054" width="47.28515625" style="436" customWidth="1"/>
    <col min="13055" max="13058" width="13.28515625" style="436" customWidth="1"/>
    <col min="13059" max="13063" width="0" style="436" hidden="1" customWidth="1"/>
    <col min="13064" max="13307" width="9.140625" style="436"/>
    <col min="13308" max="13308" width="3.85546875" style="436" customWidth="1"/>
    <col min="13309" max="13309" width="11.85546875" style="436" customWidth="1"/>
    <col min="13310" max="13310" width="47.28515625" style="436" customWidth="1"/>
    <col min="13311" max="13314" width="13.28515625" style="436" customWidth="1"/>
    <col min="13315" max="13319" width="0" style="436" hidden="1" customWidth="1"/>
    <col min="13320" max="13563" width="9.140625" style="436"/>
    <col min="13564" max="13564" width="3.85546875" style="436" customWidth="1"/>
    <col min="13565" max="13565" width="11.85546875" style="436" customWidth="1"/>
    <col min="13566" max="13566" width="47.28515625" style="436" customWidth="1"/>
    <col min="13567" max="13570" width="13.28515625" style="436" customWidth="1"/>
    <col min="13571" max="13575" width="0" style="436" hidden="1" customWidth="1"/>
    <col min="13576" max="13819" width="9.140625" style="436"/>
    <col min="13820" max="13820" width="3.85546875" style="436" customWidth="1"/>
    <col min="13821" max="13821" width="11.85546875" style="436" customWidth="1"/>
    <col min="13822" max="13822" width="47.28515625" style="436" customWidth="1"/>
    <col min="13823" max="13826" width="13.28515625" style="436" customWidth="1"/>
    <col min="13827" max="13831" width="0" style="436" hidden="1" customWidth="1"/>
    <col min="13832" max="14075" width="9.140625" style="436"/>
    <col min="14076" max="14076" width="3.85546875" style="436" customWidth="1"/>
    <col min="14077" max="14077" width="11.85546875" style="436" customWidth="1"/>
    <col min="14078" max="14078" width="47.28515625" style="436" customWidth="1"/>
    <col min="14079" max="14082" width="13.28515625" style="436" customWidth="1"/>
    <col min="14083" max="14087" width="0" style="436" hidden="1" customWidth="1"/>
    <col min="14088" max="14331" width="9.140625" style="436"/>
    <col min="14332" max="14332" width="3.85546875" style="436" customWidth="1"/>
    <col min="14333" max="14333" width="11.85546875" style="436" customWidth="1"/>
    <col min="14334" max="14334" width="47.28515625" style="436" customWidth="1"/>
    <col min="14335" max="14338" width="13.28515625" style="436" customWidth="1"/>
    <col min="14339" max="14343" width="0" style="436" hidden="1" customWidth="1"/>
    <col min="14344" max="14587" width="9.140625" style="436"/>
    <col min="14588" max="14588" width="3.85546875" style="436" customWidth="1"/>
    <col min="14589" max="14589" width="11.85546875" style="436" customWidth="1"/>
    <col min="14590" max="14590" width="47.28515625" style="436" customWidth="1"/>
    <col min="14591" max="14594" width="13.28515625" style="436" customWidth="1"/>
    <col min="14595" max="14599" width="0" style="436" hidden="1" customWidth="1"/>
    <col min="14600" max="14843" width="9.140625" style="436"/>
    <col min="14844" max="14844" width="3.85546875" style="436" customWidth="1"/>
    <col min="14845" max="14845" width="11.85546875" style="436" customWidth="1"/>
    <col min="14846" max="14846" width="47.28515625" style="436" customWidth="1"/>
    <col min="14847" max="14850" width="13.28515625" style="436" customWidth="1"/>
    <col min="14851" max="14855" width="0" style="436" hidden="1" customWidth="1"/>
    <col min="14856" max="15099" width="9.140625" style="436"/>
    <col min="15100" max="15100" width="3.85546875" style="436" customWidth="1"/>
    <col min="15101" max="15101" width="11.85546875" style="436" customWidth="1"/>
    <col min="15102" max="15102" width="47.28515625" style="436" customWidth="1"/>
    <col min="15103" max="15106" width="13.28515625" style="436" customWidth="1"/>
    <col min="15107" max="15111" width="0" style="436" hidden="1" customWidth="1"/>
    <col min="15112" max="15355" width="9.140625" style="436"/>
    <col min="15356" max="15356" width="3.85546875" style="436" customWidth="1"/>
    <col min="15357" max="15357" width="11.85546875" style="436" customWidth="1"/>
    <col min="15358" max="15358" width="47.28515625" style="436" customWidth="1"/>
    <col min="15359" max="15362" width="13.28515625" style="436" customWidth="1"/>
    <col min="15363" max="15367" width="0" style="436" hidden="1" customWidth="1"/>
    <col min="15368" max="15611" width="9.140625" style="436"/>
    <col min="15612" max="15612" width="3.85546875" style="436" customWidth="1"/>
    <col min="15613" max="15613" width="11.85546875" style="436" customWidth="1"/>
    <col min="15614" max="15614" width="47.28515625" style="436" customWidth="1"/>
    <col min="15615" max="15618" width="13.28515625" style="436" customWidth="1"/>
    <col min="15619" max="15623" width="0" style="436" hidden="1" customWidth="1"/>
    <col min="15624" max="15867" width="9.140625" style="436"/>
    <col min="15868" max="15868" width="3.85546875" style="436" customWidth="1"/>
    <col min="15869" max="15869" width="11.85546875" style="436" customWidth="1"/>
    <col min="15870" max="15870" width="47.28515625" style="436" customWidth="1"/>
    <col min="15871" max="15874" width="13.28515625" style="436" customWidth="1"/>
    <col min="15875" max="15879" width="0" style="436" hidden="1" customWidth="1"/>
    <col min="15880" max="16123" width="9.140625" style="436"/>
    <col min="16124" max="16124" width="3.85546875" style="436" customWidth="1"/>
    <col min="16125" max="16125" width="11.85546875" style="436" customWidth="1"/>
    <col min="16126" max="16126" width="47.28515625" style="436" customWidth="1"/>
    <col min="16127" max="16130" width="13.28515625" style="436" customWidth="1"/>
    <col min="16131" max="16135" width="0" style="436" hidden="1" customWidth="1"/>
    <col min="16136" max="16384" width="9.140625" style="436"/>
  </cols>
  <sheetData>
    <row r="1" spans="1:7" s="434" customFormat="1" ht="19.899999999999999" customHeight="1">
      <c r="A1" s="1609" t="s">
        <v>769</v>
      </c>
      <c r="B1" s="1609"/>
      <c r="C1" s="1609"/>
      <c r="D1" s="1609"/>
      <c r="E1" s="1609"/>
      <c r="F1" s="1609"/>
      <c r="G1" s="1609"/>
    </row>
    <row r="2" spans="1:7" s="434" customFormat="1" ht="34.15" customHeight="1">
      <c r="A2" s="1610" t="s">
        <v>787</v>
      </c>
      <c r="B2" s="1610"/>
      <c r="C2" s="1610"/>
      <c r="D2" s="1610"/>
      <c r="E2" s="1610"/>
      <c r="F2" s="1610"/>
      <c r="G2" s="1610"/>
    </row>
    <row r="3" spans="1:7" s="435" customFormat="1" ht="19.899999999999999" customHeight="1">
      <c r="A3" s="1611"/>
      <c r="B3" s="1611"/>
      <c r="C3" s="1611"/>
      <c r="D3" s="1611"/>
      <c r="E3" s="1611"/>
      <c r="F3" s="1611"/>
      <c r="G3" s="1611"/>
    </row>
    <row r="4" spans="1:7" ht="52.15" customHeight="1">
      <c r="A4" s="1612" t="s">
        <v>153</v>
      </c>
      <c r="B4" s="1613" t="s">
        <v>33</v>
      </c>
      <c r="C4" s="1615" t="s">
        <v>194</v>
      </c>
      <c r="D4" s="1617" t="s">
        <v>195</v>
      </c>
      <c r="E4" s="1618"/>
      <c r="F4" s="1618"/>
      <c r="G4" s="1619"/>
    </row>
    <row r="5" spans="1:7" ht="95.25">
      <c r="A5" s="1612"/>
      <c r="B5" s="1614"/>
      <c r="C5" s="1616"/>
      <c r="D5" s="437" t="s">
        <v>196</v>
      </c>
      <c r="E5" s="437" t="s">
        <v>197</v>
      </c>
      <c r="F5" s="437" t="s">
        <v>198</v>
      </c>
      <c r="G5" s="438" t="s">
        <v>199</v>
      </c>
    </row>
    <row r="6" spans="1:7" ht="19.899999999999999" customHeight="1">
      <c r="A6" s="439" t="s">
        <v>44</v>
      </c>
      <c r="B6" s="438" t="s">
        <v>481</v>
      </c>
      <c r="C6" s="440" t="s">
        <v>154</v>
      </c>
      <c r="D6" s="441">
        <f>'11-1'!M300</f>
        <v>0</v>
      </c>
      <c r="E6" s="441"/>
      <c r="F6" s="441"/>
      <c r="G6" s="441">
        <f>D6+E6</f>
        <v>0</v>
      </c>
    </row>
    <row r="7" spans="1:7" ht="19.899999999999999" customHeight="1">
      <c r="A7" s="439" t="s">
        <v>45</v>
      </c>
      <c r="B7" s="438" t="s">
        <v>482</v>
      </c>
      <c r="C7" s="442" t="s">
        <v>573</v>
      </c>
      <c r="D7" s="441">
        <f>'11-2'!M46</f>
        <v>0</v>
      </c>
      <c r="E7" s="441"/>
      <c r="F7" s="441"/>
      <c r="G7" s="441">
        <f>D7+E7</f>
        <v>0</v>
      </c>
    </row>
    <row r="8" spans="1:7" ht="19.899999999999999" customHeight="1">
      <c r="A8" s="439" t="s">
        <v>45</v>
      </c>
      <c r="B8" s="438" t="s">
        <v>483</v>
      </c>
      <c r="C8" s="442" t="s">
        <v>572</v>
      </c>
      <c r="D8" s="441"/>
      <c r="E8" s="441">
        <f>'11-3'!M152</f>
        <v>0</v>
      </c>
      <c r="F8" s="441"/>
      <c r="G8" s="441">
        <f>D8+E8</f>
        <v>0</v>
      </c>
    </row>
    <row r="9" spans="1:7" ht="19.899999999999999" customHeight="1">
      <c r="A9" s="438"/>
      <c r="B9" s="438"/>
      <c r="C9" s="443" t="s">
        <v>39</v>
      </c>
      <c r="D9" s="444">
        <f>SUM(D6:D8)</f>
        <v>0</v>
      </c>
      <c r="E9" s="444">
        <f>SUM(E6:E8)</f>
        <v>0</v>
      </c>
      <c r="F9" s="444">
        <f>SUM(F6:F7)</f>
        <v>0</v>
      </c>
      <c r="G9" s="444">
        <f>SUM(G6:G8)</f>
        <v>0</v>
      </c>
    </row>
    <row r="10" spans="1:7">
      <c r="D10" s="445"/>
    </row>
    <row r="11" spans="1:7">
      <c r="A11" s="446"/>
      <c r="B11" s="446"/>
      <c r="C11" s="1605"/>
      <c r="D11" s="1605"/>
      <c r="E11" s="1606"/>
      <c r="F11" s="1606"/>
      <c r="G11" s="446"/>
    </row>
    <row r="12" spans="1:7">
      <c r="C12" s="1607"/>
      <c r="D12" s="1607"/>
      <c r="E12" s="1606"/>
      <c r="F12" s="1606"/>
    </row>
    <row r="13" spans="1:7">
      <c r="C13" s="447"/>
      <c r="D13" s="447"/>
      <c r="E13" s="448"/>
    </row>
  </sheetData>
  <mergeCells count="10">
    <mergeCell ref="C11:D11"/>
    <mergeCell ref="E11:F12"/>
    <mergeCell ref="C12:D12"/>
    <mergeCell ref="A1:G1"/>
    <mergeCell ref="A2:G2"/>
    <mergeCell ref="A3:G3"/>
    <mergeCell ref="A4:A5"/>
    <mergeCell ref="B4:B5"/>
    <mergeCell ref="C4:C5"/>
    <mergeCell ref="D4:G4"/>
  </mergeCells>
  <pageMargins left="0.18" right="0.12" top="0.75" bottom="0.75" header="0.3" footer="0.3"/>
  <pageSetup paperSize="9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4.9989318521683403E-2"/>
  </sheetPr>
  <dimension ref="A1:P302"/>
  <sheetViews>
    <sheetView topLeftCell="A292" zoomScale="70" zoomScaleNormal="70" zoomScaleSheetLayoutView="70" workbookViewId="0">
      <selection activeCell="G203" sqref="G203"/>
    </sheetView>
  </sheetViews>
  <sheetFormatPr defaultRowHeight="18.75"/>
  <cols>
    <col min="1" max="1" width="8.140625" style="208" customWidth="1"/>
    <col min="2" max="2" width="10" style="433" customWidth="1"/>
    <col min="3" max="3" width="60" style="432" customWidth="1"/>
    <col min="4" max="4" width="11.7109375" style="208" customWidth="1"/>
    <col min="5" max="6" width="14.42578125" style="208" customWidth="1"/>
    <col min="7" max="7" width="12" style="433" customWidth="1"/>
    <col min="8" max="8" width="13.28515625" style="208" customWidth="1"/>
    <col min="9" max="9" width="9.85546875" style="208" customWidth="1"/>
    <col min="10" max="10" width="12.7109375" style="208" customWidth="1"/>
    <col min="11" max="12" width="11.140625" style="208" customWidth="1"/>
    <col min="13" max="13" width="14.140625" style="208" customWidth="1"/>
    <col min="14" max="228" width="8.85546875" style="208"/>
    <col min="229" max="229" width="5.7109375" style="208" customWidth="1"/>
    <col min="230" max="230" width="9.85546875" style="208" customWidth="1"/>
    <col min="231" max="231" width="41.42578125" style="208" customWidth="1"/>
    <col min="232" max="236" width="10.7109375" style="208" customWidth="1"/>
    <col min="237" max="484" width="8.85546875" style="208"/>
    <col min="485" max="485" width="5.7109375" style="208" customWidth="1"/>
    <col min="486" max="486" width="9.85546875" style="208" customWidth="1"/>
    <col min="487" max="487" width="41.42578125" style="208" customWidth="1"/>
    <col min="488" max="492" width="10.7109375" style="208" customWidth="1"/>
    <col min="493" max="740" width="8.85546875" style="208"/>
    <col min="741" max="741" width="5.7109375" style="208" customWidth="1"/>
    <col min="742" max="742" width="9.85546875" style="208" customWidth="1"/>
    <col min="743" max="743" width="41.42578125" style="208" customWidth="1"/>
    <col min="744" max="748" width="10.7109375" style="208" customWidth="1"/>
    <col min="749" max="996" width="8.85546875" style="208"/>
    <col min="997" max="997" width="5.7109375" style="208" customWidth="1"/>
    <col min="998" max="998" width="9.85546875" style="208" customWidth="1"/>
    <col min="999" max="999" width="41.42578125" style="208" customWidth="1"/>
    <col min="1000" max="1004" width="10.7109375" style="208" customWidth="1"/>
    <col min="1005" max="1252" width="8.85546875" style="208"/>
    <col min="1253" max="1253" width="5.7109375" style="208" customWidth="1"/>
    <col min="1254" max="1254" width="9.85546875" style="208" customWidth="1"/>
    <col min="1255" max="1255" width="41.42578125" style="208" customWidth="1"/>
    <col min="1256" max="1260" width="10.7109375" style="208" customWidth="1"/>
    <col min="1261" max="1508" width="8.85546875" style="208"/>
    <col min="1509" max="1509" width="5.7109375" style="208" customWidth="1"/>
    <col min="1510" max="1510" width="9.85546875" style="208" customWidth="1"/>
    <col min="1511" max="1511" width="41.42578125" style="208" customWidth="1"/>
    <col min="1512" max="1516" width="10.7109375" style="208" customWidth="1"/>
    <col min="1517" max="1764" width="8.85546875" style="208"/>
    <col min="1765" max="1765" width="5.7109375" style="208" customWidth="1"/>
    <col min="1766" max="1766" width="9.85546875" style="208" customWidth="1"/>
    <col min="1767" max="1767" width="41.42578125" style="208" customWidth="1"/>
    <col min="1768" max="1772" width="10.7109375" style="208" customWidth="1"/>
    <col min="1773" max="2020" width="8.85546875" style="208"/>
    <col min="2021" max="2021" width="5.7109375" style="208" customWidth="1"/>
    <col min="2022" max="2022" width="9.85546875" style="208" customWidth="1"/>
    <col min="2023" max="2023" width="41.42578125" style="208" customWidth="1"/>
    <col min="2024" max="2028" width="10.7109375" style="208" customWidth="1"/>
    <col min="2029" max="2276" width="8.85546875" style="208"/>
    <col min="2277" max="2277" width="5.7109375" style="208" customWidth="1"/>
    <col min="2278" max="2278" width="9.85546875" style="208" customWidth="1"/>
    <col min="2279" max="2279" width="41.42578125" style="208" customWidth="1"/>
    <col min="2280" max="2284" width="10.7109375" style="208" customWidth="1"/>
    <col min="2285" max="2532" width="8.85546875" style="208"/>
    <col min="2533" max="2533" width="5.7109375" style="208" customWidth="1"/>
    <col min="2534" max="2534" width="9.85546875" style="208" customWidth="1"/>
    <col min="2535" max="2535" width="41.42578125" style="208" customWidth="1"/>
    <col min="2536" max="2540" width="10.7109375" style="208" customWidth="1"/>
    <col min="2541" max="2788" width="8.85546875" style="208"/>
    <col min="2789" max="2789" width="5.7109375" style="208" customWidth="1"/>
    <col min="2790" max="2790" width="9.85546875" style="208" customWidth="1"/>
    <col min="2791" max="2791" width="41.42578125" style="208" customWidth="1"/>
    <col min="2792" max="2796" width="10.7109375" style="208" customWidth="1"/>
    <col min="2797" max="3044" width="8.85546875" style="208"/>
    <col min="3045" max="3045" width="5.7109375" style="208" customWidth="1"/>
    <col min="3046" max="3046" width="9.85546875" style="208" customWidth="1"/>
    <col min="3047" max="3047" width="41.42578125" style="208" customWidth="1"/>
    <col min="3048" max="3052" width="10.7109375" style="208" customWidth="1"/>
    <col min="3053" max="3300" width="8.85546875" style="208"/>
    <col min="3301" max="3301" width="5.7109375" style="208" customWidth="1"/>
    <col min="3302" max="3302" width="9.85546875" style="208" customWidth="1"/>
    <col min="3303" max="3303" width="41.42578125" style="208" customWidth="1"/>
    <col min="3304" max="3308" width="10.7109375" style="208" customWidth="1"/>
    <col min="3309" max="3556" width="8.85546875" style="208"/>
    <col min="3557" max="3557" width="5.7109375" style="208" customWidth="1"/>
    <col min="3558" max="3558" width="9.85546875" style="208" customWidth="1"/>
    <col min="3559" max="3559" width="41.42578125" style="208" customWidth="1"/>
    <col min="3560" max="3564" width="10.7109375" style="208" customWidth="1"/>
    <col min="3565" max="3812" width="8.85546875" style="208"/>
    <col min="3813" max="3813" width="5.7109375" style="208" customWidth="1"/>
    <col min="3814" max="3814" width="9.85546875" style="208" customWidth="1"/>
    <col min="3815" max="3815" width="41.42578125" style="208" customWidth="1"/>
    <col min="3816" max="3820" width="10.7109375" style="208" customWidth="1"/>
    <col min="3821" max="4068" width="8.85546875" style="208"/>
    <col min="4069" max="4069" width="5.7109375" style="208" customWidth="1"/>
    <col min="4070" max="4070" width="9.85546875" style="208" customWidth="1"/>
    <col min="4071" max="4071" width="41.42578125" style="208" customWidth="1"/>
    <col min="4072" max="4076" width="10.7109375" style="208" customWidth="1"/>
    <col min="4077" max="4324" width="8.85546875" style="208"/>
    <col min="4325" max="4325" width="5.7109375" style="208" customWidth="1"/>
    <col min="4326" max="4326" width="9.85546875" style="208" customWidth="1"/>
    <col min="4327" max="4327" width="41.42578125" style="208" customWidth="1"/>
    <col min="4328" max="4332" width="10.7109375" style="208" customWidth="1"/>
    <col min="4333" max="4580" width="8.85546875" style="208"/>
    <col min="4581" max="4581" width="5.7109375" style="208" customWidth="1"/>
    <col min="4582" max="4582" width="9.85546875" style="208" customWidth="1"/>
    <col min="4583" max="4583" width="41.42578125" style="208" customWidth="1"/>
    <col min="4584" max="4588" width="10.7109375" style="208" customWidth="1"/>
    <col min="4589" max="4836" width="8.85546875" style="208"/>
    <col min="4837" max="4837" width="5.7109375" style="208" customWidth="1"/>
    <col min="4838" max="4838" width="9.85546875" style="208" customWidth="1"/>
    <col min="4839" max="4839" width="41.42578125" style="208" customWidth="1"/>
    <col min="4840" max="4844" width="10.7109375" style="208" customWidth="1"/>
    <col min="4845" max="5092" width="8.85546875" style="208"/>
    <col min="5093" max="5093" width="5.7109375" style="208" customWidth="1"/>
    <col min="5094" max="5094" width="9.85546875" style="208" customWidth="1"/>
    <col min="5095" max="5095" width="41.42578125" style="208" customWidth="1"/>
    <col min="5096" max="5100" width="10.7109375" style="208" customWidth="1"/>
    <col min="5101" max="5348" width="8.85546875" style="208"/>
    <col min="5349" max="5349" width="5.7109375" style="208" customWidth="1"/>
    <col min="5350" max="5350" width="9.85546875" style="208" customWidth="1"/>
    <col min="5351" max="5351" width="41.42578125" style="208" customWidth="1"/>
    <col min="5352" max="5356" width="10.7109375" style="208" customWidth="1"/>
    <col min="5357" max="5604" width="8.85546875" style="208"/>
    <col min="5605" max="5605" width="5.7109375" style="208" customWidth="1"/>
    <col min="5606" max="5606" width="9.85546875" style="208" customWidth="1"/>
    <col min="5607" max="5607" width="41.42578125" style="208" customWidth="1"/>
    <col min="5608" max="5612" width="10.7109375" style="208" customWidth="1"/>
    <col min="5613" max="5860" width="8.85546875" style="208"/>
    <col min="5861" max="5861" width="5.7109375" style="208" customWidth="1"/>
    <col min="5862" max="5862" width="9.85546875" style="208" customWidth="1"/>
    <col min="5863" max="5863" width="41.42578125" style="208" customWidth="1"/>
    <col min="5864" max="5868" width="10.7109375" style="208" customWidth="1"/>
    <col min="5869" max="6116" width="8.85546875" style="208"/>
    <col min="6117" max="6117" width="5.7109375" style="208" customWidth="1"/>
    <col min="6118" max="6118" width="9.85546875" style="208" customWidth="1"/>
    <col min="6119" max="6119" width="41.42578125" style="208" customWidth="1"/>
    <col min="6120" max="6124" width="10.7109375" style="208" customWidth="1"/>
    <col min="6125" max="6372" width="8.85546875" style="208"/>
    <col min="6373" max="6373" width="5.7109375" style="208" customWidth="1"/>
    <col min="6374" max="6374" width="9.85546875" style="208" customWidth="1"/>
    <col min="6375" max="6375" width="41.42578125" style="208" customWidth="1"/>
    <col min="6376" max="6380" width="10.7109375" style="208" customWidth="1"/>
    <col min="6381" max="6628" width="8.85546875" style="208"/>
    <col min="6629" max="6629" width="5.7109375" style="208" customWidth="1"/>
    <col min="6630" max="6630" width="9.85546875" style="208" customWidth="1"/>
    <col min="6631" max="6631" width="41.42578125" style="208" customWidth="1"/>
    <col min="6632" max="6636" width="10.7109375" style="208" customWidth="1"/>
    <col min="6637" max="6884" width="8.85546875" style="208"/>
    <col min="6885" max="6885" width="5.7109375" style="208" customWidth="1"/>
    <col min="6886" max="6886" width="9.85546875" style="208" customWidth="1"/>
    <col min="6887" max="6887" width="41.42578125" style="208" customWidth="1"/>
    <col min="6888" max="6892" width="10.7109375" style="208" customWidth="1"/>
    <col min="6893" max="7140" width="8.85546875" style="208"/>
    <col min="7141" max="7141" width="5.7109375" style="208" customWidth="1"/>
    <col min="7142" max="7142" width="9.85546875" style="208" customWidth="1"/>
    <col min="7143" max="7143" width="41.42578125" style="208" customWidth="1"/>
    <col min="7144" max="7148" width="10.7109375" style="208" customWidth="1"/>
    <col min="7149" max="7396" width="8.85546875" style="208"/>
    <col min="7397" max="7397" width="5.7109375" style="208" customWidth="1"/>
    <col min="7398" max="7398" width="9.85546875" style="208" customWidth="1"/>
    <col min="7399" max="7399" width="41.42578125" style="208" customWidth="1"/>
    <col min="7400" max="7404" width="10.7109375" style="208" customWidth="1"/>
    <col min="7405" max="7652" width="8.85546875" style="208"/>
    <col min="7653" max="7653" width="5.7109375" style="208" customWidth="1"/>
    <col min="7654" max="7654" width="9.85546875" style="208" customWidth="1"/>
    <col min="7655" max="7655" width="41.42578125" style="208" customWidth="1"/>
    <col min="7656" max="7660" width="10.7109375" style="208" customWidth="1"/>
    <col min="7661" max="7908" width="8.85546875" style="208"/>
    <col min="7909" max="7909" width="5.7109375" style="208" customWidth="1"/>
    <col min="7910" max="7910" width="9.85546875" style="208" customWidth="1"/>
    <col min="7911" max="7911" width="41.42578125" style="208" customWidth="1"/>
    <col min="7912" max="7916" width="10.7109375" style="208" customWidth="1"/>
    <col min="7917" max="8164" width="8.85546875" style="208"/>
    <col min="8165" max="8165" width="5.7109375" style="208" customWidth="1"/>
    <col min="8166" max="8166" width="9.85546875" style="208" customWidth="1"/>
    <col min="8167" max="8167" width="41.42578125" style="208" customWidth="1"/>
    <col min="8168" max="8172" width="10.7109375" style="208" customWidth="1"/>
    <col min="8173" max="8420" width="8.85546875" style="208"/>
    <col min="8421" max="8421" width="5.7109375" style="208" customWidth="1"/>
    <col min="8422" max="8422" width="9.85546875" style="208" customWidth="1"/>
    <col min="8423" max="8423" width="41.42578125" style="208" customWidth="1"/>
    <col min="8424" max="8428" width="10.7109375" style="208" customWidth="1"/>
    <col min="8429" max="8676" width="8.85546875" style="208"/>
    <col min="8677" max="8677" width="5.7109375" style="208" customWidth="1"/>
    <col min="8678" max="8678" width="9.85546875" style="208" customWidth="1"/>
    <col min="8679" max="8679" width="41.42578125" style="208" customWidth="1"/>
    <col min="8680" max="8684" width="10.7109375" style="208" customWidth="1"/>
    <col min="8685" max="8932" width="8.85546875" style="208"/>
    <col min="8933" max="8933" width="5.7109375" style="208" customWidth="1"/>
    <col min="8934" max="8934" width="9.85546875" style="208" customWidth="1"/>
    <col min="8935" max="8935" width="41.42578125" style="208" customWidth="1"/>
    <col min="8936" max="8940" width="10.7109375" style="208" customWidth="1"/>
    <col min="8941" max="9188" width="8.85546875" style="208"/>
    <col min="9189" max="9189" width="5.7109375" style="208" customWidth="1"/>
    <col min="9190" max="9190" width="9.85546875" style="208" customWidth="1"/>
    <col min="9191" max="9191" width="41.42578125" style="208" customWidth="1"/>
    <col min="9192" max="9196" width="10.7109375" style="208" customWidth="1"/>
    <col min="9197" max="9444" width="8.85546875" style="208"/>
    <col min="9445" max="9445" width="5.7109375" style="208" customWidth="1"/>
    <col min="9446" max="9446" width="9.85546875" style="208" customWidth="1"/>
    <col min="9447" max="9447" width="41.42578125" style="208" customWidth="1"/>
    <col min="9448" max="9452" width="10.7109375" style="208" customWidth="1"/>
    <col min="9453" max="9700" width="8.85546875" style="208"/>
    <col min="9701" max="9701" width="5.7109375" style="208" customWidth="1"/>
    <col min="9702" max="9702" width="9.85546875" style="208" customWidth="1"/>
    <col min="9703" max="9703" width="41.42578125" style="208" customWidth="1"/>
    <col min="9704" max="9708" width="10.7109375" style="208" customWidth="1"/>
    <col min="9709" max="9956" width="8.85546875" style="208"/>
    <col min="9957" max="9957" width="5.7109375" style="208" customWidth="1"/>
    <col min="9958" max="9958" width="9.85546875" style="208" customWidth="1"/>
    <col min="9959" max="9959" width="41.42578125" style="208" customWidth="1"/>
    <col min="9960" max="9964" width="10.7109375" style="208" customWidth="1"/>
    <col min="9965" max="10212" width="8.85546875" style="208"/>
    <col min="10213" max="10213" width="5.7109375" style="208" customWidth="1"/>
    <col min="10214" max="10214" width="9.85546875" style="208" customWidth="1"/>
    <col min="10215" max="10215" width="41.42578125" style="208" customWidth="1"/>
    <col min="10216" max="10220" width="10.7109375" style="208" customWidth="1"/>
    <col min="10221" max="10468" width="8.85546875" style="208"/>
    <col min="10469" max="10469" width="5.7109375" style="208" customWidth="1"/>
    <col min="10470" max="10470" width="9.85546875" style="208" customWidth="1"/>
    <col min="10471" max="10471" width="41.42578125" style="208" customWidth="1"/>
    <col min="10472" max="10476" width="10.7109375" style="208" customWidth="1"/>
    <col min="10477" max="10724" width="8.85546875" style="208"/>
    <col min="10725" max="10725" width="5.7109375" style="208" customWidth="1"/>
    <col min="10726" max="10726" width="9.85546875" style="208" customWidth="1"/>
    <col min="10727" max="10727" width="41.42578125" style="208" customWidth="1"/>
    <col min="10728" max="10732" width="10.7109375" style="208" customWidth="1"/>
    <col min="10733" max="10980" width="8.85546875" style="208"/>
    <col min="10981" max="10981" width="5.7109375" style="208" customWidth="1"/>
    <col min="10982" max="10982" width="9.85546875" style="208" customWidth="1"/>
    <col min="10983" max="10983" width="41.42578125" style="208" customWidth="1"/>
    <col min="10984" max="10988" width="10.7109375" style="208" customWidth="1"/>
    <col min="10989" max="11236" width="8.85546875" style="208"/>
    <col min="11237" max="11237" width="5.7109375" style="208" customWidth="1"/>
    <col min="11238" max="11238" width="9.85546875" style="208" customWidth="1"/>
    <col min="11239" max="11239" width="41.42578125" style="208" customWidth="1"/>
    <col min="11240" max="11244" width="10.7109375" style="208" customWidth="1"/>
    <col min="11245" max="11492" width="8.85546875" style="208"/>
    <col min="11493" max="11493" width="5.7109375" style="208" customWidth="1"/>
    <col min="11494" max="11494" width="9.85546875" style="208" customWidth="1"/>
    <col min="11495" max="11495" width="41.42578125" style="208" customWidth="1"/>
    <col min="11496" max="11500" width="10.7109375" style="208" customWidth="1"/>
    <col min="11501" max="11748" width="8.85546875" style="208"/>
    <col min="11749" max="11749" width="5.7109375" style="208" customWidth="1"/>
    <col min="11750" max="11750" width="9.85546875" style="208" customWidth="1"/>
    <col min="11751" max="11751" width="41.42578125" style="208" customWidth="1"/>
    <col min="11752" max="11756" width="10.7109375" style="208" customWidth="1"/>
    <col min="11757" max="12004" width="8.85546875" style="208"/>
    <col min="12005" max="12005" width="5.7109375" style="208" customWidth="1"/>
    <col min="12006" max="12006" width="9.85546875" style="208" customWidth="1"/>
    <col min="12007" max="12007" width="41.42578125" style="208" customWidth="1"/>
    <col min="12008" max="12012" width="10.7109375" style="208" customWidth="1"/>
    <col min="12013" max="12260" width="8.85546875" style="208"/>
    <col min="12261" max="12261" width="5.7109375" style="208" customWidth="1"/>
    <col min="12262" max="12262" width="9.85546875" style="208" customWidth="1"/>
    <col min="12263" max="12263" width="41.42578125" style="208" customWidth="1"/>
    <col min="12264" max="12268" width="10.7109375" style="208" customWidth="1"/>
    <col min="12269" max="12516" width="8.85546875" style="208"/>
    <col min="12517" max="12517" width="5.7109375" style="208" customWidth="1"/>
    <col min="12518" max="12518" width="9.85546875" style="208" customWidth="1"/>
    <col min="12519" max="12519" width="41.42578125" style="208" customWidth="1"/>
    <col min="12520" max="12524" width="10.7109375" style="208" customWidth="1"/>
    <col min="12525" max="12772" width="8.85546875" style="208"/>
    <col min="12773" max="12773" width="5.7109375" style="208" customWidth="1"/>
    <col min="12774" max="12774" width="9.85546875" style="208" customWidth="1"/>
    <col min="12775" max="12775" width="41.42578125" style="208" customWidth="1"/>
    <col min="12776" max="12780" width="10.7109375" style="208" customWidth="1"/>
    <col min="12781" max="13028" width="8.85546875" style="208"/>
    <col min="13029" max="13029" width="5.7109375" style="208" customWidth="1"/>
    <col min="13030" max="13030" width="9.85546875" style="208" customWidth="1"/>
    <col min="13031" max="13031" width="41.42578125" style="208" customWidth="1"/>
    <col min="13032" max="13036" width="10.7109375" style="208" customWidth="1"/>
    <col min="13037" max="13284" width="8.85546875" style="208"/>
    <col min="13285" max="13285" width="5.7109375" style="208" customWidth="1"/>
    <col min="13286" max="13286" width="9.85546875" style="208" customWidth="1"/>
    <col min="13287" max="13287" width="41.42578125" style="208" customWidth="1"/>
    <col min="13288" max="13292" width="10.7109375" style="208" customWidth="1"/>
    <col min="13293" max="13540" width="8.85546875" style="208"/>
    <col min="13541" max="13541" width="5.7109375" style="208" customWidth="1"/>
    <col min="13542" max="13542" width="9.85546875" style="208" customWidth="1"/>
    <col min="13543" max="13543" width="41.42578125" style="208" customWidth="1"/>
    <col min="13544" max="13548" width="10.7109375" style="208" customWidth="1"/>
    <col min="13549" max="13796" width="8.85546875" style="208"/>
    <col min="13797" max="13797" width="5.7109375" style="208" customWidth="1"/>
    <col min="13798" max="13798" width="9.85546875" style="208" customWidth="1"/>
    <col min="13799" max="13799" width="41.42578125" style="208" customWidth="1"/>
    <col min="13800" max="13804" width="10.7109375" style="208" customWidth="1"/>
    <col min="13805" max="14052" width="8.85546875" style="208"/>
    <col min="14053" max="14053" width="5.7109375" style="208" customWidth="1"/>
    <col min="14054" max="14054" width="9.85546875" style="208" customWidth="1"/>
    <col min="14055" max="14055" width="41.42578125" style="208" customWidth="1"/>
    <col min="14056" max="14060" width="10.7109375" style="208" customWidth="1"/>
    <col min="14061" max="14308" width="8.85546875" style="208"/>
    <col min="14309" max="14309" width="5.7109375" style="208" customWidth="1"/>
    <col min="14310" max="14310" width="9.85546875" style="208" customWidth="1"/>
    <col min="14311" max="14311" width="41.42578125" style="208" customWidth="1"/>
    <col min="14312" max="14316" width="10.7109375" style="208" customWidth="1"/>
    <col min="14317" max="14564" width="8.85546875" style="208"/>
    <col min="14565" max="14565" width="5.7109375" style="208" customWidth="1"/>
    <col min="14566" max="14566" width="9.85546875" style="208" customWidth="1"/>
    <col min="14567" max="14567" width="41.42578125" style="208" customWidth="1"/>
    <col min="14568" max="14572" width="10.7109375" style="208" customWidth="1"/>
    <col min="14573" max="14820" width="8.85546875" style="208"/>
    <col min="14821" max="14821" width="5.7109375" style="208" customWidth="1"/>
    <col min="14822" max="14822" width="9.85546875" style="208" customWidth="1"/>
    <col min="14823" max="14823" width="41.42578125" style="208" customWidth="1"/>
    <col min="14824" max="14828" width="10.7109375" style="208" customWidth="1"/>
    <col min="14829" max="15076" width="8.85546875" style="208"/>
    <col min="15077" max="15077" width="5.7109375" style="208" customWidth="1"/>
    <col min="15078" max="15078" width="9.85546875" style="208" customWidth="1"/>
    <col min="15079" max="15079" width="41.42578125" style="208" customWidth="1"/>
    <col min="15080" max="15084" width="10.7109375" style="208" customWidth="1"/>
    <col min="15085" max="15332" width="8.85546875" style="208"/>
    <col min="15333" max="15333" width="5.7109375" style="208" customWidth="1"/>
    <col min="15334" max="15334" width="9.85546875" style="208" customWidth="1"/>
    <col min="15335" max="15335" width="41.42578125" style="208" customWidth="1"/>
    <col min="15336" max="15340" width="10.7109375" style="208" customWidth="1"/>
    <col min="15341" max="15588" width="8.85546875" style="208"/>
    <col min="15589" max="15589" width="5.7109375" style="208" customWidth="1"/>
    <col min="15590" max="15590" width="9.85546875" style="208" customWidth="1"/>
    <col min="15591" max="15591" width="41.42578125" style="208" customWidth="1"/>
    <col min="15592" max="15596" width="10.7109375" style="208" customWidth="1"/>
    <col min="15597" max="15844" width="8.85546875" style="208"/>
    <col min="15845" max="15845" width="5.7109375" style="208" customWidth="1"/>
    <col min="15846" max="15846" width="9.85546875" style="208" customWidth="1"/>
    <col min="15847" max="15847" width="41.42578125" style="208" customWidth="1"/>
    <col min="15848" max="15852" width="10.7109375" style="208" customWidth="1"/>
    <col min="15853" max="16100" width="8.85546875" style="208"/>
    <col min="16101" max="16101" width="5.7109375" style="208" customWidth="1"/>
    <col min="16102" max="16102" width="9.85546875" style="208" customWidth="1"/>
    <col min="16103" max="16103" width="41.42578125" style="208" customWidth="1"/>
    <col min="16104" max="16108" width="10.7109375" style="208" customWidth="1"/>
    <col min="16109" max="16366" width="8.85546875" style="208"/>
    <col min="16367" max="16384" width="8.85546875" style="208" customWidth="1"/>
  </cols>
  <sheetData>
    <row r="1" spans="1:13" ht="23.45" customHeight="1">
      <c r="A1" s="1668" t="s">
        <v>770</v>
      </c>
      <c r="B1" s="1668"/>
      <c r="C1" s="1668"/>
      <c r="D1" s="1668"/>
      <c r="E1" s="1668"/>
      <c r="F1" s="1668"/>
      <c r="G1" s="1668"/>
      <c r="H1" s="1668"/>
      <c r="I1" s="207"/>
      <c r="J1" s="207"/>
      <c r="K1" s="207"/>
      <c r="L1" s="207"/>
      <c r="M1" s="207"/>
    </row>
    <row r="2" spans="1:13" ht="23.45" customHeight="1">
      <c r="A2" s="1669" t="s">
        <v>690</v>
      </c>
      <c r="B2" s="1670"/>
      <c r="C2" s="1670"/>
      <c r="D2" s="1670"/>
      <c r="E2" s="1670"/>
      <c r="F2" s="1670"/>
      <c r="G2" s="1670"/>
      <c r="H2" s="1670"/>
      <c r="I2" s="207"/>
      <c r="J2" s="207"/>
      <c r="K2" s="207"/>
      <c r="L2" s="207"/>
      <c r="M2" s="207"/>
    </row>
    <row r="3" spans="1:13" ht="23.45" customHeight="1">
      <c r="A3" s="1670" t="s">
        <v>0</v>
      </c>
      <c r="B3" s="1670"/>
      <c r="C3" s="1670"/>
      <c r="D3" s="1670"/>
      <c r="E3" s="209">
        <f>M300</f>
        <v>0</v>
      </c>
      <c r="F3" s="207" t="s">
        <v>1</v>
      </c>
      <c r="G3" s="210"/>
      <c r="H3" s="207"/>
      <c r="I3" s="207"/>
      <c r="J3" s="207"/>
      <c r="K3" s="207"/>
      <c r="L3" s="207"/>
      <c r="M3" s="207"/>
    </row>
    <row r="4" spans="1:13" ht="23.45" customHeight="1">
      <c r="A4" s="1566"/>
      <c r="B4" s="1566"/>
      <c r="C4" s="1566"/>
      <c r="D4" s="1566"/>
      <c r="E4" s="1566"/>
      <c r="F4" s="1566"/>
      <c r="G4" s="1566"/>
      <c r="H4" s="1566"/>
      <c r="I4" s="56"/>
      <c r="J4" s="56"/>
      <c r="K4" s="56"/>
      <c r="L4" s="56"/>
      <c r="M4" s="56"/>
    </row>
    <row r="5" spans="1:13" ht="42" customHeight="1">
      <c r="A5" s="1666"/>
      <c r="B5" s="1592" t="s">
        <v>2</v>
      </c>
      <c r="C5" s="1667" t="s">
        <v>3</v>
      </c>
      <c r="D5" s="1570" t="s">
        <v>4</v>
      </c>
      <c r="E5" s="1666" t="s">
        <v>5</v>
      </c>
      <c r="F5" s="1666"/>
      <c r="G5" s="1662" t="s">
        <v>6</v>
      </c>
      <c r="H5" s="1663"/>
      <c r="I5" s="1662" t="s">
        <v>66</v>
      </c>
      <c r="J5" s="1663"/>
      <c r="K5" s="1662" t="s">
        <v>72</v>
      </c>
      <c r="L5" s="1663"/>
      <c r="M5" s="1591" t="s">
        <v>67</v>
      </c>
    </row>
    <row r="6" spans="1:13" ht="96" customHeight="1">
      <c r="A6" s="1666"/>
      <c r="B6" s="1592"/>
      <c r="C6" s="1667"/>
      <c r="D6" s="1570"/>
      <c r="E6" s="147" t="s">
        <v>7</v>
      </c>
      <c r="F6" s="147" t="s">
        <v>8</v>
      </c>
      <c r="G6" s="211" t="s">
        <v>9</v>
      </c>
      <c r="H6" s="80" t="s">
        <v>10</v>
      </c>
      <c r="I6" s="63" t="s">
        <v>9</v>
      </c>
      <c r="J6" s="80" t="s">
        <v>10</v>
      </c>
      <c r="K6" s="63" t="s">
        <v>9</v>
      </c>
      <c r="L6" s="80" t="s">
        <v>10</v>
      </c>
      <c r="M6" s="1591"/>
    </row>
    <row r="7" spans="1:13" s="207" customFormat="1" ht="18" customHeight="1">
      <c r="A7" s="63">
        <v>1</v>
      </c>
      <c r="B7" s="211">
        <v>2</v>
      </c>
      <c r="C7" s="63">
        <v>3</v>
      </c>
      <c r="D7" s="63">
        <v>4</v>
      </c>
      <c r="E7" s="63">
        <v>5</v>
      </c>
      <c r="F7" s="63">
        <v>6</v>
      </c>
      <c r="G7" s="211">
        <v>7</v>
      </c>
      <c r="H7" s="205">
        <v>8</v>
      </c>
      <c r="I7" s="63">
        <v>9</v>
      </c>
      <c r="J7" s="205">
        <v>10</v>
      </c>
      <c r="K7" s="63">
        <v>11</v>
      </c>
      <c r="L7" s="205">
        <v>12</v>
      </c>
      <c r="M7" s="205">
        <v>13</v>
      </c>
    </row>
    <row r="8" spans="1:13" ht="20.100000000000001" customHeight="1">
      <c r="A8" s="106"/>
      <c r="B8" s="213"/>
      <c r="C8" s="121" t="s">
        <v>155</v>
      </c>
      <c r="D8" s="75"/>
      <c r="E8" s="214"/>
      <c r="F8" s="106"/>
      <c r="G8" s="215"/>
      <c r="H8" s="108"/>
      <c r="I8" s="216"/>
      <c r="J8" s="216"/>
      <c r="K8" s="216"/>
      <c r="L8" s="216"/>
      <c r="M8" s="216"/>
    </row>
    <row r="9" spans="1:13" s="223" customFormat="1" ht="23.25" customHeight="1">
      <c r="A9" s="100">
        <v>1</v>
      </c>
      <c r="B9" s="217"/>
      <c r="C9" s="114" t="s">
        <v>304</v>
      </c>
      <c r="D9" s="218" t="s">
        <v>809</v>
      </c>
      <c r="E9" s="103"/>
      <c r="F9" s="104">
        <v>5.4470000000000001</v>
      </c>
      <c r="G9" s="219"/>
      <c r="H9" s="104"/>
      <c r="I9" s="220"/>
      <c r="J9" s="221">
        <f t="shared" ref="J9:J83" si="0">F9*I9</f>
        <v>0</v>
      </c>
      <c r="K9" s="220"/>
      <c r="L9" s="221">
        <f t="shared" ref="L9:L83" si="1">F9*K9</f>
        <v>0</v>
      </c>
      <c r="M9" s="222">
        <f t="shared" ref="M9:M83" si="2">H9+J9+L9</f>
        <v>0</v>
      </c>
    </row>
    <row r="10" spans="1:13" s="105" customFormat="1" ht="26.25" customHeight="1">
      <c r="A10" s="106">
        <f>A9+0.1</f>
        <v>1.1000000000000001</v>
      </c>
      <c r="B10" s="224"/>
      <c r="C10" s="76" t="s">
        <v>69</v>
      </c>
      <c r="D10" s="75" t="s">
        <v>13</v>
      </c>
      <c r="E10" s="103">
        <v>2.06</v>
      </c>
      <c r="F10" s="89">
        <f>F9*E10</f>
        <v>11.22082</v>
      </c>
      <c r="G10" s="219"/>
      <c r="H10" s="89">
        <f>F10*G10</f>
        <v>0</v>
      </c>
      <c r="I10" s="109"/>
      <c r="J10" s="221">
        <f t="shared" si="0"/>
        <v>0</v>
      </c>
      <c r="K10" s="115"/>
      <c r="L10" s="221">
        <f t="shared" si="1"/>
        <v>0</v>
      </c>
      <c r="M10" s="222">
        <f t="shared" si="2"/>
        <v>0</v>
      </c>
    </row>
    <row r="11" spans="1:13" s="105" customFormat="1" ht="32.25" customHeight="1">
      <c r="A11" s="225">
        <v>2</v>
      </c>
      <c r="B11" s="226"/>
      <c r="C11" s="114" t="s">
        <v>157</v>
      </c>
      <c r="D11" s="101" t="s">
        <v>16</v>
      </c>
      <c r="E11" s="227"/>
      <c r="F11" s="104">
        <f>F9*1.85</f>
        <v>10.07695</v>
      </c>
      <c r="G11" s="228"/>
      <c r="H11" s="89">
        <f t="shared" ref="H11:H74" si="3">F11*G11</f>
        <v>0</v>
      </c>
      <c r="I11" s="115"/>
      <c r="J11" s="221">
        <f t="shared" si="0"/>
        <v>0</v>
      </c>
      <c r="K11" s="115"/>
      <c r="L11" s="221">
        <f t="shared" si="1"/>
        <v>0</v>
      </c>
      <c r="M11" s="222">
        <f t="shared" si="2"/>
        <v>0</v>
      </c>
    </row>
    <row r="12" spans="1:13" s="105" customFormat="1" ht="20.100000000000001" customHeight="1">
      <c r="A12" s="106">
        <f>A11+0.1</f>
        <v>2.1</v>
      </c>
      <c r="B12" s="229"/>
      <c r="C12" s="76" t="s">
        <v>158</v>
      </c>
      <c r="D12" s="115" t="s">
        <v>16</v>
      </c>
      <c r="E12" s="89">
        <v>1</v>
      </c>
      <c r="F12" s="103">
        <f>E12*F11</f>
        <v>10.07695</v>
      </c>
      <c r="G12" s="230"/>
      <c r="H12" s="89">
        <f t="shared" si="3"/>
        <v>0</v>
      </c>
      <c r="I12" s="115"/>
      <c r="J12" s="221">
        <f t="shared" si="0"/>
        <v>0</v>
      </c>
      <c r="K12" s="89"/>
      <c r="L12" s="221">
        <f t="shared" si="1"/>
        <v>0</v>
      </c>
      <c r="M12" s="222">
        <f t="shared" si="2"/>
        <v>0</v>
      </c>
    </row>
    <row r="13" spans="1:13" s="223" customFormat="1" ht="25.5" customHeight="1">
      <c r="A13" s="100">
        <v>3</v>
      </c>
      <c r="B13" s="231"/>
      <c r="C13" s="114" t="s">
        <v>73</v>
      </c>
      <c r="D13" s="218" t="s">
        <v>809</v>
      </c>
      <c r="E13" s="103"/>
      <c r="F13" s="104">
        <v>1.26</v>
      </c>
      <c r="G13" s="219"/>
      <c r="H13" s="89">
        <f t="shared" si="3"/>
        <v>0</v>
      </c>
      <c r="I13" s="220"/>
      <c r="J13" s="221">
        <f t="shared" si="0"/>
        <v>0</v>
      </c>
      <c r="K13" s="220"/>
      <c r="L13" s="221">
        <f t="shared" si="1"/>
        <v>0</v>
      </c>
      <c r="M13" s="222">
        <f t="shared" si="2"/>
        <v>0</v>
      </c>
    </row>
    <row r="14" spans="1:13" s="105" customFormat="1" ht="24" customHeight="1">
      <c r="A14" s="106">
        <f>A13+0.1</f>
        <v>3.1</v>
      </c>
      <c r="B14" s="229"/>
      <c r="C14" s="232" t="s">
        <v>159</v>
      </c>
      <c r="D14" s="233" t="s">
        <v>160</v>
      </c>
      <c r="E14" s="234">
        <f>9.21/1000+5*4.97/1000</f>
        <v>3.406E-2</v>
      </c>
      <c r="F14" s="89">
        <f>F13*E14</f>
        <v>4.2915599999999998E-2</v>
      </c>
      <c r="G14" s="235"/>
      <c r="H14" s="89">
        <f t="shared" si="3"/>
        <v>0</v>
      </c>
      <c r="I14" s="109"/>
      <c r="J14" s="221">
        <f t="shared" si="0"/>
        <v>0</v>
      </c>
      <c r="K14" s="109"/>
      <c r="L14" s="221">
        <f t="shared" si="1"/>
        <v>0</v>
      </c>
      <c r="M14" s="222">
        <f t="shared" si="2"/>
        <v>0</v>
      </c>
    </row>
    <row r="15" spans="1:13" s="105" customFormat="1" ht="24" customHeight="1">
      <c r="A15" s="106"/>
      <c r="B15" s="229"/>
      <c r="C15" s="121" t="s">
        <v>161</v>
      </c>
      <c r="D15" s="75"/>
      <c r="E15" s="103"/>
      <c r="F15" s="89"/>
      <c r="G15" s="219"/>
      <c r="H15" s="89">
        <f t="shared" si="3"/>
        <v>0</v>
      </c>
      <c r="I15" s="115"/>
      <c r="J15" s="221">
        <f t="shared" si="0"/>
        <v>0</v>
      </c>
      <c r="K15" s="115"/>
      <c r="L15" s="221">
        <f t="shared" si="1"/>
        <v>0</v>
      </c>
      <c r="M15" s="222">
        <f t="shared" si="2"/>
        <v>0</v>
      </c>
    </row>
    <row r="16" spans="1:13" s="73" customFormat="1" ht="41.25" customHeight="1">
      <c r="A16" s="236">
        <v>1</v>
      </c>
      <c r="B16" s="237"/>
      <c r="C16" s="128" t="s">
        <v>277</v>
      </c>
      <c r="D16" s="67" t="s">
        <v>61</v>
      </c>
      <c r="E16" s="91"/>
      <c r="F16" s="91">
        <v>1.1299999999999999</v>
      </c>
      <c r="G16" s="238"/>
      <c r="H16" s="89">
        <f t="shared" si="3"/>
        <v>0</v>
      </c>
      <c r="I16" s="91"/>
      <c r="J16" s="221">
        <f t="shared" si="0"/>
        <v>0</v>
      </c>
      <c r="K16" s="91"/>
      <c r="L16" s="221">
        <f t="shared" si="1"/>
        <v>0</v>
      </c>
      <c r="M16" s="222">
        <f t="shared" si="2"/>
        <v>0</v>
      </c>
    </row>
    <row r="17" spans="1:13" s="58" customFormat="1" ht="24" customHeight="1">
      <c r="A17" s="240">
        <f>A16+0.1</f>
        <v>1.1000000000000001</v>
      </c>
      <c r="B17" s="241"/>
      <c r="C17" s="191" t="s">
        <v>69</v>
      </c>
      <c r="D17" s="131" t="s">
        <v>13</v>
      </c>
      <c r="E17" s="132">
        <v>3.16</v>
      </c>
      <c r="F17" s="242">
        <f>E17*F16</f>
        <v>3.5707999999999998</v>
      </c>
      <c r="G17" s="243"/>
      <c r="H17" s="89">
        <f t="shared" si="3"/>
        <v>0</v>
      </c>
      <c r="I17" s="109"/>
      <c r="J17" s="221">
        <f t="shared" si="0"/>
        <v>0</v>
      </c>
      <c r="K17" s="62"/>
      <c r="L17" s="221">
        <f t="shared" si="1"/>
        <v>0</v>
      </c>
      <c r="M17" s="222">
        <f t="shared" si="2"/>
        <v>0</v>
      </c>
    </row>
    <row r="18" spans="1:13" s="56" customFormat="1" ht="19.899999999999999" customHeight="1">
      <c r="A18" s="240">
        <f>A17+0.1</f>
        <v>1.2000000000000002</v>
      </c>
      <c r="B18" s="211"/>
      <c r="C18" s="191" t="s">
        <v>59</v>
      </c>
      <c r="D18" s="63" t="s">
        <v>61</v>
      </c>
      <c r="E18" s="132">
        <v>1.25</v>
      </c>
      <c r="F18" s="62">
        <f>E18*F16</f>
        <v>1.4124999999999999</v>
      </c>
      <c r="G18" s="244"/>
      <c r="H18" s="89">
        <f t="shared" si="3"/>
        <v>0</v>
      </c>
      <c r="I18" s="61"/>
      <c r="J18" s="221">
        <f t="shared" si="0"/>
        <v>0</v>
      </c>
      <c r="K18" s="245"/>
      <c r="L18" s="221">
        <f t="shared" si="1"/>
        <v>0</v>
      </c>
      <c r="M18" s="222">
        <f t="shared" si="2"/>
        <v>0</v>
      </c>
    </row>
    <row r="19" spans="1:13" s="56" customFormat="1" ht="22.5" customHeight="1">
      <c r="A19" s="240">
        <f>A18+0.1</f>
        <v>1.3000000000000003</v>
      </c>
      <c r="B19" s="246"/>
      <c r="C19" s="76" t="s">
        <v>119</v>
      </c>
      <c r="D19" s="80" t="s">
        <v>1</v>
      </c>
      <c r="E19" s="93">
        <v>1E-3</v>
      </c>
      <c r="F19" s="93">
        <f>E19*F16</f>
        <v>1.1299999999999999E-3</v>
      </c>
      <c r="G19" s="230"/>
      <c r="H19" s="89">
        <f t="shared" si="3"/>
        <v>0</v>
      </c>
      <c r="I19" s="61"/>
      <c r="J19" s="221">
        <f t="shared" si="0"/>
        <v>0</v>
      </c>
      <c r="K19" s="61"/>
      <c r="L19" s="221">
        <f t="shared" si="1"/>
        <v>0</v>
      </c>
      <c r="M19" s="222">
        <f t="shared" si="2"/>
        <v>0</v>
      </c>
    </row>
    <row r="20" spans="1:13" s="56" customFormat="1" ht="39" customHeight="1">
      <c r="A20" s="81">
        <v>2</v>
      </c>
      <c r="B20" s="226"/>
      <c r="C20" s="128" t="s">
        <v>602</v>
      </c>
      <c r="D20" s="67" t="s">
        <v>61</v>
      </c>
      <c r="E20" s="91"/>
      <c r="F20" s="69">
        <v>3.06</v>
      </c>
      <c r="G20" s="247"/>
      <c r="H20" s="89">
        <f t="shared" si="3"/>
        <v>0</v>
      </c>
      <c r="I20" s="65"/>
      <c r="J20" s="221">
        <f t="shared" si="0"/>
        <v>0</v>
      </c>
      <c r="K20" s="61"/>
      <c r="L20" s="221">
        <f t="shared" si="1"/>
        <v>0</v>
      </c>
      <c r="M20" s="222">
        <f t="shared" si="2"/>
        <v>0</v>
      </c>
    </row>
    <row r="21" spans="1:13" s="56" customFormat="1" ht="24.75" customHeight="1">
      <c r="A21" s="248">
        <f t="shared" ref="A21:A28" si="4">A20+0.1</f>
        <v>2.1</v>
      </c>
      <c r="B21" s="249"/>
      <c r="C21" s="191" t="s">
        <v>12</v>
      </c>
      <c r="D21" s="131" t="s">
        <v>13</v>
      </c>
      <c r="E21" s="103">
        <v>3.78</v>
      </c>
      <c r="F21" s="61">
        <f>E21*F20</f>
        <v>11.566799999999999</v>
      </c>
      <c r="G21" s="250"/>
      <c r="H21" s="89">
        <f t="shared" si="3"/>
        <v>0</v>
      </c>
      <c r="I21" s="109"/>
      <c r="J21" s="221">
        <f t="shared" si="0"/>
        <v>0</v>
      </c>
      <c r="K21" s="251"/>
      <c r="L21" s="221">
        <f t="shared" si="1"/>
        <v>0</v>
      </c>
      <c r="M21" s="222">
        <f t="shared" si="2"/>
        <v>0</v>
      </c>
    </row>
    <row r="22" spans="1:13" s="56" customFormat="1" ht="24.75" customHeight="1">
      <c r="A22" s="248">
        <f t="shared" si="4"/>
        <v>2.2000000000000002</v>
      </c>
      <c r="B22" s="249"/>
      <c r="C22" s="191" t="s">
        <v>266</v>
      </c>
      <c r="D22" s="80" t="s">
        <v>14</v>
      </c>
      <c r="E22" s="103">
        <v>0.92</v>
      </c>
      <c r="F22" s="62">
        <f>E22*F20</f>
        <v>2.8152000000000004</v>
      </c>
      <c r="G22" s="250"/>
      <c r="H22" s="89">
        <f t="shared" si="3"/>
        <v>0</v>
      </c>
      <c r="I22" s="61"/>
      <c r="J22" s="221">
        <f t="shared" si="0"/>
        <v>0</v>
      </c>
      <c r="K22" s="252"/>
      <c r="L22" s="221">
        <f t="shared" si="1"/>
        <v>0</v>
      </c>
      <c r="M22" s="222">
        <f t="shared" si="2"/>
        <v>0</v>
      </c>
    </row>
    <row r="23" spans="1:13" s="56" customFormat="1" ht="24.75" customHeight="1">
      <c r="A23" s="248">
        <f t="shared" si="4"/>
        <v>2.3000000000000003</v>
      </c>
      <c r="B23" s="211"/>
      <c r="C23" s="64" t="s">
        <v>74</v>
      </c>
      <c r="D23" s="80" t="s">
        <v>810</v>
      </c>
      <c r="E23" s="103">
        <v>1.0149999999999999</v>
      </c>
      <c r="F23" s="62">
        <f>E23*F20</f>
        <v>3.1058999999999997</v>
      </c>
      <c r="G23" s="253"/>
      <c r="H23" s="89">
        <f t="shared" si="3"/>
        <v>0</v>
      </c>
      <c r="I23" s="61"/>
      <c r="J23" s="221">
        <f t="shared" si="0"/>
        <v>0</v>
      </c>
      <c r="K23" s="61"/>
      <c r="L23" s="221">
        <f t="shared" si="1"/>
        <v>0</v>
      </c>
      <c r="M23" s="222">
        <f t="shared" si="2"/>
        <v>0</v>
      </c>
    </row>
    <row r="24" spans="1:13" s="56" customFormat="1" ht="24.75" customHeight="1">
      <c r="A24" s="248">
        <f t="shared" si="4"/>
        <v>2.4000000000000004</v>
      </c>
      <c r="B24" s="249"/>
      <c r="C24" s="64" t="s">
        <v>401</v>
      </c>
      <c r="D24" s="80" t="s">
        <v>104</v>
      </c>
      <c r="E24" s="254" t="s">
        <v>20</v>
      </c>
      <c r="F24" s="62">
        <f>0.044+0.01+0.038+0.008</f>
        <v>0.1</v>
      </c>
      <c r="G24" s="244"/>
      <c r="H24" s="89">
        <f t="shared" si="3"/>
        <v>0</v>
      </c>
      <c r="I24" s="61"/>
      <c r="J24" s="221">
        <f t="shared" si="0"/>
        <v>0</v>
      </c>
      <c r="K24" s="61"/>
      <c r="L24" s="221">
        <f t="shared" si="1"/>
        <v>0</v>
      </c>
      <c r="M24" s="222">
        <f t="shared" si="2"/>
        <v>0</v>
      </c>
    </row>
    <row r="25" spans="1:13" s="56" customFormat="1" ht="24.75" customHeight="1">
      <c r="A25" s="248">
        <f t="shared" si="4"/>
        <v>2.5000000000000004</v>
      </c>
      <c r="B25" s="224"/>
      <c r="C25" s="64" t="s">
        <v>475</v>
      </c>
      <c r="D25" s="80" t="s">
        <v>104</v>
      </c>
      <c r="E25" s="254" t="s">
        <v>20</v>
      </c>
      <c r="F25" s="62">
        <v>0.06</v>
      </c>
      <c r="G25" s="244"/>
      <c r="H25" s="89">
        <f t="shared" si="3"/>
        <v>0</v>
      </c>
      <c r="I25" s="61"/>
      <c r="J25" s="221">
        <f t="shared" si="0"/>
        <v>0</v>
      </c>
      <c r="K25" s="61"/>
      <c r="L25" s="221"/>
      <c r="M25" s="222">
        <f t="shared" si="2"/>
        <v>0</v>
      </c>
    </row>
    <row r="26" spans="1:13" s="56" customFormat="1" ht="24.75" customHeight="1">
      <c r="A26" s="248">
        <f>A24+0.1</f>
        <v>2.5000000000000004</v>
      </c>
      <c r="B26" s="211"/>
      <c r="C26" s="255" t="s">
        <v>18</v>
      </c>
      <c r="D26" s="63" t="s">
        <v>811</v>
      </c>
      <c r="E26" s="103">
        <f>70.3/100</f>
        <v>0.70299999999999996</v>
      </c>
      <c r="F26" s="62">
        <f>E26*F20</f>
        <v>2.1511800000000001</v>
      </c>
      <c r="G26" s="250"/>
      <c r="H26" s="89">
        <f t="shared" si="3"/>
        <v>0</v>
      </c>
      <c r="I26" s="62"/>
      <c r="J26" s="221">
        <f t="shared" si="0"/>
        <v>0</v>
      </c>
      <c r="K26" s="61"/>
      <c r="L26" s="221">
        <f t="shared" si="1"/>
        <v>0</v>
      </c>
      <c r="M26" s="222">
        <f t="shared" si="2"/>
        <v>0</v>
      </c>
    </row>
    <row r="27" spans="1:13" s="56" customFormat="1" ht="24.75" customHeight="1">
      <c r="A27" s="248">
        <f t="shared" si="4"/>
        <v>2.6000000000000005</v>
      </c>
      <c r="B27" s="256"/>
      <c r="C27" s="64" t="s">
        <v>19</v>
      </c>
      <c r="D27" s="80" t="s">
        <v>810</v>
      </c>
      <c r="E27" s="257">
        <f>1.14/100</f>
        <v>1.1399999999999999E-2</v>
      </c>
      <c r="F27" s="258">
        <f>E27*F20</f>
        <v>3.4883999999999998E-2</v>
      </c>
      <c r="G27" s="250"/>
      <c r="H27" s="89">
        <f t="shared" si="3"/>
        <v>0</v>
      </c>
      <c r="I27" s="258"/>
      <c r="J27" s="221">
        <f t="shared" si="0"/>
        <v>0</v>
      </c>
      <c r="K27" s="61"/>
      <c r="L27" s="221">
        <f t="shared" si="1"/>
        <v>0</v>
      </c>
      <c r="M27" s="222">
        <f t="shared" si="2"/>
        <v>0</v>
      </c>
    </row>
    <row r="28" spans="1:13" s="56" customFormat="1" ht="24.75" customHeight="1">
      <c r="A28" s="248">
        <f t="shared" si="4"/>
        <v>2.7000000000000006</v>
      </c>
      <c r="B28" s="249"/>
      <c r="C28" s="64" t="s">
        <v>333</v>
      </c>
      <c r="D28" s="63" t="s">
        <v>14</v>
      </c>
      <c r="E28" s="259">
        <v>0.6</v>
      </c>
      <c r="F28" s="62">
        <f>E28*F20</f>
        <v>1.8359999999999999</v>
      </c>
      <c r="G28" s="250"/>
      <c r="H28" s="89">
        <f t="shared" si="3"/>
        <v>0</v>
      </c>
      <c r="I28" s="65"/>
      <c r="J28" s="221">
        <f t="shared" si="0"/>
        <v>0</v>
      </c>
      <c r="K28" s="61"/>
      <c r="L28" s="221">
        <f t="shared" si="1"/>
        <v>0</v>
      </c>
      <c r="M28" s="222">
        <f t="shared" si="2"/>
        <v>0</v>
      </c>
    </row>
    <row r="29" spans="1:13" s="266" customFormat="1" ht="45" customHeight="1">
      <c r="A29" s="127" t="s">
        <v>46</v>
      </c>
      <c r="B29" s="260"/>
      <c r="C29" s="128" t="s">
        <v>396</v>
      </c>
      <c r="D29" s="261" t="s">
        <v>812</v>
      </c>
      <c r="E29" s="262"/>
      <c r="F29" s="263">
        <v>0.6</v>
      </c>
      <c r="G29" s="264"/>
      <c r="H29" s="89">
        <f t="shared" si="3"/>
        <v>0</v>
      </c>
      <c r="I29" s="265"/>
      <c r="J29" s="221">
        <f t="shared" si="0"/>
        <v>0</v>
      </c>
      <c r="K29" s="265"/>
      <c r="L29" s="221">
        <f t="shared" si="1"/>
        <v>0</v>
      </c>
      <c r="M29" s="222">
        <f t="shared" si="2"/>
        <v>0</v>
      </c>
    </row>
    <row r="30" spans="1:13" s="74" customFormat="1" ht="24.75" customHeight="1">
      <c r="A30" s="248">
        <f t="shared" ref="A30:A38" si="5">A29+0.1</f>
        <v>3.1</v>
      </c>
      <c r="B30" s="249"/>
      <c r="C30" s="191" t="s">
        <v>381</v>
      </c>
      <c r="D30" s="131" t="s">
        <v>13</v>
      </c>
      <c r="E30" s="267">
        <v>12.4</v>
      </c>
      <c r="F30" s="268">
        <f>E30*F29</f>
        <v>7.4399999999999995</v>
      </c>
      <c r="G30" s="269"/>
      <c r="H30" s="89">
        <f t="shared" si="3"/>
        <v>0</v>
      </c>
      <c r="I30" s="109"/>
      <c r="J30" s="221">
        <f t="shared" si="0"/>
        <v>0</v>
      </c>
      <c r="K30" s="270"/>
      <c r="L30" s="221">
        <f t="shared" si="1"/>
        <v>0</v>
      </c>
      <c r="M30" s="222">
        <f t="shared" si="2"/>
        <v>0</v>
      </c>
    </row>
    <row r="31" spans="1:13" s="74" customFormat="1" ht="24.75" customHeight="1">
      <c r="A31" s="248">
        <f t="shared" si="5"/>
        <v>3.2</v>
      </c>
      <c r="B31" s="249"/>
      <c r="C31" s="191" t="s">
        <v>51</v>
      </c>
      <c r="D31" s="80" t="s">
        <v>14</v>
      </c>
      <c r="E31" s="267">
        <v>0.28000000000000003</v>
      </c>
      <c r="F31" s="268">
        <f>F29*E31</f>
        <v>0.16800000000000001</v>
      </c>
      <c r="G31" s="269"/>
      <c r="H31" s="89">
        <f t="shared" si="3"/>
        <v>0</v>
      </c>
      <c r="I31" s="270"/>
      <c r="J31" s="221">
        <f t="shared" si="0"/>
        <v>0</v>
      </c>
      <c r="K31" s="252"/>
      <c r="L31" s="221">
        <f t="shared" si="1"/>
        <v>0</v>
      </c>
      <c r="M31" s="222">
        <f t="shared" si="2"/>
        <v>0</v>
      </c>
    </row>
    <row r="32" spans="1:13" s="74" customFormat="1" ht="24.75" customHeight="1">
      <c r="A32" s="248">
        <f t="shared" si="5"/>
        <v>3.3000000000000003</v>
      </c>
      <c r="B32" s="224"/>
      <c r="C32" s="255" t="s">
        <v>75</v>
      </c>
      <c r="D32" s="115" t="s">
        <v>15</v>
      </c>
      <c r="E32" s="267">
        <v>1.02</v>
      </c>
      <c r="F32" s="268">
        <f>F29*E32</f>
        <v>0.61199999999999999</v>
      </c>
      <c r="G32" s="269"/>
      <c r="H32" s="89">
        <f t="shared" si="3"/>
        <v>0</v>
      </c>
      <c r="I32" s="270"/>
      <c r="J32" s="221">
        <f t="shared" si="0"/>
        <v>0</v>
      </c>
      <c r="K32" s="270"/>
      <c r="L32" s="221">
        <f t="shared" si="1"/>
        <v>0</v>
      </c>
      <c r="M32" s="222">
        <f t="shared" si="2"/>
        <v>0</v>
      </c>
    </row>
    <row r="33" spans="1:13" s="74" customFormat="1" ht="24.75" customHeight="1">
      <c r="A33" s="248">
        <f t="shared" si="5"/>
        <v>3.4000000000000004</v>
      </c>
      <c r="B33" s="249"/>
      <c r="C33" s="64" t="s">
        <v>401</v>
      </c>
      <c r="D33" s="80" t="s">
        <v>104</v>
      </c>
      <c r="E33" s="254" t="s">
        <v>20</v>
      </c>
      <c r="F33" s="93">
        <f>F20*0.1</f>
        <v>0.30600000000000005</v>
      </c>
      <c r="G33" s="244"/>
      <c r="H33" s="89">
        <f t="shared" si="3"/>
        <v>0</v>
      </c>
      <c r="I33" s="270"/>
      <c r="J33" s="221">
        <f t="shared" si="0"/>
        <v>0</v>
      </c>
      <c r="K33" s="270"/>
      <c r="L33" s="221">
        <f t="shared" si="1"/>
        <v>0</v>
      </c>
      <c r="M33" s="222">
        <f t="shared" si="2"/>
        <v>0</v>
      </c>
    </row>
    <row r="34" spans="1:13" s="74" customFormat="1" ht="24.75" customHeight="1">
      <c r="A34" s="248">
        <f t="shared" si="5"/>
        <v>3.5000000000000004</v>
      </c>
      <c r="B34" s="211"/>
      <c r="C34" s="255" t="s">
        <v>18</v>
      </c>
      <c r="D34" s="131" t="s">
        <v>811</v>
      </c>
      <c r="E34" s="252">
        <v>2.42</v>
      </c>
      <c r="F34" s="268">
        <f>E34*F29</f>
        <v>1.452</v>
      </c>
      <c r="G34" s="250"/>
      <c r="H34" s="89">
        <f t="shared" si="3"/>
        <v>0</v>
      </c>
      <c r="I34" s="270"/>
      <c r="J34" s="221">
        <f t="shared" si="0"/>
        <v>0</v>
      </c>
      <c r="K34" s="270"/>
      <c r="L34" s="221">
        <f t="shared" si="1"/>
        <v>0</v>
      </c>
      <c r="M34" s="222">
        <f t="shared" si="2"/>
        <v>0</v>
      </c>
    </row>
    <row r="35" spans="1:13" s="56" customFormat="1" ht="24.75" customHeight="1">
      <c r="A35" s="248">
        <f t="shared" si="5"/>
        <v>3.6000000000000005</v>
      </c>
      <c r="B35" s="249"/>
      <c r="C35" s="64" t="s">
        <v>398</v>
      </c>
      <c r="D35" s="80" t="s">
        <v>810</v>
      </c>
      <c r="E35" s="258">
        <v>5.8099999999999999E-2</v>
      </c>
      <c r="F35" s="258">
        <f>E35*F29</f>
        <v>3.4859999999999995E-2</v>
      </c>
      <c r="G35" s="230"/>
      <c r="H35" s="89">
        <f t="shared" si="3"/>
        <v>0</v>
      </c>
      <c r="I35" s="258"/>
      <c r="J35" s="221">
        <f t="shared" si="0"/>
        <v>0</v>
      </c>
      <c r="K35" s="61"/>
      <c r="L35" s="221">
        <f t="shared" si="1"/>
        <v>0</v>
      </c>
      <c r="M35" s="222">
        <f t="shared" si="2"/>
        <v>0</v>
      </c>
    </row>
    <row r="36" spans="1:13" s="56" customFormat="1" ht="24.75" customHeight="1">
      <c r="A36" s="248">
        <f t="shared" si="5"/>
        <v>3.7000000000000006</v>
      </c>
      <c r="B36" s="256"/>
      <c r="C36" s="64" t="s">
        <v>399</v>
      </c>
      <c r="D36" s="80" t="s">
        <v>810</v>
      </c>
      <c r="E36" s="258">
        <v>6.7000000000000002E-3</v>
      </c>
      <c r="F36" s="258">
        <f>E36*F29</f>
        <v>4.0200000000000001E-3</v>
      </c>
      <c r="G36" s="230"/>
      <c r="H36" s="89">
        <f t="shared" si="3"/>
        <v>0</v>
      </c>
      <c r="I36" s="258"/>
      <c r="J36" s="221">
        <f t="shared" si="0"/>
        <v>0</v>
      </c>
      <c r="K36" s="61"/>
      <c r="L36" s="221">
        <f t="shared" si="1"/>
        <v>0</v>
      </c>
      <c r="M36" s="222">
        <f t="shared" si="2"/>
        <v>0</v>
      </c>
    </row>
    <row r="37" spans="1:13" s="74" customFormat="1" ht="24.75" customHeight="1">
      <c r="A37" s="248">
        <f t="shared" si="5"/>
        <v>3.8000000000000007</v>
      </c>
      <c r="B37" s="249"/>
      <c r="C37" s="191" t="s">
        <v>400</v>
      </c>
      <c r="D37" s="131" t="s">
        <v>64</v>
      </c>
      <c r="E37" s="271">
        <v>1.5E-3</v>
      </c>
      <c r="F37" s="271">
        <f>F29*E37</f>
        <v>8.9999999999999998E-4</v>
      </c>
      <c r="G37" s="269"/>
      <c r="H37" s="89">
        <f t="shared" si="3"/>
        <v>0</v>
      </c>
      <c r="I37" s="270"/>
      <c r="J37" s="221">
        <f t="shared" si="0"/>
        <v>0</v>
      </c>
      <c r="K37" s="270"/>
      <c r="L37" s="221">
        <f t="shared" si="1"/>
        <v>0</v>
      </c>
      <c r="M37" s="222">
        <f t="shared" si="2"/>
        <v>0</v>
      </c>
    </row>
    <row r="38" spans="1:13" s="74" customFormat="1" ht="24.75" customHeight="1">
      <c r="A38" s="248">
        <f t="shared" si="5"/>
        <v>3.9000000000000008</v>
      </c>
      <c r="B38" s="249"/>
      <c r="C38" s="191" t="s">
        <v>119</v>
      </c>
      <c r="D38" s="131" t="s">
        <v>14</v>
      </c>
      <c r="E38" s="267">
        <v>0.6</v>
      </c>
      <c r="F38" s="268">
        <f>F29*E38</f>
        <v>0.36</v>
      </c>
      <c r="G38" s="269"/>
      <c r="H38" s="89">
        <f t="shared" si="3"/>
        <v>0</v>
      </c>
      <c r="I38" s="270"/>
      <c r="J38" s="221">
        <f t="shared" si="0"/>
        <v>0</v>
      </c>
      <c r="K38" s="270"/>
      <c r="L38" s="221">
        <f t="shared" si="1"/>
        <v>0</v>
      </c>
      <c r="M38" s="222">
        <f t="shared" si="2"/>
        <v>0</v>
      </c>
    </row>
    <row r="39" spans="1:13" s="105" customFormat="1" ht="45" customHeight="1">
      <c r="A39" s="100">
        <v>4</v>
      </c>
      <c r="B39" s="226"/>
      <c r="C39" s="121" t="s">
        <v>162</v>
      </c>
      <c r="D39" s="161" t="s">
        <v>812</v>
      </c>
      <c r="E39" s="227"/>
      <c r="F39" s="104">
        <v>3.12</v>
      </c>
      <c r="G39" s="272"/>
      <c r="H39" s="89">
        <f t="shared" si="3"/>
        <v>0</v>
      </c>
      <c r="I39" s="115"/>
      <c r="J39" s="221">
        <f t="shared" si="0"/>
        <v>0</v>
      </c>
      <c r="K39" s="115"/>
      <c r="L39" s="221">
        <f t="shared" si="1"/>
        <v>0</v>
      </c>
      <c r="M39" s="222">
        <f t="shared" si="2"/>
        <v>0</v>
      </c>
    </row>
    <row r="40" spans="1:13" s="105" customFormat="1" ht="24" customHeight="1">
      <c r="A40" s="106">
        <f t="shared" ref="A40:A49" si="6">A39+0.1</f>
        <v>4.0999999999999996</v>
      </c>
      <c r="B40" s="224"/>
      <c r="C40" s="76" t="s">
        <v>69</v>
      </c>
      <c r="D40" s="75" t="s">
        <v>13</v>
      </c>
      <c r="E40" s="89">
        <v>8.4</v>
      </c>
      <c r="F40" s="89">
        <f>F39*E40</f>
        <v>26.208000000000002</v>
      </c>
      <c r="G40" s="230"/>
      <c r="H40" s="89">
        <f t="shared" si="3"/>
        <v>0</v>
      </c>
      <c r="I40" s="109"/>
      <c r="J40" s="221">
        <f t="shared" si="0"/>
        <v>0</v>
      </c>
      <c r="K40" s="115"/>
      <c r="L40" s="221">
        <f t="shared" si="1"/>
        <v>0</v>
      </c>
      <c r="M40" s="222">
        <f t="shared" si="2"/>
        <v>0</v>
      </c>
    </row>
    <row r="41" spans="1:13" s="105" customFormat="1" ht="24" customHeight="1">
      <c r="A41" s="106">
        <f t="shared" si="6"/>
        <v>4.1999999999999993</v>
      </c>
      <c r="B41" s="224"/>
      <c r="C41" s="76" t="s">
        <v>117</v>
      </c>
      <c r="D41" s="108" t="s">
        <v>14</v>
      </c>
      <c r="E41" s="103">
        <v>0.81</v>
      </c>
      <c r="F41" s="89">
        <f>F39*E41</f>
        <v>2.5272000000000001</v>
      </c>
      <c r="G41" s="230"/>
      <c r="H41" s="89">
        <f t="shared" si="3"/>
        <v>0</v>
      </c>
      <c r="I41" s="115"/>
      <c r="J41" s="221">
        <f t="shared" si="0"/>
        <v>0</v>
      </c>
      <c r="K41" s="89"/>
      <c r="L41" s="221">
        <f t="shared" si="1"/>
        <v>0</v>
      </c>
      <c r="M41" s="222">
        <f t="shared" si="2"/>
        <v>0</v>
      </c>
    </row>
    <row r="42" spans="1:13" s="105" customFormat="1" ht="24" customHeight="1">
      <c r="A42" s="106">
        <f t="shared" si="6"/>
        <v>4.2999999999999989</v>
      </c>
      <c r="B42" s="224"/>
      <c r="C42" s="255" t="s">
        <v>75</v>
      </c>
      <c r="D42" s="115" t="s">
        <v>15</v>
      </c>
      <c r="E42" s="103">
        <v>1.0149999999999999</v>
      </c>
      <c r="F42" s="89">
        <f>E42*F39</f>
        <v>3.1667999999999998</v>
      </c>
      <c r="G42" s="269"/>
      <c r="H42" s="89">
        <f t="shared" si="3"/>
        <v>0</v>
      </c>
      <c r="I42" s="115"/>
      <c r="J42" s="221">
        <f t="shared" si="0"/>
        <v>0</v>
      </c>
      <c r="K42" s="115"/>
      <c r="L42" s="221">
        <f t="shared" si="1"/>
        <v>0</v>
      </c>
      <c r="M42" s="222">
        <f t="shared" si="2"/>
        <v>0</v>
      </c>
    </row>
    <row r="43" spans="1:13" s="105" customFormat="1" ht="24" customHeight="1">
      <c r="A43" s="106">
        <f t="shared" si="6"/>
        <v>4.3999999999999986</v>
      </c>
      <c r="B43" s="224"/>
      <c r="C43" s="64" t="s">
        <v>475</v>
      </c>
      <c r="D43" s="80" t="s">
        <v>104</v>
      </c>
      <c r="E43" s="254" t="s">
        <v>20</v>
      </c>
      <c r="F43" s="89">
        <v>0.06</v>
      </c>
      <c r="G43" s="244"/>
      <c r="H43" s="89">
        <f t="shared" si="3"/>
        <v>0</v>
      </c>
      <c r="I43" s="115"/>
      <c r="J43" s="221">
        <f t="shared" si="0"/>
        <v>0</v>
      </c>
      <c r="K43" s="115"/>
      <c r="L43" s="221">
        <f t="shared" si="1"/>
        <v>0</v>
      </c>
      <c r="M43" s="222">
        <f t="shared" si="2"/>
        <v>0</v>
      </c>
    </row>
    <row r="44" spans="1:13" ht="24" customHeight="1">
      <c r="A44" s="106">
        <f t="shared" si="6"/>
        <v>4.4999999999999982</v>
      </c>
      <c r="B44" s="249"/>
      <c r="C44" s="64" t="s">
        <v>401</v>
      </c>
      <c r="D44" s="80" t="s">
        <v>104</v>
      </c>
      <c r="E44" s="254" t="s">
        <v>20</v>
      </c>
      <c r="F44" s="273">
        <v>0.374</v>
      </c>
      <c r="G44" s="244"/>
      <c r="H44" s="89">
        <f t="shared" si="3"/>
        <v>0</v>
      </c>
      <c r="I44" s="216"/>
      <c r="J44" s="221">
        <f t="shared" si="0"/>
        <v>0</v>
      </c>
      <c r="K44" s="216"/>
      <c r="L44" s="221">
        <f t="shared" si="1"/>
        <v>0</v>
      </c>
      <c r="M44" s="222">
        <f t="shared" si="2"/>
        <v>0</v>
      </c>
    </row>
    <row r="45" spans="1:13" s="105" customFormat="1" ht="24" customHeight="1">
      <c r="A45" s="106">
        <f t="shared" si="6"/>
        <v>4.5999999999999979</v>
      </c>
      <c r="B45" s="211"/>
      <c r="C45" s="255" t="s">
        <v>18</v>
      </c>
      <c r="D45" s="115" t="s">
        <v>811</v>
      </c>
      <c r="E45" s="103">
        <v>1.37</v>
      </c>
      <c r="F45" s="89">
        <f>E45*F39</f>
        <v>4.2744000000000009</v>
      </c>
      <c r="G45" s="250"/>
      <c r="H45" s="89">
        <f t="shared" si="3"/>
        <v>0</v>
      </c>
      <c r="I45" s="115"/>
      <c r="J45" s="221">
        <f t="shared" si="0"/>
        <v>0</v>
      </c>
      <c r="K45" s="115"/>
      <c r="L45" s="221">
        <f t="shared" si="1"/>
        <v>0</v>
      </c>
      <c r="M45" s="222">
        <f t="shared" si="2"/>
        <v>0</v>
      </c>
    </row>
    <row r="46" spans="1:13" s="105" customFormat="1" ht="24" customHeight="1">
      <c r="A46" s="106">
        <f t="shared" si="6"/>
        <v>4.6999999999999975</v>
      </c>
      <c r="B46" s="229"/>
      <c r="C46" s="255" t="s">
        <v>163</v>
      </c>
      <c r="D46" s="108" t="s">
        <v>810</v>
      </c>
      <c r="E46" s="257">
        <v>8.3999999999999995E-3</v>
      </c>
      <c r="F46" s="257">
        <f>E46*F39</f>
        <v>2.6207999999999999E-2</v>
      </c>
      <c r="G46" s="230"/>
      <c r="H46" s="89">
        <f t="shared" si="3"/>
        <v>0</v>
      </c>
      <c r="I46" s="115"/>
      <c r="J46" s="221">
        <f t="shared" si="0"/>
        <v>0</v>
      </c>
      <c r="K46" s="115"/>
      <c r="L46" s="221">
        <f t="shared" si="1"/>
        <v>0</v>
      </c>
      <c r="M46" s="222">
        <f t="shared" si="2"/>
        <v>0</v>
      </c>
    </row>
    <row r="47" spans="1:13" s="105" customFormat="1" ht="24" customHeight="1">
      <c r="A47" s="106">
        <f t="shared" si="6"/>
        <v>4.7999999999999972</v>
      </c>
      <c r="B47" s="229"/>
      <c r="C47" s="255" t="s">
        <v>164</v>
      </c>
      <c r="D47" s="108" t="s">
        <v>810</v>
      </c>
      <c r="E47" s="257">
        <v>2.5600000000000001E-2</v>
      </c>
      <c r="F47" s="257">
        <f>E47*F39</f>
        <v>7.9872000000000012E-2</v>
      </c>
      <c r="G47" s="230"/>
      <c r="H47" s="89">
        <f t="shared" si="3"/>
        <v>0</v>
      </c>
      <c r="I47" s="115"/>
      <c r="J47" s="221">
        <f t="shared" si="0"/>
        <v>0</v>
      </c>
      <c r="K47" s="115"/>
      <c r="L47" s="221">
        <f t="shared" si="1"/>
        <v>0</v>
      </c>
      <c r="M47" s="222">
        <f t="shared" si="2"/>
        <v>0</v>
      </c>
    </row>
    <row r="48" spans="1:13" s="105" customFormat="1" ht="24" customHeight="1">
      <c r="A48" s="106">
        <f t="shared" si="6"/>
        <v>4.8999999999999968</v>
      </c>
      <c r="B48" s="274"/>
      <c r="C48" s="255" t="s">
        <v>165</v>
      </c>
      <c r="D48" s="80" t="s">
        <v>810</v>
      </c>
      <c r="E48" s="257">
        <v>2.5999999999999999E-3</v>
      </c>
      <c r="F48" s="257">
        <f>E48*F39</f>
        <v>8.1119999999999994E-3</v>
      </c>
      <c r="G48" s="230"/>
      <c r="H48" s="89">
        <f t="shared" si="3"/>
        <v>0</v>
      </c>
      <c r="I48" s="115"/>
      <c r="J48" s="221">
        <f t="shared" si="0"/>
        <v>0</v>
      </c>
      <c r="K48" s="115"/>
      <c r="L48" s="221">
        <f t="shared" si="1"/>
        <v>0</v>
      </c>
      <c r="M48" s="222">
        <f t="shared" si="2"/>
        <v>0</v>
      </c>
    </row>
    <row r="49" spans="1:13" s="105" customFormat="1" ht="24" customHeight="1">
      <c r="A49" s="106">
        <f t="shared" si="6"/>
        <v>4.9999999999999964</v>
      </c>
      <c r="B49" s="224"/>
      <c r="C49" s="76" t="s">
        <v>119</v>
      </c>
      <c r="D49" s="115" t="s">
        <v>14</v>
      </c>
      <c r="E49" s="103">
        <v>0.39</v>
      </c>
      <c r="F49" s="89">
        <f>E49*F39</f>
        <v>1.2168000000000001</v>
      </c>
      <c r="G49" s="230"/>
      <c r="H49" s="89">
        <f t="shared" si="3"/>
        <v>0</v>
      </c>
      <c r="I49" s="115"/>
      <c r="J49" s="221">
        <f t="shared" si="0"/>
        <v>0</v>
      </c>
      <c r="K49" s="115"/>
      <c r="L49" s="221">
        <f t="shared" si="1"/>
        <v>0</v>
      </c>
      <c r="M49" s="222">
        <f t="shared" si="2"/>
        <v>0</v>
      </c>
    </row>
    <row r="50" spans="1:13" s="105" customFormat="1" ht="47.25" customHeight="1">
      <c r="A50" s="100">
        <v>5</v>
      </c>
      <c r="B50" s="226"/>
      <c r="C50" s="121" t="s">
        <v>278</v>
      </c>
      <c r="D50" s="161" t="s">
        <v>812</v>
      </c>
      <c r="E50" s="227"/>
      <c r="F50" s="104">
        <v>1.1000000000000001</v>
      </c>
      <c r="G50" s="272"/>
      <c r="H50" s="89">
        <f t="shared" si="3"/>
        <v>0</v>
      </c>
      <c r="I50" s="115"/>
      <c r="J50" s="221">
        <f t="shared" si="0"/>
        <v>0</v>
      </c>
      <c r="K50" s="115"/>
      <c r="L50" s="221">
        <f t="shared" si="1"/>
        <v>0</v>
      </c>
      <c r="M50" s="222">
        <f t="shared" si="2"/>
        <v>0</v>
      </c>
    </row>
    <row r="51" spans="1:13" s="105" customFormat="1" ht="22.5" customHeight="1">
      <c r="A51" s="106">
        <f>A50+0.1</f>
        <v>5.0999999999999996</v>
      </c>
      <c r="B51" s="224"/>
      <c r="C51" s="76" t="s">
        <v>69</v>
      </c>
      <c r="D51" s="75" t="s">
        <v>13</v>
      </c>
      <c r="E51" s="103">
        <v>14.7</v>
      </c>
      <c r="F51" s="103">
        <f>F50*E51</f>
        <v>16.170000000000002</v>
      </c>
      <c r="G51" s="230"/>
      <c r="H51" s="89">
        <f t="shared" si="3"/>
        <v>0</v>
      </c>
      <c r="I51" s="109"/>
      <c r="J51" s="221">
        <f t="shared" si="0"/>
        <v>0</v>
      </c>
      <c r="K51" s="115"/>
      <c r="L51" s="221">
        <f t="shared" si="1"/>
        <v>0</v>
      </c>
      <c r="M51" s="222">
        <f t="shared" si="2"/>
        <v>0</v>
      </c>
    </row>
    <row r="52" spans="1:13" s="105" customFormat="1" ht="22.5" customHeight="1">
      <c r="A52" s="106">
        <f t="shared" ref="A52:A60" si="7">A51+0.1</f>
        <v>5.1999999999999993</v>
      </c>
      <c r="B52" s="224"/>
      <c r="C52" s="76" t="s">
        <v>117</v>
      </c>
      <c r="D52" s="108" t="s">
        <v>14</v>
      </c>
      <c r="E52" s="103">
        <v>1.21</v>
      </c>
      <c r="F52" s="89">
        <f>F50*E52</f>
        <v>1.331</v>
      </c>
      <c r="G52" s="230"/>
      <c r="H52" s="89">
        <f t="shared" si="3"/>
        <v>0</v>
      </c>
      <c r="I52" s="115"/>
      <c r="J52" s="221">
        <f t="shared" si="0"/>
        <v>0</v>
      </c>
      <c r="K52" s="89"/>
      <c r="L52" s="221">
        <f t="shared" si="1"/>
        <v>0</v>
      </c>
      <c r="M52" s="222">
        <f t="shared" si="2"/>
        <v>0</v>
      </c>
    </row>
    <row r="53" spans="1:13" s="105" customFormat="1" ht="22.5" customHeight="1">
      <c r="A53" s="106">
        <f t="shared" si="7"/>
        <v>5.2999999999999989</v>
      </c>
      <c r="B53" s="224"/>
      <c r="C53" s="255" t="s">
        <v>75</v>
      </c>
      <c r="D53" s="115" t="s">
        <v>15</v>
      </c>
      <c r="E53" s="89">
        <v>1</v>
      </c>
      <c r="F53" s="89">
        <f>E53*F50</f>
        <v>1.1000000000000001</v>
      </c>
      <c r="G53" s="269"/>
      <c r="H53" s="89">
        <f t="shared" si="3"/>
        <v>0</v>
      </c>
      <c r="I53" s="115"/>
      <c r="J53" s="221">
        <f t="shared" si="0"/>
        <v>0</v>
      </c>
      <c r="K53" s="115"/>
      <c r="L53" s="221">
        <f t="shared" si="1"/>
        <v>0</v>
      </c>
      <c r="M53" s="222">
        <f t="shared" si="2"/>
        <v>0</v>
      </c>
    </row>
    <row r="54" spans="1:13" ht="22.5" customHeight="1">
      <c r="A54" s="106">
        <f t="shared" si="7"/>
        <v>5.3999999999999986</v>
      </c>
      <c r="B54" s="224"/>
      <c r="C54" s="64" t="s">
        <v>475</v>
      </c>
      <c r="D54" s="80" t="s">
        <v>104</v>
      </c>
      <c r="E54" s="254" t="s">
        <v>20</v>
      </c>
      <c r="F54" s="273">
        <v>4.3999999999999997E-2</v>
      </c>
      <c r="G54" s="244"/>
      <c r="H54" s="89">
        <f t="shared" si="3"/>
        <v>0</v>
      </c>
      <c r="I54" s="216"/>
      <c r="J54" s="221">
        <f t="shared" si="0"/>
        <v>0</v>
      </c>
      <c r="K54" s="216"/>
      <c r="L54" s="221">
        <f t="shared" si="1"/>
        <v>0</v>
      </c>
      <c r="M54" s="222">
        <f t="shared" si="2"/>
        <v>0</v>
      </c>
    </row>
    <row r="55" spans="1:13" ht="22.5" customHeight="1">
      <c r="A55" s="106">
        <f t="shared" si="7"/>
        <v>5.4999999999999982</v>
      </c>
      <c r="B55" s="249"/>
      <c r="C55" s="64" t="s">
        <v>401</v>
      </c>
      <c r="D55" s="80" t="s">
        <v>104</v>
      </c>
      <c r="E55" s="254" t="s">
        <v>20</v>
      </c>
      <c r="F55" s="273">
        <f>105/1000</f>
        <v>0.105</v>
      </c>
      <c r="G55" s="244"/>
      <c r="H55" s="89">
        <f t="shared" si="3"/>
        <v>0</v>
      </c>
      <c r="I55" s="216"/>
      <c r="J55" s="221">
        <f t="shared" si="0"/>
        <v>0</v>
      </c>
      <c r="K55" s="216"/>
      <c r="L55" s="221">
        <f t="shared" si="1"/>
        <v>0</v>
      </c>
      <c r="M55" s="222">
        <f t="shared" si="2"/>
        <v>0</v>
      </c>
    </row>
    <row r="56" spans="1:13" s="105" customFormat="1" ht="22.5" customHeight="1">
      <c r="A56" s="106">
        <f t="shared" si="7"/>
        <v>5.5999999999999979</v>
      </c>
      <c r="B56" s="211"/>
      <c r="C56" s="255" t="s">
        <v>18</v>
      </c>
      <c r="D56" s="115" t="s">
        <v>811</v>
      </c>
      <c r="E56" s="103">
        <v>2.46</v>
      </c>
      <c r="F56" s="89">
        <f>E56*F50</f>
        <v>2.706</v>
      </c>
      <c r="G56" s="250"/>
      <c r="H56" s="89">
        <f t="shared" si="3"/>
        <v>0</v>
      </c>
      <c r="I56" s="115"/>
      <c r="J56" s="221">
        <f t="shared" si="0"/>
        <v>0</v>
      </c>
      <c r="K56" s="115"/>
      <c r="L56" s="221">
        <f t="shared" si="1"/>
        <v>0</v>
      </c>
      <c r="M56" s="222">
        <f t="shared" si="2"/>
        <v>0</v>
      </c>
    </row>
    <row r="57" spans="1:13" s="105" customFormat="1" ht="22.5" customHeight="1">
      <c r="A57" s="106">
        <f t="shared" si="7"/>
        <v>5.6999999999999975</v>
      </c>
      <c r="B57" s="229"/>
      <c r="C57" s="255" t="s">
        <v>76</v>
      </c>
      <c r="D57" s="108" t="s">
        <v>810</v>
      </c>
      <c r="E57" s="257">
        <v>1.6E-2</v>
      </c>
      <c r="F57" s="89">
        <f>E57*F50</f>
        <v>1.7600000000000001E-2</v>
      </c>
      <c r="G57" s="230"/>
      <c r="H57" s="89">
        <f t="shared" si="3"/>
        <v>0</v>
      </c>
      <c r="I57" s="115"/>
      <c r="J57" s="221">
        <f t="shared" si="0"/>
        <v>0</v>
      </c>
      <c r="K57" s="115"/>
      <c r="L57" s="221">
        <f t="shared" si="1"/>
        <v>0</v>
      </c>
      <c r="M57" s="222">
        <f t="shared" si="2"/>
        <v>0</v>
      </c>
    </row>
    <row r="58" spans="1:13" s="105" customFormat="1" ht="22.5" customHeight="1">
      <c r="A58" s="106">
        <f t="shared" si="7"/>
        <v>5.7999999999999972</v>
      </c>
      <c r="B58" s="274"/>
      <c r="C58" s="255" t="s">
        <v>166</v>
      </c>
      <c r="D58" s="80" t="s">
        <v>810</v>
      </c>
      <c r="E58" s="257">
        <v>7.0000000000000001E-3</v>
      </c>
      <c r="F58" s="89">
        <f>E58*F50</f>
        <v>7.7000000000000011E-3</v>
      </c>
      <c r="G58" s="230"/>
      <c r="H58" s="89">
        <f t="shared" si="3"/>
        <v>0</v>
      </c>
      <c r="I58" s="115"/>
      <c r="J58" s="221">
        <f t="shared" si="0"/>
        <v>0</v>
      </c>
      <c r="K58" s="115"/>
      <c r="L58" s="221">
        <f t="shared" si="1"/>
        <v>0</v>
      </c>
      <c r="M58" s="222">
        <f t="shared" si="2"/>
        <v>0</v>
      </c>
    </row>
    <row r="59" spans="1:13" s="105" customFormat="1" ht="22.5" customHeight="1">
      <c r="A59" s="106">
        <f t="shared" si="7"/>
        <v>5.8999999999999968</v>
      </c>
      <c r="B59" s="274"/>
      <c r="C59" s="255" t="s">
        <v>79</v>
      </c>
      <c r="D59" s="75" t="s">
        <v>64</v>
      </c>
      <c r="E59" s="257">
        <v>3.3E-3</v>
      </c>
      <c r="F59" s="89">
        <f>E59*F50</f>
        <v>3.6300000000000004E-3</v>
      </c>
      <c r="G59" s="230"/>
      <c r="H59" s="89">
        <f t="shared" si="3"/>
        <v>0</v>
      </c>
      <c r="I59" s="115"/>
      <c r="J59" s="221">
        <f t="shared" si="0"/>
        <v>0</v>
      </c>
      <c r="K59" s="115"/>
      <c r="L59" s="221">
        <f t="shared" si="1"/>
        <v>0</v>
      </c>
      <c r="M59" s="222">
        <f t="shared" si="2"/>
        <v>0</v>
      </c>
    </row>
    <row r="60" spans="1:13" s="105" customFormat="1" ht="22.5" customHeight="1">
      <c r="A60" s="106">
        <f t="shared" si="7"/>
        <v>5.9999999999999964</v>
      </c>
      <c r="B60" s="224"/>
      <c r="C60" s="76" t="s">
        <v>119</v>
      </c>
      <c r="D60" s="115" t="s">
        <v>14</v>
      </c>
      <c r="E60" s="103">
        <v>0.9</v>
      </c>
      <c r="F60" s="89">
        <f>E60*F50</f>
        <v>0.9900000000000001</v>
      </c>
      <c r="G60" s="230"/>
      <c r="H60" s="89">
        <f t="shared" si="3"/>
        <v>0</v>
      </c>
      <c r="I60" s="115"/>
      <c r="J60" s="221">
        <f t="shared" si="0"/>
        <v>0</v>
      </c>
      <c r="K60" s="115"/>
      <c r="L60" s="221">
        <f t="shared" si="1"/>
        <v>0</v>
      </c>
      <c r="M60" s="222">
        <f t="shared" si="2"/>
        <v>0</v>
      </c>
    </row>
    <row r="61" spans="1:13" s="105" customFormat="1" ht="52.5" customHeight="1">
      <c r="A61" s="100">
        <v>6</v>
      </c>
      <c r="B61" s="226"/>
      <c r="C61" s="275" t="s">
        <v>162</v>
      </c>
      <c r="D61" s="161" t="s">
        <v>812</v>
      </c>
      <c r="E61" s="227"/>
      <c r="F61" s="104">
        <v>4.16</v>
      </c>
      <c r="G61" s="272"/>
      <c r="H61" s="89">
        <f t="shared" si="3"/>
        <v>0</v>
      </c>
      <c r="I61" s="115"/>
      <c r="J61" s="221">
        <f t="shared" si="0"/>
        <v>0</v>
      </c>
      <c r="K61" s="115"/>
      <c r="L61" s="221">
        <f t="shared" si="1"/>
        <v>0</v>
      </c>
      <c r="M61" s="222">
        <f t="shared" si="2"/>
        <v>0</v>
      </c>
    </row>
    <row r="62" spans="1:13" s="105" customFormat="1" ht="24.75" customHeight="1">
      <c r="A62" s="106">
        <f t="shared" ref="A62:A70" si="8">A61+0.1</f>
        <v>6.1</v>
      </c>
      <c r="B62" s="224"/>
      <c r="C62" s="276" t="s">
        <v>69</v>
      </c>
      <c r="D62" s="75" t="s">
        <v>13</v>
      </c>
      <c r="E62" s="89">
        <v>8.4</v>
      </c>
      <c r="F62" s="89">
        <f>F61*E62</f>
        <v>34.944000000000003</v>
      </c>
      <c r="G62" s="230"/>
      <c r="H62" s="89">
        <f t="shared" si="3"/>
        <v>0</v>
      </c>
      <c r="I62" s="109"/>
      <c r="J62" s="221">
        <f t="shared" si="0"/>
        <v>0</v>
      </c>
      <c r="K62" s="115"/>
      <c r="L62" s="221">
        <f t="shared" si="1"/>
        <v>0</v>
      </c>
      <c r="M62" s="222">
        <f t="shared" si="2"/>
        <v>0</v>
      </c>
    </row>
    <row r="63" spans="1:13" s="105" customFormat="1" ht="24.75" customHeight="1">
      <c r="A63" s="106">
        <f t="shared" si="8"/>
        <v>6.1999999999999993</v>
      </c>
      <c r="B63" s="224"/>
      <c r="C63" s="276" t="s">
        <v>117</v>
      </c>
      <c r="D63" s="108" t="s">
        <v>14</v>
      </c>
      <c r="E63" s="103">
        <v>0.81</v>
      </c>
      <c r="F63" s="89">
        <f>F61*E63</f>
        <v>3.3696000000000002</v>
      </c>
      <c r="G63" s="230"/>
      <c r="H63" s="89">
        <f t="shared" si="3"/>
        <v>0</v>
      </c>
      <c r="I63" s="115"/>
      <c r="J63" s="221">
        <f t="shared" si="0"/>
        <v>0</v>
      </c>
      <c r="K63" s="89"/>
      <c r="L63" s="221">
        <f t="shared" si="1"/>
        <v>0</v>
      </c>
      <c r="M63" s="222">
        <f t="shared" si="2"/>
        <v>0</v>
      </c>
    </row>
    <row r="64" spans="1:13" s="105" customFormat="1" ht="24.75" customHeight="1">
      <c r="A64" s="106">
        <f t="shared" si="8"/>
        <v>6.2999999999999989</v>
      </c>
      <c r="B64" s="224"/>
      <c r="C64" s="277" t="s">
        <v>75</v>
      </c>
      <c r="D64" s="115" t="s">
        <v>15</v>
      </c>
      <c r="E64" s="103">
        <v>1.0149999999999999</v>
      </c>
      <c r="F64" s="89">
        <f>E64*F61</f>
        <v>4.2223999999999995</v>
      </c>
      <c r="G64" s="269"/>
      <c r="H64" s="89">
        <f t="shared" si="3"/>
        <v>0</v>
      </c>
      <c r="I64" s="115"/>
      <c r="J64" s="221">
        <f t="shared" si="0"/>
        <v>0</v>
      </c>
      <c r="K64" s="115"/>
      <c r="L64" s="221">
        <f t="shared" si="1"/>
        <v>0</v>
      </c>
      <c r="M64" s="222">
        <f t="shared" si="2"/>
        <v>0</v>
      </c>
    </row>
    <row r="65" spans="1:13" ht="24.75" customHeight="1">
      <c r="A65" s="106">
        <f t="shared" si="8"/>
        <v>6.3999999999999986</v>
      </c>
      <c r="B65" s="249"/>
      <c r="C65" s="64" t="s">
        <v>401</v>
      </c>
      <c r="D65" s="115" t="s">
        <v>16</v>
      </c>
      <c r="E65" s="254" t="s">
        <v>20</v>
      </c>
      <c r="F65" s="273">
        <v>0.58399999999999996</v>
      </c>
      <c r="G65" s="244"/>
      <c r="H65" s="89">
        <f t="shared" si="3"/>
        <v>0</v>
      </c>
      <c r="I65" s="216"/>
      <c r="J65" s="221">
        <f t="shared" si="0"/>
        <v>0</v>
      </c>
      <c r="K65" s="216"/>
      <c r="L65" s="221">
        <f t="shared" si="1"/>
        <v>0</v>
      </c>
      <c r="M65" s="222">
        <f t="shared" si="2"/>
        <v>0</v>
      </c>
    </row>
    <row r="66" spans="1:13" s="105" customFormat="1" ht="24.75" customHeight="1">
      <c r="A66" s="106">
        <f t="shared" si="8"/>
        <v>6.4999999999999982</v>
      </c>
      <c r="B66" s="211"/>
      <c r="C66" s="255" t="s">
        <v>18</v>
      </c>
      <c r="D66" s="115" t="s">
        <v>811</v>
      </c>
      <c r="E66" s="103">
        <v>1.37</v>
      </c>
      <c r="F66" s="89">
        <f>E66*F61</f>
        <v>5.6992000000000003</v>
      </c>
      <c r="G66" s="250"/>
      <c r="H66" s="89">
        <f t="shared" si="3"/>
        <v>0</v>
      </c>
      <c r="I66" s="115"/>
      <c r="J66" s="221">
        <f t="shared" si="0"/>
        <v>0</v>
      </c>
      <c r="K66" s="115"/>
      <c r="L66" s="221">
        <f t="shared" si="1"/>
        <v>0</v>
      </c>
      <c r="M66" s="222">
        <f t="shared" si="2"/>
        <v>0</v>
      </c>
    </row>
    <row r="67" spans="1:13" s="105" customFormat="1" ht="24.75" customHeight="1">
      <c r="A67" s="106">
        <f t="shared" si="8"/>
        <v>6.5999999999999979</v>
      </c>
      <c r="B67" s="229"/>
      <c r="C67" s="277" t="s">
        <v>163</v>
      </c>
      <c r="D67" s="108" t="s">
        <v>810</v>
      </c>
      <c r="E67" s="257">
        <v>8.3999999999999995E-3</v>
      </c>
      <c r="F67" s="257">
        <f>E67*F61</f>
        <v>3.4943999999999996E-2</v>
      </c>
      <c r="G67" s="230"/>
      <c r="H67" s="89">
        <f t="shared" si="3"/>
        <v>0</v>
      </c>
      <c r="I67" s="115"/>
      <c r="J67" s="221">
        <f t="shared" si="0"/>
        <v>0</v>
      </c>
      <c r="K67" s="115"/>
      <c r="L67" s="221">
        <f t="shared" si="1"/>
        <v>0</v>
      </c>
      <c r="M67" s="222">
        <f t="shared" si="2"/>
        <v>0</v>
      </c>
    </row>
    <row r="68" spans="1:13" s="105" customFormat="1" ht="25.5" customHeight="1">
      <c r="A68" s="106">
        <f t="shared" si="8"/>
        <v>6.6999999999999975</v>
      </c>
      <c r="B68" s="229"/>
      <c r="C68" s="277" t="s">
        <v>164</v>
      </c>
      <c r="D68" s="108" t="s">
        <v>810</v>
      </c>
      <c r="E68" s="257">
        <v>2.5600000000000001E-2</v>
      </c>
      <c r="F68" s="257">
        <f>E68*F61</f>
        <v>0.10649600000000001</v>
      </c>
      <c r="G68" s="230"/>
      <c r="H68" s="89">
        <f t="shared" si="3"/>
        <v>0</v>
      </c>
      <c r="I68" s="115"/>
      <c r="J68" s="221">
        <f t="shared" si="0"/>
        <v>0</v>
      </c>
      <c r="K68" s="115"/>
      <c r="L68" s="221">
        <f t="shared" si="1"/>
        <v>0</v>
      </c>
      <c r="M68" s="222">
        <f t="shared" si="2"/>
        <v>0</v>
      </c>
    </row>
    <row r="69" spans="1:13" s="105" customFormat="1" ht="25.5" customHeight="1">
      <c r="A69" s="106">
        <f t="shared" si="8"/>
        <v>6.7999999999999972</v>
      </c>
      <c r="B69" s="274"/>
      <c r="C69" s="277" t="s">
        <v>165</v>
      </c>
      <c r="D69" s="80" t="s">
        <v>810</v>
      </c>
      <c r="E69" s="257">
        <v>2.5999999999999999E-3</v>
      </c>
      <c r="F69" s="257">
        <f>E69*F61</f>
        <v>1.0815999999999999E-2</v>
      </c>
      <c r="G69" s="230"/>
      <c r="H69" s="89">
        <f t="shared" si="3"/>
        <v>0</v>
      </c>
      <c r="I69" s="115"/>
      <c r="J69" s="221">
        <f t="shared" si="0"/>
        <v>0</v>
      </c>
      <c r="K69" s="115"/>
      <c r="L69" s="221">
        <f t="shared" si="1"/>
        <v>0</v>
      </c>
      <c r="M69" s="222">
        <f t="shared" si="2"/>
        <v>0</v>
      </c>
    </row>
    <row r="70" spans="1:13" s="105" customFormat="1" ht="25.5" customHeight="1">
      <c r="A70" s="106">
        <f t="shared" si="8"/>
        <v>6.8999999999999968</v>
      </c>
      <c r="B70" s="224"/>
      <c r="C70" s="276" t="s">
        <v>119</v>
      </c>
      <c r="D70" s="115" t="s">
        <v>14</v>
      </c>
      <c r="E70" s="103">
        <v>0.39</v>
      </c>
      <c r="F70" s="89">
        <f>E70*F61</f>
        <v>1.6224000000000001</v>
      </c>
      <c r="G70" s="230"/>
      <c r="H70" s="89">
        <f t="shared" si="3"/>
        <v>0</v>
      </c>
      <c r="I70" s="115"/>
      <c r="J70" s="221">
        <f t="shared" si="0"/>
        <v>0</v>
      </c>
      <c r="K70" s="115"/>
      <c r="L70" s="221">
        <f t="shared" si="1"/>
        <v>0</v>
      </c>
      <c r="M70" s="222">
        <f t="shared" si="2"/>
        <v>0</v>
      </c>
    </row>
    <row r="71" spans="1:13" s="105" customFormat="1" ht="25.5" customHeight="1">
      <c r="A71" s="106"/>
      <c r="B71" s="278"/>
      <c r="C71" s="279" t="s">
        <v>172</v>
      </c>
      <c r="D71" s="280"/>
      <c r="E71" s="103"/>
      <c r="F71" s="89"/>
      <c r="G71" s="219"/>
      <c r="H71" s="89">
        <f t="shared" si="3"/>
        <v>0</v>
      </c>
      <c r="I71" s="115"/>
      <c r="J71" s="221">
        <f t="shared" si="0"/>
        <v>0</v>
      </c>
      <c r="K71" s="115"/>
      <c r="L71" s="221">
        <f t="shared" si="1"/>
        <v>0</v>
      </c>
      <c r="M71" s="222">
        <f t="shared" si="2"/>
        <v>0</v>
      </c>
    </row>
    <row r="72" spans="1:13" s="286" customFormat="1" ht="61.5" customHeight="1">
      <c r="A72" s="120" t="s">
        <v>44</v>
      </c>
      <c r="B72" s="281"/>
      <c r="C72" s="121" t="s">
        <v>173</v>
      </c>
      <c r="D72" s="115" t="s">
        <v>15</v>
      </c>
      <c r="E72" s="282"/>
      <c r="F72" s="283">
        <v>12.91</v>
      </c>
      <c r="G72" s="284"/>
      <c r="H72" s="89">
        <f t="shared" si="3"/>
        <v>0</v>
      </c>
      <c r="I72" s="285"/>
      <c r="J72" s="221">
        <f t="shared" si="0"/>
        <v>0</v>
      </c>
      <c r="K72" s="285"/>
      <c r="L72" s="221">
        <f t="shared" si="1"/>
        <v>0</v>
      </c>
      <c r="M72" s="222">
        <f t="shared" si="2"/>
        <v>0</v>
      </c>
    </row>
    <row r="73" spans="1:13" s="292" customFormat="1" ht="22.5" customHeight="1">
      <c r="A73" s="106">
        <f>A72+0.1</f>
        <v>1.1000000000000001</v>
      </c>
      <c r="B73" s="224"/>
      <c r="C73" s="76" t="s">
        <v>69</v>
      </c>
      <c r="D73" s="75" t="s">
        <v>13</v>
      </c>
      <c r="E73" s="287">
        <v>3.36</v>
      </c>
      <c r="F73" s="288">
        <f>F72*E73</f>
        <v>43.377600000000001</v>
      </c>
      <c r="G73" s="289"/>
      <c r="H73" s="89">
        <f t="shared" si="3"/>
        <v>0</v>
      </c>
      <c r="I73" s="290"/>
      <c r="J73" s="221">
        <f t="shared" si="0"/>
        <v>0</v>
      </c>
      <c r="K73" s="291"/>
      <c r="L73" s="221">
        <f t="shared" si="1"/>
        <v>0</v>
      </c>
      <c r="M73" s="222">
        <f t="shared" si="2"/>
        <v>0</v>
      </c>
    </row>
    <row r="74" spans="1:13" s="292" customFormat="1" ht="22.5" customHeight="1">
      <c r="A74" s="106">
        <f>A73+0.1</f>
        <v>1.2000000000000002</v>
      </c>
      <c r="B74" s="224"/>
      <c r="C74" s="76" t="s">
        <v>117</v>
      </c>
      <c r="D74" s="108" t="s">
        <v>14</v>
      </c>
      <c r="E74" s="287">
        <v>0.92</v>
      </c>
      <c r="F74" s="288">
        <f>F72*E74</f>
        <v>11.8772</v>
      </c>
      <c r="G74" s="230"/>
      <c r="H74" s="89">
        <f t="shared" si="3"/>
        <v>0</v>
      </c>
      <c r="I74" s="291"/>
      <c r="J74" s="221">
        <f t="shared" si="0"/>
        <v>0</v>
      </c>
      <c r="K74" s="89"/>
      <c r="L74" s="221">
        <f t="shared" si="1"/>
        <v>0</v>
      </c>
      <c r="M74" s="222">
        <f t="shared" si="2"/>
        <v>0</v>
      </c>
    </row>
    <row r="75" spans="1:13" s="292" customFormat="1" ht="22.5" customHeight="1">
      <c r="A75" s="106">
        <f>A74+0.1</f>
        <v>1.3000000000000003</v>
      </c>
      <c r="B75" s="224"/>
      <c r="C75" s="76" t="s">
        <v>78</v>
      </c>
      <c r="D75" s="108" t="s">
        <v>810</v>
      </c>
      <c r="E75" s="287">
        <v>0.11</v>
      </c>
      <c r="F75" s="288">
        <f>F72*E75</f>
        <v>1.4200999999999999</v>
      </c>
      <c r="G75" s="289"/>
      <c r="H75" s="89">
        <f t="shared" ref="H75:H133" si="9">F75*G75</f>
        <v>0</v>
      </c>
      <c r="I75" s="291"/>
      <c r="J75" s="221">
        <f t="shared" si="0"/>
        <v>0</v>
      </c>
      <c r="K75" s="291"/>
      <c r="L75" s="221">
        <f t="shared" si="1"/>
        <v>0</v>
      </c>
      <c r="M75" s="222">
        <f t="shared" si="2"/>
        <v>0</v>
      </c>
    </row>
    <row r="76" spans="1:13" s="292" customFormat="1" ht="22.5" customHeight="1">
      <c r="A76" s="106">
        <f>A75+0.1</f>
        <v>1.4000000000000004</v>
      </c>
      <c r="B76" s="224"/>
      <c r="C76" s="76" t="s">
        <v>174</v>
      </c>
      <c r="D76" s="75" t="s">
        <v>49</v>
      </c>
      <c r="E76" s="290">
        <f>0.92/0.39/0.19/0.19</f>
        <v>65.345550110093043</v>
      </c>
      <c r="F76" s="288">
        <f>E76*F72</f>
        <v>843.61105192130117</v>
      </c>
      <c r="G76" s="289"/>
      <c r="H76" s="89">
        <f t="shared" si="9"/>
        <v>0</v>
      </c>
      <c r="I76" s="291"/>
      <c r="J76" s="221">
        <f t="shared" si="0"/>
        <v>0</v>
      </c>
      <c r="K76" s="291"/>
      <c r="L76" s="221">
        <f t="shared" si="1"/>
        <v>0</v>
      </c>
      <c r="M76" s="222">
        <f t="shared" si="2"/>
        <v>0</v>
      </c>
    </row>
    <row r="77" spans="1:13" s="292" customFormat="1" ht="22.5" customHeight="1">
      <c r="A77" s="106">
        <f>A76+0.1</f>
        <v>1.5000000000000004</v>
      </c>
      <c r="B77" s="224"/>
      <c r="C77" s="76" t="s">
        <v>119</v>
      </c>
      <c r="D77" s="75" t="s">
        <v>14</v>
      </c>
      <c r="E77" s="287">
        <v>0.16</v>
      </c>
      <c r="F77" s="288">
        <f>F72*E77</f>
        <v>2.0655999999999999</v>
      </c>
      <c r="G77" s="230"/>
      <c r="H77" s="89">
        <f t="shared" si="9"/>
        <v>0</v>
      </c>
      <c r="I77" s="291"/>
      <c r="J77" s="221">
        <f t="shared" si="0"/>
        <v>0</v>
      </c>
      <c r="K77" s="291"/>
      <c r="L77" s="221">
        <f t="shared" si="1"/>
        <v>0</v>
      </c>
      <c r="M77" s="222">
        <f t="shared" si="2"/>
        <v>0</v>
      </c>
    </row>
    <row r="78" spans="1:13" s="105" customFormat="1" ht="42" customHeight="1">
      <c r="A78" s="100">
        <v>2</v>
      </c>
      <c r="B78" s="226"/>
      <c r="C78" s="121" t="s">
        <v>175</v>
      </c>
      <c r="D78" s="115" t="s">
        <v>15</v>
      </c>
      <c r="E78" s="227"/>
      <c r="F78" s="104">
        <f>1.4*6*0.2*0.2</f>
        <v>0.33599999999999997</v>
      </c>
      <c r="G78" s="272"/>
      <c r="H78" s="89">
        <f t="shared" si="9"/>
        <v>0</v>
      </c>
      <c r="I78" s="115"/>
      <c r="J78" s="221">
        <f t="shared" si="0"/>
        <v>0</v>
      </c>
      <c r="K78" s="115"/>
      <c r="L78" s="221">
        <f t="shared" si="1"/>
        <v>0</v>
      </c>
      <c r="M78" s="222">
        <f t="shared" si="2"/>
        <v>0</v>
      </c>
    </row>
    <row r="79" spans="1:13" s="105" customFormat="1" ht="21" customHeight="1">
      <c r="A79" s="106">
        <f>A78+0.1</f>
        <v>2.1</v>
      </c>
      <c r="B79" s="224"/>
      <c r="C79" s="76" t="s">
        <v>69</v>
      </c>
      <c r="D79" s="75" t="s">
        <v>13</v>
      </c>
      <c r="E79" s="103">
        <v>14.7</v>
      </c>
      <c r="F79" s="103">
        <f>F78*E79</f>
        <v>4.9391999999999996</v>
      </c>
      <c r="G79" s="230"/>
      <c r="H79" s="89">
        <f t="shared" si="9"/>
        <v>0</v>
      </c>
      <c r="I79" s="62"/>
      <c r="J79" s="221">
        <f t="shared" si="0"/>
        <v>0</v>
      </c>
      <c r="K79" s="115"/>
      <c r="L79" s="221">
        <f t="shared" si="1"/>
        <v>0</v>
      </c>
      <c r="M79" s="222">
        <f t="shared" si="2"/>
        <v>0</v>
      </c>
    </row>
    <row r="80" spans="1:13" s="105" customFormat="1" ht="21" customHeight="1">
      <c r="A80" s="106">
        <f t="shared" ref="A80:A87" si="10">A79+0.1</f>
        <v>2.2000000000000002</v>
      </c>
      <c r="B80" s="224"/>
      <c r="C80" s="76" t="s">
        <v>117</v>
      </c>
      <c r="D80" s="108" t="s">
        <v>14</v>
      </c>
      <c r="E80" s="103">
        <v>1.21</v>
      </c>
      <c r="F80" s="89">
        <f>F78*E80</f>
        <v>0.40655999999999992</v>
      </c>
      <c r="G80" s="230"/>
      <c r="H80" s="89">
        <f t="shared" si="9"/>
        <v>0</v>
      </c>
      <c r="I80" s="115"/>
      <c r="J80" s="221">
        <f t="shared" si="0"/>
        <v>0</v>
      </c>
      <c r="K80" s="89"/>
      <c r="L80" s="221">
        <f t="shared" si="1"/>
        <v>0</v>
      </c>
      <c r="M80" s="222">
        <f t="shared" si="2"/>
        <v>0</v>
      </c>
    </row>
    <row r="81" spans="1:13" s="105" customFormat="1" ht="21" customHeight="1">
      <c r="A81" s="106">
        <f t="shared" si="10"/>
        <v>2.3000000000000003</v>
      </c>
      <c r="B81" s="224"/>
      <c r="C81" s="255" t="s">
        <v>75</v>
      </c>
      <c r="D81" s="115" t="s">
        <v>15</v>
      </c>
      <c r="E81" s="89">
        <v>1</v>
      </c>
      <c r="F81" s="89">
        <f>E81*F78</f>
        <v>0.33599999999999997</v>
      </c>
      <c r="G81" s="269"/>
      <c r="H81" s="89">
        <f t="shared" si="9"/>
        <v>0</v>
      </c>
      <c r="I81" s="115"/>
      <c r="J81" s="221">
        <f t="shared" si="0"/>
        <v>0</v>
      </c>
      <c r="K81" s="115"/>
      <c r="L81" s="221">
        <f t="shared" si="1"/>
        <v>0</v>
      </c>
      <c r="M81" s="222">
        <f t="shared" si="2"/>
        <v>0</v>
      </c>
    </row>
    <row r="82" spans="1:13" s="105" customFormat="1" ht="21" customHeight="1">
      <c r="A82" s="106">
        <f t="shared" si="10"/>
        <v>2.4000000000000004</v>
      </c>
      <c r="B82" s="224"/>
      <c r="C82" s="64" t="s">
        <v>475</v>
      </c>
      <c r="D82" s="80" t="s">
        <v>104</v>
      </c>
      <c r="E82" s="254" t="s">
        <v>20</v>
      </c>
      <c r="F82" s="273">
        <f>0.01*F78</f>
        <v>3.3599999999999997E-3</v>
      </c>
      <c r="G82" s="244"/>
      <c r="H82" s="89">
        <f t="shared" si="9"/>
        <v>0</v>
      </c>
      <c r="I82" s="115"/>
      <c r="J82" s="221">
        <f t="shared" si="0"/>
        <v>0</v>
      </c>
      <c r="K82" s="115"/>
      <c r="L82" s="221">
        <f t="shared" si="1"/>
        <v>0</v>
      </c>
      <c r="M82" s="222">
        <f t="shared" si="2"/>
        <v>0</v>
      </c>
    </row>
    <row r="83" spans="1:13" s="105" customFormat="1" ht="21" customHeight="1">
      <c r="A83" s="106">
        <f t="shared" si="10"/>
        <v>2.5000000000000004</v>
      </c>
      <c r="B83" s="249"/>
      <c r="C83" s="64" t="s">
        <v>401</v>
      </c>
      <c r="D83" s="80" t="s">
        <v>104</v>
      </c>
      <c r="E83" s="254" t="s">
        <v>20</v>
      </c>
      <c r="F83" s="273">
        <f>0.12*F78</f>
        <v>4.0319999999999995E-2</v>
      </c>
      <c r="G83" s="244"/>
      <c r="H83" s="89">
        <f t="shared" si="9"/>
        <v>0</v>
      </c>
      <c r="I83" s="115"/>
      <c r="J83" s="221">
        <f t="shared" si="0"/>
        <v>0</v>
      </c>
      <c r="K83" s="115"/>
      <c r="L83" s="221">
        <f t="shared" si="1"/>
        <v>0</v>
      </c>
      <c r="M83" s="222">
        <f t="shared" si="2"/>
        <v>0</v>
      </c>
    </row>
    <row r="84" spans="1:13" s="105" customFormat="1" ht="21" customHeight="1">
      <c r="A84" s="106">
        <f t="shared" si="10"/>
        <v>2.6000000000000005</v>
      </c>
      <c r="B84" s="211"/>
      <c r="C84" s="255" t="s">
        <v>18</v>
      </c>
      <c r="D84" s="115" t="s">
        <v>811</v>
      </c>
      <c r="E84" s="103">
        <v>2.46</v>
      </c>
      <c r="F84" s="89">
        <f>E84*F78</f>
        <v>0.82655999999999985</v>
      </c>
      <c r="G84" s="250"/>
      <c r="H84" s="89">
        <f t="shared" si="9"/>
        <v>0</v>
      </c>
      <c r="I84" s="115"/>
      <c r="J84" s="221">
        <f t="shared" ref="J84:J142" si="11">F84*I84</f>
        <v>0</v>
      </c>
      <c r="K84" s="115"/>
      <c r="L84" s="221">
        <f t="shared" ref="L84:L139" si="12">F84*K84</f>
        <v>0</v>
      </c>
      <c r="M84" s="222">
        <f t="shared" ref="M84:M142" si="13">H84+J84+L84</f>
        <v>0</v>
      </c>
    </row>
    <row r="85" spans="1:13" s="105" customFormat="1" ht="21" customHeight="1">
      <c r="A85" s="106">
        <f t="shared" si="10"/>
        <v>2.7000000000000006</v>
      </c>
      <c r="B85" s="229"/>
      <c r="C85" s="255" t="s">
        <v>76</v>
      </c>
      <c r="D85" s="115" t="s">
        <v>15</v>
      </c>
      <c r="E85" s="257">
        <v>1.6E-2</v>
      </c>
      <c r="F85" s="89">
        <f>E85*F78</f>
        <v>5.3759999999999997E-3</v>
      </c>
      <c r="G85" s="230"/>
      <c r="H85" s="89">
        <f t="shared" si="9"/>
        <v>0</v>
      </c>
      <c r="I85" s="115"/>
      <c r="J85" s="221">
        <f t="shared" si="11"/>
        <v>0</v>
      </c>
      <c r="K85" s="115"/>
      <c r="L85" s="221">
        <f t="shared" si="12"/>
        <v>0</v>
      </c>
      <c r="M85" s="222">
        <f t="shared" si="13"/>
        <v>0</v>
      </c>
    </row>
    <row r="86" spans="1:13" s="105" customFormat="1" ht="21" customHeight="1">
      <c r="A86" s="106">
        <f t="shared" si="10"/>
        <v>2.8000000000000007</v>
      </c>
      <c r="B86" s="274"/>
      <c r="C86" s="255" t="s">
        <v>77</v>
      </c>
      <c r="D86" s="115" t="s">
        <v>15</v>
      </c>
      <c r="E86" s="257">
        <v>7.0000000000000001E-3</v>
      </c>
      <c r="F86" s="89">
        <f>E86*F78</f>
        <v>2.3519999999999999E-3</v>
      </c>
      <c r="G86" s="230"/>
      <c r="H86" s="89">
        <f t="shared" si="9"/>
        <v>0</v>
      </c>
      <c r="I86" s="115"/>
      <c r="J86" s="221">
        <f t="shared" si="11"/>
        <v>0</v>
      </c>
      <c r="K86" s="115"/>
      <c r="L86" s="221">
        <f t="shared" si="12"/>
        <v>0</v>
      </c>
      <c r="M86" s="222">
        <f t="shared" si="13"/>
        <v>0</v>
      </c>
    </row>
    <row r="87" spans="1:13" s="105" customFormat="1" ht="21" customHeight="1">
      <c r="A87" s="106">
        <f t="shared" si="10"/>
        <v>2.9000000000000008</v>
      </c>
      <c r="B87" s="224"/>
      <c r="C87" s="76" t="s">
        <v>119</v>
      </c>
      <c r="D87" s="115" t="s">
        <v>14</v>
      </c>
      <c r="E87" s="103">
        <v>0.9</v>
      </c>
      <c r="F87" s="89">
        <f>E87*F78</f>
        <v>0.3024</v>
      </c>
      <c r="G87" s="230"/>
      <c r="H87" s="89">
        <f t="shared" si="9"/>
        <v>0</v>
      </c>
      <c r="I87" s="115"/>
      <c r="J87" s="221">
        <f t="shared" si="11"/>
        <v>0</v>
      </c>
      <c r="K87" s="115"/>
      <c r="L87" s="221">
        <f t="shared" si="12"/>
        <v>0</v>
      </c>
      <c r="M87" s="222">
        <f t="shared" si="13"/>
        <v>0</v>
      </c>
    </row>
    <row r="88" spans="1:13" ht="21" customHeight="1">
      <c r="A88" s="106"/>
      <c r="B88" s="224"/>
      <c r="C88" s="121" t="s">
        <v>176</v>
      </c>
      <c r="D88" s="75"/>
      <c r="E88" s="109"/>
      <c r="F88" s="71"/>
      <c r="G88" s="235"/>
      <c r="H88" s="89">
        <f t="shared" si="9"/>
        <v>0</v>
      </c>
      <c r="I88" s="216"/>
      <c r="J88" s="221">
        <f t="shared" si="11"/>
        <v>0</v>
      </c>
      <c r="K88" s="216"/>
      <c r="L88" s="221">
        <f t="shared" si="12"/>
        <v>0</v>
      </c>
      <c r="M88" s="222">
        <f t="shared" si="13"/>
        <v>0</v>
      </c>
    </row>
    <row r="89" spans="1:13" s="73" customFormat="1" ht="42" customHeight="1">
      <c r="A89" s="236" t="s">
        <v>44</v>
      </c>
      <c r="B89" s="237"/>
      <c r="C89" s="128" t="s">
        <v>484</v>
      </c>
      <c r="D89" s="67" t="s">
        <v>43</v>
      </c>
      <c r="E89" s="91"/>
      <c r="F89" s="91">
        <f>0.4*0.8*3</f>
        <v>0.96000000000000019</v>
      </c>
      <c r="G89" s="238"/>
      <c r="H89" s="89">
        <f t="shared" si="9"/>
        <v>0</v>
      </c>
      <c r="I89" s="91"/>
      <c r="J89" s="221">
        <f t="shared" si="11"/>
        <v>0</v>
      </c>
      <c r="K89" s="91"/>
      <c r="L89" s="221">
        <f t="shared" ref="L89:L93" si="14">F89*K89</f>
        <v>0</v>
      </c>
      <c r="M89" s="222">
        <f t="shared" si="13"/>
        <v>0</v>
      </c>
    </row>
    <row r="90" spans="1:13" s="56" customFormat="1" ht="28.5" customHeight="1">
      <c r="A90" s="240">
        <f>A89+0.1</f>
        <v>1.1000000000000001</v>
      </c>
      <c r="B90" s="241"/>
      <c r="C90" s="191" t="s">
        <v>69</v>
      </c>
      <c r="D90" s="293" t="s">
        <v>13</v>
      </c>
      <c r="E90" s="294">
        <v>2.72</v>
      </c>
      <c r="F90" s="132">
        <f>F89*E90</f>
        <v>2.6112000000000006</v>
      </c>
      <c r="G90" s="250"/>
      <c r="H90" s="89">
        <f t="shared" si="9"/>
        <v>0</v>
      </c>
      <c r="I90" s="62"/>
      <c r="J90" s="221">
        <f t="shared" si="11"/>
        <v>0</v>
      </c>
      <c r="K90" s="62"/>
      <c r="L90" s="221">
        <f t="shared" si="14"/>
        <v>0</v>
      </c>
      <c r="M90" s="222">
        <f t="shared" si="13"/>
        <v>0</v>
      </c>
    </row>
    <row r="91" spans="1:13" s="56" customFormat="1" ht="26.25" customHeight="1">
      <c r="A91" s="240">
        <f t="shared" ref="A91:A93" si="15">A90+0.1</f>
        <v>1.2000000000000002</v>
      </c>
      <c r="B91" s="295"/>
      <c r="C91" s="191" t="s">
        <v>201</v>
      </c>
      <c r="D91" s="293" t="s">
        <v>150</v>
      </c>
      <c r="E91" s="294">
        <v>2.4E-2</v>
      </c>
      <c r="F91" s="132">
        <f>F89*E91</f>
        <v>2.3040000000000005E-2</v>
      </c>
      <c r="G91" s="250"/>
      <c r="H91" s="89">
        <f t="shared" si="9"/>
        <v>0</v>
      </c>
      <c r="I91" s="62"/>
      <c r="J91" s="221">
        <f t="shared" si="11"/>
        <v>0</v>
      </c>
      <c r="K91" s="62"/>
      <c r="L91" s="221">
        <f t="shared" si="14"/>
        <v>0</v>
      </c>
      <c r="M91" s="222">
        <f t="shared" si="13"/>
        <v>0</v>
      </c>
    </row>
    <row r="92" spans="1:13" s="56" customFormat="1" ht="45.75" customHeight="1">
      <c r="A92" s="240">
        <f t="shared" si="15"/>
        <v>1.3000000000000003</v>
      </c>
      <c r="B92" s="260"/>
      <c r="C92" s="191" t="s">
        <v>202</v>
      </c>
      <c r="D92" s="293" t="s">
        <v>150</v>
      </c>
      <c r="E92" s="294">
        <v>0.628</v>
      </c>
      <c r="F92" s="132">
        <f>F89*E92</f>
        <v>0.60288000000000008</v>
      </c>
      <c r="G92" s="250"/>
      <c r="H92" s="89">
        <f t="shared" si="9"/>
        <v>0</v>
      </c>
      <c r="I92" s="62"/>
      <c r="J92" s="221">
        <f t="shared" si="11"/>
        <v>0</v>
      </c>
      <c r="K92" s="62"/>
      <c r="L92" s="221">
        <f t="shared" si="14"/>
        <v>0</v>
      </c>
      <c r="M92" s="222">
        <f t="shared" si="13"/>
        <v>0</v>
      </c>
    </row>
    <row r="93" spans="1:13" s="56" customFormat="1" ht="27.75" customHeight="1">
      <c r="A93" s="240">
        <f t="shared" si="15"/>
        <v>1.4000000000000004</v>
      </c>
      <c r="B93" s="249"/>
      <c r="C93" s="191" t="s">
        <v>485</v>
      </c>
      <c r="D93" s="131" t="s">
        <v>43</v>
      </c>
      <c r="E93" s="294">
        <v>1</v>
      </c>
      <c r="F93" s="132">
        <f>F89*E93</f>
        <v>0.96000000000000019</v>
      </c>
      <c r="G93" s="250"/>
      <c r="H93" s="89">
        <f t="shared" si="9"/>
        <v>0</v>
      </c>
      <c r="I93" s="62"/>
      <c r="J93" s="221">
        <f t="shared" si="11"/>
        <v>0</v>
      </c>
      <c r="K93" s="62"/>
      <c r="L93" s="221">
        <f t="shared" si="14"/>
        <v>0</v>
      </c>
      <c r="M93" s="222">
        <f t="shared" si="13"/>
        <v>0</v>
      </c>
    </row>
    <row r="94" spans="1:13" s="73" customFormat="1" ht="42" customHeight="1">
      <c r="A94" s="236">
        <v>2</v>
      </c>
      <c r="B94" s="237"/>
      <c r="C94" s="128" t="s">
        <v>486</v>
      </c>
      <c r="D94" s="67" t="s">
        <v>43</v>
      </c>
      <c r="E94" s="91"/>
      <c r="F94" s="91">
        <f>0.8*2.1*2+1*2.1*1</f>
        <v>5.4600000000000009</v>
      </c>
      <c r="G94" s="238"/>
      <c r="H94" s="89">
        <f t="shared" si="9"/>
        <v>0</v>
      </c>
      <c r="I94" s="91"/>
      <c r="J94" s="221">
        <f t="shared" si="11"/>
        <v>0</v>
      </c>
      <c r="K94" s="91"/>
      <c r="L94" s="221">
        <f t="shared" ref="L94:L98" si="16">F94*K94</f>
        <v>0</v>
      </c>
      <c r="M94" s="222">
        <f t="shared" si="13"/>
        <v>0</v>
      </c>
    </row>
    <row r="95" spans="1:13" s="56" customFormat="1" ht="24.75" customHeight="1">
      <c r="A95" s="240">
        <f>A94+0.1</f>
        <v>2.1</v>
      </c>
      <c r="B95" s="241"/>
      <c r="C95" s="191" t="s">
        <v>69</v>
      </c>
      <c r="D95" s="293" t="s">
        <v>13</v>
      </c>
      <c r="E95" s="294">
        <v>2.72</v>
      </c>
      <c r="F95" s="132">
        <f>F94*E95</f>
        <v>14.851200000000004</v>
      </c>
      <c r="G95" s="250"/>
      <c r="H95" s="89">
        <f t="shared" si="9"/>
        <v>0</v>
      </c>
      <c r="I95" s="62"/>
      <c r="J95" s="221">
        <f t="shared" si="11"/>
        <v>0</v>
      </c>
      <c r="K95" s="62"/>
      <c r="L95" s="221">
        <f t="shared" si="16"/>
        <v>0</v>
      </c>
      <c r="M95" s="222">
        <f t="shared" si="13"/>
        <v>0</v>
      </c>
    </row>
    <row r="96" spans="1:13" s="56" customFormat="1" ht="24.75" customHeight="1">
      <c r="A96" s="240">
        <f t="shared" ref="A96:A98" si="17">A95+0.1</f>
        <v>2.2000000000000002</v>
      </c>
      <c r="B96" s="295"/>
      <c r="C96" s="191" t="s">
        <v>201</v>
      </c>
      <c r="D96" s="293" t="s">
        <v>150</v>
      </c>
      <c r="E96" s="294">
        <v>2.4E-2</v>
      </c>
      <c r="F96" s="132">
        <f>F94*E96</f>
        <v>0.13104000000000002</v>
      </c>
      <c r="G96" s="250"/>
      <c r="H96" s="89">
        <f t="shared" si="9"/>
        <v>0</v>
      </c>
      <c r="I96" s="62"/>
      <c r="J96" s="221">
        <f t="shared" si="11"/>
        <v>0</v>
      </c>
      <c r="K96" s="62"/>
      <c r="L96" s="221">
        <f t="shared" si="16"/>
        <v>0</v>
      </c>
      <c r="M96" s="222">
        <f t="shared" si="13"/>
        <v>0</v>
      </c>
    </row>
    <row r="97" spans="1:13" s="56" customFormat="1" ht="44.25" customHeight="1">
      <c r="A97" s="240">
        <f t="shared" si="17"/>
        <v>2.3000000000000003</v>
      </c>
      <c r="B97" s="260"/>
      <c r="C97" s="191" t="s">
        <v>202</v>
      </c>
      <c r="D97" s="293" t="s">
        <v>150</v>
      </c>
      <c r="E97" s="294">
        <v>0.628</v>
      </c>
      <c r="F97" s="132">
        <f>F94*E97</f>
        <v>3.4288800000000004</v>
      </c>
      <c r="G97" s="250"/>
      <c r="H97" s="89">
        <f t="shared" si="9"/>
        <v>0</v>
      </c>
      <c r="I97" s="62"/>
      <c r="J97" s="221">
        <f t="shared" si="11"/>
        <v>0</v>
      </c>
      <c r="K97" s="62"/>
      <c r="L97" s="221">
        <f t="shared" si="16"/>
        <v>0</v>
      </c>
      <c r="M97" s="222">
        <f t="shared" si="13"/>
        <v>0</v>
      </c>
    </row>
    <row r="98" spans="1:13" s="56" customFormat="1" ht="24.75" customHeight="1">
      <c r="A98" s="240">
        <f t="shared" si="17"/>
        <v>2.4000000000000004</v>
      </c>
      <c r="B98" s="249"/>
      <c r="C98" s="191" t="s">
        <v>487</v>
      </c>
      <c r="D98" s="131" t="s">
        <v>43</v>
      </c>
      <c r="E98" s="294">
        <v>1</v>
      </c>
      <c r="F98" s="132">
        <f>F94*E98</f>
        <v>5.4600000000000009</v>
      </c>
      <c r="G98" s="250"/>
      <c r="H98" s="89">
        <f t="shared" si="9"/>
        <v>0</v>
      </c>
      <c r="I98" s="62"/>
      <c r="J98" s="221">
        <f t="shared" si="11"/>
        <v>0</v>
      </c>
      <c r="K98" s="62"/>
      <c r="L98" s="221">
        <f t="shared" si="16"/>
        <v>0</v>
      </c>
      <c r="M98" s="222">
        <f t="shared" si="13"/>
        <v>0</v>
      </c>
    </row>
    <row r="99" spans="1:13" s="286" customFormat="1" ht="40.5" customHeight="1">
      <c r="A99" s="120" t="s">
        <v>46</v>
      </c>
      <c r="B99" s="281"/>
      <c r="C99" s="121" t="s">
        <v>22</v>
      </c>
      <c r="D99" s="120" t="s">
        <v>813</v>
      </c>
      <c r="E99" s="122"/>
      <c r="F99" s="104">
        <v>1.9200000000000004</v>
      </c>
      <c r="G99" s="296"/>
      <c r="H99" s="89">
        <f t="shared" si="9"/>
        <v>0</v>
      </c>
      <c r="I99" s="285"/>
      <c r="J99" s="221">
        <f t="shared" si="11"/>
        <v>0</v>
      </c>
      <c r="K99" s="285"/>
      <c r="L99" s="221">
        <f t="shared" si="12"/>
        <v>0</v>
      </c>
      <c r="M99" s="222">
        <f t="shared" si="13"/>
        <v>0</v>
      </c>
    </row>
    <row r="100" spans="1:13" s="73" customFormat="1" ht="22.5" customHeight="1">
      <c r="A100" s="106">
        <f>A99+0.1</f>
        <v>3.1</v>
      </c>
      <c r="B100" s="224"/>
      <c r="C100" s="76" t="s">
        <v>69</v>
      </c>
      <c r="D100" s="75" t="s">
        <v>13</v>
      </c>
      <c r="E100" s="273">
        <v>3.1E-2</v>
      </c>
      <c r="F100" s="71">
        <f>E100*F99</f>
        <v>5.952000000000001E-2</v>
      </c>
      <c r="G100" s="297"/>
      <c r="H100" s="89">
        <f t="shared" si="9"/>
        <v>0</v>
      </c>
      <c r="I100" s="62"/>
      <c r="J100" s="221">
        <f t="shared" si="11"/>
        <v>0</v>
      </c>
      <c r="K100" s="277"/>
      <c r="L100" s="221">
        <f t="shared" si="12"/>
        <v>0</v>
      </c>
      <c r="M100" s="222">
        <f t="shared" si="13"/>
        <v>0</v>
      </c>
    </row>
    <row r="101" spans="1:13" s="73" customFormat="1" ht="22.5" customHeight="1">
      <c r="A101" s="106">
        <f>A100+0.1</f>
        <v>3.2</v>
      </c>
      <c r="B101" s="224"/>
      <c r="C101" s="76" t="s">
        <v>117</v>
      </c>
      <c r="D101" s="108" t="s">
        <v>14</v>
      </c>
      <c r="E101" s="273">
        <v>2E-3</v>
      </c>
      <c r="F101" s="257">
        <f>E101*F99</f>
        <v>3.840000000000001E-3</v>
      </c>
      <c r="G101" s="230"/>
      <c r="H101" s="89">
        <f t="shared" si="9"/>
        <v>0</v>
      </c>
      <c r="I101" s="277"/>
      <c r="J101" s="221">
        <f t="shared" si="11"/>
        <v>0</v>
      </c>
      <c r="K101" s="89"/>
      <c r="L101" s="221">
        <f t="shared" si="12"/>
        <v>0</v>
      </c>
      <c r="M101" s="222">
        <f t="shared" si="13"/>
        <v>0</v>
      </c>
    </row>
    <row r="102" spans="1:13" s="73" customFormat="1" ht="22.5" customHeight="1">
      <c r="A102" s="106">
        <f>A101+0.1</f>
        <v>3.3000000000000003</v>
      </c>
      <c r="B102" s="229"/>
      <c r="C102" s="255" t="s">
        <v>24</v>
      </c>
      <c r="D102" s="108" t="s">
        <v>21</v>
      </c>
      <c r="E102" s="298">
        <v>8.5999999999999993E-2</v>
      </c>
      <c r="F102" s="151">
        <f>E102*F99</f>
        <v>0.16512000000000002</v>
      </c>
      <c r="G102" s="299"/>
      <c r="H102" s="89">
        <f t="shared" si="9"/>
        <v>0</v>
      </c>
      <c r="I102" s="277"/>
      <c r="J102" s="221">
        <f t="shared" si="11"/>
        <v>0</v>
      </c>
      <c r="K102" s="277"/>
      <c r="L102" s="221">
        <f t="shared" si="12"/>
        <v>0</v>
      </c>
      <c r="M102" s="222">
        <f t="shared" si="13"/>
        <v>0</v>
      </c>
    </row>
    <row r="103" spans="1:13" s="73" customFormat="1" ht="22.5" customHeight="1">
      <c r="A103" s="106">
        <f>A102+0.1</f>
        <v>3.4000000000000004</v>
      </c>
      <c r="B103" s="229"/>
      <c r="C103" s="255" t="s">
        <v>25</v>
      </c>
      <c r="D103" s="108" t="s">
        <v>21</v>
      </c>
      <c r="E103" s="273">
        <v>1.4999999999999999E-2</v>
      </c>
      <c r="F103" s="71">
        <f>F99*E103</f>
        <v>2.8800000000000006E-2</v>
      </c>
      <c r="G103" s="297"/>
      <c r="H103" s="89">
        <f t="shared" si="9"/>
        <v>0</v>
      </c>
      <c r="I103" s="277"/>
      <c r="J103" s="221">
        <f t="shared" si="11"/>
        <v>0</v>
      </c>
      <c r="K103" s="277"/>
      <c r="L103" s="221">
        <f t="shared" si="12"/>
        <v>0</v>
      </c>
      <c r="M103" s="222">
        <f t="shared" si="13"/>
        <v>0</v>
      </c>
    </row>
    <row r="104" spans="1:13" s="286" customFormat="1" ht="46.5" customHeight="1">
      <c r="A104" s="120" t="s">
        <v>47</v>
      </c>
      <c r="B104" s="281"/>
      <c r="C104" s="121" t="s">
        <v>26</v>
      </c>
      <c r="D104" s="120" t="s">
        <v>813</v>
      </c>
      <c r="E104" s="122"/>
      <c r="F104" s="104">
        <v>1.9200000000000004</v>
      </c>
      <c r="G104" s="296"/>
      <c r="H104" s="89">
        <f t="shared" si="9"/>
        <v>0</v>
      </c>
      <c r="I104" s="285"/>
      <c r="J104" s="221">
        <f t="shared" si="11"/>
        <v>0</v>
      </c>
      <c r="K104" s="285"/>
      <c r="L104" s="221">
        <f t="shared" si="12"/>
        <v>0</v>
      </c>
      <c r="M104" s="222">
        <f t="shared" si="13"/>
        <v>0</v>
      </c>
    </row>
    <row r="105" spans="1:13" s="73" customFormat="1" ht="24.75" customHeight="1">
      <c r="A105" s="106">
        <f>A104+0.1</f>
        <v>4.0999999999999996</v>
      </c>
      <c r="B105" s="224"/>
      <c r="C105" s="76" t="s">
        <v>69</v>
      </c>
      <c r="D105" s="75" t="s">
        <v>13</v>
      </c>
      <c r="E105" s="273">
        <v>0.68</v>
      </c>
      <c r="F105" s="71">
        <f>E105*F104</f>
        <v>1.3056000000000003</v>
      </c>
      <c r="G105" s="297"/>
      <c r="H105" s="89">
        <f t="shared" si="9"/>
        <v>0</v>
      </c>
      <c r="I105" s="290"/>
      <c r="J105" s="221">
        <f t="shared" si="11"/>
        <v>0</v>
      </c>
      <c r="K105" s="277"/>
      <c r="L105" s="221">
        <f t="shared" si="12"/>
        <v>0</v>
      </c>
      <c r="M105" s="222">
        <f t="shared" si="13"/>
        <v>0</v>
      </c>
    </row>
    <row r="106" spans="1:13" s="73" customFormat="1" ht="24.75" customHeight="1">
      <c r="A106" s="106">
        <f>A105+0.1</f>
        <v>4.1999999999999993</v>
      </c>
      <c r="B106" s="224"/>
      <c r="C106" s="76" t="s">
        <v>117</v>
      </c>
      <c r="D106" s="108" t="s">
        <v>14</v>
      </c>
      <c r="E106" s="257">
        <v>2.9999999999999997E-4</v>
      </c>
      <c r="F106" s="257">
        <f>E106*F104</f>
        <v>5.7600000000000001E-4</v>
      </c>
      <c r="G106" s="230"/>
      <c r="H106" s="89">
        <f t="shared" si="9"/>
        <v>0</v>
      </c>
      <c r="I106" s="277"/>
      <c r="J106" s="221">
        <f t="shared" si="11"/>
        <v>0</v>
      </c>
      <c r="K106" s="89"/>
      <c r="L106" s="221">
        <f t="shared" si="12"/>
        <v>0</v>
      </c>
      <c r="M106" s="222">
        <f t="shared" si="13"/>
        <v>0</v>
      </c>
    </row>
    <row r="107" spans="1:13" s="73" customFormat="1" ht="24.75" customHeight="1">
      <c r="A107" s="106">
        <f>A106+0.1</f>
        <v>4.2999999999999989</v>
      </c>
      <c r="B107" s="229"/>
      <c r="C107" s="255" t="s">
        <v>27</v>
      </c>
      <c r="D107" s="108" t="s">
        <v>21</v>
      </c>
      <c r="E107" s="273">
        <v>0.246</v>
      </c>
      <c r="F107" s="71">
        <f>E107*F104</f>
        <v>0.47232000000000007</v>
      </c>
      <c r="G107" s="299"/>
      <c r="H107" s="89">
        <f t="shared" si="9"/>
        <v>0</v>
      </c>
      <c r="I107" s="277"/>
      <c r="J107" s="221">
        <f t="shared" si="11"/>
        <v>0</v>
      </c>
      <c r="K107" s="277"/>
      <c r="L107" s="221">
        <f t="shared" si="12"/>
        <v>0</v>
      </c>
      <c r="M107" s="222">
        <f t="shared" si="13"/>
        <v>0</v>
      </c>
    </row>
    <row r="108" spans="1:13" s="73" customFormat="1" ht="24.75" customHeight="1">
      <c r="A108" s="106">
        <f>A107+0.1</f>
        <v>4.3999999999999986</v>
      </c>
      <c r="B108" s="229"/>
      <c r="C108" s="255" t="s">
        <v>28</v>
      </c>
      <c r="D108" s="108" t="s">
        <v>21</v>
      </c>
      <c r="E108" s="273">
        <f>2.7/100</f>
        <v>2.7000000000000003E-2</v>
      </c>
      <c r="F108" s="71">
        <f>F104*E108</f>
        <v>5.1840000000000018E-2</v>
      </c>
      <c r="G108" s="300"/>
      <c r="H108" s="89">
        <f t="shared" si="9"/>
        <v>0</v>
      </c>
      <c r="I108" s="277"/>
      <c r="J108" s="221">
        <f t="shared" si="11"/>
        <v>0</v>
      </c>
      <c r="K108" s="277"/>
      <c r="L108" s="221">
        <f t="shared" si="12"/>
        <v>0</v>
      </c>
      <c r="M108" s="222">
        <f t="shared" si="13"/>
        <v>0</v>
      </c>
    </row>
    <row r="109" spans="1:13" s="286" customFormat="1" ht="24.75" customHeight="1">
      <c r="A109" s="106">
        <f>A108+0.1</f>
        <v>4.4999999999999982</v>
      </c>
      <c r="B109" s="224"/>
      <c r="C109" s="76" t="s">
        <v>119</v>
      </c>
      <c r="D109" s="108" t="s">
        <v>1</v>
      </c>
      <c r="E109" s="257">
        <v>1.9E-3</v>
      </c>
      <c r="F109" s="273">
        <f>E109*F104</f>
        <v>3.6480000000000006E-3</v>
      </c>
      <c r="G109" s="230"/>
      <c r="H109" s="89">
        <f t="shared" si="9"/>
        <v>0</v>
      </c>
      <c r="I109" s="285"/>
      <c r="J109" s="221">
        <f t="shared" si="11"/>
        <v>0</v>
      </c>
      <c r="K109" s="285"/>
      <c r="L109" s="221">
        <f t="shared" si="12"/>
        <v>0</v>
      </c>
      <c r="M109" s="222">
        <f t="shared" si="13"/>
        <v>0</v>
      </c>
    </row>
    <row r="110" spans="1:13" s="73" customFormat="1" ht="24.75" customHeight="1">
      <c r="A110" s="106"/>
      <c r="B110" s="229"/>
      <c r="C110" s="121" t="s">
        <v>178</v>
      </c>
      <c r="D110" s="108"/>
      <c r="E110" s="257"/>
      <c r="F110" s="71"/>
      <c r="G110" s="297"/>
      <c r="H110" s="89">
        <f t="shared" si="9"/>
        <v>0</v>
      </c>
      <c r="I110" s="277"/>
      <c r="J110" s="221">
        <f t="shared" si="11"/>
        <v>0</v>
      </c>
      <c r="K110" s="277"/>
      <c r="L110" s="221">
        <f t="shared" si="12"/>
        <v>0</v>
      </c>
      <c r="M110" s="222">
        <f t="shared" si="13"/>
        <v>0</v>
      </c>
    </row>
    <row r="111" spans="1:13" s="73" customFormat="1" ht="49.5" customHeight="1">
      <c r="A111" s="236">
        <v>1</v>
      </c>
      <c r="B111" s="237"/>
      <c r="C111" s="128" t="s">
        <v>116</v>
      </c>
      <c r="D111" s="67" t="s">
        <v>61</v>
      </c>
      <c r="E111" s="91"/>
      <c r="F111" s="91">
        <v>2.2999999999999998</v>
      </c>
      <c r="G111" s="247"/>
      <c r="H111" s="89">
        <f t="shared" si="9"/>
        <v>0</v>
      </c>
      <c r="I111" s="69"/>
      <c r="J111" s="221">
        <f t="shared" si="11"/>
        <v>0</v>
      </c>
      <c r="K111" s="69"/>
      <c r="L111" s="221">
        <f t="shared" si="12"/>
        <v>0</v>
      </c>
      <c r="M111" s="222">
        <f t="shared" si="13"/>
        <v>0</v>
      </c>
    </row>
    <row r="112" spans="1:13" s="58" customFormat="1" ht="19.899999999999999" customHeight="1">
      <c r="A112" s="240">
        <f>A111+0.1</f>
        <v>1.1000000000000001</v>
      </c>
      <c r="B112" s="241"/>
      <c r="C112" s="191" t="s">
        <v>69</v>
      </c>
      <c r="D112" s="131" t="s">
        <v>13</v>
      </c>
      <c r="E112" s="132">
        <v>3.16</v>
      </c>
      <c r="F112" s="242">
        <f>E112*F111</f>
        <v>7.2679999999999998</v>
      </c>
      <c r="G112" s="243"/>
      <c r="H112" s="89">
        <f t="shared" si="9"/>
        <v>0</v>
      </c>
      <c r="I112" s="62"/>
      <c r="J112" s="221">
        <f t="shared" si="11"/>
        <v>0</v>
      </c>
      <c r="K112" s="62"/>
      <c r="L112" s="221">
        <f t="shared" si="12"/>
        <v>0</v>
      </c>
      <c r="M112" s="222">
        <f t="shared" si="13"/>
        <v>0</v>
      </c>
    </row>
    <row r="113" spans="1:13" s="56" customFormat="1" ht="19.899999999999999" customHeight="1">
      <c r="A113" s="240">
        <f>A112+0.1</f>
        <v>1.2000000000000002</v>
      </c>
      <c r="B113" s="211"/>
      <c r="C113" s="191" t="s">
        <v>59</v>
      </c>
      <c r="D113" s="63" t="s">
        <v>61</v>
      </c>
      <c r="E113" s="132">
        <v>1.25</v>
      </c>
      <c r="F113" s="62">
        <f>E113*F111</f>
        <v>2.875</v>
      </c>
      <c r="G113" s="244"/>
      <c r="H113" s="89">
        <f t="shared" si="9"/>
        <v>0</v>
      </c>
      <c r="I113" s="62"/>
      <c r="J113" s="221">
        <f t="shared" si="11"/>
        <v>0</v>
      </c>
      <c r="K113" s="301"/>
      <c r="L113" s="221">
        <f t="shared" si="12"/>
        <v>0</v>
      </c>
      <c r="M113" s="222">
        <f t="shared" si="13"/>
        <v>0</v>
      </c>
    </row>
    <row r="114" spans="1:13" s="56" customFormat="1" ht="19.899999999999999" customHeight="1">
      <c r="A114" s="240">
        <f>A113+0.1</f>
        <v>1.3000000000000003</v>
      </c>
      <c r="B114" s="246"/>
      <c r="C114" s="76" t="s">
        <v>119</v>
      </c>
      <c r="D114" s="80" t="s">
        <v>1</v>
      </c>
      <c r="E114" s="93">
        <v>1E-3</v>
      </c>
      <c r="F114" s="93">
        <f>E114*F111</f>
        <v>2.3E-3</v>
      </c>
      <c r="G114" s="230"/>
      <c r="H114" s="89">
        <f t="shared" si="9"/>
        <v>0</v>
      </c>
      <c r="I114" s="62"/>
      <c r="J114" s="221">
        <f t="shared" si="11"/>
        <v>0</v>
      </c>
      <c r="K114" s="62"/>
      <c r="L114" s="221">
        <f t="shared" si="12"/>
        <v>0</v>
      </c>
      <c r="M114" s="222">
        <f t="shared" si="13"/>
        <v>0</v>
      </c>
    </row>
    <row r="115" spans="1:13" s="73" customFormat="1" ht="47.25" customHeight="1">
      <c r="A115" s="236">
        <v>2</v>
      </c>
      <c r="B115" s="237"/>
      <c r="C115" s="128" t="s">
        <v>310</v>
      </c>
      <c r="D115" s="67" t="s">
        <v>61</v>
      </c>
      <c r="E115" s="91"/>
      <c r="F115" s="91">
        <v>4.5999999999999996</v>
      </c>
      <c r="G115" s="247"/>
      <c r="H115" s="89">
        <f t="shared" si="9"/>
        <v>0</v>
      </c>
      <c r="I115" s="69"/>
      <c r="J115" s="221">
        <f t="shared" si="11"/>
        <v>0</v>
      </c>
      <c r="K115" s="69"/>
      <c r="L115" s="221">
        <f t="shared" si="12"/>
        <v>0</v>
      </c>
      <c r="M115" s="222">
        <f t="shared" si="13"/>
        <v>0</v>
      </c>
    </row>
    <row r="116" spans="1:13" s="56" customFormat="1" ht="24" customHeight="1">
      <c r="A116" s="240">
        <f t="shared" ref="A116:A122" si="18">A115+0.1</f>
        <v>2.1</v>
      </c>
      <c r="B116" s="241"/>
      <c r="C116" s="191" t="s">
        <v>69</v>
      </c>
      <c r="D116" s="131" t="s">
        <v>13</v>
      </c>
      <c r="E116" s="61">
        <v>1.87</v>
      </c>
      <c r="F116" s="62">
        <f>F115*E116</f>
        <v>8.6020000000000003</v>
      </c>
      <c r="G116" s="243"/>
      <c r="H116" s="89">
        <f t="shared" si="9"/>
        <v>0</v>
      </c>
      <c r="I116" s="62"/>
      <c r="J116" s="221">
        <f t="shared" si="11"/>
        <v>0</v>
      </c>
      <c r="K116" s="62"/>
      <c r="L116" s="221">
        <f t="shared" si="12"/>
        <v>0</v>
      </c>
      <c r="M116" s="222">
        <f t="shared" si="13"/>
        <v>0</v>
      </c>
    </row>
    <row r="117" spans="1:13" s="56" customFormat="1" ht="24" customHeight="1">
      <c r="A117" s="240">
        <f t="shared" si="18"/>
        <v>2.2000000000000002</v>
      </c>
      <c r="B117" s="241"/>
      <c r="C117" s="76" t="s">
        <v>117</v>
      </c>
      <c r="D117" s="80" t="s">
        <v>14</v>
      </c>
      <c r="E117" s="61">
        <v>0.77</v>
      </c>
      <c r="F117" s="62">
        <f>F115*E117</f>
        <v>3.5419999999999998</v>
      </c>
      <c r="G117" s="250"/>
      <c r="H117" s="89">
        <f t="shared" si="9"/>
        <v>0</v>
      </c>
      <c r="I117" s="62"/>
      <c r="J117" s="221">
        <f t="shared" si="11"/>
        <v>0</v>
      </c>
      <c r="K117" s="302"/>
      <c r="L117" s="221">
        <f t="shared" si="12"/>
        <v>0</v>
      </c>
      <c r="M117" s="222">
        <f t="shared" si="13"/>
        <v>0</v>
      </c>
    </row>
    <row r="118" spans="1:13" s="56" customFormat="1" ht="24" customHeight="1">
      <c r="A118" s="240">
        <f t="shared" si="18"/>
        <v>2.3000000000000003</v>
      </c>
      <c r="B118" s="224"/>
      <c r="C118" s="64" t="s">
        <v>75</v>
      </c>
      <c r="D118" s="115" t="s">
        <v>15</v>
      </c>
      <c r="E118" s="61">
        <v>1.0149999999999999</v>
      </c>
      <c r="F118" s="62">
        <f>E118*F115</f>
        <v>4.6689999999999996</v>
      </c>
      <c r="G118" s="269"/>
      <c r="H118" s="89">
        <f t="shared" si="9"/>
        <v>0</v>
      </c>
      <c r="I118" s="62"/>
      <c r="J118" s="221">
        <f t="shared" si="11"/>
        <v>0</v>
      </c>
      <c r="K118" s="62"/>
      <c r="L118" s="221">
        <f t="shared" si="12"/>
        <v>0</v>
      </c>
      <c r="M118" s="222">
        <f t="shared" si="13"/>
        <v>0</v>
      </c>
    </row>
    <row r="119" spans="1:13" s="56" customFormat="1" ht="24" customHeight="1">
      <c r="A119" s="240">
        <f t="shared" si="18"/>
        <v>2.4000000000000004</v>
      </c>
      <c r="B119" s="249"/>
      <c r="C119" s="64" t="s">
        <v>401</v>
      </c>
      <c r="D119" s="63" t="s">
        <v>104</v>
      </c>
      <c r="E119" s="61" t="s">
        <v>20</v>
      </c>
      <c r="F119" s="93">
        <v>0.36799999999999999</v>
      </c>
      <c r="G119" s="244"/>
      <c r="H119" s="89">
        <f t="shared" si="9"/>
        <v>0</v>
      </c>
      <c r="I119" s="62"/>
      <c r="J119" s="221">
        <f t="shared" si="11"/>
        <v>0</v>
      </c>
      <c r="K119" s="62"/>
      <c r="L119" s="221">
        <f t="shared" si="12"/>
        <v>0</v>
      </c>
      <c r="M119" s="222">
        <f t="shared" si="13"/>
        <v>0</v>
      </c>
    </row>
    <row r="120" spans="1:13" s="56" customFormat="1" ht="24" customHeight="1">
      <c r="A120" s="240">
        <f t="shared" si="18"/>
        <v>2.5000000000000004</v>
      </c>
      <c r="B120" s="249"/>
      <c r="C120" s="64" t="s">
        <v>81</v>
      </c>
      <c r="D120" s="63" t="s">
        <v>811</v>
      </c>
      <c r="E120" s="61">
        <f>7.54/100</f>
        <v>7.5399999999999995E-2</v>
      </c>
      <c r="F120" s="62">
        <f>E120*F115</f>
        <v>0.34683999999999993</v>
      </c>
      <c r="G120" s="303"/>
      <c r="H120" s="89">
        <f t="shared" si="9"/>
        <v>0</v>
      </c>
      <c r="I120" s="62"/>
      <c r="J120" s="221">
        <f t="shared" si="11"/>
        <v>0</v>
      </c>
      <c r="K120" s="62"/>
      <c r="L120" s="221">
        <f t="shared" si="12"/>
        <v>0</v>
      </c>
      <c r="M120" s="222">
        <f t="shared" si="13"/>
        <v>0</v>
      </c>
    </row>
    <row r="121" spans="1:13" s="304" customFormat="1" ht="24" customHeight="1">
      <c r="A121" s="240">
        <f t="shared" si="18"/>
        <v>2.6000000000000005</v>
      </c>
      <c r="B121" s="274"/>
      <c r="C121" s="64" t="s">
        <v>82</v>
      </c>
      <c r="D121" s="80" t="s">
        <v>810</v>
      </c>
      <c r="E121" s="61">
        <f>0.08/100</f>
        <v>8.0000000000000004E-4</v>
      </c>
      <c r="F121" s="62">
        <f>E121*F115</f>
        <v>3.6799999999999997E-3</v>
      </c>
      <c r="G121" s="230"/>
      <c r="H121" s="89">
        <f t="shared" si="9"/>
        <v>0</v>
      </c>
      <c r="I121" s="62"/>
      <c r="J121" s="221">
        <f t="shared" si="11"/>
        <v>0</v>
      </c>
      <c r="K121" s="62"/>
      <c r="L121" s="221">
        <f t="shared" si="12"/>
        <v>0</v>
      </c>
      <c r="M121" s="222">
        <f t="shared" si="13"/>
        <v>0</v>
      </c>
    </row>
    <row r="122" spans="1:13" s="305" customFormat="1" ht="24" customHeight="1">
      <c r="A122" s="240">
        <f t="shared" si="18"/>
        <v>2.7000000000000006</v>
      </c>
      <c r="B122" s="246"/>
      <c r="C122" s="76" t="s">
        <v>119</v>
      </c>
      <c r="D122" s="63" t="s">
        <v>14</v>
      </c>
      <c r="E122" s="61">
        <v>7.0000000000000007E-2</v>
      </c>
      <c r="F122" s="62">
        <f>E122*F115</f>
        <v>0.32200000000000001</v>
      </c>
      <c r="G122" s="230"/>
      <c r="H122" s="89">
        <f t="shared" si="9"/>
        <v>0</v>
      </c>
      <c r="I122" s="62"/>
      <c r="J122" s="221">
        <f t="shared" si="11"/>
        <v>0</v>
      </c>
      <c r="K122" s="62"/>
      <c r="L122" s="221">
        <f t="shared" si="12"/>
        <v>0</v>
      </c>
      <c r="M122" s="222">
        <f t="shared" si="13"/>
        <v>0</v>
      </c>
    </row>
    <row r="123" spans="1:13" s="74" customFormat="1" ht="57.75" customHeight="1">
      <c r="A123" s="81">
        <v>3</v>
      </c>
      <c r="B123" s="260"/>
      <c r="C123" s="68" t="s">
        <v>306</v>
      </c>
      <c r="D123" s="66" t="s">
        <v>121</v>
      </c>
      <c r="E123" s="94"/>
      <c r="F123" s="306">
        <v>18.899999999999999</v>
      </c>
      <c r="G123" s="307"/>
      <c r="H123" s="89">
        <f t="shared" si="9"/>
        <v>0</v>
      </c>
      <c r="I123" s="308"/>
      <c r="J123" s="221">
        <f t="shared" si="11"/>
        <v>0</v>
      </c>
      <c r="K123" s="308"/>
      <c r="L123" s="221">
        <f t="shared" si="12"/>
        <v>0</v>
      </c>
      <c r="M123" s="222">
        <f t="shared" si="13"/>
        <v>0</v>
      </c>
    </row>
    <row r="124" spans="1:13" s="74" customFormat="1" ht="24" customHeight="1">
      <c r="A124" s="240">
        <f>A123+0.1</f>
        <v>3.1</v>
      </c>
      <c r="B124" s="224"/>
      <c r="C124" s="191" t="s">
        <v>69</v>
      </c>
      <c r="D124" s="131" t="s">
        <v>13</v>
      </c>
      <c r="E124" s="309">
        <f>0.192+0.0597</f>
        <v>0.25170000000000003</v>
      </c>
      <c r="F124" s="310">
        <f>E124*F123</f>
        <v>4.7571300000000001</v>
      </c>
      <c r="G124" s="311"/>
      <c r="H124" s="89">
        <f t="shared" si="9"/>
        <v>0</v>
      </c>
      <c r="I124" s="312"/>
      <c r="J124" s="221">
        <f t="shared" si="11"/>
        <v>0</v>
      </c>
      <c r="K124" s="312"/>
      <c r="L124" s="221">
        <f t="shared" si="12"/>
        <v>0</v>
      </c>
      <c r="M124" s="222">
        <f t="shared" si="13"/>
        <v>0</v>
      </c>
    </row>
    <row r="125" spans="1:13" s="74" customFormat="1" ht="24" customHeight="1">
      <c r="A125" s="240">
        <f t="shared" ref="A125:A127" si="19">A124+0.1</f>
        <v>3.2</v>
      </c>
      <c r="B125" s="224"/>
      <c r="C125" s="76" t="s">
        <v>117</v>
      </c>
      <c r="D125" s="80" t="s">
        <v>14</v>
      </c>
      <c r="E125" s="313">
        <f>0.0059+0.0024</f>
        <v>8.3000000000000001E-3</v>
      </c>
      <c r="F125" s="310">
        <f>F123*E125</f>
        <v>0.15686999999999998</v>
      </c>
      <c r="G125" s="311"/>
      <c r="H125" s="89">
        <f t="shared" si="9"/>
        <v>0</v>
      </c>
      <c r="I125" s="312"/>
      <c r="J125" s="221">
        <f t="shared" si="11"/>
        <v>0</v>
      </c>
      <c r="K125" s="312"/>
      <c r="L125" s="221">
        <f t="shared" si="12"/>
        <v>0</v>
      </c>
      <c r="M125" s="222">
        <f t="shared" si="13"/>
        <v>0</v>
      </c>
    </row>
    <row r="126" spans="1:13" s="74" customFormat="1" ht="24" customHeight="1">
      <c r="A126" s="240">
        <f t="shared" si="19"/>
        <v>3.3000000000000003</v>
      </c>
      <c r="B126" s="314"/>
      <c r="C126" s="64" t="s">
        <v>167</v>
      </c>
      <c r="D126" s="85" t="s">
        <v>21</v>
      </c>
      <c r="E126" s="310">
        <f>2.9+1.4+0.76</f>
        <v>5.0599999999999996</v>
      </c>
      <c r="F126" s="310">
        <f>F123*E126</f>
        <v>95.633999999999986</v>
      </c>
      <c r="G126" s="311"/>
      <c r="H126" s="89">
        <f t="shared" si="9"/>
        <v>0</v>
      </c>
      <c r="I126" s="312"/>
      <c r="J126" s="221">
        <f t="shared" si="11"/>
        <v>0</v>
      </c>
      <c r="K126" s="312"/>
      <c r="L126" s="221">
        <f t="shared" si="12"/>
        <v>0</v>
      </c>
      <c r="M126" s="222">
        <f t="shared" si="13"/>
        <v>0</v>
      </c>
    </row>
    <row r="127" spans="1:13" s="74" customFormat="1" ht="24" customHeight="1">
      <c r="A127" s="240">
        <f t="shared" si="19"/>
        <v>3.4000000000000004</v>
      </c>
      <c r="B127" s="224"/>
      <c r="C127" s="64" t="s">
        <v>225</v>
      </c>
      <c r="D127" s="85" t="s">
        <v>14</v>
      </c>
      <c r="E127" s="313">
        <f>0.19/100</f>
        <v>1.9E-3</v>
      </c>
      <c r="F127" s="310">
        <f>F123*E127</f>
        <v>3.5909999999999997E-2</v>
      </c>
      <c r="G127" s="311"/>
      <c r="H127" s="89">
        <f t="shared" si="9"/>
        <v>0</v>
      </c>
      <c r="I127" s="312"/>
      <c r="J127" s="221">
        <f t="shared" si="11"/>
        <v>0</v>
      </c>
      <c r="K127" s="312"/>
      <c r="L127" s="221">
        <f t="shared" si="12"/>
        <v>0</v>
      </c>
      <c r="M127" s="222">
        <f t="shared" si="13"/>
        <v>0</v>
      </c>
    </row>
    <row r="128" spans="1:13" s="286" customFormat="1" ht="46.5" customHeight="1">
      <c r="A128" s="120" t="s">
        <v>47</v>
      </c>
      <c r="B128" s="226"/>
      <c r="C128" s="121" t="s">
        <v>179</v>
      </c>
      <c r="D128" s="120" t="s">
        <v>813</v>
      </c>
      <c r="E128" s="282"/>
      <c r="F128" s="306">
        <v>18.899999999999999</v>
      </c>
      <c r="G128" s="284"/>
      <c r="H128" s="89">
        <f t="shared" si="9"/>
        <v>0</v>
      </c>
      <c r="I128" s="285"/>
      <c r="J128" s="221">
        <f t="shared" si="11"/>
        <v>0</v>
      </c>
      <c r="K128" s="285"/>
      <c r="L128" s="221">
        <f t="shared" si="12"/>
        <v>0</v>
      </c>
      <c r="M128" s="222">
        <f t="shared" si="13"/>
        <v>0</v>
      </c>
    </row>
    <row r="129" spans="1:13" ht="23.25" customHeight="1">
      <c r="A129" s="106">
        <f>A128+0.1</f>
        <v>4.0999999999999996</v>
      </c>
      <c r="B129" s="224"/>
      <c r="C129" s="76" t="s">
        <v>69</v>
      </c>
      <c r="D129" s="75" t="s">
        <v>43</v>
      </c>
      <c r="E129" s="290">
        <v>1</v>
      </c>
      <c r="F129" s="288">
        <f>E129*F128</f>
        <v>18.899999999999999</v>
      </c>
      <c r="G129" s="289"/>
      <c r="H129" s="89">
        <f t="shared" si="9"/>
        <v>0</v>
      </c>
      <c r="I129" s="216"/>
      <c r="J129" s="221">
        <f t="shared" si="11"/>
        <v>0</v>
      </c>
      <c r="K129" s="216"/>
      <c r="L129" s="221">
        <f t="shared" si="12"/>
        <v>0</v>
      </c>
      <c r="M129" s="222">
        <f t="shared" si="13"/>
        <v>0</v>
      </c>
    </row>
    <row r="130" spans="1:13" ht="23.25" customHeight="1">
      <c r="A130" s="106">
        <f>A129+0.1</f>
        <v>4.1999999999999993</v>
      </c>
      <c r="B130" s="224"/>
      <c r="C130" s="76" t="s">
        <v>117</v>
      </c>
      <c r="D130" s="108" t="s">
        <v>14</v>
      </c>
      <c r="E130" s="315">
        <v>2.3300000000000001E-2</v>
      </c>
      <c r="F130" s="316">
        <f>E130*F128</f>
        <v>0.44036999999999998</v>
      </c>
      <c r="G130" s="230"/>
      <c r="H130" s="89">
        <f t="shared" si="9"/>
        <v>0</v>
      </c>
      <c r="I130" s="216"/>
      <c r="J130" s="221">
        <f t="shared" si="11"/>
        <v>0</v>
      </c>
      <c r="K130" s="89"/>
      <c r="L130" s="221">
        <f t="shared" si="12"/>
        <v>0</v>
      </c>
      <c r="M130" s="222">
        <f t="shared" si="13"/>
        <v>0</v>
      </c>
    </row>
    <row r="131" spans="1:13" ht="23.25" customHeight="1">
      <c r="A131" s="106">
        <f>A130+0.1</f>
        <v>4.2999999999999989</v>
      </c>
      <c r="B131" s="229"/>
      <c r="C131" s="76" t="s">
        <v>85</v>
      </c>
      <c r="D131" s="115" t="s">
        <v>15</v>
      </c>
      <c r="E131" s="316">
        <v>5.0999999999999997E-2</v>
      </c>
      <c r="F131" s="288">
        <f>E131*F128</f>
        <v>0.96389999999999987</v>
      </c>
      <c r="G131" s="289"/>
      <c r="H131" s="89">
        <f t="shared" si="9"/>
        <v>0</v>
      </c>
      <c r="I131" s="216"/>
      <c r="J131" s="221">
        <f t="shared" si="11"/>
        <v>0</v>
      </c>
      <c r="K131" s="216"/>
      <c r="L131" s="221">
        <f t="shared" si="12"/>
        <v>0</v>
      </c>
      <c r="M131" s="222">
        <f t="shared" si="13"/>
        <v>0</v>
      </c>
    </row>
    <row r="132" spans="1:13" ht="23.25" customHeight="1">
      <c r="A132" s="106">
        <f>A131+0.1</f>
        <v>4.3999999999999986</v>
      </c>
      <c r="B132" s="274"/>
      <c r="C132" s="76" t="s">
        <v>180</v>
      </c>
      <c r="D132" s="108" t="s">
        <v>63</v>
      </c>
      <c r="E132" s="316">
        <v>1</v>
      </c>
      <c r="F132" s="288">
        <f>F128*E132</f>
        <v>18.899999999999999</v>
      </c>
      <c r="G132" s="289"/>
      <c r="H132" s="89">
        <f t="shared" si="9"/>
        <v>0</v>
      </c>
      <c r="I132" s="216"/>
      <c r="J132" s="221">
        <f t="shared" si="11"/>
        <v>0</v>
      </c>
      <c r="K132" s="216"/>
      <c r="L132" s="221">
        <f t="shared" si="12"/>
        <v>0</v>
      </c>
      <c r="M132" s="222">
        <f t="shared" si="13"/>
        <v>0</v>
      </c>
    </row>
    <row r="133" spans="1:13" ht="23.25" customHeight="1">
      <c r="A133" s="106">
        <f>A132+0.1</f>
        <v>4.4999999999999982</v>
      </c>
      <c r="B133" s="224"/>
      <c r="C133" s="76" t="s">
        <v>119</v>
      </c>
      <c r="D133" s="75" t="s">
        <v>14</v>
      </c>
      <c r="E133" s="316">
        <v>6.4000000000000003E-3</v>
      </c>
      <c r="F133" s="316">
        <f>E133*F128</f>
        <v>0.12096</v>
      </c>
      <c r="G133" s="230"/>
      <c r="H133" s="89">
        <f t="shared" si="9"/>
        <v>0</v>
      </c>
      <c r="I133" s="216"/>
      <c r="J133" s="221">
        <f t="shared" si="11"/>
        <v>0</v>
      </c>
      <c r="K133" s="216"/>
      <c r="L133" s="221">
        <f t="shared" si="12"/>
        <v>0</v>
      </c>
      <c r="M133" s="222">
        <f t="shared" si="13"/>
        <v>0</v>
      </c>
    </row>
    <row r="134" spans="1:13" s="73" customFormat="1" ht="62.25" customHeight="1">
      <c r="A134" s="218" t="s">
        <v>48</v>
      </c>
      <c r="B134" s="317"/>
      <c r="C134" s="318" t="s">
        <v>181</v>
      </c>
      <c r="D134" s="218" t="s">
        <v>813</v>
      </c>
      <c r="E134" s="282"/>
      <c r="F134" s="306">
        <v>18.899999999999999</v>
      </c>
      <c r="G134" s="284"/>
      <c r="H134" s="89">
        <f t="shared" ref="H134:H197" si="20">F134*G134</f>
        <v>0</v>
      </c>
      <c r="I134" s="277"/>
      <c r="J134" s="221">
        <f t="shared" si="11"/>
        <v>0</v>
      </c>
      <c r="K134" s="277"/>
      <c r="L134" s="221">
        <f t="shared" si="12"/>
        <v>0</v>
      </c>
      <c r="M134" s="222">
        <f t="shared" si="13"/>
        <v>0</v>
      </c>
    </row>
    <row r="135" spans="1:13" s="286" customFormat="1" ht="24.75" customHeight="1">
      <c r="A135" s="106">
        <f>A134+0.1</f>
        <v>5.0999999999999996</v>
      </c>
      <c r="B135" s="224"/>
      <c r="C135" s="76" t="s">
        <v>69</v>
      </c>
      <c r="D135" s="75" t="s">
        <v>13</v>
      </c>
      <c r="E135" s="290">
        <v>1.54</v>
      </c>
      <c r="F135" s="288">
        <f>E135*F134</f>
        <v>29.105999999999998</v>
      </c>
      <c r="G135" s="289"/>
      <c r="H135" s="89">
        <f t="shared" si="20"/>
        <v>0</v>
      </c>
      <c r="I135" s="216"/>
      <c r="J135" s="221">
        <f t="shared" si="11"/>
        <v>0</v>
      </c>
      <c r="K135" s="285"/>
      <c r="L135" s="221">
        <f t="shared" si="12"/>
        <v>0</v>
      </c>
      <c r="M135" s="222">
        <f t="shared" si="13"/>
        <v>0</v>
      </c>
    </row>
    <row r="136" spans="1:13" ht="24.75" customHeight="1">
      <c r="A136" s="106">
        <f>A135+0.1</f>
        <v>5.1999999999999993</v>
      </c>
      <c r="B136" s="224"/>
      <c r="C136" s="76" t="s">
        <v>117</v>
      </c>
      <c r="D136" s="108" t="s">
        <v>14</v>
      </c>
      <c r="E136" s="315">
        <v>4.1500000000000002E-2</v>
      </c>
      <c r="F136" s="288">
        <f>E136*F134</f>
        <v>0.78434999999999999</v>
      </c>
      <c r="G136" s="230"/>
      <c r="H136" s="89">
        <f t="shared" si="20"/>
        <v>0</v>
      </c>
      <c r="I136" s="216"/>
      <c r="J136" s="221">
        <f t="shared" si="11"/>
        <v>0</v>
      </c>
      <c r="K136" s="89"/>
      <c r="L136" s="221">
        <f t="shared" si="12"/>
        <v>0</v>
      </c>
      <c r="M136" s="222">
        <f t="shared" si="13"/>
        <v>0</v>
      </c>
    </row>
    <row r="137" spans="1:13" ht="24.75" customHeight="1">
      <c r="A137" s="106">
        <f>A136+0.1</f>
        <v>5.2999999999999989</v>
      </c>
      <c r="B137" s="229"/>
      <c r="C137" s="255" t="s">
        <v>182</v>
      </c>
      <c r="D137" s="108" t="s">
        <v>814</v>
      </c>
      <c r="E137" s="290">
        <v>1.02</v>
      </c>
      <c r="F137" s="288">
        <f>E137*F134</f>
        <v>19.277999999999999</v>
      </c>
      <c r="G137" s="289"/>
      <c r="H137" s="89">
        <f t="shared" si="20"/>
        <v>0</v>
      </c>
      <c r="I137" s="216"/>
      <c r="J137" s="221">
        <f t="shared" si="11"/>
        <v>0</v>
      </c>
      <c r="K137" s="216"/>
      <c r="L137" s="221">
        <f t="shared" si="12"/>
        <v>0</v>
      </c>
      <c r="M137" s="222">
        <f t="shared" si="13"/>
        <v>0</v>
      </c>
    </row>
    <row r="138" spans="1:13" ht="24.75" customHeight="1">
      <c r="A138" s="106">
        <f>A137+0.1</f>
        <v>5.3999999999999986</v>
      </c>
      <c r="B138" s="229"/>
      <c r="C138" s="76" t="s">
        <v>83</v>
      </c>
      <c r="D138" s="108" t="s">
        <v>21</v>
      </c>
      <c r="E138" s="290">
        <v>6</v>
      </c>
      <c r="F138" s="288">
        <f>E138*F134</f>
        <v>113.39999999999999</v>
      </c>
      <c r="G138" s="289"/>
      <c r="H138" s="89">
        <f t="shared" si="20"/>
        <v>0</v>
      </c>
      <c r="I138" s="216"/>
      <c r="J138" s="221">
        <f t="shared" si="11"/>
        <v>0</v>
      </c>
      <c r="K138" s="216"/>
      <c r="L138" s="221">
        <f t="shared" si="12"/>
        <v>0</v>
      </c>
      <c r="M138" s="222">
        <f t="shared" si="13"/>
        <v>0</v>
      </c>
    </row>
    <row r="139" spans="1:13" ht="24.75" customHeight="1">
      <c r="A139" s="106">
        <f>A138+0.1</f>
        <v>5.4999999999999982</v>
      </c>
      <c r="B139" s="224"/>
      <c r="C139" s="76" t="s">
        <v>119</v>
      </c>
      <c r="D139" s="75" t="s">
        <v>14</v>
      </c>
      <c r="E139" s="315">
        <v>4.6600000000000003E-2</v>
      </c>
      <c r="F139" s="288">
        <f>E139*F134</f>
        <v>0.88073999999999997</v>
      </c>
      <c r="G139" s="230"/>
      <c r="H139" s="89">
        <f t="shared" si="20"/>
        <v>0</v>
      </c>
      <c r="I139" s="216"/>
      <c r="J139" s="221">
        <f t="shared" si="11"/>
        <v>0</v>
      </c>
      <c r="K139" s="216"/>
      <c r="L139" s="221">
        <f t="shared" si="12"/>
        <v>0</v>
      </c>
      <c r="M139" s="222">
        <f t="shared" si="13"/>
        <v>0</v>
      </c>
    </row>
    <row r="140" spans="1:13" s="73" customFormat="1" ht="24.75" customHeight="1">
      <c r="A140" s="319"/>
      <c r="B140" s="320"/>
      <c r="C140" s="318" t="s">
        <v>282</v>
      </c>
      <c r="D140" s="321"/>
      <c r="E140" s="257"/>
      <c r="F140" s="71"/>
      <c r="G140" s="297"/>
      <c r="H140" s="89">
        <f t="shared" si="20"/>
        <v>0</v>
      </c>
      <c r="I140" s="277"/>
      <c r="J140" s="221">
        <f t="shared" si="11"/>
        <v>0</v>
      </c>
      <c r="K140" s="277"/>
      <c r="L140" s="221">
        <f t="shared" ref="L140:L224" si="21">F140*K140</f>
        <v>0</v>
      </c>
      <c r="M140" s="222">
        <f t="shared" si="13"/>
        <v>0</v>
      </c>
    </row>
    <row r="141" spans="1:13" s="286" customFormat="1" ht="47.25" customHeight="1">
      <c r="A141" s="120" t="s">
        <v>44</v>
      </c>
      <c r="B141" s="281"/>
      <c r="C141" s="121" t="s">
        <v>84</v>
      </c>
      <c r="D141" s="120" t="s">
        <v>43</v>
      </c>
      <c r="E141" s="283">
        <f>0.8*2*3+0.4*2*3+2.1*2*3+0.8*2+1*1</f>
        <v>22.400000000000006</v>
      </c>
      <c r="F141" s="283">
        <f>E141*0.15</f>
        <v>3.3600000000000008</v>
      </c>
      <c r="G141" s="284"/>
      <c r="H141" s="89">
        <f t="shared" si="20"/>
        <v>0</v>
      </c>
      <c r="I141" s="285"/>
      <c r="J141" s="221">
        <f t="shared" si="11"/>
        <v>0</v>
      </c>
      <c r="K141" s="285"/>
      <c r="L141" s="221">
        <f t="shared" si="21"/>
        <v>0</v>
      </c>
      <c r="M141" s="222">
        <f t="shared" si="13"/>
        <v>0</v>
      </c>
    </row>
    <row r="142" spans="1:13" s="286" customFormat="1" ht="23.25" customHeight="1">
      <c r="A142" s="106">
        <f>A141+0.1</f>
        <v>1.1000000000000001</v>
      </c>
      <c r="B142" s="224"/>
      <c r="C142" s="76" t="s">
        <v>69</v>
      </c>
      <c r="D142" s="75" t="s">
        <v>13</v>
      </c>
      <c r="E142" s="287">
        <v>1.79</v>
      </c>
      <c r="F142" s="288">
        <f>E142*F141</f>
        <v>6.0144000000000011</v>
      </c>
      <c r="G142" s="289"/>
      <c r="H142" s="89">
        <f t="shared" si="20"/>
        <v>0</v>
      </c>
      <c r="I142" s="216"/>
      <c r="J142" s="221">
        <f t="shared" si="11"/>
        <v>0</v>
      </c>
      <c r="K142" s="285"/>
      <c r="L142" s="221">
        <f t="shared" si="21"/>
        <v>0</v>
      </c>
      <c r="M142" s="222">
        <f t="shared" si="13"/>
        <v>0</v>
      </c>
    </row>
    <row r="143" spans="1:13" s="286" customFormat="1" ht="23.25" customHeight="1">
      <c r="A143" s="106">
        <f>A142+0.1</f>
        <v>1.2000000000000002</v>
      </c>
      <c r="B143" s="224"/>
      <c r="C143" s="76" t="s">
        <v>117</v>
      </c>
      <c r="D143" s="108" t="s">
        <v>14</v>
      </c>
      <c r="E143" s="287">
        <v>7.5999999999999998E-2</v>
      </c>
      <c r="F143" s="288">
        <f>F141*E143</f>
        <v>0.25536000000000003</v>
      </c>
      <c r="G143" s="230"/>
      <c r="H143" s="89">
        <f t="shared" si="20"/>
        <v>0</v>
      </c>
      <c r="I143" s="285"/>
      <c r="J143" s="221">
        <f t="shared" ref="J143:J206" si="22">F143*I143</f>
        <v>0</v>
      </c>
      <c r="K143" s="89"/>
      <c r="L143" s="221">
        <f t="shared" si="21"/>
        <v>0</v>
      </c>
      <c r="M143" s="222">
        <f t="shared" ref="M143:M206" si="23">H143+J143+L143</f>
        <v>0</v>
      </c>
    </row>
    <row r="144" spans="1:13" s="286" customFormat="1" ht="23.25" customHeight="1">
      <c r="A144" s="106">
        <f>A143+0.1</f>
        <v>1.3000000000000003</v>
      </c>
      <c r="B144" s="229"/>
      <c r="C144" s="76" t="s">
        <v>85</v>
      </c>
      <c r="D144" s="115" t="s">
        <v>15</v>
      </c>
      <c r="E144" s="287">
        <v>4.3999999999999997E-2</v>
      </c>
      <c r="F144" s="288">
        <f>E144*F141</f>
        <v>0.14784000000000003</v>
      </c>
      <c r="G144" s="289"/>
      <c r="H144" s="89">
        <f t="shared" si="20"/>
        <v>0</v>
      </c>
      <c r="I144" s="285"/>
      <c r="J144" s="221">
        <f t="shared" si="22"/>
        <v>0</v>
      </c>
      <c r="K144" s="285"/>
      <c r="L144" s="221">
        <f t="shared" si="21"/>
        <v>0</v>
      </c>
      <c r="M144" s="222">
        <f t="shared" si="23"/>
        <v>0</v>
      </c>
    </row>
    <row r="145" spans="1:16" s="286" customFormat="1" ht="50.1" customHeight="1">
      <c r="A145" s="120" t="s">
        <v>45</v>
      </c>
      <c r="B145" s="281"/>
      <c r="C145" s="121" t="s">
        <v>86</v>
      </c>
      <c r="D145" s="161" t="s">
        <v>813</v>
      </c>
      <c r="E145" s="282"/>
      <c r="F145" s="283">
        <v>61.86</v>
      </c>
      <c r="G145" s="284"/>
      <c r="H145" s="89">
        <f t="shared" si="20"/>
        <v>0</v>
      </c>
      <c r="I145" s="285"/>
      <c r="J145" s="221">
        <f t="shared" si="22"/>
        <v>0</v>
      </c>
      <c r="K145" s="285"/>
      <c r="L145" s="221">
        <f t="shared" si="21"/>
        <v>0</v>
      </c>
      <c r="M145" s="222">
        <f t="shared" si="23"/>
        <v>0</v>
      </c>
    </row>
    <row r="146" spans="1:16" ht="24" customHeight="1">
      <c r="A146" s="106">
        <f>A145+0.1</f>
        <v>2.1</v>
      </c>
      <c r="B146" s="224"/>
      <c r="C146" s="76" t="s">
        <v>69</v>
      </c>
      <c r="D146" s="75" t="s">
        <v>13</v>
      </c>
      <c r="E146" s="287">
        <v>1.01</v>
      </c>
      <c r="F146" s="288">
        <f>E146*F145</f>
        <v>62.4786</v>
      </c>
      <c r="G146" s="297"/>
      <c r="H146" s="89">
        <f t="shared" si="20"/>
        <v>0</v>
      </c>
      <c r="I146" s="216"/>
      <c r="J146" s="221">
        <f t="shared" si="22"/>
        <v>0</v>
      </c>
      <c r="K146" s="216"/>
      <c r="L146" s="221">
        <f t="shared" si="21"/>
        <v>0</v>
      </c>
      <c r="M146" s="222">
        <f t="shared" si="23"/>
        <v>0</v>
      </c>
    </row>
    <row r="147" spans="1:16" ht="24" customHeight="1">
      <c r="A147" s="106">
        <f>A146+0.1</f>
        <v>2.2000000000000002</v>
      </c>
      <c r="B147" s="224"/>
      <c r="C147" s="76" t="s">
        <v>117</v>
      </c>
      <c r="D147" s="108" t="s">
        <v>14</v>
      </c>
      <c r="E147" s="287">
        <v>2.7E-2</v>
      </c>
      <c r="F147" s="290">
        <f>E147*F145</f>
        <v>1.67022</v>
      </c>
      <c r="G147" s="230"/>
      <c r="H147" s="89">
        <f t="shared" si="20"/>
        <v>0</v>
      </c>
      <c r="I147" s="216"/>
      <c r="J147" s="221">
        <f t="shared" si="22"/>
        <v>0</v>
      </c>
      <c r="K147" s="89"/>
      <c r="L147" s="221">
        <f t="shared" si="21"/>
        <v>0</v>
      </c>
      <c r="M147" s="222">
        <f t="shared" si="23"/>
        <v>0</v>
      </c>
    </row>
    <row r="148" spans="1:16" ht="24" customHeight="1">
      <c r="A148" s="106">
        <f>A147+0.1</f>
        <v>2.3000000000000003</v>
      </c>
      <c r="B148" s="224"/>
      <c r="C148" s="76" t="s">
        <v>815</v>
      </c>
      <c r="D148" s="108" t="s">
        <v>62</v>
      </c>
      <c r="E148" s="287">
        <v>4.1000000000000002E-2</v>
      </c>
      <c r="F148" s="288">
        <f>E148*F145</f>
        <v>2.53626</v>
      </c>
      <c r="G148" s="289"/>
      <c r="H148" s="89">
        <f t="shared" si="20"/>
        <v>0</v>
      </c>
      <c r="I148" s="216"/>
      <c r="J148" s="221">
        <f t="shared" si="22"/>
        <v>0</v>
      </c>
      <c r="K148" s="216"/>
      <c r="L148" s="221">
        <f t="shared" si="21"/>
        <v>0</v>
      </c>
      <c r="M148" s="222">
        <f t="shared" si="23"/>
        <v>0</v>
      </c>
    </row>
    <row r="149" spans="1:16" ht="24" customHeight="1">
      <c r="A149" s="106">
        <f>A148+0.1</f>
        <v>2.4000000000000004</v>
      </c>
      <c r="B149" s="229"/>
      <c r="C149" s="76" t="s">
        <v>85</v>
      </c>
      <c r="D149" s="115" t="s">
        <v>15</v>
      </c>
      <c r="E149" s="315">
        <v>2.3800000000000002E-2</v>
      </c>
      <c r="F149" s="288">
        <f>E149*F145</f>
        <v>1.4722680000000001</v>
      </c>
      <c r="G149" s="289"/>
      <c r="H149" s="89">
        <f t="shared" si="20"/>
        <v>0</v>
      </c>
      <c r="I149" s="216"/>
      <c r="J149" s="221">
        <f t="shared" si="22"/>
        <v>0</v>
      </c>
      <c r="K149" s="216"/>
      <c r="L149" s="221">
        <f t="shared" si="21"/>
        <v>0</v>
      </c>
      <c r="M149" s="222">
        <f t="shared" si="23"/>
        <v>0</v>
      </c>
    </row>
    <row r="150" spans="1:16" ht="24" customHeight="1">
      <c r="A150" s="106">
        <f>A149+0.1</f>
        <v>2.5000000000000004</v>
      </c>
      <c r="B150" s="224"/>
      <c r="C150" s="76" t="s">
        <v>119</v>
      </c>
      <c r="D150" s="75" t="s">
        <v>14</v>
      </c>
      <c r="E150" s="287">
        <v>3.0000000000000001E-3</v>
      </c>
      <c r="F150" s="288">
        <f>E150*F145</f>
        <v>0.18557999999999999</v>
      </c>
      <c r="G150" s="230"/>
      <c r="H150" s="89">
        <f t="shared" si="20"/>
        <v>0</v>
      </c>
      <c r="I150" s="216"/>
      <c r="J150" s="221">
        <f t="shared" si="22"/>
        <v>0</v>
      </c>
      <c r="K150" s="216"/>
      <c r="L150" s="221">
        <f t="shared" si="21"/>
        <v>0</v>
      </c>
      <c r="M150" s="222">
        <f t="shared" si="23"/>
        <v>0</v>
      </c>
    </row>
    <row r="151" spans="1:16" s="331" customFormat="1" ht="33" customHeight="1">
      <c r="A151" s="322">
        <v>3</v>
      </c>
      <c r="B151" s="323"/>
      <c r="C151" s="324" t="s">
        <v>599</v>
      </c>
      <c r="D151" s="325" t="s">
        <v>107</v>
      </c>
      <c r="E151" s="326"/>
      <c r="F151" s="327">
        <v>23.64</v>
      </c>
      <c r="G151" s="328"/>
      <c r="H151" s="89">
        <f t="shared" si="20"/>
        <v>0</v>
      </c>
      <c r="I151" s="329"/>
      <c r="J151" s="221">
        <f t="shared" si="22"/>
        <v>0</v>
      </c>
      <c r="K151" s="329"/>
      <c r="L151" s="78">
        <f t="shared" si="21"/>
        <v>0</v>
      </c>
      <c r="M151" s="222">
        <f t="shared" si="23"/>
        <v>0</v>
      </c>
      <c r="N151" s="330"/>
      <c r="O151" s="330"/>
      <c r="P151" s="330"/>
    </row>
    <row r="152" spans="1:16" s="331" customFormat="1" ht="22.5" customHeight="1">
      <c r="A152" s="248">
        <f>A151+0.1</f>
        <v>3.1</v>
      </c>
      <c r="B152" s="224"/>
      <c r="C152" s="332" t="s">
        <v>307</v>
      </c>
      <c r="D152" s="333" t="s">
        <v>13</v>
      </c>
      <c r="E152" s="334">
        <v>5.75</v>
      </c>
      <c r="F152" s="329">
        <f>F151*E152</f>
        <v>135.93</v>
      </c>
      <c r="G152" s="328"/>
      <c r="H152" s="89">
        <f t="shared" si="20"/>
        <v>0</v>
      </c>
      <c r="I152" s="329"/>
      <c r="J152" s="221">
        <f t="shared" si="22"/>
        <v>0</v>
      </c>
      <c r="K152" s="329"/>
      <c r="L152" s="78">
        <f t="shared" si="21"/>
        <v>0</v>
      </c>
      <c r="M152" s="222">
        <f t="shared" si="23"/>
        <v>0</v>
      </c>
      <c r="N152" s="330"/>
      <c r="O152" s="330"/>
      <c r="P152" s="330"/>
    </row>
    <row r="153" spans="1:16" s="331" customFormat="1" ht="22.5" customHeight="1">
      <c r="A153" s="248">
        <f t="shared" ref="A153:A156" si="24">A152+0.1</f>
        <v>3.2</v>
      </c>
      <c r="B153" s="224"/>
      <c r="C153" s="332" t="s">
        <v>51</v>
      </c>
      <c r="D153" s="333" t="s">
        <v>14</v>
      </c>
      <c r="E153" s="334">
        <v>3.5999999999999997E-2</v>
      </c>
      <c r="F153" s="329">
        <f>F151*E153</f>
        <v>0.85103999999999991</v>
      </c>
      <c r="G153" s="328"/>
      <c r="H153" s="89">
        <f t="shared" si="20"/>
        <v>0</v>
      </c>
      <c r="I153" s="329"/>
      <c r="J153" s="221">
        <f t="shared" si="22"/>
        <v>0</v>
      </c>
      <c r="K153" s="329"/>
      <c r="L153" s="78">
        <f t="shared" si="21"/>
        <v>0</v>
      </c>
      <c r="M153" s="222">
        <f t="shared" si="23"/>
        <v>0</v>
      </c>
      <c r="N153" s="330"/>
      <c r="O153" s="330"/>
      <c r="P153" s="330"/>
    </row>
    <row r="154" spans="1:16" s="331" customFormat="1" ht="22.5" customHeight="1">
      <c r="A154" s="248">
        <f t="shared" si="24"/>
        <v>3.3000000000000003</v>
      </c>
      <c r="B154" s="335"/>
      <c r="C154" s="332" t="s">
        <v>460</v>
      </c>
      <c r="D154" s="333" t="s">
        <v>107</v>
      </c>
      <c r="E154" s="334">
        <v>1</v>
      </c>
      <c r="F154" s="329">
        <f>60</f>
        <v>60</v>
      </c>
      <c r="G154" s="328"/>
      <c r="H154" s="89">
        <f t="shared" si="20"/>
        <v>0</v>
      </c>
      <c r="I154" s="329"/>
      <c r="J154" s="221">
        <f t="shared" si="22"/>
        <v>0</v>
      </c>
      <c r="K154" s="329"/>
      <c r="L154" s="78">
        <f t="shared" si="21"/>
        <v>0</v>
      </c>
      <c r="M154" s="222">
        <f t="shared" si="23"/>
        <v>0</v>
      </c>
      <c r="N154" s="330"/>
      <c r="O154" s="330"/>
      <c r="P154" s="330"/>
    </row>
    <row r="155" spans="1:16" s="331" customFormat="1" ht="22.5" customHeight="1">
      <c r="A155" s="248">
        <f t="shared" si="24"/>
        <v>3.4000000000000004</v>
      </c>
      <c r="B155" s="335"/>
      <c r="C155" s="332" t="s">
        <v>455</v>
      </c>
      <c r="D155" s="333" t="s">
        <v>349</v>
      </c>
      <c r="E155" s="334">
        <v>6</v>
      </c>
      <c r="F155" s="329">
        <f>F151*E155</f>
        <v>141.84</v>
      </c>
      <c r="G155" s="328"/>
      <c r="H155" s="89">
        <f t="shared" si="20"/>
        <v>0</v>
      </c>
      <c r="I155" s="329"/>
      <c r="J155" s="221">
        <f t="shared" si="22"/>
        <v>0</v>
      </c>
      <c r="K155" s="329"/>
      <c r="L155" s="78">
        <f t="shared" si="21"/>
        <v>0</v>
      </c>
      <c r="M155" s="222">
        <f t="shared" si="23"/>
        <v>0</v>
      </c>
      <c r="N155" s="330"/>
      <c r="O155" s="330"/>
      <c r="P155" s="330"/>
    </row>
    <row r="156" spans="1:16" s="331" customFormat="1" ht="22.5" customHeight="1">
      <c r="A156" s="248">
        <f t="shared" si="24"/>
        <v>3.5000000000000004</v>
      </c>
      <c r="B156" s="224"/>
      <c r="C156" s="336" t="s">
        <v>119</v>
      </c>
      <c r="D156" s="80" t="s">
        <v>1</v>
      </c>
      <c r="E156" s="334">
        <v>4.2999999999999997E-2</v>
      </c>
      <c r="F156" s="329">
        <f>F151*E156</f>
        <v>1.0165199999999999</v>
      </c>
      <c r="G156" s="328"/>
      <c r="H156" s="89">
        <f t="shared" si="20"/>
        <v>0</v>
      </c>
      <c r="I156" s="329"/>
      <c r="J156" s="221">
        <f t="shared" si="22"/>
        <v>0</v>
      </c>
      <c r="K156" s="329"/>
      <c r="L156" s="78">
        <f t="shared" si="21"/>
        <v>0</v>
      </c>
      <c r="M156" s="222">
        <f t="shared" si="23"/>
        <v>0</v>
      </c>
      <c r="N156" s="330"/>
      <c r="O156" s="330"/>
      <c r="P156" s="330"/>
    </row>
    <row r="157" spans="1:16" s="331" customFormat="1" ht="45" customHeight="1">
      <c r="A157" s="236">
        <v>4</v>
      </c>
      <c r="B157" s="237"/>
      <c r="C157" s="337" t="s">
        <v>618</v>
      </c>
      <c r="D157" s="67" t="s">
        <v>813</v>
      </c>
      <c r="E157" s="91"/>
      <c r="F157" s="327">
        <v>23.64</v>
      </c>
      <c r="G157" s="247"/>
      <c r="H157" s="89">
        <f t="shared" si="20"/>
        <v>0</v>
      </c>
      <c r="I157" s="69"/>
      <c r="J157" s="221">
        <f t="shared" si="22"/>
        <v>0</v>
      </c>
      <c r="K157" s="69"/>
      <c r="L157" s="62">
        <f t="shared" ref="L157:L162" si="25">F157*K157</f>
        <v>0</v>
      </c>
      <c r="M157" s="222">
        <f t="shared" si="23"/>
        <v>0</v>
      </c>
      <c r="N157" s="330"/>
      <c r="O157" s="330"/>
      <c r="P157" s="330"/>
    </row>
    <row r="158" spans="1:16" s="331" customFormat="1" ht="22.5" customHeight="1">
      <c r="A158" s="338">
        <f>A157+0.1</f>
        <v>4.0999999999999996</v>
      </c>
      <c r="B158" s="241"/>
      <c r="C158" s="336" t="s">
        <v>69</v>
      </c>
      <c r="D158" s="131" t="s">
        <v>13</v>
      </c>
      <c r="E158" s="339">
        <v>0.91</v>
      </c>
      <c r="F158" s="268">
        <f>E158*F157</f>
        <v>21.5124</v>
      </c>
      <c r="G158" s="243"/>
      <c r="H158" s="89">
        <f t="shared" si="20"/>
        <v>0</v>
      </c>
      <c r="I158" s="62"/>
      <c r="J158" s="221">
        <f t="shared" si="22"/>
        <v>0</v>
      </c>
      <c r="K158" s="62"/>
      <c r="L158" s="62">
        <f t="shared" si="25"/>
        <v>0</v>
      </c>
      <c r="M158" s="222">
        <f t="shared" si="23"/>
        <v>0</v>
      </c>
      <c r="N158" s="330"/>
      <c r="O158" s="330"/>
      <c r="P158" s="330"/>
    </row>
    <row r="159" spans="1:16" s="331" customFormat="1" ht="22.5" customHeight="1">
      <c r="A159" s="338">
        <f>A158+0.1</f>
        <v>4.1999999999999993</v>
      </c>
      <c r="B159" s="241"/>
      <c r="C159" s="276" t="s">
        <v>117</v>
      </c>
      <c r="D159" s="80" t="s">
        <v>14</v>
      </c>
      <c r="E159" s="339">
        <v>1E-3</v>
      </c>
      <c r="F159" s="339">
        <f>E159*F157</f>
        <v>2.3640000000000001E-2</v>
      </c>
      <c r="G159" s="250"/>
      <c r="H159" s="89">
        <f t="shared" si="20"/>
        <v>0</v>
      </c>
      <c r="I159" s="62"/>
      <c r="J159" s="221">
        <f t="shared" si="22"/>
        <v>0</v>
      </c>
      <c r="K159" s="302"/>
      <c r="L159" s="62">
        <f t="shared" si="25"/>
        <v>0</v>
      </c>
      <c r="M159" s="222">
        <f t="shared" si="23"/>
        <v>0</v>
      </c>
      <c r="N159" s="330"/>
      <c r="O159" s="330"/>
      <c r="P159" s="330"/>
    </row>
    <row r="160" spans="1:16" s="331" customFormat="1" ht="22.5" customHeight="1">
      <c r="A160" s="338">
        <f>A159+0.1</f>
        <v>4.2999999999999989</v>
      </c>
      <c r="B160" s="249"/>
      <c r="C160" s="336" t="s">
        <v>603</v>
      </c>
      <c r="D160" s="80" t="s">
        <v>21</v>
      </c>
      <c r="E160" s="252">
        <v>0.63</v>
      </c>
      <c r="F160" s="268">
        <f>E160*F157</f>
        <v>14.8932</v>
      </c>
      <c r="G160" s="340"/>
      <c r="H160" s="89">
        <f t="shared" si="20"/>
        <v>0</v>
      </c>
      <c r="I160" s="62"/>
      <c r="J160" s="221">
        <f t="shared" si="22"/>
        <v>0</v>
      </c>
      <c r="K160" s="301"/>
      <c r="L160" s="62">
        <f t="shared" si="25"/>
        <v>0</v>
      </c>
      <c r="M160" s="222">
        <f t="shared" si="23"/>
        <v>0</v>
      </c>
      <c r="N160" s="330"/>
      <c r="O160" s="330"/>
      <c r="P160" s="330"/>
    </row>
    <row r="161" spans="1:16" s="331" customFormat="1" ht="22.5" customHeight="1">
      <c r="A161" s="338">
        <f>A160+0.1</f>
        <v>4.3999999999999986</v>
      </c>
      <c r="B161" s="249"/>
      <c r="C161" s="336" t="s">
        <v>604</v>
      </c>
      <c r="D161" s="80" t="s">
        <v>21</v>
      </c>
      <c r="E161" s="252">
        <v>0.79</v>
      </c>
      <c r="F161" s="268">
        <f>E161*F157</f>
        <v>18.675600000000003</v>
      </c>
      <c r="G161" s="340"/>
      <c r="H161" s="89">
        <f t="shared" si="20"/>
        <v>0</v>
      </c>
      <c r="I161" s="62"/>
      <c r="J161" s="221">
        <f t="shared" si="22"/>
        <v>0</v>
      </c>
      <c r="K161" s="301"/>
      <c r="L161" s="62">
        <f t="shared" si="25"/>
        <v>0</v>
      </c>
      <c r="M161" s="222">
        <f t="shared" si="23"/>
        <v>0</v>
      </c>
      <c r="N161" s="330"/>
      <c r="O161" s="330"/>
      <c r="P161" s="330"/>
    </row>
    <row r="162" spans="1:16" s="331" customFormat="1" ht="22.5" customHeight="1">
      <c r="A162" s="338">
        <f>A161+0.1</f>
        <v>4.4999999999999982</v>
      </c>
      <c r="B162" s="246"/>
      <c r="C162" s="276" t="s">
        <v>119</v>
      </c>
      <c r="D162" s="131" t="s">
        <v>14</v>
      </c>
      <c r="E162" s="271">
        <v>1.6000000000000001E-3</v>
      </c>
      <c r="F162" s="268">
        <f>E162*F157</f>
        <v>3.7824000000000003E-2</v>
      </c>
      <c r="G162" s="244"/>
      <c r="H162" s="89">
        <f t="shared" si="20"/>
        <v>0</v>
      </c>
      <c r="I162" s="62"/>
      <c r="J162" s="221">
        <f t="shared" si="22"/>
        <v>0</v>
      </c>
      <c r="K162" s="301"/>
      <c r="L162" s="62">
        <f t="shared" si="25"/>
        <v>0</v>
      </c>
      <c r="M162" s="222">
        <f t="shared" si="23"/>
        <v>0</v>
      </c>
      <c r="N162" s="330"/>
      <c r="O162" s="330"/>
      <c r="P162" s="330"/>
    </row>
    <row r="163" spans="1:16" s="73" customFormat="1" ht="48" customHeight="1">
      <c r="A163" s="236">
        <v>5</v>
      </c>
      <c r="B163" s="237"/>
      <c r="C163" s="337" t="s">
        <v>619</v>
      </c>
      <c r="D163" s="67" t="s">
        <v>813</v>
      </c>
      <c r="E163" s="91"/>
      <c r="F163" s="341">
        <v>38.22</v>
      </c>
      <c r="G163" s="238"/>
      <c r="H163" s="89">
        <f t="shared" si="20"/>
        <v>0</v>
      </c>
      <c r="I163" s="91"/>
      <c r="J163" s="221">
        <f t="shared" si="22"/>
        <v>0</v>
      </c>
      <c r="K163" s="91"/>
      <c r="L163" s="78">
        <f t="shared" ref="L163:L169" si="26">F163*K163</f>
        <v>0</v>
      </c>
      <c r="M163" s="222">
        <f t="shared" si="23"/>
        <v>0</v>
      </c>
      <c r="N163" s="330"/>
      <c r="O163" s="330"/>
      <c r="P163" s="330"/>
    </row>
    <row r="164" spans="1:16" s="58" customFormat="1" ht="24.75" customHeight="1">
      <c r="A164" s="240">
        <f>A163+0.1</f>
        <v>5.0999999999999996</v>
      </c>
      <c r="B164" s="241"/>
      <c r="C164" s="336" t="s">
        <v>12</v>
      </c>
      <c r="D164" s="131" t="s">
        <v>13</v>
      </c>
      <c r="E164" s="252">
        <v>10.199999999999999</v>
      </c>
      <c r="F164" s="268">
        <f>E164*F163</f>
        <v>389.84399999999994</v>
      </c>
      <c r="G164" s="243"/>
      <c r="H164" s="89">
        <f t="shared" si="20"/>
        <v>0</v>
      </c>
      <c r="I164" s="342"/>
      <c r="J164" s="221">
        <f t="shared" si="22"/>
        <v>0</v>
      </c>
      <c r="K164" s="62"/>
      <c r="L164" s="78">
        <f t="shared" si="26"/>
        <v>0</v>
      </c>
      <c r="M164" s="222">
        <f t="shared" si="23"/>
        <v>0</v>
      </c>
    </row>
    <row r="165" spans="1:16" s="58" customFormat="1" ht="24.75" customHeight="1">
      <c r="A165" s="240">
        <f t="shared" ref="A165:A169" si="27">A164+0.1</f>
        <v>5.1999999999999993</v>
      </c>
      <c r="B165" s="241"/>
      <c r="C165" s="276" t="s">
        <v>117</v>
      </c>
      <c r="D165" s="80" t="s">
        <v>14</v>
      </c>
      <c r="E165" s="271">
        <v>0.05</v>
      </c>
      <c r="F165" s="268">
        <f>E165*F163</f>
        <v>1.911</v>
      </c>
      <c r="G165" s="343"/>
      <c r="H165" s="89">
        <f t="shared" si="20"/>
        <v>0</v>
      </c>
      <c r="I165" s="342"/>
      <c r="J165" s="221">
        <f t="shared" si="22"/>
        <v>0</v>
      </c>
      <c r="K165" s="302"/>
      <c r="L165" s="78">
        <f t="shared" si="26"/>
        <v>0</v>
      </c>
      <c r="M165" s="222">
        <f t="shared" si="23"/>
        <v>0</v>
      </c>
    </row>
    <row r="166" spans="1:16" s="58" customFormat="1" ht="24.75" customHeight="1">
      <c r="A166" s="240">
        <f t="shared" si="27"/>
        <v>5.2999999999999989</v>
      </c>
      <c r="B166" s="249"/>
      <c r="C166" s="336" t="s">
        <v>601</v>
      </c>
      <c r="D166" s="80" t="s">
        <v>814</v>
      </c>
      <c r="E166" s="252">
        <v>1</v>
      </c>
      <c r="F166" s="268">
        <f>F163*E166</f>
        <v>38.22</v>
      </c>
      <c r="G166" s="340"/>
      <c r="H166" s="89">
        <f t="shared" si="20"/>
        <v>0</v>
      </c>
      <c r="I166" s="61"/>
      <c r="J166" s="221">
        <f t="shared" si="22"/>
        <v>0</v>
      </c>
      <c r="K166" s="61"/>
      <c r="L166" s="78">
        <f t="shared" si="26"/>
        <v>0</v>
      </c>
      <c r="M166" s="222">
        <f t="shared" si="23"/>
        <v>0</v>
      </c>
    </row>
    <row r="167" spans="1:16" s="58" customFormat="1" ht="24.75" customHeight="1">
      <c r="A167" s="240">
        <f t="shared" si="27"/>
        <v>5.3999999999999986</v>
      </c>
      <c r="B167" s="224"/>
      <c r="C167" s="336" t="s">
        <v>319</v>
      </c>
      <c r="D167" s="80" t="s">
        <v>104</v>
      </c>
      <c r="E167" s="339">
        <v>3.0000000000000001E-3</v>
      </c>
      <c r="F167" s="268">
        <f>F163*E167</f>
        <v>0.11466</v>
      </c>
      <c r="G167" s="340"/>
      <c r="H167" s="89">
        <f t="shared" si="20"/>
        <v>0</v>
      </c>
      <c r="I167" s="61"/>
      <c r="J167" s="221">
        <f t="shared" si="22"/>
        <v>0</v>
      </c>
      <c r="K167" s="61"/>
      <c r="L167" s="78">
        <f t="shared" si="26"/>
        <v>0</v>
      </c>
      <c r="M167" s="222">
        <f t="shared" si="23"/>
        <v>0</v>
      </c>
    </row>
    <row r="168" spans="1:16" s="58" customFormat="1" ht="24.75" customHeight="1">
      <c r="A168" s="240">
        <f t="shared" si="27"/>
        <v>5.4999999999999982</v>
      </c>
      <c r="B168" s="229"/>
      <c r="C168" s="336" t="s">
        <v>83</v>
      </c>
      <c r="D168" s="80" t="s">
        <v>21</v>
      </c>
      <c r="E168" s="268">
        <v>8</v>
      </c>
      <c r="F168" s="268">
        <f>E168*F163</f>
        <v>305.76</v>
      </c>
      <c r="G168" s="340"/>
      <c r="H168" s="89">
        <f t="shared" si="20"/>
        <v>0</v>
      </c>
      <c r="I168" s="61"/>
      <c r="J168" s="221">
        <f t="shared" si="22"/>
        <v>0</v>
      </c>
      <c r="K168" s="61"/>
      <c r="L168" s="78">
        <f t="shared" si="26"/>
        <v>0</v>
      </c>
      <c r="M168" s="222">
        <f t="shared" si="23"/>
        <v>0</v>
      </c>
    </row>
    <row r="169" spans="1:16" s="58" customFormat="1" ht="24.75" customHeight="1">
      <c r="A169" s="240">
        <f t="shared" si="27"/>
        <v>5.5999999999999979</v>
      </c>
      <c r="B169" s="246"/>
      <c r="C169" s="276" t="s">
        <v>119</v>
      </c>
      <c r="D169" s="131" t="s">
        <v>14</v>
      </c>
      <c r="E169" s="252">
        <v>0.44</v>
      </c>
      <c r="F169" s="268">
        <f>E169*F163</f>
        <v>16.816800000000001</v>
      </c>
      <c r="G169" s="230"/>
      <c r="H169" s="89">
        <f t="shared" si="20"/>
        <v>0</v>
      </c>
      <c r="I169" s="61"/>
      <c r="J169" s="221">
        <f t="shared" si="22"/>
        <v>0</v>
      </c>
      <c r="K169" s="61"/>
      <c r="L169" s="78">
        <f t="shared" si="26"/>
        <v>0</v>
      </c>
      <c r="M169" s="222">
        <f t="shared" si="23"/>
        <v>0</v>
      </c>
    </row>
    <row r="170" spans="1:16" s="286" customFormat="1" ht="62.25" customHeight="1">
      <c r="A170" s="218" t="s">
        <v>127</v>
      </c>
      <c r="B170" s="344"/>
      <c r="C170" s="318" t="s">
        <v>184</v>
      </c>
      <c r="D170" s="218" t="s">
        <v>813</v>
      </c>
      <c r="E170" s="282"/>
      <c r="F170" s="283">
        <f>F145+F141-F157-F163</f>
        <v>3.3599999999999994</v>
      </c>
      <c r="G170" s="284"/>
      <c r="H170" s="89">
        <f t="shared" si="20"/>
        <v>0</v>
      </c>
      <c r="I170" s="285"/>
      <c r="J170" s="221">
        <f t="shared" si="22"/>
        <v>0</v>
      </c>
      <c r="K170" s="285"/>
      <c r="L170" s="221">
        <f t="shared" si="21"/>
        <v>0</v>
      </c>
      <c r="M170" s="222">
        <f t="shared" si="23"/>
        <v>0</v>
      </c>
    </row>
    <row r="171" spans="1:16" ht="23.25" customHeight="1">
      <c r="A171" s="106">
        <f>A170+0.1</f>
        <v>6.1</v>
      </c>
      <c r="B171" s="224"/>
      <c r="C171" s="76" t="s">
        <v>69</v>
      </c>
      <c r="D171" s="75" t="s">
        <v>13</v>
      </c>
      <c r="E171" s="316">
        <v>0.65800000000000003</v>
      </c>
      <c r="F171" s="288">
        <f>E171*F170</f>
        <v>2.2108799999999995</v>
      </c>
      <c r="G171" s="289"/>
      <c r="H171" s="89">
        <f t="shared" si="20"/>
        <v>0</v>
      </c>
      <c r="I171" s="216"/>
      <c r="J171" s="221">
        <f t="shared" si="22"/>
        <v>0</v>
      </c>
      <c r="K171" s="216"/>
      <c r="L171" s="221">
        <f t="shared" si="21"/>
        <v>0</v>
      </c>
      <c r="M171" s="222">
        <f t="shared" si="23"/>
        <v>0</v>
      </c>
    </row>
    <row r="172" spans="1:16" ht="23.25" customHeight="1">
      <c r="A172" s="106">
        <f>A171+0.1</f>
        <v>6.1999999999999993</v>
      </c>
      <c r="B172" s="224"/>
      <c r="C172" s="76" t="s">
        <v>117</v>
      </c>
      <c r="D172" s="108" t="s">
        <v>14</v>
      </c>
      <c r="E172" s="316">
        <v>1E-3</v>
      </c>
      <c r="F172" s="316">
        <f>E172*F170</f>
        <v>3.3599999999999997E-3</v>
      </c>
      <c r="G172" s="230"/>
      <c r="H172" s="89">
        <f t="shared" si="20"/>
        <v>0</v>
      </c>
      <c r="I172" s="216"/>
      <c r="J172" s="221">
        <f t="shared" si="22"/>
        <v>0</v>
      </c>
      <c r="K172" s="89"/>
      <c r="L172" s="221">
        <f t="shared" si="21"/>
        <v>0</v>
      </c>
      <c r="M172" s="222">
        <f t="shared" si="23"/>
        <v>0</v>
      </c>
    </row>
    <row r="173" spans="1:16" ht="23.25" customHeight="1">
      <c r="A173" s="106">
        <f>A172+0.1</f>
        <v>6.2999999999999989</v>
      </c>
      <c r="B173" s="229"/>
      <c r="C173" s="255" t="s">
        <v>87</v>
      </c>
      <c r="D173" s="108" t="s">
        <v>21</v>
      </c>
      <c r="E173" s="290">
        <v>0.63</v>
      </c>
      <c r="F173" s="288">
        <f>E173*F170</f>
        <v>2.1167999999999996</v>
      </c>
      <c r="G173" s="289"/>
      <c r="H173" s="89">
        <f t="shared" si="20"/>
        <v>0</v>
      </c>
      <c r="I173" s="216"/>
      <c r="J173" s="221">
        <f t="shared" si="22"/>
        <v>0</v>
      </c>
      <c r="K173" s="216"/>
      <c r="L173" s="221">
        <f t="shared" si="21"/>
        <v>0</v>
      </c>
      <c r="M173" s="222">
        <f t="shared" si="23"/>
        <v>0</v>
      </c>
    </row>
    <row r="174" spans="1:16" ht="23.25" customHeight="1">
      <c r="A174" s="106">
        <f>A173+0.1</f>
        <v>6.3999999999999986</v>
      </c>
      <c r="B174" s="229"/>
      <c r="C174" s="255" t="s">
        <v>185</v>
      </c>
      <c r="D174" s="108" t="s">
        <v>21</v>
      </c>
      <c r="E174" s="290">
        <v>0.79</v>
      </c>
      <c r="F174" s="288">
        <f>E174*F170</f>
        <v>2.6543999999999999</v>
      </c>
      <c r="G174" s="289"/>
      <c r="H174" s="89">
        <f t="shared" si="20"/>
        <v>0</v>
      </c>
      <c r="I174" s="216"/>
      <c r="J174" s="221">
        <f t="shared" si="22"/>
        <v>0</v>
      </c>
      <c r="K174" s="216"/>
      <c r="L174" s="221">
        <f t="shared" si="21"/>
        <v>0</v>
      </c>
      <c r="M174" s="222">
        <f t="shared" si="23"/>
        <v>0</v>
      </c>
    </row>
    <row r="175" spans="1:16" ht="23.25" customHeight="1">
      <c r="A175" s="106">
        <f>A174+0.1</f>
        <v>6.4999999999999982</v>
      </c>
      <c r="B175" s="224"/>
      <c r="C175" s="76" t="s">
        <v>119</v>
      </c>
      <c r="D175" s="75" t="s">
        <v>14</v>
      </c>
      <c r="E175" s="315">
        <v>1.6000000000000001E-3</v>
      </c>
      <c r="F175" s="288">
        <f>E175*F170</f>
        <v>5.3759999999999997E-3</v>
      </c>
      <c r="G175" s="230"/>
      <c r="H175" s="89">
        <f t="shared" si="20"/>
        <v>0</v>
      </c>
      <c r="I175" s="216"/>
      <c r="J175" s="221">
        <f t="shared" si="22"/>
        <v>0</v>
      </c>
      <c r="K175" s="216"/>
      <c r="L175" s="221">
        <f t="shared" si="21"/>
        <v>0</v>
      </c>
      <c r="M175" s="222">
        <f t="shared" si="23"/>
        <v>0</v>
      </c>
    </row>
    <row r="176" spans="1:16" ht="83.25" customHeight="1">
      <c r="A176" s="218" t="s">
        <v>122</v>
      </c>
      <c r="B176" s="344"/>
      <c r="C176" s="318" t="s">
        <v>595</v>
      </c>
      <c r="D176" s="218" t="s">
        <v>204</v>
      </c>
      <c r="E176" s="282"/>
      <c r="F176" s="283">
        <v>1</v>
      </c>
      <c r="G176" s="284"/>
      <c r="H176" s="89">
        <f t="shared" si="20"/>
        <v>0</v>
      </c>
      <c r="I176" s="285"/>
      <c r="J176" s="221">
        <f t="shared" si="22"/>
        <v>0</v>
      </c>
      <c r="K176" s="285"/>
      <c r="L176" s="221">
        <f t="shared" ref="L176" si="28">F176*K176</f>
        <v>0</v>
      </c>
      <c r="M176" s="222">
        <f t="shared" si="23"/>
        <v>0</v>
      </c>
    </row>
    <row r="177" spans="1:13" ht="48" customHeight="1">
      <c r="A177" s="218" t="s">
        <v>123</v>
      </c>
      <c r="B177" s="344"/>
      <c r="C177" s="318" t="s">
        <v>596</v>
      </c>
      <c r="D177" s="218" t="s">
        <v>204</v>
      </c>
      <c r="E177" s="282"/>
      <c r="F177" s="283">
        <v>1</v>
      </c>
      <c r="G177" s="284"/>
      <c r="H177" s="89">
        <f t="shared" si="20"/>
        <v>0</v>
      </c>
      <c r="I177" s="285"/>
      <c r="J177" s="221">
        <f t="shared" si="22"/>
        <v>0</v>
      </c>
      <c r="K177" s="285"/>
      <c r="L177" s="221">
        <f t="shared" ref="L177" si="29">F177*K177</f>
        <v>0</v>
      </c>
      <c r="M177" s="222">
        <f t="shared" si="23"/>
        <v>0</v>
      </c>
    </row>
    <row r="178" spans="1:13" ht="27.75" customHeight="1">
      <c r="A178" s="106"/>
      <c r="B178" s="345"/>
      <c r="C178" s="76" t="s">
        <v>283</v>
      </c>
      <c r="D178" s="75"/>
      <c r="E178" s="315"/>
      <c r="F178" s="288"/>
      <c r="G178" s="230"/>
      <c r="H178" s="89">
        <f t="shared" si="20"/>
        <v>0</v>
      </c>
      <c r="I178" s="216"/>
      <c r="J178" s="221">
        <f t="shared" si="22"/>
        <v>0</v>
      </c>
      <c r="K178" s="216"/>
      <c r="L178" s="221">
        <f t="shared" si="21"/>
        <v>0</v>
      </c>
      <c r="M178" s="222">
        <f t="shared" si="23"/>
        <v>0</v>
      </c>
    </row>
    <row r="179" spans="1:13" ht="55.5" customHeight="1">
      <c r="A179" s="236">
        <v>1</v>
      </c>
      <c r="B179" s="237"/>
      <c r="C179" s="337" t="s">
        <v>488</v>
      </c>
      <c r="D179" s="67" t="s">
        <v>813</v>
      </c>
      <c r="E179" s="91"/>
      <c r="F179" s="91">
        <v>15.65</v>
      </c>
      <c r="G179" s="247"/>
      <c r="H179" s="89">
        <f t="shared" si="20"/>
        <v>0</v>
      </c>
      <c r="I179" s="69"/>
      <c r="J179" s="221">
        <f t="shared" si="22"/>
        <v>0</v>
      </c>
      <c r="K179" s="69"/>
      <c r="L179" s="62">
        <f t="shared" si="21"/>
        <v>0</v>
      </c>
      <c r="M179" s="222">
        <f t="shared" si="23"/>
        <v>0</v>
      </c>
    </row>
    <row r="180" spans="1:13" ht="19.5" customHeight="1">
      <c r="A180" s="338">
        <f>A179+0.1</f>
        <v>1.1000000000000001</v>
      </c>
      <c r="B180" s="241"/>
      <c r="C180" s="336" t="s">
        <v>69</v>
      </c>
      <c r="D180" s="131" t="s">
        <v>13</v>
      </c>
      <c r="E180" s="346">
        <f>155/100+111/100</f>
        <v>2.66</v>
      </c>
      <c r="F180" s="268">
        <f>E180*F179</f>
        <v>41.629000000000005</v>
      </c>
      <c r="G180" s="243"/>
      <c r="H180" s="89">
        <f t="shared" si="20"/>
        <v>0</v>
      </c>
      <c r="I180" s="347"/>
      <c r="J180" s="221">
        <f t="shared" si="22"/>
        <v>0</v>
      </c>
      <c r="K180" s="62"/>
      <c r="L180" s="62">
        <f t="shared" si="21"/>
        <v>0</v>
      </c>
      <c r="M180" s="222">
        <f t="shared" si="23"/>
        <v>0</v>
      </c>
    </row>
    <row r="181" spans="1:13" ht="19.5" customHeight="1">
      <c r="A181" s="338">
        <f>A180+0.1</f>
        <v>1.2000000000000002</v>
      </c>
      <c r="B181" s="241"/>
      <c r="C181" s="276" t="s">
        <v>117</v>
      </c>
      <c r="D181" s="80" t="s">
        <v>14</v>
      </c>
      <c r="E181" s="346">
        <f>2.44/100+1.04/100</f>
        <v>3.4799999999999998E-2</v>
      </c>
      <c r="F181" s="268">
        <f>F179*E181</f>
        <v>0.54461999999999999</v>
      </c>
      <c r="G181" s="250"/>
      <c r="H181" s="89">
        <f t="shared" si="20"/>
        <v>0</v>
      </c>
      <c r="I181" s="62"/>
      <c r="J181" s="221">
        <f t="shared" si="22"/>
        <v>0</v>
      </c>
      <c r="K181" s="302"/>
      <c r="L181" s="62">
        <f t="shared" si="21"/>
        <v>0</v>
      </c>
      <c r="M181" s="222">
        <f t="shared" si="23"/>
        <v>0</v>
      </c>
    </row>
    <row r="182" spans="1:13" ht="19.5" customHeight="1">
      <c r="A182" s="338">
        <f>A181+0.1</f>
        <v>1.3000000000000003</v>
      </c>
      <c r="B182" s="249"/>
      <c r="C182" s="336" t="s">
        <v>489</v>
      </c>
      <c r="D182" s="80" t="s">
        <v>814</v>
      </c>
      <c r="E182" s="267">
        <v>1.03</v>
      </c>
      <c r="F182" s="268">
        <f>E182*F179</f>
        <v>16.119500000000002</v>
      </c>
      <c r="G182" s="340"/>
      <c r="H182" s="89">
        <f t="shared" si="20"/>
        <v>0</v>
      </c>
      <c r="I182" s="348"/>
      <c r="J182" s="221">
        <f t="shared" si="22"/>
        <v>0</v>
      </c>
      <c r="K182" s="348"/>
      <c r="L182" s="62">
        <f t="shared" si="21"/>
        <v>0</v>
      </c>
      <c r="M182" s="222">
        <f t="shared" si="23"/>
        <v>0</v>
      </c>
    </row>
    <row r="183" spans="1:13" ht="19.5" customHeight="1">
      <c r="A183" s="349">
        <f>A182+0.1</f>
        <v>1.4000000000000004</v>
      </c>
      <c r="B183" s="350"/>
      <c r="C183" s="351" t="s">
        <v>119</v>
      </c>
      <c r="D183" s="352" t="s">
        <v>14</v>
      </c>
      <c r="E183" s="353">
        <f>12.8/100+16.3/100</f>
        <v>0.29100000000000004</v>
      </c>
      <c r="F183" s="354">
        <f>E183*F179</f>
        <v>4.5541500000000008</v>
      </c>
      <c r="G183" s="355"/>
      <c r="H183" s="89">
        <f t="shared" si="20"/>
        <v>0</v>
      </c>
      <c r="I183" s="356"/>
      <c r="J183" s="221">
        <f t="shared" si="22"/>
        <v>0</v>
      </c>
      <c r="K183" s="356"/>
      <c r="L183" s="357">
        <f t="shared" si="21"/>
        <v>0</v>
      </c>
      <c r="M183" s="222">
        <f t="shared" si="23"/>
        <v>0</v>
      </c>
    </row>
    <row r="184" spans="1:13" ht="19.5" customHeight="1">
      <c r="A184" s="106"/>
      <c r="B184" s="224"/>
      <c r="C184" s="121" t="s">
        <v>186</v>
      </c>
      <c r="D184" s="75"/>
      <c r="E184" s="103"/>
      <c r="F184" s="288"/>
      <c r="G184" s="289"/>
      <c r="H184" s="89">
        <f t="shared" si="20"/>
        <v>0</v>
      </c>
      <c r="I184" s="216"/>
      <c r="J184" s="221">
        <f t="shared" si="22"/>
        <v>0</v>
      </c>
      <c r="K184" s="216"/>
      <c r="L184" s="221">
        <f t="shared" si="21"/>
        <v>0</v>
      </c>
      <c r="M184" s="222">
        <f t="shared" si="23"/>
        <v>0</v>
      </c>
    </row>
    <row r="185" spans="1:13" s="366" customFormat="1" ht="46.5" customHeight="1">
      <c r="A185" s="358">
        <v>1</v>
      </c>
      <c r="B185" s="359"/>
      <c r="C185" s="360" t="s">
        <v>493</v>
      </c>
      <c r="D185" s="67" t="s">
        <v>61</v>
      </c>
      <c r="E185" s="361"/>
      <c r="F185" s="362">
        <f>0.27+0.35+0.028+0.014+0.144</f>
        <v>0.80600000000000005</v>
      </c>
      <c r="G185" s="363"/>
      <c r="H185" s="89">
        <f t="shared" si="20"/>
        <v>0</v>
      </c>
      <c r="I185" s="364"/>
      <c r="J185" s="221">
        <f t="shared" si="22"/>
        <v>0</v>
      </c>
      <c r="K185" s="365"/>
      <c r="L185" s="62">
        <f t="shared" ref="L185:L201" si="30">F185*K185</f>
        <v>0</v>
      </c>
      <c r="M185" s="222">
        <f t="shared" si="23"/>
        <v>0</v>
      </c>
    </row>
    <row r="186" spans="1:13" s="366" customFormat="1" ht="21" customHeight="1">
      <c r="A186" s="367">
        <f t="shared" ref="A186:A193" si="31">A185+0.1</f>
        <v>1.1000000000000001</v>
      </c>
      <c r="B186" s="211"/>
      <c r="C186" s="336" t="s">
        <v>23</v>
      </c>
      <c r="D186" s="131" t="s">
        <v>13</v>
      </c>
      <c r="E186" s="361">
        <f>23.8</f>
        <v>23.8</v>
      </c>
      <c r="F186" s="361">
        <f>F185*E186</f>
        <v>19.1828</v>
      </c>
      <c r="G186" s="368"/>
      <c r="H186" s="89">
        <f t="shared" si="20"/>
        <v>0</v>
      </c>
      <c r="I186" s="369"/>
      <c r="J186" s="221">
        <f t="shared" si="22"/>
        <v>0</v>
      </c>
      <c r="K186" s="365"/>
      <c r="L186" s="62">
        <f t="shared" si="30"/>
        <v>0</v>
      </c>
      <c r="M186" s="222">
        <f t="shared" si="23"/>
        <v>0</v>
      </c>
    </row>
    <row r="187" spans="1:13" s="366" customFormat="1" ht="21" customHeight="1">
      <c r="A187" s="367">
        <f t="shared" si="31"/>
        <v>1.2000000000000002</v>
      </c>
      <c r="B187" s="211"/>
      <c r="C187" s="336" t="s">
        <v>51</v>
      </c>
      <c r="D187" s="80" t="s">
        <v>14</v>
      </c>
      <c r="E187" s="361">
        <f>2.1</f>
        <v>2.1</v>
      </c>
      <c r="F187" s="361">
        <f>F185*E187</f>
        <v>1.6926000000000001</v>
      </c>
      <c r="G187" s="368"/>
      <c r="H187" s="89">
        <f t="shared" si="20"/>
        <v>0</v>
      </c>
      <c r="I187" s="364"/>
      <c r="J187" s="221">
        <f t="shared" si="22"/>
        <v>0</v>
      </c>
      <c r="K187" s="252"/>
      <c r="L187" s="62">
        <f t="shared" si="30"/>
        <v>0</v>
      </c>
      <c r="M187" s="222">
        <f t="shared" si="23"/>
        <v>0</v>
      </c>
    </row>
    <row r="188" spans="1:13" s="366" customFormat="1" ht="21" customHeight="1">
      <c r="A188" s="367">
        <f t="shared" si="31"/>
        <v>1.3000000000000003</v>
      </c>
      <c r="B188" s="370"/>
      <c r="C188" s="371" t="s">
        <v>494</v>
      </c>
      <c r="D188" s="63" t="s">
        <v>61</v>
      </c>
      <c r="E188" s="361">
        <v>1.05</v>
      </c>
      <c r="F188" s="361">
        <f>F185*E188</f>
        <v>0.84630000000000005</v>
      </c>
      <c r="G188" s="243"/>
      <c r="H188" s="89">
        <f t="shared" si="20"/>
        <v>0</v>
      </c>
      <c r="I188" s="364"/>
      <c r="J188" s="221">
        <f t="shared" si="22"/>
        <v>0</v>
      </c>
      <c r="K188" s="365"/>
      <c r="L188" s="62">
        <f t="shared" si="30"/>
        <v>0</v>
      </c>
      <c r="M188" s="222">
        <f t="shared" si="23"/>
        <v>0</v>
      </c>
    </row>
    <row r="189" spans="1:13" s="366" customFormat="1" ht="21" customHeight="1">
      <c r="A189" s="367">
        <f t="shared" si="31"/>
        <v>1.4000000000000004</v>
      </c>
      <c r="B189" s="359"/>
      <c r="C189" s="371" t="s">
        <v>495</v>
      </c>
      <c r="D189" s="372" t="s">
        <v>21</v>
      </c>
      <c r="E189" s="361">
        <v>1.96</v>
      </c>
      <c r="F189" s="361">
        <f>F185*E189</f>
        <v>1.5797600000000001</v>
      </c>
      <c r="G189" s="363"/>
      <c r="H189" s="89">
        <f t="shared" si="20"/>
        <v>0</v>
      </c>
      <c r="I189" s="364"/>
      <c r="J189" s="221">
        <f t="shared" si="22"/>
        <v>0</v>
      </c>
      <c r="K189" s="365"/>
      <c r="L189" s="62">
        <f t="shared" si="30"/>
        <v>0</v>
      </c>
      <c r="M189" s="222">
        <f t="shared" si="23"/>
        <v>0</v>
      </c>
    </row>
    <row r="190" spans="1:13" s="366" customFormat="1" ht="21" customHeight="1">
      <c r="A190" s="367">
        <f t="shared" si="31"/>
        <v>1.5000000000000004</v>
      </c>
      <c r="B190" s="373"/>
      <c r="C190" s="371" t="s">
        <v>496</v>
      </c>
      <c r="D190" s="372" t="s">
        <v>43</v>
      </c>
      <c r="E190" s="361">
        <v>3.38</v>
      </c>
      <c r="F190" s="361">
        <f>F185*E190</f>
        <v>2.7242800000000003</v>
      </c>
      <c r="G190" s="363"/>
      <c r="H190" s="89">
        <f t="shared" si="20"/>
        <v>0</v>
      </c>
      <c r="I190" s="364"/>
      <c r="J190" s="221">
        <f t="shared" si="22"/>
        <v>0</v>
      </c>
      <c r="K190" s="365"/>
      <c r="L190" s="62">
        <f t="shared" si="30"/>
        <v>0</v>
      </c>
      <c r="M190" s="222">
        <f t="shared" si="23"/>
        <v>0</v>
      </c>
    </row>
    <row r="191" spans="1:13" s="366" customFormat="1" ht="21" customHeight="1">
      <c r="A191" s="367">
        <f t="shared" si="31"/>
        <v>1.6000000000000005</v>
      </c>
      <c r="B191" s="370"/>
      <c r="C191" s="371" t="s">
        <v>497</v>
      </c>
      <c r="D191" s="372" t="s">
        <v>21</v>
      </c>
      <c r="E191" s="361">
        <v>4.38</v>
      </c>
      <c r="F191" s="361">
        <f>F185*E191</f>
        <v>3.5302800000000003</v>
      </c>
      <c r="G191" s="363"/>
      <c r="H191" s="89">
        <f t="shared" si="20"/>
        <v>0</v>
      </c>
      <c r="I191" s="364"/>
      <c r="J191" s="221">
        <f t="shared" si="22"/>
        <v>0</v>
      </c>
      <c r="K191" s="365"/>
      <c r="L191" s="62">
        <f t="shared" si="30"/>
        <v>0</v>
      </c>
      <c r="M191" s="222">
        <f t="shared" si="23"/>
        <v>0</v>
      </c>
    </row>
    <row r="192" spans="1:13" s="366" customFormat="1" ht="21" customHeight="1">
      <c r="A192" s="367">
        <f t="shared" si="31"/>
        <v>1.7000000000000006</v>
      </c>
      <c r="B192" s="373"/>
      <c r="C192" s="371" t="s">
        <v>88</v>
      </c>
      <c r="D192" s="372" t="s">
        <v>21</v>
      </c>
      <c r="E192" s="361">
        <v>7.2</v>
      </c>
      <c r="F192" s="361">
        <f>F185*E192</f>
        <v>5.8032000000000004</v>
      </c>
      <c r="G192" s="374"/>
      <c r="H192" s="89">
        <f t="shared" si="20"/>
        <v>0</v>
      </c>
      <c r="I192" s="364"/>
      <c r="J192" s="221">
        <f t="shared" si="22"/>
        <v>0</v>
      </c>
      <c r="K192" s="365"/>
      <c r="L192" s="62">
        <f t="shared" si="30"/>
        <v>0</v>
      </c>
      <c r="M192" s="222">
        <f t="shared" si="23"/>
        <v>0</v>
      </c>
    </row>
    <row r="193" spans="1:13" s="366" customFormat="1" ht="21" customHeight="1">
      <c r="A193" s="367">
        <f t="shared" si="31"/>
        <v>1.8000000000000007</v>
      </c>
      <c r="B193" s="375"/>
      <c r="C193" s="376" t="s">
        <v>119</v>
      </c>
      <c r="D193" s="377" t="s">
        <v>14</v>
      </c>
      <c r="E193" s="361">
        <v>3.44</v>
      </c>
      <c r="F193" s="361">
        <f>F185*E193</f>
        <v>2.77264</v>
      </c>
      <c r="G193" s="374"/>
      <c r="H193" s="89">
        <f t="shared" si="20"/>
        <v>0</v>
      </c>
      <c r="I193" s="364"/>
      <c r="J193" s="221">
        <f t="shared" si="22"/>
        <v>0</v>
      </c>
      <c r="K193" s="365"/>
      <c r="L193" s="62">
        <f t="shared" si="30"/>
        <v>0</v>
      </c>
      <c r="M193" s="222">
        <f t="shared" si="23"/>
        <v>0</v>
      </c>
    </row>
    <row r="194" spans="1:13" s="366" customFormat="1" ht="41.25" customHeight="1">
      <c r="A194" s="358">
        <f>A185+1</f>
        <v>2</v>
      </c>
      <c r="B194" s="359"/>
      <c r="C194" s="378" t="s">
        <v>498</v>
      </c>
      <c r="D194" s="379" t="s">
        <v>43</v>
      </c>
      <c r="E194" s="380"/>
      <c r="F194" s="381">
        <v>18.3</v>
      </c>
      <c r="G194" s="368"/>
      <c r="H194" s="89">
        <f t="shared" si="20"/>
        <v>0</v>
      </c>
      <c r="I194" s="364"/>
      <c r="J194" s="221">
        <f t="shared" si="22"/>
        <v>0</v>
      </c>
      <c r="K194" s="365"/>
      <c r="L194" s="62">
        <f t="shared" si="30"/>
        <v>0</v>
      </c>
      <c r="M194" s="222">
        <f t="shared" si="23"/>
        <v>0</v>
      </c>
    </row>
    <row r="195" spans="1:13" s="366" customFormat="1" ht="22.5" customHeight="1">
      <c r="A195" s="367">
        <f>A194+0.1</f>
        <v>2.1</v>
      </c>
      <c r="B195" s="211"/>
      <c r="C195" s="336" t="s">
        <v>23</v>
      </c>
      <c r="D195" s="131" t="s">
        <v>13</v>
      </c>
      <c r="E195" s="382">
        <f>4.24/100</f>
        <v>4.24E-2</v>
      </c>
      <c r="F195" s="382">
        <f>F194*E195</f>
        <v>0.77592000000000005</v>
      </c>
      <c r="G195" s="368"/>
      <c r="H195" s="89">
        <f t="shared" si="20"/>
        <v>0</v>
      </c>
      <c r="I195" s="369"/>
      <c r="J195" s="221">
        <f t="shared" si="22"/>
        <v>0</v>
      </c>
      <c r="K195" s="365"/>
      <c r="L195" s="62">
        <f t="shared" si="30"/>
        <v>0</v>
      </c>
      <c r="M195" s="222">
        <f t="shared" si="23"/>
        <v>0</v>
      </c>
    </row>
    <row r="196" spans="1:13" s="366" customFormat="1" ht="22.5" customHeight="1">
      <c r="A196" s="367">
        <f>A195+0.1</f>
        <v>2.2000000000000002</v>
      </c>
      <c r="B196" s="211"/>
      <c r="C196" s="336" t="s">
        <v>51</v>
      </c>
      <c r="D196" s="80" t="s">
        <v>14</v>
      </c>
      <c r="E196" s="361">
        <f>0.21/100</f>
        <v>2.0999999999999999E-3</v>
      </c>
      <c r="F196" s="361">
        <f>F194*E196</f>
        <v>3.8429999999999999E-2</v>
      </c>
      <c r="G196" s="368"/>
      <c r="H196" s="89">
        <f t="shared" si="20"/>
        <v>0</v>
      </c>
      <c r="I196" s="364"/>
      <c r="J196" s="221">
        <f t="shared" si="22"/>
        <v>0</v>
      </c>
      <c r="K196" s="252"/>
      <c r="L196" s="62">
        <f t="shared" si="30"/>
        <v>0</v>
      </c>
      <c r="M196" s="222">
        <f t="shared" si="23"/>
        <v>0</v>
      </c>
    </row>
    <row r="197" spans="1:13" s="385" customFormat="1" ht="22.5" customHeight="1">
      <c r="A197" s="367">
        <f>A196+0.1</f>
        <v>2.3000000000000003</v>
      </c>
      <c r="B197" s="373"/>
      <c r="C197" s="371" t="s">
        <v>499</v>
      </c>
      <c r="D197" s="383" t="s">
        <v>21</v>
      </c>
      <c r="E197" s="361">
        <v>1.5</v>
      </c>
      <c r="F197" s="361">
        <f>F194*E197</f>
        <v>27.450000000000003</v>
      </c>
      <c r="G197" s="363"/>
      <c r="H197" s="89">
        <f t="shared" si="20"/>
        <v>0</v>
      </c>
      <c r="I197" s="364"/>
      <c r="J197" s="221">
        <f t="shared" si="22"/>
        <v>0</v>
      </c>
      <c r="K197" s="384"/>
      <c r="L197" s="62">
        <f t="shared" si="30"/>
        <v>0</v>
      </c>
      <c r="M197" s="222">
        <f t="shared" si="23"/>
        <v>0</v>
      </c>
    </row>
    <row r="198" spans="1:13" s="386" customFormat="1" ht="42.75" customHeight="1">
      <c r="A198" s="379">
        <f>A194+1</f>
        <v>3</v>
      </c>
      <c r="B198" s="359"/>
      <c r="C198" s="378" t="s">
        <v>500</v>
      </c>
      <c r="D198" s="379" t="s">
        <v>43</v>
      </c>
      <c r="E198" s="380"/>
      <c r="F198" s="381">
        <v>18.3</v>
      </c>
      <c r="G198" s="368"/>
      <c r="H198" s="89">
        <f t="shared" ref="H198:H261" si="32">F198*G198</f>
        <v>0</v>
      </c>
      <c r="I198" s="364"/>
      <c r="J198" s="221">
        <f t="shared" si="22"/>
        <v>0</v>
      </c>
      <c r="K198" s="365"/>
      <c r="L198" s="62">
        <f t="shared" si="30"/>
        <v>0</v>
      </c>
      <c r="M198" s="222">
        <f t="shared" si="23"/>
        <v>0</v>
      </c>
    </row>
    <row r="199" spans="1:13" s="386" customFormat="1" ht="17.25" customHeight="1">
      <c r="A199" s="367">
        <f>A198+0.1</f>
        <v>3.1</v>
      </c>
      <c r="B199" s="211"/>
      <c r="C199" s="336" t="s">
        <v>23</v>
      </c>
      <c r="D199" s="131" t="s">
        <v>13</v>
      </c>
      <c r="E199" s="382">
        <f>3.03/100</f>
        <v>3.0299999999999997E-2</v>
      </c>
      <c r="F199" s="382">
        <f>F198*E199</f>
        <v>0.55448999999999993</v>
      </c>
      <c r="G199" s="368"/>
      <c r="H199" s="89">
        <f t="shared" si="32"/>
        <v>0</v>
      </c>
      <c r="I199" s="369"/>
      <c r="J199" s="221">
        <f t="shared" si="22"/>
        <v>0</v>
      </c>
      <c r="K199" s="365"/>
      <c r="L199" s="62">
        <f t="shared" si="30"/>
        <v>0</v>
      </c>
      <c r="M199" s="222">
        <f t="shared" si="23"/>
        <v>0</v>
      </c>
    </row>
    <row r="200" spans="1:13" s="386" customFormat="1" ht="17.25" customHeight="1">
      <c r="A200" s="367">
        <f>A199+0.1</f>
        <v>3.2</v>
      </c>
      <c r="B200" s="211"/>
      <c r="C200" s="336" t="s">
        <v>51</v>
      </c>
      <c r="D200" s="80" t="s">
        <v>14</v>
      </c>
      <c r="E200" s="382">
        <f>0.41/100</f>
        <v>4.0999999999999995E-3</v>
      </c>
      <c r="F200" s="382">
        <f>F198*E200</f>
        <v>7.5029999999999999E-2</v>
      </c>
      <c r="G200" s="368"/>
      <c r="H200" s="89">
        <f t="shared" si="32"/>
        <v>0</v>
      </c>
      <c r="I200" s="364"/>
      <c r="J200" s="221">
        <f t="shared" si="22"/>
        <v>0</v>
      </c>
      <c r="K200" s="252"/>
      <c r="L200" s="62">
        <f t="shared" si="30"/>
        <v>0</v>
      </c>
      <c r="M200" s="222">
        <f t="shared" si="23"/>
        <v>0</v>
      </c>
    </row>
    <row r="201" spans="1:13" s="386" customFormat="1" ht="17.25" customHeight="1">
      <c r="A201" s="367">
        <f>A200+0.1</f>
        <v>3.3000000000000003</v>
      </c>
      <c r="B201" s="373"/>
      <c r="C201" s="371" t="s">
        <v>501</v>
      </c>
      <c r="D201" s="383" t="s">
        <v>21</v>
      </c>
      <c r="E201" s="387">
        <f>32.4/100</f>
        <v>0.32400000000000001</v>
      </c>
      <c r="F201" s="382">
        <f>E201*F198</f>
        <v>5.9292000000000007</v>
      </c>
      <c r="G201" s="363"/>
      <c r="H201" s="89">
        <f t="shared" si="32"/>
        <v>0</v>
      </c>
      <c r="I201" s="364"/>
      <c r="J201" s="221">
        <f t="shared" si="22"/>
        <v>0</v>
      </c>
      <c r="K201" s="365"/>
      <c r="L201" s="62">
        <f t="shared" si="30"/>
        <v>0</v>
      </c>
      <c r="M201" s="222">
        <f t="shared" si="23"/>
        <v>0</v>
      </c>
    </row>
    <row r="202" spans="1:13" s="385" customFormat="1" ht="57.75" customHeight="1">
      <c r="A202" s="379">
        <v>4</v>
      </c>
      <c r="B202" s="359"/>
      <c r="C202" s="378" t="s">
        <v>502</v>
      </c>
      <c r="D202" s="388" t="s">
        <v>43</v>
      </c>
      <c r="E202" s="389"/>
      <c r="F202" s="381">
        <v>18.3</v>
      </c>
      <c r="G202" s="390"/>
      <c r="H202" s="89">
        <f t="shared" si="32"/>
        <v>0</v>
      </c>
      <c r="I202" s="391"/>
      <c r="J202" s="221">
        <f t="shared" si="22"/>
        <v>0</v>
      </c>
      <c r="K202" s="392"/>
      <c r="L202" s="62">
        <f t="shared" si="21"/>
        <v>0</v>
      </c>
      <c r="M202" s="222">
        <f t="shared" si="23"/>
        <v>0</v>
      </c>
    </row>
    <row r="203" spans="1:13" s="386" customFormat="1" ht="20.25" customHeight="1">
      <c r="A203" s="367">
        <f t="shared" ref="A203:A210" si="33">A202+0.1</f>
        <v>4.0999999999999996</v>
      </c>
      <c r="B203" s="211"/>
      <c r="C203" s="336" t="s">
        <v>23</v>
      </c>
      <c r="D203" s="131" t="s">
        <v>13</v>
      </c>
      <c r="E203" s="393">
        <f>43.9/100</f>
        <v>0.439</v>
      </c>
      <c r="F203" s="382">
        <f>F202*E203</f>
        <v>8.0336999999999996</v>
      </c>
      <c r="G203" s="390"/>
      <c r="H203" s="89">
        <f t="shared" si="32"/>
        <v>0</v>
      </c>
      <c r="I203" s="369"/>
      <c r="J203" s="221">
        <f t="shared" si="22"/>
        <v>0</v>
      </c>
      <c r="K203" s="125"/>
      <c r="L203" s="62">
        <f t="shared" si="21"/>
        <v>0</v>
      </c>
      <c r="M203" s="222">
        <f t="shared" si="23"/>
        <v>0</v>
      </c>
    </row>
    <row r="204" spans="1:13" s="386" customFormat="1" ht="20.25" customHeight="1">
      <c r="A204" s="367">
        <f t="shared" si="33"/>
        <v>4.1999999999999993</v>
      </c>
      <c r="B204" s="211"/>
      <c r="C204" s="336" t="s">
        <v>51</v>
      </c>
      <c r="D204" s="80" t="s">
        <v>14</v>
      </c>
      <c r="E204" s="394">
        <f>3.5/100</f>
        <v>3.5000000000000003E-2</v>
      </c>
      <c r="F204" s="389">
        <f>F202*E204</f>
        <v>0.64050000000000007</v>
      </c>
      <c r="G204" s="390"/>
      <c r="H204" s="89">
        <f t="shared" si="32"/>
        <v>0</v>
      </c>
      <c r="I204" s="391"/>
      <c r="J204" s="221">
        <f t="shared" si="22"/>
        <v>0</v>
      </c>
      <c r="K204" s="395"/>
      <c r="L204" s="62">
        <f t="shared" si="21"/>
        <v>0</v>
      </c>
      <c r="M204" s="222">
        <f t="shared" si="23"/>
        <v>0</v>
      </c>
    </row>
    <row r="205" spans="1:13" s="386" customFormat="1" ht="20.25" customHeight="1">
      <c r="A205" s="367">
        <f t="shared" si="33"/>
        <v>4.2999999999999989</v>
      </c>
      <c r="B205" s="373"/>
      <c r="C205" s="371" t="s">
        <v>491</v>
      </c>
      <c r="D205" s="372" t="s">
        <v>43</v>
      </c>
      <c r="E205" s="389">
        <f>128/100</f>
        <v>1.28</v>
      </c>
      <c r="F205" s="396">
        <f>F202*E205</f>
        <v>23.424000000000003</v>
      </c>
      <c r="G205" s="397"/>
      <c r="H205" s="89">
        <f t="shared" si="32"/>
        <v>0</v>
      </c>
      <c r="I205" s="391"/>
      <c r="J205" s="221">
        <f t="shared" si="22"/>
        <v>0</v>
      </c>
      <c r="K205" s="166"/>
      <c r="L205" s="62">
        <f t="shared" si="21"/>
        <v>0</v>
      </c>
      <c r="M205" s="222">
        <f t="shared" si="23"/>
        <v>0</v>
      </c>
    </row>
    <row r="206" spans="1:13" s="386" customFormat="1" ht="20.25" customHeight="1">
      <c r="A206" s="367">
        <f t="shared" si="33"/>
        <v>4.3999999999999986</v>
      </c>
      <c r="B206" s="370"/>
      <c r="C206" s="371" t="s">
        <v>89</v>
      </c>
      <c r="D206" s="63" t="s">
        <v>61</v>
      </c>
      <c r="E206" s="394">
        <f>1.19/100</f>
        <v>1.1899999999999999E-2</v>
      </c>
      <c r="F206" s="389">
        <f>F202*E206</f>
        <v>0.21776999999999999</v>
      </c>
      <c r="G206" s="398"/>
      <c r="H206" s="89">
        <f t="shared" si="32"/>
        <v>0</v>
      </c>
      <c r="I206" s="391"/>
      <c r="J206" s="221">
        <f t="shared" si="22"/>
        <v>0</v>
      </c>
      <c r="K206" s="166"/>
      <c r="L206" s="62">
        <f t="shared" si="21"/>
        <v>0</v>
      </c>
      <c r="M206" s="222">
        <f t="shared" si="23"/>
        <v>0</v>
      </c>
    </row>
    <row r="207" spans="1:13" s="366" customFormat="1" ht="20.25" customHeight="1">
      <c r="A207" s="367">
        <f t="shared" si="33"/>
        <v>4.4999999999999982</v>
      </c>
      <c r="B207" s="375"/>
      <c r="C207" s="371" t="s">
        <v>252</v>
      </c>
      <c r="D207" s="372" t="s">
        <v>16</v>
      </c>
      <c r="E207" s="394">
        <f>0.03/100</f>
        <v>2.9999999999999997E-4</v>
      </c>
      <c r="F207" s="399">
        <f>F202*E207</f>
        <v>5.4900000000000001E-3</v>
      </c>
      <c r="G207" s="400"/>
      <c r="H207" s="89">
        <f t="shared" si="32"/>
        <v>0</v>
      </c>
      <c r="I207" s="391"/>
      <c r="J207" s="221">
        <f t="shared" ref="J207:J270" si="34">F207*I207</f>
        <v>0</v>
      </c>
      <c r="K207" s="125"/>
      <c r="L207" s="62">
        <f t="shared" si="21"/>
        <v>0</v>
      </c>
      <c r="M207" s="222">
        <f t="shared" ref="M207:M270" si="35">H207+J207+L207</f>
        <v>0</v>
      </c>
    </row>
    <row r="208" spans="1:13" s="366" customFormat="1" ht="20.25" customHeight="1">
      <c r="A208" s="367">
        <f t="shared" si="33"/>
        <v>4.5999999999999979</v>
      </c>
      <c r="B208" s="224"/>
      <c r="C208" s="371" t="s">
        <v>90</v>
      </c>
      <c r="D208" s="372" t="s">
        <v>21</v>
      </c>
      <c r="E208" s="389">
        <v>0.15</v>
      </c>
      <c r="F208" s="389">
        <f>F202*E208</f>
        <v>2.7450000000000001</v>
      </c>
      <c r="G208" s="401"/>
      <c r="H208" s="89">
        <f t="shared" si="32"/>
        <v>0</v>
      </c>
      <c r="I208" s="391"/>
      <c r="J208" s="221">
        <f t="shared" si="34"/>
        <v>0</v>
      </c>
      <c r="K208" s="125"/>
      <c r="L208" s="62">
        <f t="shared" si="21"/>
        <v>0</v>
      </c>
      <c r="M208" s="222">
        <f t="shared" si="35"/>
        <v>0</v>
      </c>
    </row>
    <row r="209" spans="1:13" s="366" customFormat="1" ht="20.25" customHeight="1">
      <c r="A209" s="367">
        <f t="shared" si="33"/>
        <v>4.6999999999999975</v>
      </c>
      <c r="B209" s="373"/>
      <c r="C209" s="371" t="s">
        <v>492</v>
      </c>
      <c r="D209" s="372" t="s">
        <v>11</v>
      </c>
      <c r="E209" s="389">
        <v>6</v>
      </c>
      <c r="F209" s="402">
        <f>F202*E209</f>
        <v>109.80000000000001</v>
      </c>
      <c r="G209" s="397"/>
      <c r="H209" s="89">
        <f t="shared" si="32"/>
        <v>0</v>
      </c>
      <c r="I209" s="391"/>
      <c r="J209" s="221">
        <f t="shared" si="34"/>
        <v>0</v>
      </c>
      <c r="K209" s="125"/>
      <c r="L209" s="62">
        <f t="shared" si="21"/>
        <v>0</v>
      </c>
      <c r="M209" s="222">
        <f t="shared" si="35"/>
        <v>0</v>
      </c>
    </row>
    <row r="210" spans="1:13" s="366" customFormat="1" ht="20.25" customHeight="1">
      <c r="A210" s="367">
        <f t="shared" si="33"/>
        <v>4.7999999999999972</v>
      </c>
      <c r="B210" s="375"/>
      <c r="C210" s="376" t="s">
        <v>119</v>
      </c>
      <c r="D210" s="377" t="s">
        <v>14</v>
      </c>
      <c r="E210" s="394">
        <f>8.16/100</f>
        <v>8.1600000000000006E-2</v>
      </c>
      <c r="F210" s="389">
        <f>F202*E210</f>
        <v>1.4932800000000002</v>
      </c>
      <c r="G210" s="403"/>
      <c r="H210" s="89">
        <f t="shared" si="32"/>
        <v>0</v>
      </c>
      <c r="I210" s="391"/>
      <c r="J210" s="221">
        <f t="shared" si="34"/>
        <v>0</v>
      </c>
      <c r="K210" s="125"/>
      <c r="L210" s="62">
        <f t="shared" si="21"/>
        <v>0</v>
      </c>
      <c r="M210" s="222">
        <f t="shared" si="35"/>
        <v>0</v>
      </c>
    </row>
    <row r="211" spans="1:13" s="366" customFormat="1" ht="50.1" customHeight="1">
      <c r="A211" s="358">
        <v>5</v>
      </c>
      <c r="B211" s="359"/>
      <c r="C211" s="404" t="s">
        <v>490</v>
      </c>
      <c r="D211" s="388" t="s">
        <v>43</v>
      </c>
      <c r="E211" s="389"/>
      <c r="F211" s="381">
        <v>3.6</v>
      </c>
      <c r="G211" s="390"/>
      <c r="H211" s="89">
        <f t="shared" si="32"/>
        <v>0</v>
      </c>
      <c r="I211" s="391"/>
      <c r="J211" s="221">
        <f t="shared" si="34"/>
        <v>0</v>
      </c>
      <c r="K211" s="125"/>
      <c r="L211" s="221">
        <f t="shared" si="21"/>
        <v>0</v>
      </c>
      <c r="M211" s="222">
        <f t="shared" si="35"/>
        <v>0</v>
      </c>
    </row>
    <row r="212" spans="1:13" s="366" customFormat="1" ht="19.5" customHeight="1">
      <c r="A212" s="367">
        <f t="shared" ref="A212:A218" si="36">A211+0.1</f>
        <v>5.0999999999999996</v>
      </c>
      <c r="B212" s="211"/>
      <c r="C212" s="191" t="s">
        <v>23</v>
      </c>
      <c r="D212" s="131" t="s">
        <v>13</v>
      </c>
      <c r="E212" s="361">
        <v>0.83</v>
      </c>
      <c r="F212" s="382">
        <f>F211*E212</f>
        <v>2.988</v>
      </c>
      <c r="G212" s="390"/>
      <c r="H212" s="89">
        <f t="shared" si="32"/>
        <v>0</v>
      </c>
      <c r="I212" s="369"/>
      <c r="J212" s="221">
        <f t="shared" si="34"/>
        <v>0</v>
      </c>
      <c r="K212" s="125"/>
      <c r="L212" s="221">
        <f t="shared" si="21"/>
        <v>0</v>
      </c>
      <c r="M212" s="222">
        <f t="shared" si="35"/>
        <v>0</v>
      </c>
    </row>
    <row r="213" spans="1:13" s="366" customFormat="1" ht="19.5" customHeight="1">
      <c r="A213" s="367">
        <f t="shared" si="36"/>
        <v>5.1999999999999993</v>
      </c>
      <c r="B213" s="211"/>
      <c r="C213" s="191" t="s">
        <v>51</v>
      </c>
      <c r="D213" s="80" t="s">
        <v>14</v>
      </c>
      <c r="E213" s="389">
        <v>4.1000000000000003E-3</v>
      </c>
      <c r="F213" s="389">
        <f>F211*E213</f>
        <v>1.4760000000000002E-2</v>
      </c>
      <c r="G213" s="390"/>
      <c r="H213" s="89">
        <f t="shared" si="32"/>
        <v>0</v>
      </c>
      <c r="I213" s="391"/>
      <c r="J213" s="221">
        <f t="shared" si="34"/>
        <v>0</v>
      </c>
      <c r="K213" s="395"/>
      <c r="L213" s="221">
        <f t="shared" si="21"/>
        <v>0</v>
      </c>
      <c r="M213" s="222">
        <f t="shared" si="35"/>
        <v>0</v>
      </c>
    </row>
    <row r="214" spans="1:13" s="366" customFormat="1" ht="19.5" customHeight="1">
      <c r="A214" s="367">
        <f t="shared" si="36"/>
        <v>5.2999999999999989</v>
      </c>
      <c r="B214" s="373"/>
      <c r="C214" s="405" t="s">
        <v>329</v>
      </c>
      <c r="D214" s="372" t="s">
        <v>43</v>
      </c>
      <c r="E214" s="389">
        <v>1.28</v>
      </c>
      <c r="F214" s="396">
        <f>F211*E214</f>
        <v>4.6080000000000005</v>
      </c>
      <c r="G214" s="397"/>
      <c r="H214" s="89">
        <f t="shared" si="32"/>
        <v>0</v>
      </c>
      <c r="I214" s="391"/>
      <c r="J214" s="221">
        <f t="shared" si="34"/>
        <v>0</v>
      </c>
      <c r="K214" s="125"/>
      <c r="L214" s="221">
        <f t="shared" si="21"/>
        <v>0</v>
      </c>
      <c r="M214" s="222">
        <f t="shared" si="35"/>
        <v>0</v>
      </c>
    </row>
    <row r="215" spans="1:13" s="366" customFormat="1" ht="19.5" customHeight="1">
      <c r="A215" s="367">
        <f t="shared" si="36"/>
        <v>5.3999999999999986</v>
      </c>
      <c r="B215" s="370"/>
      <c r="C215" s="405" t="s">
        <v>89</v>
      </c>
      <c r="D215" s="63" t="s">
        <v>61</v>
      </c>
      <c r="E215" s="389">
        <v>0.03</v>
      </c>
      <c r="F215" s="389">
        <f>F211*E215</f>
        <v>0.108</v>
      </c>
      <c r="G215" s="398"/>
      <c r="H215" s="89">
        <f t="shared" si="32"/>
        <v>0</v>
      </c>
      <c r="I215" s="391"/>
      <c r="J215" s="221">
        <f t="shared" si="34"/>
        <v>0</v>
      </c>
      <c r="K215" s="125"/>
      <c r="L215" s="221">
        <f t="shared" si="21"/>
        <v>0</v>
      </c>
      <c r="M215" s="222">
        <f t="shared" si="35"/>
        <v>0</v>
      </c>
    </row>
    <row r="216" spans="1:13" s="366" customFormat="1" ht="19.5" customHeight="1">
      <c r="A216" s="367">
        <f t="shared" si="36"/>
        <v>5.4999999999999982</v>
      </c>
      <c r="B216" s="373"/>
      <c r="C216" s="405" t="s">
        <v>92</v>
      </c>
      <c r="D216" s="372" t="s">
        <v>11</v>
      </c>
      <c r="E216" s="389">
        <v>6</v>
      </c>
      <c r="F216" s="402">
        <f>F211*E216</f>
        <v>21.6</v>
      </c>
      <c r="G216" s="397"/>
      <c r="H216" s="89">
        <f t="shared" si="32"/>
        <v>0</v>
      </c>
      <c r="I216" s="391"/>
      <c r="J216" s="221">
        <f t="shared" si="34"/>
        <v>0</v>
      </c>
      <c r="K216" s="125"/>
      <c r="L216" s="221">
        <f t="shared" si="21"/>
        <v>0</v>
      </c>
      <c r="M216" s="222">
        <f t="shared" si="35"/>
        <v>0</v>
      </c>
    </row>
    <row r="217" spans="1:13" s="366" customFormat="1" ht="19.5" customHeight="1">
      <c r="A217" s="367">
        <f t="shared" si="36"/>
        <v>5.5999999999999979</v>
      </c>
      <c r="B217" s="373"/>
      <c r="C217" s="405" t="s">
        <v>88</v>
      </c>
      <c r="D217" s="372" t="s">
        <v>21</v>
      </c>
      <c r="E217" s="389">
        <v>7.0000000000000007E-2</v>
      </c>
      <c r="F217" s="389">
        <f>F211*E217</f>
        <v>0.25200000000000006</v>
      </c>
      <c r="G217" s="406"/>
      <c r="H217" s="89">
        <f t="shared" si="32"/>
        <v>0</v>
      </c>
      <c r="I217" s="391"/>
      <c r="J217" s="221">
        <f t="shared" si="34"/>
        <v>0</v>
      </c>
      <c r="K217" s="125"/>
      <c r="L217" s="221">
        <f t="shared" si="21"/>
        <v>0</v>
      </c>
      <c r="M217" s="222">
        <f t="shared" si="35"/>
        <v>0</v>
      </c>
    </row>
    <row r="218" spans="1:13" s="366" customFormat="1" ht="19.5" customHeight="1">
      <c r="A218" s="367">
        <f t="shared" si="36"/>
        <v>5.6999999999999975</v>
      </c>
      <c r="B218" s="375"/>
      <c r="C218" s="407" t="s">
        <v>119</v>
      </c>
      <c r="D218" s="377" t="s">
        <v>14</v>
      </c>
      <c r="E218" s="399">
        <v>7.8E-2</v>
      </c>
      <c r="F218" s="389">
        <f>F211*E218</f>
        <v>0.28079999999999999</v>
      </c>
      <c r="G218" s="403"/>
      <c r="H218" s="89">
        <f t="shared" si="32"/>
        <v>0</v>
      </c>
      <c r="I218" s="391"/>
      <c r="J218" s="221">
        <f t="shared" si="34"/>
        <v>0</v>
      </c>
      <c r="K218" s="125"/>
      <c r="L218" s="221">
        <f t="shared" si="21"/>
        <v>0</v>
      </c>
      <c r="M218" s="222">
        <f t="shared" si="35"/>
        <v>0</v>
      </c>
    </row>
    <row r="219" spans="1:13" s="73" customFormat="1" ht="45" customHeight="1">
      <c r="A219" s="236">
        <v>6</v>
      </c>
      <c r="B219" s="237"/>
      <c r="C219" s="128" t="s">
        <v>113</v>
      </c>
      <c r="D219" s="67" t="s">
        <v>93</v>
      </c>
      <c r="E219" s="91"/>
      <c r="F219" s="69">
        <f>4.8/100</f>
        <v>4.8000000000000001E-2</v>
      </c>
      <c r="G219" s="238"/>
      <c r="H219" s="89">
        <f t="shared" si="32"/>
        <v>0</v>
      </c>
      <c r="I219" s="91"/>
      <c r="J219" s="221">
        <f t="shared" si="34"/>
        <v>0</v>
      </c>
      <c r="K219" s="91"/>
      <c r="L219" s="221">
        <f t="shared" si="21"/>
        <v>0</v>
      </c>
      <c r="M219" s="222">
        <f t="shared" si="35"/>
        <v>0</v>
      </c>
    </row>
    <row r="220" spans="1:13" s="56" customFormat="1" ht="19.5" customHeight="1">
      <c r="A220" s="408">
        <f>A219+0.1</f>
        <v>6.1</v>
      </c>
      <c r="B220" s="241"/>
      <c r="C220" s="191" t="s">
        <v>69</v>
      </c>
      <c r="D220" s="372" t="s">
        <v>13</v>
      </c>
      <c r="E220" s="409">
        <f>28.6</f>
        <v>28.6</v>
      </c>
      <c r="F220" s="409">
        <f>E220*F219</f>
        <v>1.3728</v>
      </c>
      <c r="G220" s="243"/>
      <c r="H220" s="89">
        <f t="shared" si="32"/>
        <v>0</v>
      </c>
      <c r="I220" s="342"/>
      <c r="J220" s="221">
        <f t="shared" si="34"/>
        <v>0</v>
      </c>
      <c r="K220" s="62"/>
      <c r="L220" s="221">
        <f t="shared" si="21"/>
        <v>0</v>
      </c>
      <c r="M220" s="222">
        <f t="shared" si="35"/>
        <v>0</v>
      </c>
    </row>
    <row r="221" spans="1:13" s="56" customFormat="1" ht="19.5" customHeight="1">
      <c r="A221" s="408">
        <f>A220+0.1</f>
        <v>6.1999999999999993</v>
      </c>
      <c r="B221" s="241"/>
      <c r="C221" s="76" t="s">
        <v>117</v>
      </c>
      <c r="D221" s="383" t="s">
        <v>14</v>
      </c>
      <c r="E221" s="410">
        <v>0.41</v>
      </c>
      <c r="F221" s="409">
        <f>F219*E221</f>
        <v>1.968E-2</v>
      </c>
      <c r="G221" s="343"/>
      <c r="H221" s="89">
        <f t="shared" si="32"/>
        <v>0</v>
      </c>
      <c r="I221" s="342"/>
      <c r="J221" s="221">
        <f t="shared" si="34"/>
        <v>0</v>
      </c>
      <c r="K221" s="302"/>
      <c r="L221" s="221">
        <f t="shared" si="21"/>
        <v>0</v>
      </c>
      <c r="M221" s="222">
        <f t="shared" si="35"/>
        <v>0</v>
      </c>
    </row>
    <row r="222" spans="1:13" s="56" customFormat="1" ht="19.5" customHeight="1">
      <c r="A222" s="408">
        <f>A221+0.1</f>
        <v>6.2999999999999989</v>
      </c>
      <c r="B222" s="249"/>
      <c r="C222" s="405" t="s">
        <v>94</v>
      </c>
      <c r="D222" s="411" t="s">
        <v>49</v>
      </c>
      <c r="E222" s="409"/>
      <c r="F222" s="409">
        <f>F219*100*3</f>
        <v>14.399999999999999</v>
      </c>
      <c r="G222" s="412"/>
      <c r="H222" s="89">
        <f t="shared" si="32"/>
        <v>0</v>
      </c>
      <c r="I222" s="61"/>
      <c r="J222" s="221">
        <f t="shared" si="34"/>
        <v>0</v>
      </c>
      <c r="K222" s="61"/>
      <c r="L222" s="221">
        <f t="shared" si="21"/>
        <v>0</v>
      </c>
      <c r="M222" s="222">
        <f t="shared" si="35"/>
        <v>0</v>
      </c>
    </row>
    <row r="223" spans="1:13" s="56" customFormat="1" ht="19.5" customHeight="1">
      <c r="A223" s="408">
        <f>A222+0.1</f>
        <v>6.3999999999999986</v>
      </c>
      <c r="B223" s="249"/>
      <c r="C223" s="413" t="s">
        <v>95</v>
      </c>
      <c r="D223" s="411" t="s">
        <v>55</v>
      </c>
      <c r="E223" s="409">
        <v>100</v>
      </c>
      <c r="F223" s="409">
        <f>E223*F219</f>
        <v>4.8</v>
      </c>
      <c r="G223" s="414"/>
      <c r="H223" s="89">
        <f t="shared" si="32"/>
        <v>0</v>
      </c>
      <c r="I223" s="61"/>
      <c r="J223" s="221">
        <f t="shared" si="34"/>
        <v>0</v>
      </c>
      <c r="K223" s="61"/>
      <c r="L223" s="221">
        <f t="shared" si="21"/>
        <v>0</v>
      </c>
      <c r="M223" s="222">
        <f t="shared" si="35"/>
        <v>0</v>
      </c>
    </row>
    <row r="224" spans="1:13" s="73" customFormat="1" ht="51.75" customHeight="1">
      <c r="A224" s="236">
        <v>7</v>
      </c>
      <c r="B224" s="237"/>
      <c r="C224" s="128" t="s">
        <v>112</v>
      </c>
      <c r="D224" s="67" t="s">
        <v>93</v>
      </c>
      <c r="E224" s="91"/>
      <c r="F224" s="69">
        <v>0.06</v>
      </c>
      <c r="G224" s="238"/>
      <c r="H224" s="89">
        <f t="shared" si="32"/>
        <v>0</v>
      </c>
      <c r="I224" s="91"/>
      <c r="J224" s="221">
        <f t="shared" si="34"/>
        <v>0</v>
      </c>
      <c r="K224" s="91"/>
      <c r="L224" s="221">
        <f t="shared" si="21"/>
        <v>0</v>
      </c>
      <c r="M224" s="222">
        <f t="shared" si="35"/>
        <v>0</v>
      </c>
    </row>
    <row r="225" spans="1:13" s="56" customFormat="1" ht="21.75" customHeight="1">
      <c r="A225" s="415">
        <f t="shared" ref="A225:A230" si="37">A224+0.1</f>
        <v>7.1</v>
      </c>
      <c r="B225" s="241"/>
      <c r="C225" s="191" t="s">
        <v>69</v>
      </c>
      <c r="D225" s="372" t="s">
        <v>13</v>
      </c>
      <c r="E225" s="382">
        <f>28.6</f>
        <v>28.6</v>
      </c>
      <c r="F225" s="382">
        <f>F224*E225</f>
        <v>1.716</v>
      </c>
      <c r="G225" s="243"/>
      <c r="H225" s="89">
        <f t="shared" si="32"/>
        <v>0</v>
      </c>
      <c r="I225" s="342"/>
      <c r="J225" s="221">
        <f t="shared" si="34"/>
        <v>0</v>
      </c>
      <c r="K225" s="62"/>
      <c r="L225" s="221">
        <f t="shared" ref="L225:L291" si="38">F225*K225</f>
        <v>0</v>
      </c>
      <c r="M225" s="222">
        <f t="shared" si="35"/>
        <v>0</v>
      </c>
    </row>
    <row r="226" spans="1:13" s="56" customFormat="1" ht="21.75" customHeight="1">
      <c r="A226" s="415">
        <f t="shared" si="37"/>
        <v>7.1999999999999993</v>
      </c>
      <c r="B226" s="241"/>
      <c r="C226" s="76" t="s">
        <v>117</v>
      </c>
      <c r="D226" s="383" t="s">
        <v>14</v>
      </c>
      <c r="E226" s="416">
        <v>0.41</v>
      </c>
      <c r="F226" s="416">
        <f>F224*E226</f>
        <v>2.4599999999999997E-2</v>
      </c>
      <c r="G226" s="343"/>
      <c r="H226" s="89">
        <f t="shared" si="32"/>
        <v>0</v>
      </c>
      <c r="I226" s="342"/>
      <c r="J226" s="221">
        <f t="shared" si="34"/>
        <v>0</v>
      </c>
      <c r="K226" s="302"/>
      <c r="L226" s="221">
        <f t="shared" si="38"/>
        <v>0</v>
      </c>
      <c r="M226" s="222">
        <f t="shared" si="35"/>
        <v>0</v>
      </c>
    </row>
    <row r="227" spans="1:13" s="56" customFormat="1" ht="21.75" customHeight="1">
      <c r="A227" s="415">
        <f t="shared" si="37"/>
        <v>7.2999999999999989</v>
      </c>
      <c r="B227" s="249"/>
      <c r="C227" s="405" t="s">
        <v>94</v>
      </c>
      <c r="D227" s="383" t="s">
        <v>49</v>
      </c>
      <c r="E227" s="382"/>
      <c r="F227" s="382">
        <f>F224*100*1</f>
        <v>6</v>
      </c>
      <c r="G227" s="363"/>
      <c r="H227" s="89">
        <f t="shared" si="32"/>
        <v>0</v>
      </c>
      <c r="I227" s="61"/>
      <c r="J227" s="221">
        <f t="shared" si="34"/>
        <v>0</v>
      </c>
      <c r="K227" s="61"/>
      <c r="L227" s="221">
        <f t="shared" si="38"/>
        <v>0</v>
      </c>
      <c r="M227" s="222">
        <f t="shared" si="35"/>
        <v>0</v>
      </c>
    </row>
    <row r="228" spans="1:13" s="56" customFormat="1" ht="21.75" customHeight="1">
      <c r="A228" s="415">
        <f t="shared" si="37"/>
        <v>7.3999999999999986</v>
      </c>
      <c r="B228" s="249"/>
      <c r="C228" s="405" t="s">
        <v>114</v>
      </c>
      <c r="D228" s="383" t="s">
        <v>55</v>
      </c>
      <c r="E228" s="382">
        <v>100</v>
      </c>
      <c r="F228" s="382">
        <f>E228*F224</f>
        <v>6</v>
      </c>
      <c r="G228" s="363"/>
      <c r="H228" s="89">
        <f t="shared" si="32"/>
        <v>0</v>
      </c>
      <c r="I228" s="61"/>
      <c r="J228" s="221">
        <f t="shared" si="34"/>
        <v>0</v>
      </c>
      <c r="K228" s="61"/>
      <c r="L228" s="221">
        <f t="shared" si="38"/>
        <v>0</v>
      </c>
      <c r="M228" s="222">
        <f t="shared" si="35"/>
        <v>0</v>
      </c>
    </row>
    <row r="229" spans="1:13" s="56" customFormat="1" ht="21.75" customHeight="1">
      <c r="A229" s="415">
        <f t="shared" si="37"/>
        <v>7.4999999999999982</v>
      </c>
      <c r="B229" s="249"/>
      <c r="C229" s="405" t="s">
        <v>115</v>
      </c>
      <c r="D229" s="383" t="s">
        <v>49</v>
      </c>
      <c r="E229" s="382" t="s">
        <v>91</v>
      </c>
      <c r="F229" s="382">
        <v>2</v>
      </c>
      <c r="G229" s="363"/>
      <c r="H229" s="89">
        <f t="shared" si="32"/>
        <v>0</v>
      </c>
      <c r="I229" s="61"/>
      <c r="J229" s="221">
        <f t="shared" si="34"/>
        <v>0</v>
      </c>
      <c r="K229" s="61"/>
      <c r="L229" s="221">
        <f t="shared" si="38"/>
        <v>0</v>
      </c>
      <c r="M229" s="222">
        <f t="shared" si="35"/>
        <v>0</v>
      </c>
    </row>
    <row r="230" spans="1:13" s="56" customFormat="1" ht="21.75" customHeight="1">
      <c r="A230" s="415">
        <f t="shared" si="37"/>
        <v>7.5999999999999979</v>
      </c>
      <c r="B230" s="249"/>
      <c r="C230" s="405" t="s">
        <v>96</v>
      </c>
      <c r="D230" s="383" t="s">
        <v>49</v>
      </c>
      <c r="E230" s="382" t="s">
        <v>91</v>
      </c>
      <c r="F230" s="382">
        <f>F229*3</f>
        <v>6</v>
      </c>
      <c r="G230" s="363"/>
      <c r="H230" s="89">
        <f t="shared" si="32"/>
        <v>0</v>
      </c>
      <c r="I230" s="61"/>
      <c r="J230" s="221">
        <f t="shared" si="34"/>
        <v>0</v>
      </c>
      <c r="K230" s="61"/>
      <c r="L230" s="221">
        <f t="shared" si="38"/>
        <v>0</v>
      </c>
      <c r="M230" s="222">
        <f t="shared" si="35"/>
        <v>0</v>
      </c>
    </row>
    <row r="231" spans="1:13" ht="21.75" customHeight="1">
      <c r="A231" s="106"/>
      <c r="B231" s="224"/>
      <c r="C231" s="121" t="s">
        <v>302</v>
      </c>
      <c r="D231" s="75"/>
      <c r="E231" s="109"/>
      <c r="F231" s="71"/>
      <c r="G231" s="297"/>
      <c r="H231" s="89">
        <f t="shared" si="32"/>
        <v>0</v>
      </c>
      <c r="I231" s="216"/>
      <c r="J231" s="221">
        <f t="shared" si="34"/>
        <v>0</v>
      </c>
      <c r="K231" s="216"/>
      <c r="L231" s="221">
        <f t="shared" si="38"/>
        <v>0</v>
      </c>
      <c r="M231" s="222">
        <f t="shared" si="35"/>
        <v>0</v>
      </c>
    </row>
    <row r="232" spans="1:13" s="286" customFormat="1" ht="45" customHeight="1">
      <c r="A232" s="120" t="s">
        <v>44</v>
      </c>
      <c r="B232" s="281"/>
      <c r="C232" s="121" t="s">
        <v>97</v>
      </c>
      <c r="D232" s="120" t="s">
        <v>98</v>
      </c>
      <c r="E232" s="282"/>
      <c r="F232" s="283">
        <v>22.4</v>
      </c>
      <c r="G232" s="284"/>
      <c r="H232" s="89">
        <f t="shared" si="32"/>
        <v>0</v>
      </c>
      <c r="I232" s="285"/>
      <c r="J232" s="221">
        <f t="shared" si="34"/>
        <v>0</v>
      </c>
      <c r="K232" s="285"/>
      <c r="L232" s="221">
        <f t="shared" si="38"/>
        <v>0</v>
      </c>
      <c r="M232" s="222">
        <f t="shared" si="35"/>
        <v>0</v>
      </c>
    </row>
    <row r="233" spans="1:13" s="286" customFormat="1" ht="20.25" customHeight="1">
      <c r="A233" s="106">
        <f>A232+0.1</f>
        <v>1.1000000000000001</v>
      </c>
      <c r="B233" s="224"/>
      <c r="C233" s="76" t="s">
        <v>69</v>
      </c>
      <c r="D233" s="75" t="s">
        <v>13</v>
      </c>
      <c r="E233" s="287">
        <v>0.49</v>
      </c>
      <c r="F233" s="288">
        <f>E233*F232</f>
        <v>10.975999999999999</v>
      </c>
      <c r="G233" s="289"/>
      <c r="H233" s="89">
        <f t="shared" si="32"/>
        <v>0</v>
      </c>
      <c r="I233" s="216"/>
      <c r="J233" s="221">
        <f t="shared" si="34"/>
        <v>0</v>
      </c>
      <c r="K233" s="285"/>
      <c r="L233" s="221">
        <f t="shared" si="38"/>
        <v>0</v>
      </c>
      <c r="M233" s="222">
        <f t="shared" si="35"/>
        <v>0</v>
      </c>
    </row>
    <row r="234" spans="1:13" s="286" customFormat="1" ht="20.25" customHeight="1">
      <c r="A234" s="106">
        <f>A233+0.1</f>
        <v>1.2000000000000002</v>
      </c>
      <c r="B234" s="224"/>
      <c r="C234" s="76" t="s">
        <v>117</v>
      </c>
      <c r="D234" s="108" t="s">
        <v>14</v>
      </c>
      <c r="E234" s="287">
        <v>1.7999999999999999E-2</v>
      </c>
      <c r="F234" s="288">
        <f>F232*E234</f>
        <v>0.40319999999999995</v>
      </c>
      <c r="G234" s="230"/>
      <c r="H234" s="89">
        <f t="shared" si="32"/>
        <v>0</v>
      </c>
      <c r="I234" s="285"/>
      <c r="J234" s="221">
        <f t="shared" si="34"/>
        <v>0</v>
      </c>
      <c r="K234" s="89"/>
      <c r="L234" s="221">
        <f t="shared" si="38"/>
        <v>0</v>
      </c>
      <c r="M234" s="222">
        <f t="shared" si="35"/>
        <v>0</v>
      </c>
    </row>
    <row r="235" spans="1:13" s="286" customFormat="1" ht="20.25" customHeight="1">
      <c r="A235" s="106">
        <f>A234+0.1</f>
        <v>1.3000000000000003</v>
      </c>
      <c r="B235" s="229"/>
      <c r="C235" s="76" t="s">
        <v>85</v>
      </c>
      <c r="D235" s="115" t="s">
        <v>15</v>
      </c>
      <c r="E235" s="287">
        <v>1.06E-2</v>
      </c>
      <c r="F235" s="288">
        <f>E235*F232</f>
        <v>0.23743999999999998</v>
      </c>
      <c r="G235" s="289"/>
      <c r="H235" s="89">
        <f t="shared" si="32"/>
        <v>0</v>
      </c>
      <c r="I235" s="285"/>
      <c r="J235" s="221">
        <f t="shared" si="34"/>
        <v>0</v>
      </c>
      <c r="K235" s="285"/>
      <c r="L235" s="221">
        <f t="shared" si="38"/>
        <v>0</v>
      </c>
      <c r="M235" s="222">
        <f t="shared" si="35"/>
        <v>0</v>
      </c>
    </row>
    <row r="236" spans="1:13" s="286" customFormat="1" ht="50.1" customHeight="1">
      <c r="A236" s="120" t="s">
        <v>45</v>
      </c>
      <c r="B236" s="281"/>
      <c r="C236" s="121" t="s">
        <v>100</v>
      </c>
      <c r="D236" s="161" t="s">
        <v>813</v>
      </c>
      <c r="E236" s="282">
        <f>E232*3.3</f>
        <v>0</v>
      </c>
      <c r="F236" s="283">
        <f>10.2+48.9</f>
        <v>59.099999999999994</v>
      </c>
      <c r="G236" s="284"/>
      <c r="H236" s="89">
        <f t="shared" si="32"/>
        <v>0</v>
      </c>
      <c r="I236" s="285"/>
      <c r="J236" s="221">
        <f t="shared" si="34"/>
        <v>0</v>
      </c>
      <c r="K236" s="285"/>
      <c r="L236" s="221">
        <f t="shared" si="38"/>
        <v>0</v>
      </c>
      <c r="M236" s="222">
        <f t="shared" si="35"/>
        <v>0</v>
      </c>
    </row>
    <row r="237" spans="1:13" ht="22.5" customHeight="1">
      <c r="A237" s="106">
        <f>A236+0.1</f>
        <v>2.1</v>
      </c>
      <c r="B237" s="224"/>
      <c r="C237" s="76" t="s">
        <v>69</v>
      </c>
      <c r="D237" s="75" t="s">
        <v>13</v>
      </c>
      <c r="E237" s="287">
        <v>0.93</v>
      </c>
      <c r="F237" s="288">
        <f>E237*F236</f>
        <v>54.963000000000001</v>
      </c>
      <c r="G237" s="297"/>
      <c r="H237" s="89">
        <f t="shared" si="32"/>
        <v>0</v>
      </c>
      <c r="I237" s="216"/>
      <c r="J237" s="221">
        <f t="shared" si="34"/>
        <v>0</v>
      </c>
      <c r="K237" s="216"/>
      <c r="L237" s="221">
        <f t="shared" si="38"/>
        <v>0</v>
      </c>
      <c r="M237" s="222">
        <f t="shared" si="35"/>
        <v>0</v>
      </c>
    </row>
    <row r="238" spans="1:13" ht="22.5" customHeight="1">
      <c r="A238" s="106">
        <f>A237+0.1</f>
        <v>2.2000000000000002</v>
      </c>
      <c r="B238" s="224"/>
      <c r="C238" s="76" t="s">
        <v>117</v>
      </c>
      <c r="D238" s="108" t="s">
        <v>14</v>
      </c>
      <c r="E238" s="287">
        <v>2.5999999999999999E-2</v>
      </c>
      <c r="F238" s="290">
        <f>E238*F236</f>
        <v>1.5365999999999997</v>
      </c>
      <c r="G238" s="230"/>
      <c r="H238" s="89">
        <f t="shared" si="32"/>
        <v>0</v>
      </c>
      <c r="I238" s="216"/>
      <c r="J238" s="221">
        <f t="shared" si="34"/>
        <v>0</v>
      </c>
      <c r="K238" s="89"/>
      <c r="L238" s="221">
        <f t="shared" si="38"/>
        <v>0</v>
      </c>
      <c r="M238" s="222">
        <f t="shared" si="35"/>
        <v>0</v>
      </c>
    </row>
    <row r="239" spans="1:13" ht="22.5" customHeight="1">
      <c r="A239" s="106">
        <f>A238+0.1</f>
        <v>2.3000000000000003</v>
      </c>
      <c r="B239" s="224"/>
      <c r="C239" s="76" t="s">
        <v>101</v>
      </c>
      <c r="D239" s="108" t="s">
        <v>62</v>
      </c>
      <c r="E239" s="287">
        <v>2.4E-2</v>
      </c>
      <c r="F239" s="290">
        <f>E239*F236</f>
        <v>1.4183999999999999</v>
      </c>
      <c r="G239" s="289"/>
      <c r="H239" s="89">
        <f t="shared" si="32"/>
        <v>0</v>
      </c>
      <c r="I239" s="216"/>
      <c r="J239" s="221">
        <f t="shared" si="34"/>
        <v>0</v>
      </c>
      <c r="K239" s="216"/>
      <c r="L239" s="221">
        <f t="shared" si="38"/>
        <v>0</v>
      </c>
      <c r="M239" s="222">
        <f t="shared" si="35"/>
        <v>0</v>
      </c>
    </row>
    <row r="240" spans="1:13" ht="22.5" customHeight="1">
      <c r="A240" s="106">
        <f>A239+0.1</f>
        <v>2.4000000000000004</v>
      </c>
      <c r="B240" s="229"/>
      <c r="C240" s="76" t="s">
        <v>85</v>
      </c>
      <c r="D240" s="115" t="s">
        <v>15</v>
      </c>
      <c r="E240" s="315">
        <v>2.5499999999999998E-2</v>
      </c>
      <c r="F240" s="288">
        <f>E240*F236</f>
        <v>1.5070499999999998</v>
      </c>
      <c r="G240" s="289"/>
      <c r="H240" s="89">
        <f t="shared" si="32"/>
        <v>0</v>
      </c>
      <c r="I240" s="216"/>
      <c r="J240" s="221">
        <f t="shared" si="34"/>
        <v>0</v>
      </c>
      <c r="K240" s="216"/>
      <c r="L240" s="221">
        <f t="shared" si="38"/>
        <v>0</v>
      </c>
      <c r="M240" s="222">
        <f t="shared" si="35"/>
        <v>0</v>
      </c>
    </row>
    <row r="241" spans="1:16" s="331" customFormat="1" ht="25.5" customHeight="1">
      <c r="A241" s="322">
        <v>3</v>
      </c>
      <c r="B241" s="323"/>
      <c r="C241" s="324" t="s">
        <v>599</v>
      </c>
      <c r="D241" s="325" t="s">
        <v>107</v>
      </c>
      <c r="E241" s="326"/>
      <c r="F241" s="327">
        <f>7.1+46.8</f>
        <v>53.9</v>
      </c>
      <c r="G241" s="328"/>
      <c r="H241" s="89">
        <f t="shared" si="32"/>
        <v>0</v>
      </c>
      <c r="I241" s="329"/>
      <c r="J241" s="221">
        <f t="shared" si="34"/>
        <v>0</v>
      </c>
      <c r="K241" s="329"/>
      <c r="L241" s="78">
        <f t="shared" si="38"/>
        <v>0</v>
      </c>
      <c r="M241" s="222">
        <f t="shared" si="35"/>
        <v>0</v>
      </c>
      <c r="N241" s="330"/>
      <c r="O241" s="330"/>
      <c r="P241" s="330"/>
    </row>
    <row r="242" spans="1:16" s="331" customFormat="1" ht="25.5" customHeight="1">
      <c r="A242" s="248">
        <f>A241+0.1</f>
        <v>3.1</v>
      </c>
      <c r="B242" s="224"/>
      <c r="C242" s="332" t="s">
        <v>307</v>
      </c>
      <c r="D242" s="333" t="s">
        <v>13</v>
      </c>
      <c r="E242" s="334">
        <v>5.75</v>
      </c>
      <c r="F242" s="329">
        <f>F241*E242</f>
        <v>309.92500000000001</v>
      </c>
      <c r="G242" s="328"/>
      <c r="H242" s="89">
        <f t="shared" si="32"/>
        <v>0</v>
      </c>
      <c r="I242" s="329"/>
      <c r="J242" s="221">
        <f t="shared" si="34"/>
        <v>0</v>
      </c>
      <c r="K242" s="329"/>
      <c r="L242" s="78">
        <f t="shared" si="38"/>
        <v>0</v>
      </c>
      <c r="M242" s="222">
        <f t="shared" si="35"/>
        <v>0</v>
      </c>
      <c r="N242" s="330"/>
      <c r="O242" s="330"/>
      <c r="P242" s="330"/>
    </row>
    <row r="243" spans="1:16" s="331" customFormat="1" ht="25.5" customHeight="1">
      <c r="A243" s="248">
        <f t="shared" ref="A243:A246" si="39">A242+0.1</f>
        <v>3.2</v>
      </c>
      <c r="B243" s="224"/>
      <c r="C243" s="332" t="s">
        <v>51</v>
      </c>
      <c r="D243" s="333" t="s">
        <v>14</v>
      </c>
      <c r="E243" s="334">
        <v>3.5999999999999997E-2</v>
      </c>
      <c r="F243" s="329">
        <f>F241*E243</f>
        <v>1.9403999999999999</v>
      </c>
      <c r="G243" s="328"/>
      <c r="H243" s="89">
        <f t="shared" si="32"/>
        <v>0</v>
      </c>
      <c r="I243" s="329"/>
      <c r="J243" s="221">
        <f t="shared" si="34"/>
        <v>0</v>
      </c>
      <c r="K243" s="329"/>
      <c r="L243" s="78">
        <f t="shared" si="38"/>
        <v>0</v>
      </c>
      <c r="M243" s="222">
        <f t="shared" si="35"/>
        <v>0</v>
      </c>
      <c r="N243" s="330"/>
      <c r="O243" s="330"/>
      <c r="P243" s="330"/>
    </row>
    <row r="244" spans="1:16" s="331" customFormat="1" ht="25.5" customHeight="1">
      <c r="A244" s="248">
        <f t="shared" si="39"/>
        <v>3.3000000000000003</v>
      </c>
      <c r="B244" s="335"/>
      <c r="C244" s="332" t="s">
        <v>460</v>
      </c>
      <c r="D244" s="333" t="s">
        <v>107</v>
      </c>
      <c r="E244" s="334">
        <v>1</v>
      </c>
      <c r="F244" s="329">
        <f>F241*E244</f>
        <v>53.9</v>
      </c>
      <c r="G244" s="328"/>
      <c r="H244" s="89">
        <f t="shared" si="32"/>
        <v>0</v>
      </c>
      <c r="I244" s="329"/>
      <c r="J244" s="221">
        <f t="shared" si="34"/>
        <v>0</v>
      </c>
      <c r="K244" s="329"/>
      <c r="L244" s="78">
        <f t="shared" si="38"/>
        <v>0</v>
      </c>
      <c r="M244" s="222">
        <f t="shared" si="35"/>
        <v>0</v>
      </c>
      <c r="N244" s="330"/>
      <c r="O244" s="330"/>
      <c r="P244" s="330"/>
    </row>
    <row r="245" spans="1:16" s="331" customFormat="1" ht="25.5" customHeight="1">
      <c r="A245" s="248">
        <f t="shared" si="39"/>
        <v>3.4000000000000004</v>
      </c>
      <c r="B245" s="335"/>
      <c r="C245" s="332" t="s">
        <v>455</v>
      </c>
      <c r="D245" s="333" t="s">
        <v>349</v>
      </c>
      <c r="E245" s="334">
        <v>6</v>
      </c>
      <c r="F245" s="329">
        <f>F241*E245</f>
        <v>323.39999999999998</v>
      </c>
      <c r="G245" s="328"/>
      <c r="H245" s="89">
        <f t="shared" si="32"/>
        <v>0</v>
      </c>
      <c r="I245" s="329"/>
      <c r="J245" s="221">
        <f t="shared" si="34"/>
        <v>0</v>
      </c>
      <c r="K245" s="329"/>
      <c r="L245" s="78">
        <f t="shared" si="38"/>
        <v>0</v>
      </c>
      <c r="M245" s="222">
        <f t="shared" si="35"/>
        <v>0</v>
      </c>
      <c r="N245" s="330"/>
      <c r="O245" s="330"/>
      <c r="P245" s="330"/>
    </row>
    <row r="246" spans="1:16" s="331" customFormat="1" ht="25.5" customHeight="1">
      <c r="A246" s="248">
        <f t="shared" si="39"/>
        <v>3.5000000000000004</v>
      </c>
      <c r="B246" s="224"/>
      <c r="C246" s="336" t="s">
        <v>119</v>
      </c>
      <c r="D246" s="80" t="s">
        <v>1</v>
      </c>
      <c r="E246" s="334">
        <v>4.2999999999999997E-2</v>
      </c>
      <c r="F246" s="329">
        <f>F241*E246</f>
        <v>2.3176999999999999</v>
      </c>
      <c r="G246" s="328"/>
      <c r="H246" s="89">
        <f t="shared" si="32"/>
        <v>0</v>
      </c>
      <c r="I246" s="329"/>
      <c r="J246" s="221">
        <f t="shared" si="34"/>
        <v>0</v>
      </c>
      <c r="K246" s="329"/>
      <c r="L246" s="78">
        <f t="shared" si="38"/>
        <v>0</v>
      </c>
      <c r="M246" s="222">
        <f t="shared" si="35"/>
        <v>0</v>
      </c>
      <c r="N246" s="330"/>
      <c r="O246" s="330"/>
      <c r="P246" s="330"/>
    </row>
    <row r="247" spans="1:16" s="331" customFormat="1" ht="47.25" customHeight="1">
      <c r="A247" s="236">
        <v>4</v>
      </c>
      <c r="B247" s="237"/>
      <c r="C247" s="337" t="s">
        <v>618</v>
      </c>
      <c r="D247" s="67" t="s">
        <v>813</v>
      </c>
      <c r="E247" s="91"/>
      <c r="F247" s="327">
        <f>7.1+46.8</f>
        <v>53.9</v>
      </c>
      <c r="G247" s="247"/>
      <c r="H247" s="89">
        <f t="shared" si="32"/>
        <v>0</v>
      </c>
      <c r="I247" s="69"/>
      <c r="J247" s="221">
        <f t="shared" si="34"/>
        <v>0</v>
      </c>
      <c r="K247" s="69"/>
      <c r="L247" s="62">
        <f t="shared" ref="L247:L252" si="40">F247*K247</f>
        <v>0</v>
      </c>
      <c r="M247" s="222">
        <f t="shared" si="35"/>
        <v>0</v>
      </c>
      <c r="N247" s="330"/>
      <c r="O247" s="330"/>
      <c r="P247" s="330"/>
    </row>
    <row r="248" spans="1:16" s="331" customFormat="1" ht="25.5" customHeight="1">
      <c r="A248" s="338">
        <f>A247+0.1</f>
        <v>4.0999999999999996</v>
      </c>
      <c r="B248" s="241"/>
      <c r="C248" s="336" t="s">
        <v>69</v>
      </c>
      <c r="D248" s="131" t="s">
        <v>13</v>
      </c>
      <c r="E248" s="339">
        <v>0.91</v>
      </c>
      <c r="F248" s="268">
        <f>E248*F247</f>
        <v>49.048999999999999</v>
      </c>
      <c r="G248" s="243"/>
      <c r="H248" s="89">
        <f t="shared" si="32"/>
        <v>0</v>
      </c>
      <c r="I248" s="62"/>
      <c r="J248" s="221">
        <f t="shared" si="34"/>
        <v>0</v>
      </c>
      <c r="K248" s="62"/>
      <c r="L248" s="62">
        <f t="shared" si="40"/>
        <v>0</v>
      </c>
      <c r="M248" s="222">
        <f t="shared" si="35"/>
        <v>0</v>
      </c>
      <c r="N248" s="330"/>
      <c r="O248" s="330"/>
      <c r="P248" s="330"/>
    </row>
    <row r="249" spans="1:16" s="331" customFormat="1" ht="25.5" customHeight="1">
      <c r="A249" s="338">
        <f>A248+0.1</f>
        <v>4.1999999999999993</v>
      </c>
      <c r="B249" s="241"/>
      <c r="C249" s="276" t="s">
        <v>117</v>
      </c>
      <c r="D249" s="80" t="s">
        <v>14</v>
      </c>
      <c r="E249" s="339">
        <v>1E-3</v>
      </c>
      <c r="F249" s="339">
        <f>E249*F247</f>
        <v>5.3899999999999997E-2</v>
      </c>
      <c r="G249" s="250"/>
      <c r="H249" s="89">
        <f t="shared" si="32"/>
        <v>0</v>
      </c>
      <c r="I249" s="62"/>
      <c r="J249" s="221">
        <f t="shared" si="34"/>
        <v>0</v>
      </c>
      <c r="K249" s="302"/>
      <c r="L249" s="62">
        <f t="shared" si="40"/>
        <v>0</v>
      </c>
      <c r="M249" s="222">
        <f t="shared" si="35"/>
        <v>0</v>
      </c>
      <c r="N249" s="330"/>
      <c r="O249" s="330"/>
      <c r="P249" s="330"/>
    </row>
    <row r="250" spans="1:16" s="331" customFormat="1" ht="25.5" customHeight="1">
      <c r="A250" s="338">
        <f>A249+0.1</f>
        <v>4.2999999999999989</v>
      </c>
      <c r="B250" s="249"/>
      <c r="C250" s="336" t="s">
        <v>603</v>
      </c>
      <c r="D250" s="80" t="s">
        <v>21</v>
      </c>
      <c r="E250" s="252">
        <v>0.63</v>
      </c>
      <c r="F250" s="268">
        <f>E250*F247</f>
        <v>33.957000000000001</v>
      </c>
      <c r="G250" s="340"/>
      <c r="H250" s="89">
        <f t="shared" si="32"/>
        <v>0</v>
      </c>
      <c r="I250" s="62"/>
      <c r="J250" s="221">
        <f t="shared" si="34"/>
        <v>0</v>
      </c>
      <c r="K250" s="301"/>
      <c r="L250" s="62">
        <f t="shared" si="40"/>
        <v>0</v>
      </c>
      <c r="M250" s="222">
        <f t="shared" si="35"/>
        <v>0</v>
      </c>
      <c r="N250" s="330"/>
      <c r="O250" s="330"/>
      <c r="P250" s="330"/>
    </row>
    <row r="251" spans="1:16" s="331" customFormat="1" ht="25.5" customHeight="1">
      <c r="A251" s="338">
        <f>A250+0.1</f>
        <v>4.3999999999999986</v>
      </c>
      <c r="B251" s="249"/>
      <c r="C251" s="336" t="s">
        <v>604</v>
      </c>
      <c r="D251" s="80" t="s">
        <v>21</v>
      </c>
      <c r="E251" s="252">
        <v>0.79</v>
      </c>
      <c r="F251" s="268">
        <f>E251*F247</f>
        <v>42.581000000000003</v>
      </c>
      <c r="G251" s="340"/>
      <c r="H251" s="89">
        <f t="shared" si="32"/>
        <v>0</v>
      </c>
      <c r="I251" s="62"/>
      <c r="J251" s="221">
        <f t="shared" si="34"/>
        <v>0</v>
      </c>
      <c r="K251" s="301"/>
      <c r="L251" s="62">
        <f t="shared" si="40"/>
        <v>0</v>
      </c>
      <c r="M251" s="222">
        <f t="shared" si="35"/>
        <v>0</v>
      </c>
      <c r="N251" s="330"/>
      <c r="O251" s="330"/>
      <c r="P251" s="330"/>
    </row>
    <row r="252" spans="1:16" s="331" customFormat="1" ht="25.5" customHeight="1">
      <c r="A252" s="338">
        <f>A251+0.1</f>
        <v>4.4999999999999982</v>
      </c>
      <c r="B252" s="246"/>
      <c r="C252" s="276" t="s">
        <v>119</v>
      </c>
      <c r="D252" s="131" t="s">
        <v>14</v>
      </c>
      <c r="E252" s="271">
        <v>1.6000000000000001E-3</v>
      </c>
      <c r="F252" s="268">
        <f>E252*F247</f>
        <v>8.6239999999999997E-2</v>
      </c>
      <c r="G252" s="244"/>
      <c r="H252" s="89">
        <f t="shared" si="32"/>
        <v>0</v>
      </c>
      <c r="I252" s="62"/>
      <c r="J252" s="221">
        <f t="shared" si="34"/>
        <v>0</v>
      </c>
      <c r="K252" s="301"/>
      <c r="L252" s="62">
        <f t="shared" si="40"/>
        <v>0</v>
      </c>
      <c r="M252" s="222">
        <f t="shared" si="35"/>
        <v>0</v>
      </c>
      <c r="N252" s="330"/>
      <c r="O252" s="330"/>
      <c r="P252" s="330"/>
    </row>
    <row r="253" spans="1:16" s="73" customFormat="1" ht="50.25" customHeight="1">
      <c r="A253" s="236">
        <v>5</v>
      </c>
      <c r="B253" s="237"/>
      <c r="C253" s="337" t="s">
        <v>600</v>
      </c>
      <c r="D253" s="67" t="s">
        <v>813</v>
      </c>
      <c r="E253" s="91"/>
      <c r="F253" s="341">
        <f>3.1+2.1</f>
        <v>5.2</v>
      </c>
      <c r="G253" s="238"/>
      <c r="H253" s="89">
        <f t="shared" si="32"/>
        <v>0</v>
      </c>
      <c r="I253" s="91"/>
      <c r="J253" s="221">
        <f t="shared" si="34"/>
        <v>0</v>
      </c>
      <c r="K253" s="91"/>
      <c r="L253" s="78">
        <f t="shared" si="38"/>
        <v>0</v>
      </c>
      <c r="M253" s="222">
        <f t="shared" si="35"/>
        <v>0</v>
      </c>
      <c r="N253" s="330"/>
      <c r="O253" s="330"/>
      <c r="P253" s="330"/>
    </row>
    <row r="254" spans="1:16" s="58" customFormat="1" ht="22.5" customHeight="1">
      <c r="A254" s="240">
        <f>A253+0.1</f>
        <v>5.0999999999999996</v>
      </c>
      <c r="B254" s="241"/>
      <c r="C254" s="336" t="s">
        <v>12</v>
      </c>
      <c r="D254" s="131" t="s">
        <v>13</v>
      </c>
      <c r="E254" s="252">
        <v>10.199999999999999</v>
      </c>
      <c r="F254" s="268">
        <f>E254*F253</f>
        <v>53.04</v>
      </c>
      <c r="G254" s="243"/>
      <c r="H254" s="89">
        <f t="shared" si="32"/>
        <v>0</v>
      </c>
      <c r="I254" s="342"/>
      <c r="J254" s="221">
        <f t="shared" si="34"/>
        <v>0</v>
      </c>
      <c r="K254" s="62"/>
      <c r="L254" s="78">
        <f t="shared" si="38"/>
        <v>0</v>
      </c>
      <c r="M254" s="222">
        <f t="shared" si="35"/>
        <v>0</v>
      </c>
    </row>
    <row r="255" spans="1:16" s="58" customFormat="1" ht="22.5" customHeight="1">
      <c r="A255" s="240">
        <f t="shared" ref="A255:A259" si="41">A254+0.1</f>
        <v>5.1999999999999993</v>
      </c>
      <c r="B255" s="241"/>
      <c r="C255" s="276" t="s">
        <v>117</v>
      </c>
      <c r="D255" s="80" t="s">
        <v>14</v>
      </c>
      <c r="E255" s="271">
        <v>0.05</v>
      </c>
      <c r="F255" s="268">
        <f>E255*F253</f>
        <v>0.26</v>
      </c>
      <c r="G255" s="343"/>
      <c r="H255" s="89">
        <f t="shared" si="32"/>
        <v>0</v>
      </c>
      <c r="I255" s="342"/>
      <c r="J255" s="221">
        <f t="shared" si="34"/>
        <v>0</v>
      </c>
      <c r="K255" s="302"/>
      <c r="L255" s="78">
        <f t="shared" si="38"/>
        <v>0</v>
      </c>
      <c r="M255" s="222">
        <f t="shared" si="35"/>
        <v>0</v>
      </c>
    </row>
    <row r="256" spans="1:16" s="58" customFormat="1" ht="22.5" customHeight="1">
      <c r="A256" s="240">
        <f t="shared" si="41"/>
        <v>5.2999999999999989</v>
      </c>
      <c r="B256" s="249"/>
      <c r="C256" s="336" t="s">
        <v>601</v>
      </c>
      <c r="D256" s="80" t="s">
        <v>814</v>
      </c>
      <c r="E256" s="252">
        <v>1</v>
      </c>
      <c r="F256" s="268">
        <f>F253*E256</f>
        <v>5.2</v>
      </c>
      <c r="G256" s="340"/>
      <c r="H256" s="89">
        <f t="shared" si="32"/>
        <v>0</v>
      </c>
      <c r="I256" s="61"/>
      <c r="J256" s="221">
        <f t="shared" si="34"/>
        <v>0</v>
      </c>
      <c r="K256" s="61"/>
      <c r="L256" s="78">
        <f t="shared" si="38"/>
        <v>0</v>
      </c>
      <c r="M256" s="222">
        <f t="shared" si="35"/>
        <v>0</v>
      </c>
    </row>
    <row r="257" spans="1:13" s="58" customFormat="1" ht="22.5" customHeight="1">
      <c r="A257" s="240">
        <f t="shared" si="41"/>
        <v>5.3999999999999986</v>
      </c>
      <c r="B257" s="249"/>
      <c r="C257" s="336" t="s">
        <v>319</v>
      </c>
      <c r="D257" s="80" t="s">
        <v>104</v>
      </c>
      <c r="E257" s="339">
        <v>3.0000000000000001E-3</v>
      </c>
      <c r="F257" s="268">
        <f>F253*E257</f>
        <v>1.5600000000000001E-2</v>
      </c>
      <c r="G257" s="340"/>
      <c r="H257" s="89">
        <f t="shared" si="32"/>
        <v>0</v>
      </c>
      <c r="I257" s="61"/>
      <c r="J257" s="221">
        <f t="shared" si="34"/>
        <v>0</v>
      </c>
      <c r="K257" s="61"/>
      <c r="L257" s="78">
        <f t="shared" si="38"/>
        <v>0</v>
      </c>
      <c r="M257" s="222">
        <f t="shared" si="35"/>
        <v>0</v>
      </c>
    </row>
    <row r="258" spans="1:13" s="58" customFormat="1" ht="22.5" customHeight="1">
      <c r="A258" s="240">
        <f t="shared" si="41"/>
        <v>5.4999999999999982</v>
      </c>
      <c r="B258" s="229"/>
      <c r="C258" s="336" t="s">
        <v>83</v>
      </c>
      <c r="D258" s="80" t="s">
        <v>21</v>
      </c>
      <c r="E258" s="268">
        <v>8</v>
      </c>
      <c r="F258" s="268">
        <f>E258*F253</f>
        <v>41.6</v>
      </c>
      <c r="G258" s="340"/>
      <c r="H258" s="89">
        <f t="shared" si="32"/>
        <v>0</v>
      </c>
      <c r="I258" s="61"/>
      <c r="J258" s="221">
        <f t="shared" si="34"/>
        <v>0</v>
      </c>
      <c r="K258" s="61"/>
      <c r="L258" s="78">
        <f t="shared" si="38"/>
        <v>0</v>
      </c>
      <c r="M258" s="222">
        <f t="shared" si="35"/>
        <v>0</v>
      </c>
    </row>
    <row r="259" spans="1:13" s="58" customFormat="1" ht="22.5" customHeight="1">
      <c r="A259" s="240">
        <f t="shared" si="41"/>
        <v>5.5999999999999979</v>
      </c>
      <c r="B259" s="246"/>
      <c r="C259" s="276" t="s">
        <v>119</v>
      </c>
      <c r="D259" s="131" t="s">
        <v>14</v>
      </c>
      <c r="E259" s="252">
        <v>0.44</v>
      </c>
      <c r="F259" s="268">
        <f>E259*F253</f>
        <v>2.2880000000000003</v>
      </c>
      <c r="G259" s="230"/>
      <c r="H259" s="89">
        <f t="shared" si="32"/>
        <v>0</v>
      </c>
      <c r="I259" s="61"/>
      <c r="J259" s="221">
        <f t="shared" si="34"/>
        <v>0</v>
      </c>
      <c r="K259" s="61"/>
      <c r="L259" s="78">
        <f t="shared" si="38"/>
        <v>0</v>
      </c>
      <c r="M259" s="222">
        <f t="shared" si="35"/>
        <v>0</v>
      </c>
    </row>
    <row r="260" spans="1:13" s="286" customFormat="1" ht="64.5" customHeight="1">
      <c r="A260" s="120" t="s">
        <v>127</v>
      </c>
      <c r="B260" s="226"/>
      <c r="C260" s="121" t="s">
        <v>188</v>
      </c>
      <c r="D260" s="120" t="s">
        <v>813</v>
      </c>
      <c r="E260" s="282"/>
      <c r="F260" s="283">
        <f>F236+F232*0.2</f>
        <v>63.579999999999991</v>
      </c>
      <c r="G260" s="284"/>
      <c r="H260" s="89">
        <f t="shared" si="32"/>
        <v>0</v>
      </c>
      <c r="I260" s="285"/>
      <c r="J260" s="221">
        <f t="shared" si="34"/>
        <v>0</v>
      </c>
      <c r="K260" s="285"/>
      <c r="L260" s="221">
        <f t="shared" si="38"/>
        <v>0</v>
      </c>
      <c r="M260" s="222">
        <f t="shared" si="35"/>
        <v>0</v>
      </c>
    </row>
    <row r="261" spans="1:13" ht="22.5" customHeight="1">
      <c r="A261" s="106">
        <f t="shared" ref="A261:A266" si="42">A260+0.1</f>
        <v>6.1</v>
      </c>
      <c r="B261" s="224"/>
      <c r="C261" s="76" t="s">
        <v>69</v>
      </c>
      <c r="D261" s="75" t="s">
        <v>13</v>
      </c>
      <c r="E261" s="316">
        <v>0.65800000000000003</v>
      </c>
      <c r="F261" s="288">
        <f>E261*F260</f>
        <v>41.835639999999998</v>
      </c>
      <c r="G261" s="289"/>
      <c r="H261" s="89">
        <f t="shared" si="32"/>
        <v>0</v>
      </c>
      <c r="I261" s="216"/>
      <c r="J261" s="221">
        <f t="shared" si="34"/>
        <v>0</v>
      </c>
      <c r="K261" s="216"/>
      <c r="L261" s="221">
        <f t="shared" si="38"/>
        <v>0</v>
      </c>
      <c r="M261" s="222">
        <f t="shared" si="35"/>
        <v>0</v>
      </c>
    </row>
    <row r="262" spans="1:13" ht="22.5" customHeight="1">
      <c r="A262" s="106">
        <f t="shared" si="42"/>
        <v>6.1999999999999993</v>
      </c>
      <c r="B262" s="224"/>
      <c r="C262" s="76" t="s">
        <v>117</v>
      </c>
      <c r="D262" s="108" t="s">
        <v>14</v>
      </c>
      <c r="E262" s="316">
        <v>1E-3</v>
      </c>
      <c r="F262" s="316">
        <f>E262*F260</f>
        <v>6.3579999999999998E-2</v>
      </c>
      <c r="G262" s="230"/>
      <c r="H262" s="89">
        <f t="shared" ref="H262:H291" si="43">F262*G262</f>
        <v>0</v>
      </c>
      <c r="I262" s="216"/>
      <c r="J262" s="221">
        <f t="shared" si="34"/>
        <v>0</v>
      </c>
      <c r="K262" s="89"/>
      <c r="L262" s="221">
        <f t="shared" si="38"/>
        <v>0</v>
      </c>
      <c r="M262" s="222">
        <f t="shared" si="35"/>
        <v>0</v>
      </c>
    </row>
    <row r="263" spans="1:13" ht="22.5" customHeight="1">
      <c r="A263" s="106">
        <f t="shared" si="42"/>
        <v>6.2999999999999989</v>
      </c>
      <c r="B263" s="229"/>
      <c r="C263" s="255" t="s">
        <v>102</v>
      </c>
      <c r="D263" s="108" t="s">
        <v>21</v>
      </c>
      <c r="E263" s="290">
        <v>0.63</v>
      </c>
      <c r="F263" s="288">
        <f>E263*F260</f>
        <v>40.055399999999992</v>
      </c>
      <c r="G263" s="289"/>
      <c r="H263" s="89">
        <f t="shared" si="43"/>
        <v>0</v>
      </c>
      <c r="I263" s="216"/>
      <c r="J263" s="221">
        <f t="shared" si="34"/>
        <v>0</v>
      </c>
      <c r="K263" s="216"/>
      <c r="L263" s="221">
        <f t="shared" si="38"/>
        <v>0</v>
      </c>
      <c r="M263" s="222">
        <f t="shared" si="35"/>
        <v>0</v>
      </c>
    </row>
    <row r="264" spans="1:13" ht="22.5" customHeight="1">
      <c r="A264" s="106">
        <f t="shared" si="42"/>
        <v>6.3999999999999986</v>
      </c>
      <c r="B264" s="229"/>
      <c r="C264" s="255" t="s">
        <v>189</v>
      </c>
      <c r="D264" s="108" t="s">
        <v>21</v>
      </c>
      <c r="E264" s="290">
        <v>0.1</v>
      </c>
      <c r="F264" s="288">
        <f>F260*E264</f>
        <v>6.3579999999999997</v>
      </c>
      <c r="G264" s="289"/>
      <c r="H264" s="89">
        <f t="shared" si="43"/>
        <v>0</v>
      </c>
      <c r="I264" s="216"/>
      <c r="J264" s="221">
        <f t="shared" si="34"/>
        <v>0</v>
      </c>
      <c r="K264" s="216"/>
      <c r="L264" s="221">
        <f t="shared" si="38"/>
        <v>0</v>
      </c>
      <c r="M264" s="222">
        <f t="shared" si="35"/>
        <v>0</v>
      </c>
    </row>
    <row r="265" spans="1:13" ht="22.5" customHeight="1">
      <c r="A265" s="106">
        <f t="shared" si="42"/>
        <v>6.4999999999999982</v>
      </c>
      <c r="B265" s="229"/>
      <c r="C265" s="255" t="s">
        <v>190</v>
      </c>
      <c r="D265" s="108" t="s">
        <v>21</v>
      </c>
      <c r="E265" s="290">
        <v>0.79</v>
      </c>
      <c r="F265" s="288">
        <f>E265*F260</f>
        <v>50.228199999999994</v>
      </c>
      <c r="G265" s="230"/>
      <c r="H265" s="89">
        <f t="shared" si="43"/>
        <v>0</v>
      </c>
      <c r="I265" s="216"/>
      <c r="J265" s="221">
        <f t="shared" si="34"/>
        <v>0</v>
      </c>
      <c r="K265" s="216"/>
      <c r="L265" s="221">
        <f t="shared" si="38"/>
        <v>0</v>
      </c>
      <c r="M265" s="222">
        <f t="shared" si="35"/>
        <v>0</v>
      </c>
    </row>
    <row r="266" spans="1:13" ht="22.5" customHeight="1">
      <c r="A266" s="106">
        <f t="shared" si="42"/>
        <v>6.5999999999999979</v>
      </c>
      <c r="B266" s="224"/>
      <c r="C266" s="76" t="s">
        <v>119</v>
      </c>
      <c r="D266" s="75" t="s">
        <v>14</v>
      </c>
      <c r="E266" s="315">
        <v>1.6000000000000001E-3</v>
      </c>
      <c r="F266" s="288">
        <f>E266*F260</f>
        <v>0.10172799999999999</v>
      </c>
      <c r="G266" s="230"/>
      <c r="H266" s="89">
        <f t="shared" si="43"/>
        <v>0</v>
      </c>
      <c r="I266" s="216"/>
      <c r="J266" s="221">
        <f t="shared" si="34"/>
        <v>0</v>
      </c>
      <c r="K266" s="216"/>
      <c r="L266" s="221">
        <f t="shared" si="38"/>
        <v>0</v>
      </c>
      <c r="M266" s="222">
        <f t="shared" si="35"/>
        <v>0</v>
      </c>
    </row>
    <row r="267" spans="1:13" s="286" customFormat="1" ht="46.5" customHeight="1">
      <c r="A267" s="218" t="s">
        <v>47</v>
      </c>
      <c r="B267" s="344"/>
      <c r="C267" s="318" t="s">
        <v>125</v>
      </c>
      <c r="D267" s="218" t="s">
        <v>813</v>
      </c>
      <c r="E267" s="282"/>
      <c r="F267" s="283">
        <v>82</v>
      </c>
      <c r="G267" s="284"/>
      <c r="H267" s="89">
        <f t="shared" si="43"/>
        <v>0</v>
      </c>
      <c r="I267" s="285"/>
      <c r="J267" s="221">
        <f t="shared" si="34"/>
        <v>0</v>
      </c>
      <c r="K267" s="285"/>
      <c r="L267" s="221">
        <f t="shared" si="38"/>
        <v>0</v>
      </c>
      <c r="M267" s="222">
        <f t="shared" si="35"/>
        <v>0</v>
      </c>
    </row>
    <row r="268" spans="1:13" ht="20.25" customHeight="1">
      <c r="A268" s="106">
        <f>A267+0.1</f>
        <v>4.0999999999999996</v>
      </c>
      <c r="B268" s="224"/>
      <c r="C268" s="76" t="s">
        <v>69</v>
      </c>
      <c r="D268" s="75" t="s">
        <v>13</v>
      </c>
      <c r="E268" s="316">
        <v>0.45800000000000002</v>
      </c>
      <c r="F268" s="288">
        <f>E268*F267</f>
        <v>37.556000000000004</v>
      </c>
      <c r="G268" s="289"/>
      <c r="H268" s="89">
        <f t="shared" si="43"/>
        <v>0</v>
      </c>
      <c r="I268" s="216"/>
      <c r="J268" s="221">
        <f t="shared" si="34"/>
        <v>0</v>
      </c>
      <c r="K268" s="216"/>
      <c r="L268" s="221">
        <f t="shared" si="38"/>
        <v>0</v>
      </c>
      <c r="M268" s="222">
        <f t="shared" si="35"/>
        <v>0</v>
      </c>
    </row>
    <row r="269" spans="1:13" ht="20.25" customHeight="1">
      <c r="A269" s="106">
        <f>A268+0.1</f>
        <v>4.1999999999999993</v>
      </c>
      <c r="B269" s="224"/>
      <c r="C269" s="76" t="s">
        <v>117</v>
      </c>
      <c r="D269" s="108" t="s">
        <v>14</v>
      </c>
      <c r="E269" s="315">
        <v>2.3E-3</v>
      </c>
      <c r="F269" s="316">
        <f>E269*F267</f>
        <v>0.18859999999999999</v>
      </c>
      <c r="G269" s="230"/>
      <c r="H269" s="89">
        <f t="shared" si="43"/>
        <v>0</v>
      </c>
      <c r="I269" s="216"/>
      <c r="J269" s="221">
        <f t="shared" si="34"/>
        <v>0</v>
      </c>
      <c r="K269" s="89"/>
      <c r="L269" s="221">
        <f t="shared" si="38"/>
        <v>0</v>
      </c>
      <c r="M269" s="222">
        <f t="shared" si="35"/>
        <v>0</v>
      </c>
    </row>
    <row r="270" spans="1:13" ht="20.25" customHeight="1">
      <c r="A270" s="106">
        <f>A269+0.1</f>
        <v>4.2999999999999989</v>
      </c>
      <c r="B270" s="224"/>
      <c r="C270" s="255" t="s">
        <v>103</v>
      </c>
      <c r="D270" s="108" t="s">
        <v>104</v>
      </c>
      <c r="E270" s="417">
        <v>3.6999999999999999E-4</v>
      </c>
      <c r="F270" s="315">
        <f>E270*F267</f>
        <v>3.0339999999999999E-2</v>
      </c>
      <c r="G270" s="289"/>
      <c r="H270" s="89">
        <f t="shared" si="43"/>
        <v>0</v>
      </c>
      <c r="I270" s="216"/>
      <c r="J270" s="221">
        <f t="shared" si="34"/>
        <v>0</v>
      </c>
      <c r="K270" s="216"/>
      <c r="L270" s="221">
        <f t="shared" si="38"/>
        <v>0</v>
      </c>
      <c r="M270" s="222">
        <f t="shared" si="35"/>
        <v>0</v>
      </c>
    </row>
    <row r="271" spans="1:13" ht="20.25" customHeight="1">
      <c r="A271" s="106">
        <f>A270+0.1</f>
        <v>4.3999999999999986</v>
      </c>
      <c r="B271" s="229"/>
      <c r="C271" s="255" t="s">
        <v>105</v>
      </c>
      <c r="D271" s="108" t="s">
        <v>810</v>
      </c>
      <c r="E271" s="418">
        <v>9.0000000000000006E-5</v>
      </c>
      <c r="F271" s="315">
        <f>E271*F267</f>
        <v>7.3800000000000003E-3</v>
      </c>
      <c r="G271" s="289"/>
      <c r="H271" s="89">
        <f t="shared" si="43"/>
        <v>0</v>
      </c>
      <c r="I271" s="216"/>
      <c r="J271" s="221">
        <f t="shared" ref="J271:J291" si="44">F271*I271</f>
        <v>0</v>
      </c>
      <c r="K271" s="216"/>
      <c r="L271" s="221">
        <f t="shared" si="38"/>
        <v>0</v>
      </c>
      <c r="M271" s="222">
        <f t="shared" ref="M271:M291" si="45">H271+J271+L271</f>
        <v>0</v>
      </c>
    </row>
    <row r="272" spans="1:13" ht="20.25" customHeight="1">
      <c r="A272" s="106">
        <f>A271+0.1</f>
        <v>4.4999999999999982</v>
      </c>
      <c r="B272" s="229"/>
      <c r="C272" s="255" t="s">
        <v>106</v>
      </c>
      <c r="D272" s="75" t="s">
        <v>811</v>
      </c>
      <c r="E272" s="316">
        <v>3.4000000000000002E-2</v>
      </c>
      <c r="F272" s="290">
        <f>E272*F267</f>
        <v>2.7880000000000003</v>
      </c>
      <c r="G272" s="289"/>
      <c r="H272" s="89">
        <f t="shared" si="43"/>
        <v>0</v>
      </c>
      <c r="I272" s="216"/>
      <c r="J272" s="221">
        <f t="shared" si="44"/>
        <v>0</v>
      </c>
      <c r="K272" s="216"/>
      <c r="L272" s="221">
        <f t="shared" si="38"/>
        <v>0</v>
      </c>
      <c r="M272" s="222">
        <f t="shared" si="45"/>
        <v>0</v>
      </c>
    </row>
    <row r="273" spans="1:13" s="105" customFormat="1" ht="46.5" customHeight="1">
      <c r="A273" s="100">
        <v>7</v>
      </c>
      <c r="B273" s="226"/>
      <c r="C273" s="121" t="s">
        <v>303</v>
      </c>
      <c r="D273" s="115" t="s">
        <v>15</v>
      </c>
      <c r="E273" s="227"/>
      <c r="F273" s="104">
        <f>25.2*0.6*0.1</f>
        <v>1.512</v>
      </c>
      <c r="G273" s="272"/>
      <c r="H273" s="89">
        <f t="shared" si="43"/>
        <v>0</v>
      </c>
      <c r="I273" s="115"/>
      <c r="J273" s="221">
        <f t="shared" si="44"/>
        <v>0</v>
      </c>
      <c r="K273" s="115"/>
      <c r="L273" s="221">
        <f t="shared" si="38"/>
        <v>0</v>
      </c>
      <c r="M273" s="222">
        <f t="shared" si="45"/>
        <v>0</v>
      </c>
    </row>
    <row r="274" spans="1:13" s="105" customFormat="1" ht="24.75" customHeight="1">
      <c r="A274" s="106">
        <f t="shared" ref="A274:A279" si="46">A273+0.1</f>
        <v>7.1</v>
      </c>
      <c r="B274" s="224"/>
      <c r="C274" s="76" t="s">
        <v>69</v>
      </c>
      <c r="D274" s="75" t="s">
        <v>13</v>
      </c>
      <c r="E274" s="103">
        <v>1.87</v>
      </c>
      <c r="F274" s="89">
        <f>F273*E274</f>
        <v>2.8274400000000002</v>
      </c>
      <c r="G274" s="230"/>
      <c r="H274" s="89">
        <f t="shared" si="43"/>
        <v>0</v>
      </c>
      <c r="I274" s="115"/>
      <c r="J274" s="221">
        <f t="shared" si="44"/>
        <v>0</v>
      </c>
      <c r="K274" s="115"/>
      <c r="L274" s="221">
        <f t="shared" si="38"/>
        <v>0</v>
      </c>
      <c r="M274" s="222">
        <f t="shared" si="45"/>
        <v>0</v>
      </c>
    </row>
    <row r="275" spans="1:13" s="105" customFormat="1" ht="24.75" customHeight="1">
      <c r="A275" s="106">
        <f t="shared" si="46"/>
        <v>7.1999999999999993</v>
      </c>
      <c r="B275" s="224"/>
      <c r="C275" s="76" t="s">
        <v>117</v>
      </c>
      <c r="D275" s="108" t="s">
        <v>14</v>
      </c>
      <c r="E275" s="103">
        <v>0.77</v>
      </c>
      <c r="F275" s="89">
        <f>F273*E275</f>
        <v>1.1642399999999999</v>
      </c>
      <c r="G275" s="230"/>
      <c r="H275" s="89">
        <f t="shared" si="43"/>
        <v>0</v>
      </c>
      <c r="I275" s="115"/>
      <c r="J275" s="221">
        <f t="shared" si="44"/>
        <v>0</v>
      </c>
      <c r="K275" s="89"/>
      <c r="L275" s="221">
        <f t="shared" si="38"/>
        <v>0</v>
      </c>
      <c r="M275" s="222">
        <f t="shared" si="45"/>
        <v>0</v>
      </c>
    </row>
    <row r="276" spans="1:13" s="105" customFormat="1" ht="24.75" customHeight="1">
      <c r="A276" s="106">
        <f t="shared" si="46"/>
        <v>7.2999999999999989</v>
      </c>
      <c r="B276" s="224"/>
      <c r="C276" s="255" t="s">
        <v>118</v>
      </c>
      <c r="D276" s="115" t="s">
        <v>15</v>
      </c>
      <c r="E276" s="103">
        <v>1.0149999999999999</v>
      </c>
      <c r="F276" s="89">
        <f>E276*F273</f>
        <v>1.5346799999999998</v>
      </c>
      <c r="G276" s="297"/>
      <c r="H276" s="89">
        <f t="shared" si="43"/>
        <v>0</v>
      </c>
      <c r="I276" s="115"/>
      <c r="J276" s="221">
        <f t="shared" si="44"/>
        <v>0</v>
      </c>
      <c r="K276" s="115"/>
      <c r="L276" s="221">
        <f t="shared" si="38"/>
        <v>0</v>
      </c>
      <c r="M276" s="222">
        <f t="shared" si="45"/>
        <v>0</v>
      </c>
    </row>
    <row r="277" spans="1:13" s="105" customFormat="1" ht="24.75" customHeight="1">
      <c r="A277" s="106">
        <f t="shared" si="46"/>
        <v>7.3999999999999986</v>
      </c>
      <c r="B277" s="224"/>
      <c r="C277" s="255" t="s">
        <v>81</v>
      </c>
      <c r="D277" s="115" t="s">
        <v>811</v>
      </c>
      <c r="E277" s="103">
        <f>7.54/100</f>
        <v>7.5399999999999995E-2</v>
      </c>
      <c r="F277" s="89">
        <f>E277*F273</f>
        <v>0.11400479999999999</v>
      </c>
      <c r="G277" s="303"/>
      <c r="H277" s="89">
        <f t="shared" si="43"/>
        <v>0</v>
      </c>
      <c r="I277" s="115"/>
      <c r="J277" s="221">
        <f t="shared" si="44"/>
        <v>0</v>
      </c>
      <c r="K277" s="115"/>
      <c r="L277" s="221">
        <f t="shared" si="38"/>
        <v>0</v>
      </c>
      <c r="M277" s="222">
        <f t="shared" si="45"/>
        <v>0</v>
      </c>
    </row>
    <row r="278" spans="1:13" s="105" customFormat="1" ht="24.75" customHeight="1">
      <c r="A278" s="106">
        <f t="shared" si="46"/>
        <v>7.4999999999999982</v>
      </c>
      <c r="B278" s="274"/>
      <c r="C278" s="255" t="s">
        <v>82</v>
      </c>
      <c r="D278" s="80" t="s">
        <v>810</v>
      </c>
      <c r="E278" s="103">
        <f>0.08/100</f>
        <v>8.0000000000000004E-4</v>
      </c>
      <c r="F278" s="273">
        <f>E278*F273</f>
        <v>1.2096000000000001E-3</v>
      </c>
      <c r="G278" s="230"/>
      <c r="H278" s="89">
        <f t="shared" si="43"/>
        <v>0</v>
      </c>
      <c r="I278" s="115"/>
      <c r="J278" s="221">
        <f t="shared" si="44"/>
        <v>0</v>
      </c>
      <c r="K278" s="115"/>
      <c r="L278" s="221">
        <f t="shared" si="38"/>
        <v>0</v>
      </c>
      <c r="M278" s="222">
        <f t="shared" si="45"/>
        <v>0</v>
      </c>
    </row>
    <row r="279" spans="1:13" s="105" customFormat="1" ht="24.75" customHeight="1">
      <c r="A279" s="106">
        <f t="shared" si="46"/>
        <v>7.5999999999999979</v>
      </c>
      <c r="B279" s="224"/>
      <c r="C279" s="76" t="s">
        <v>119</v>
      </c>
      <c r="D279" s="115" t="s">
        <v>14</v>
      </c>
      <c r="E279" s="103">
        <v>7.0000000000000007E-2</v>
      </c>
      <c r="F279" s="89">
        <f>E279*F273</f>
        <v>0.10584000000000002</v>
      </c>
      <c r="G279" s="230"/>
      <c r="H279" s="89">
        <f t="shared" si="43"/>
        <v>0</v>
      </c>
      <c r="I279" s="115"/>
      <c r="J279" s="221">
        <f t="shared" si="44"/>
        <v>0</v>
      </c>
      <c r="K279" s="115"/>
      <c r="L279" s="221">
        <f t="shared" si="38"/>
        <v>0</v>
      </c>
      <c r="M279" s="222">
        <f t="shared" si="45"/>
        <v>0</v>
      </c>
    </row>
    <row r="280" spans="1:13" s="286" customFormat="1" ht="42" customHeight="1">
      <c r="A280" s="218" t="s">
        <v>123</v>
      </c>
      <c r="B280" s="344"/>
      <c r="C280" s="318" t="s">
        <v>179</v>
      </c>
      <c r="D280" s="218" t="s">
        <v>813</v>
      </c>
      <c r="E280" s="282"/>
      <c r="F280" s="283">
        <f>F273/0.1</f>
        <v>15.12</v>
      </c>
      <c r="G280" s="284"/>
      <c r="H280" s="89">
        <f t="shared" si="43"/>
        <v>0</v>
      </c>
      <c r="I280" s="285"/>
      <c r="J280" s="221">
        <f t="shared" si="44"/>
        <v>0</v>
      </c>
      <c r="K280" s="285"/>
      <c r="L280" s="221">
        <f t="shared" si="38"/>
        <v>0</v>
      </c>
      <c r="M280" s="222">
        <f t="shared" si="45"/>
        <v>0</v>
      </c>
    </row>
    <row r="281" spans="1:13" ht="21" customHeight="1">
      <c r="A281" s="106">
        <f>A280+0.1</f>
        <v>8.1</v>
      </c>
      <c r="B281" s="224"/>
      <c r="C281" s="76" t="s">
        <v>69</v>
      </c>
      <c r="D281" s="75" t="s">
        <v>43</v>
      </c>
      <c r="E281" s="290">
        <v>1</v>
      </c>
      <c r="F281" s="288">
        <f>E281*F280</f>
        <v>15.12</v>
      </c>
      <c r="G281" s="289"/>
      <c r="H281" s="89">
        <f t="shared" si="43"/>
        <v>0</v>
      </c>
      <c r="I281" s="216"/>
      <c r="J281" s="221">
        <f t="shared" si="44"/>
        <v>0</v>
      </c>
      <c r="K281" s="216"/>
      <c r="L281" s="221">
        <f t="shared" si="38"/>
        <v>0</v>
      </c>
      <c r="M281" s="222">
        <f t="shared" si="45"/>
        <v>0</v>
      </c>
    </row>
    <row r="282" spans="1:13" ht="21" customHeight="1">
      <c r="A282" s="106">
        <f>A281+0.1</f>
        <v>8.1999999999999993</v>
      </c>
      <c r="B282" s="224"/>
      <c r="C282" s="76" t="s">
        <v>117</v>
      </c>
      <c r="D282" s="108" t="s">
        <v>14</v>
      </c>
      <c r="E282" s="315">
        <v>2.3300000000000001E-2</v>
      </c>
      <c r="F282" s="316">
        <f>E282*F280</f>
        <v>0.352296</v>
      </c>
      <c r="G282" s="230"/>
      <c r="H282" s="89">
        <f t="shared" si="43"/>
        <v>0</v>
      </c>
      <c r="I282" s="216"/>
      <c r="J282" s="221">
        <f t="shared" si="44"/>
        <v>0</v>
      </c>
      <c r="K282" s="89"/>
      <c r="L282" s="221">
        <f t="shared" si="38"/>
        <v>0</v>
      </c>
      <c r="M282" s="222">
        <f t="shared" si="45"/>
        <v>0</v>
      </c>
    </row>
    <row r="283" spans="1:13" ht="21" customHeight="1">
      <c r="A283" s="106">
        <f>A282+0.1</f>
        <v>8.2999999999999989</v>
      </c>
      <c r="B283" s="229"/>
      <c r="C283" s="76" t="s">
        <v>85</v>
      </c>
      <c r="D283" s="115" t="s">
        <v>15</v>
      </c>
      <c r="E283" s="316">
        <v>5.0999999999999997E-2</v>
      </c>
      <c r="F283" s="288">
        <f>E283*F280</f>
        <v>0.77111999999999992</v>
      </c>
      <c r="G283" s="289"/>
      <c r="H283" s="89">
        <f t="shared" si="43"/>
        <v>0</v>
      </c>
      <c r="I283" s="216"/>
      <c r="J283" s="221">
        <f t="shared" si="44"/>
        <v>0</v>
      </c>
      <c r="K283" s="216"/>
      <c r="L283" s="221">
        <f t="shared" si="38"/>
        <v>0</v>
      </c>
      <c r="M283" s="222">
        <f t="shared" si="45"/>
        <v>0</v>
      </c>
    </row>
    <row r="284" spans="1:13" ht="21" customHeight="1">
      <c r="A284" s="106">
        <f>A283+0.1</f>
        <v>8.3999999999999986</v>
      </c>
      <c r="B284" s="274"/>
      <c r="C284" s="76" t="s">
        <v>180</v>
      </c>
      <c r="D284" s="108" t="s">
        <v>63</v>
      </c>
      <c r="E284" s="316">
        <v>1</v>
      </c>
      <c r="F284" s="288">
        <f>F280*E284</f>
        <v>15.12</v>
      </c>
      <c r="G284" s="289"/>
      <c r="H284" s="89">
        <f t="shared" si="43"/>
        <v>0</v>
      </c>
      <c r="I284" s="216"/>
      <c r="J284" s="221">
        <f t="shared" si="44"/>
        <v>0</v>
      </c>
      <c r="K284" s="216"/>
      <c r="L284" s="221">
        <f t="shared" si="38"/>
        <v>0</v>
      </c>
      <c r="M284" s="222">
        <f t="shared" si="45"/>
        <v>0</v>
      </c>
    </row>
    <row r="285" spans="1:13" ht="21" customHeight="1">
      <c r="A285" s="106">
        <f>A284+0.1</f>
        <v>8.4999999999999982</v>
      </c>
      <c r="B285" s="224"/>
      <c r="C285" s="76" t="s">
        <v>119</v>
      </c>
      <c r="D285" s="75" t="s">
        <v>14</v>
      </c>
      <c r="E285" s="316">
        <v>6.4000000000000003E-3</v>
      </c>
      <c r="F285" s="316">
        <f>E285*F280</f>
        <v>9.6767999999999993E-2</v>
      </c>
      <c r="G285" s="230"/>
      <c r="H285" s="89">
        <f t="shared" si="43"/>
        <v>0</v>
      </c>
      <c r="I285" s="216"/>
      <c r="J285" s="221">
        <f t="shared" si="44"/>
        <v>0</v>
      </c>
      <c r="K285" s="216"/>
      <c r="L285" s="221">
        <f t="shared" si="38"/>
        <v>0</v>
      </c>
      <c r="M285" s="222">
        <f t="shared" si="45"/>
        <v>0</v>
      </c>
    </row>
    <row r="286" spans="1:13" s="73" customFormat="1" ht="61.5" customHeight="1">
      <c r="A286" s="218" t="s">
        <v>128</v>
      </c>
      <c r="B286" s="317"/>
      <c r="C286" s="318" t="s">
        <v>181</v>
      </c>
      <c r="D286" s="218" t="s">
        <v>813</v>
      </c>
      <c r="E286" s="282"/>
      <c r="F286" s="104">
        <f>F280</f>
        <v>15.12</v>
      </c>
      <c r="G286" s="284"/>
      <c r="H286" s="89">
        <f t="shared" si="43"/>
        <v>0</v>
      </c>
      <c r="I286" s="277"/>
      <c r="J286" s="221">
        <f t="shared" si="44"/>
        <v>0</v>
      </c>
      <c r="K286" s="277"/>
      <c r="L286" s="221">
        <f t="shared" si="38"/>
        <v>0</v>
      </c>
      <c r="M286" s="222">
        <f t="shared" si="45"/>
        <v>0</v>
      </c>
    </row>
    <row r="287" spans="1:13" s="286" customFormat="1" ht="24.75" customHeight="1">
      <c r="A287" s="106">
        <f>A286+0.1</f>
        <v>9.1</v>
      </c>
      <c r="B287" s="224"/>
      <c r="C287" s="76" t="s">
        <v>23</v>
      </c>
      <c r="D287" s="75" t="s">
        <v>13</v>
      </c>
      <c r="E287" s="290">
        <v>1.54</v>
      </c>
      <c r="F287" s="288">
        <f>E287*F286</f>
        <v>23.284800000000001</v>
      </c>
      <c r="G287" s="289"/>
      <c r="H287" s="89">
        <f t="shared" si="43"/>
        <v>0</v>
      </c>
      <c r="I287" s="216"/>
      <c r="J287" s="221">
        <f t="shared" si="44"/>
        <v>0</v>
      </c>
      <c r="K287" s="285"/>
      <c r="L287" s="221">
        <f t="shared" si="38"/>
        <v>0</v>
      </c>
      <c r="M287" s="222">
        <f t="shared" si="45"/>
        <v>0</v>
      </c>
    </row>
    <row r="288" spans="1:13" ht="24.75" customHeight="1">
      <c r="A288" s="106">
        <f>A287+0.1</f>
        <v>9.1999999999999993</v>
      </c>
      <c r="B288" s="224"/>
      <c r="C288" s="76" t="s">
        <v>117</v>
      </c>
      <c r="D288" s="108" t="s">
        <v>14</v>
      </c>
      <c r="E288" s="315">
        <v>4.1500000000000002E-2</v>
      </c>
      <c r="F288" s="288">
        <f>E288*F286</f>
        <v>0.62748000000000004</v>
      </c>
      <c r="G288" s="230"/>
      <c r="H288" s="89">
        <f t="shared" si="43"/>
        <v>0</v>
      </c>
      <c r="I288" s="216"/>
      <c r="J288" s="221">
        <f t="shared" si="44"/>
        <v>0</v>
      </c>
      <c r="K288" s="89"/>
      <c r="L288" s="221">
        <f t="shared" si="38"/>
        <v>0</v>
      </c>
      <c r="M288" s="222">
        <f t="shared" si="45"/>
        <v>0</v>
      </c>
    </row>
    <row r="289" spans="1:13" ht="24.75" customHeight="1">
      <c r="A289" s="106">
        <f>A288+0.1</f>
        <v>9.2999999999999989</v>
      </c>
      <c r="B289" s="229"/>
      <c r="C289" s="255" t="s">
        <v>182</v>
      </c>
      <c r="D289" s="108" t="s">
        <v>814</v>
      </c>
      <c r="E289" s="290">
        <v>1.02</v>
      </c>
      <c r="F289" s="288">
        <f>E289*F286</f>
        <v>15.4224</v>
      </c>
      <c r="G289" s="289"/>
      <c r="H289" s="89">
        <f t="shared" si="43"/>
        <v>0</v>
      </c>
      <c r="I289" s="216"/>
      <c r="J289" s="221">
        <f t="shared" si="44"/>
        <v>0</v>
      </c>
      <c r="K289" s="216"/>
      <c r="L289" s="221">
        <f t="shared" si="38"/>
        <v>0</v>
      </c>
      <c r="M289" s="222">
        <f t="shared" si="45"/>
        <v>0</v>
      </c>
    </row>
    <row r="290" spans="1:13" ht="24.75" customHeight="1">
      <c r="A290" s="106">
        <f>A289+0.1</f>
        <v>9.3999999999999986</v>
      </c>
      <c r="B290" s="229"/>
      <c r="C290" s="76" t="s">
        <v>83</v>
      </c>
      <c r="D290" s="108" t="s">
        <v>21</v>
      </c>
      <c r="E290" s="290">
        <v>6</v>
      </c>
      <c r="F290" s="288">
        <f>E290*F286</f>
        <v>90.72</v>
      </c>
      <c r="G290" s="289"/>
      <c r="H290" s="89">
        <f t="shared" si="43"/>
        <v>0</v>
      </c>
      <c r="I290" s="216"/>
      <c r="J290" s="221">
        <f t="shared" si="44"/>
        <v>0</v>
      </c>
      <c r="K290" s="216"/>
      <c r="L290" s="221">
        <f t="shared" si="38"/>
        <v>0</v>
      </c>
      <c r="M290" s="222">
        <f t="shared" si="45"/>
        <v>0</v>
      </c>
    </row>
    <row r="291" spans="1:13" ht="24.75" customHeight="1">
      <c r="A291" s="106">
        <f>A290+0.1</f>
        <v>9.4999999999999982</v>
      </c>
      <c r="B291" s="224"/>
      <c r="C291" s="76" t="s">
        <v>119</v>
      </c>
      <c r="D291" s="75" t="s">
        <v>14</v>
      </c>
      <c r="E291" s="315">
        <v>4.6600000000000003E-2</v>
      </c>
      <c r="F291" s="288">
        <f>E291*F286</f>
        <v>0.704592</v>
      </c>
      <c r="G291" s="230"/>
      <c r="H291" s="89">
        <f t="shared" si="43"/>
        <v>0</v>
      </c>
      <c r="I291" s="216"/>
      <c r="J291" s="221">
        <f t="shared" si="44"/>
        <v>0</v>
      </c>
      <c r="K291" s="216"/>
      <c r="L291" s="221">
        <f t="shared" si="38"/>
        <v>0</v>
      </c>
      <c r="M291" s="222">
        <f t="shared" si="45"/>
        <v>0</v>
      </c>
    </row>
    <row r="292" spans="1:13" s="286" customFormat="1" ht="53.25" customHeight="1">
      <c r="A292" s="225">
        <v>10</v>
      </c>
      <c r="B292" s="317"/>
      <c r="C292" s="318" t="s">
        <v>692</v>
      </c>
      <c r="D292" s="218" t="s">
        <v>11</v>
      </c>
      <c r="E292" s="419"/>
      <c r="F292" s="104">
        <v>1</v>
      </c>
      <c r="G292" s="272"/>
      <c r="H292" s="104">
        <f t="shared" ref="H292:H293" si="47">F292*G292</f>
        <v>0</v>
      </c>
      <c r="I292" s="420"/>
      <c r="J292" s="421">
        <f t="shared" ref="J292:J293" si="48">F292*I292</f>
        <v>0</v>
      </c>
      <c r="K292" s="420"/>
      <c r="L292" s="421">
        <f t="shared" ref="L292:L293" si="49">F292*K292</f>
        <v>0</v>
      </c>
      <c r="M292" s="422">
        <f t="shared" ref="M292:M293" si="50">H292+J292+L292</f>
        <v>0</v>
      </c>
    </row>
    <row r="293" spans="1:13" s="286" customFormat="1" ht="43.9" customHeight="1">
      <c r="A293" s="225">
        <v>11</v>
      </c>
      <c r="B293" s="317"/>
      <c r="C293" s="318" t="s">
        <v>693</v>
      </c>
      <c r="D293" s="218" t="s">
        <v>11</v>
      </c>
      <c r="E293" s="419"/>
      <c r="F293" s="104">
        <v>3</v>
      </c>
      <c r="G293" s="272"/>
      <c r="H293" s="104">
        <f t="shared" si="47"/>
        <v>0</v>
      </c>
      <c r="I293" s="420"/>
      <c r="J293" s="421">
        <f t="shared" si="48"/>
        <v>0</v>
      </c>
      <c r="K293" s="420"/>
      <c r="L293" s="421">
        <f t="shared" si="49"/>
        <v>0</v>
      </c>
      <c r="M293" s="422">
        <f t="shared" si="50"/>
        <v>0</v>
      </c>
    </row>
    <row r="294" spans="1:13" ht="21.95" customHeight="1">
      <c r="A294" s="218"/>
      <c r="B294" s="423"/>
      <c r="C294" s="318" t="s">
        <v>191</v>
      </c>
      <c r="D294" s="424" t="s">
        <v>1</v>
      </c>
      <c r="E294" s="287"/>
      <c r="F294" s="290"/>
      <c r="G294" s="289"/>
      <c r="H294" s="422">
        <f>SUM(H9:H293)</f>
        <v>0</v>
      </c>
      <c r="I294" s="216"/>
      <c r="J294" s="422">
        <f>SUM(J9:J293)</f>
        <v>0</v>
      </c>
      <c r="K294" s="216"/>
      <c r="L294" s="422">
        <f>SUM(L9:L293)</f>
        <v>0</v>
      </c>
      <c r="M294" s="422">
        <f>SUM(M9:M293)</f>
        <v>0</v>
      </c>
    </row>
    <row r="295" spans="1:13" ht="21.95" customHeight="1">
      <c r="A295" s="218"/>
      <c r="B295" s="423"/>
      <c r="C295" s="76" t="s">
        <v>192</v>
      </c>
      <c r="D295" s="425" t="s">
        <v>874</v>
      </c>
      <c r="E295" s="287"/>
      <c r="F295" s="1532">
        <v>0</v>
      </c>
      <c r="G295" s="296"/>
      <c r="H295" s="426"/>
      <c r="I295" s="216"/>
      <c r="J295" s="216"/>
      <c r="K295" s="216"/>
      <c r="L295" s="216"/>
      <c r="M295" s="222">
        <f>H294*F295</f>
        <v>0</v>
      </c>
    </row>
    <row r="296" spans="1:13" ht="21.95" customHeight="1">
      <c r="A296" s="218"/>
      <c r="B296" s="423"/>
      <c r="C296" s="76" t="s">
        <v>39</v>
      </c>
      <c r="D296" s="424"/>
      <c r="E296" s="287"/>
      <c r="F296" s="1532"/>
      <c r="G296" s="296"/>
      <c r="H296" s="426"/>
      <c r="I296" s="216"/>
      <c r="J296" s="216"/>
      <c r="K296" s="216"/>
      <c r="L296" s="216"/>
      <c r="M296" s="422">
        <f>M295+M294</f>
        <v>0</v>
      </c>
    </row>
    <row r="297" spans="1:13" ht="21.95" customHeight="1">
      <c r="A297" s="120"/>
      <c r="B297" s="224"/>
      <c r="C297" s="76" t="s">
        <v>193</v>
      </c>
      <c r="D297" s="427" t="s">
        <v>874</v>
      </c>
      <c r="E297" s="287"/>
      <c r="F297" s="1533">
        <v>0</v>
      </c>
      <c r="G297" s="289"/>
      <c r="H297" s="426"/>
      <c r="I297" s="216"/>
      <c r="J297" s="216"/>
      <c r="K297" s="216"/>
      <c r="L297" s="216"/>
      <c r="M297" s="222">
        <f>M296*F297</f>
        <v>0</v>
      </c>
    </row>
    <row r="298" spans="1:13" ht="21.95" customHeight="1">
      <c r="A298" s="120"/>
      <c r="B298" s="224"/>
      <c r="C298" s="76" t="s">
        <v>29</v>
      </c>
      <c r="D298" s="424"/>
      <c r="E298" s="287"/>
      <c r="F298" s="1533"/>
      <c r="G298" s="289"/>
      <c r="H298" s="426"/>
      <c r="I298" s="216"/>
      <c r="J298" s="216"/>
      <c r="K298" s="216"/>
      <c r="L298" s="216"/>
      <c r="M298" s="422">
        <f>M297+M296</f>
        <v>0</v>
      </c>
    </row>
    <row r="299" spans="1:13" ht="21.95" customHeight="1">
      <c r="A299" s="120"/>
      <c r="B299" s="281"/>
      <c r="C299" s="76" t="s">
        <v>30</v>
      </c>
      <c r="D299" s="427" t="s">
        <v>874</v>
      </c>
      <c r="E299" s="287"/>
      <c r="F299" s="1533">
        <v>0</v>
      </c>
      <c r="G299" s="289"/>
      <c r="H299" s="426"/>
      <c r="I299" s="216"/>
      <c r="J299" s="216"/>
      <c r="K299" s="216"/>
      <c r="L299" s="216"/>
      <c r="M299" s="222">
        <f>M298*F299</f>
        <v>0</v>
      </c>
    </row>
    <row r="300" spans="1:13" ht="21.95" customHeight="1">
      <c r="A300" s="75"/>
      <c r="B300" s="281"/>
      <c r="C300" s="121" t="s">
        <v>10</v>
      </c>
      <c r="D300" s="424"/>
      <c r="E300" s="287"/>
      <c r="F300" s="1533"/>
      <c r="G300" s="289"/>
      <c r="H300" s="426"/>
      <c r="I300" s="216"/>
      <c r="J300" s="216"/>
      <c r="K300" s="216"/>
      <c r="L300" s="216"/>
      <c r="M300" s="422">
        <f>M299+M298</f>
        <v>0</v>
      </c>
    </row>
    <row r="301" spans="1:13">
      <c r="A301" s="292"/>
      <c r="B301" s="428"/>
      <c r="C301" s="429"/>
      <c r="D301" s="430"/>
      <c r="E301" s="430"/>
      <c r="F301" s="430"/>
      <c r="G301" s="431"/>
      <c r="H301" s="430"/>
    </row>
    <row r="302" spans="1:13">
      <c r="A302" s="292"/>
      <c r="B302" s="428"/>
    </row>
  </sheetData>
  <mergeCells count="13">
    <mergeCell ref="I5:J5"/>
    <mergeCell ref="K5:L5"/>
    <mergeCell ref="M5:M6"/>
    <mergeCell ref="A1:H1"/>
    <mergeCell ref="A2:H2"/>
    <mergeCell ref="A3:D3"/>
    <mergeCell ref="A4:H4"/>
    <mergeCell ref="A5:A6"/>
    <mergeCell ref="B5:B6"/>
    <mergeCell ref="C5:C6"/>
    <mergeCell ref="D5:D6"/>
    <mergeCell ref="E5:F5"/>
    <mergeCell ref="G5:H5"/>
  </mergeCells>
  <pageMargins left="0.27" right="0.22" top="0.31" bottom="0.24" header="0.25" footer="0.19"/>
  <pageSetup paperSize="9" scale="55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 tint="4.9989318521683403E-2"/>
  </sheetPr>
  <dimension ref="A1:M151"/>
  <sheetViews>
    <sheetView zoomScale="70" zoomScaleNormal="70" zoomScaleSheetLayoutView="85" workbookViewId="0">
      <selection activeCell="K44" sqref="K44"/>
    </sheetView>
  </sheetViews>
  <sheetFormatPr defaultColWidth="9.140625" defaultRowHeight="15.75"/>
  <cols>
    <col min="1" max="1" width="4.7109375" style="3" customWidth="1"/>
    <col min="2" max="2" width="9" style="3" customWidth="1"/>
    <col min="3" max="3" width="56.7109375" style="40" customWidth="1"/>
    <col min="4" max="4" width="10.28515625" style="3" customWidth="1"/>
    <col min="5" max="5" width="14.85546875" style="3" customWidth="1"/>
    <col min="6" max="6" width="14.7109375" style="3" customWidth="1"/>
    <col min="7" max="7" width="9.7109375" style="3" customWidth="1"/>
    <col min="8" max="8" width="11.7109375" style="3" customWidth="1"/>
    <col min="9" max="9" width="9.5703125" style="3" customWidth="1"/>
    <col min="10" max="10" width="10.5703125" style="3" customWidth="1"/>
    <col min="11" max="11" width="9.42578125" style="3" customWidth="1"/>
    <col min="12" max="12" width="10.7109375" style="3" customWidth="1"/>
    <col min="13" max="13" width="12.28515625" style="3" customWidth="1"/>
    <col min="14" max="16384" width="9.140625" style="3"/>
  </cols>
  <sheetData>
    <row r="1" spans="1:13" ht="21.95" customHeight="1">
      <c r="A1" s="1564" t="s">
        <v>771</v>
      </c>
      <c r="B1" s="1564"/>
      <c r="C1" s="1564"/>
      <c r="D1" s="1564"/>
      <c r="E1" s="1564"/>
      <c r="F1" s="1564"/>
      <c r="G1" s="1564"/>
      <c r="H1" s="1564"/>
      <c r="I1" s="56"/>
      <c r="J1" s="74"/>
      <c r="K1" s="74"/>
      <c r="L1" s="74"/>
      <c r="M1" s="74"/>
    </row>
    <row r="2" spans="1:13" ht="21.95" customHeight="1">
      <c r="A2" s="1564" t="s">
        <v>689</v>
      </c>
      <c r="B2" s="1564"/>
      <c r="C2" s="1564"/>
      <c r="D2" s="1564"/>
      <c r="E2" s="1564"/>
      <c r="F2" s="1564"/>
      <c r="G2" s="1564"/>
      <c r="H2" s="1564"/>
      <c r="I2" s="56"/>
      <c r="J2" s="74"/>
      <c r="K2" s="74"/>
      <c r="L2" s="74"/>
      <c r="M2" s="74"/>
    </row>
    <row r="3" spans="1:13" ht="21.95" customHeight="1">
      <c r="A3" s="1661"/>
      <c r="B3" s="1661"/>
      <c r="C3" s="1661"/>
      <c r="D3" s="1661"/>
      <c r="E3" s="1661"/>
      <c r="F3" s="1661"/>
      <c r="G3" s="1661"/>
      <c r="H3" s="1661"/>
      <c r="I3" s="1661"/>
      <c r="J3" s="56"/>
      <c r="K3" s="56"/>
      <c r="L3" s="56"/>
      <c r="M3" s="74"/>
    </row>
    <row r="4" spans="1:13" ht="37.5" customHeight="1">
      <c r="A4" s="1666"/>
      <c r="B4" s="1568" t="s">
        <v>2</v>
      </c>
      <c r="C4" s="1658" t="s">
        <v>3</v>
      </c>
      <c r="D4" s="1570" t="s">
        <v>4</v>
      </c>
      <c r="E4" s="1666" t="s">
        <v>5</v>
      </c>
      <c r="F4" s="1666"/>
      <c r="G4" s="1662" t="s">
        <v>6</v>
      </c>
      <c r="H4" s="1663"/>
      <c r="I4" s="1662" t="s">
        <v>66</v>
      </c>
      <c r="J4" s="1663"/>
      <c r="K4" s="1662" t="s">
        <v>72</v>
      </c>
      <c r="L4" s="1663"/>
      <c r="M4" s="1591" t="s">
        <v>67</v>
      </c>
    </row>
    <row r="5" spans="1:13" ht="69" customHeight="1">
      <c r="A5" s="1666"/>
      <c r="B5" s="1568"/>
      <c r="C5" s="1658"/>
      <c r="D5" s="1570"/>
      <c r="E5" s="147" t="s">
        <v>7</v>
      </c>
      <c r="F5" s="147" t="s">
        <v>8</v>
      </c>
      <c r="G5" s="63" t="s">
        <v>9</v>
      </c>
      <c r="H5" s="80" t="s">
        <v>10</v>
      </c>
      <c r="I5" s="63" t="s">
        <v>9</v>
      </c>
      <c r="J5" s="80" t="s">
        <v>10</v>
      </c>
      <c r="K5" s="63" t="s">
        <v>9</v>
      </c>
      <c r="L5" s="80" t="s">
        <v>10</v>
      </c>
      <c r="M5" s="1591"/>
    </row>
    <row r="6" spans="1:13" ht="18" customHeight="1">
      <c r="A6" s="63">
        <v>1</v>
      </c>
      <c r="B6" s="63">
        <v>2</v>
      </c>
      <c r="C6" s="64">
        <v>3</v>
      </c>
      <c r="D6" s="63">
        <v>4</v>
      </c>
      <c r="E6" s="61">
        <v>5</v>
      </c>
      <c r="F6" s="61">
        <v>6</v>
      </c>
      <c r="G6" s="61">
        <v>7</v>
      </c>
      <c r="H6" s="65">
        <v>8</v>
      </c>
      <c r="I6" s="61">
        <v>9</v>
      </c>
      <c r="J6" s="65">
        <v>10</v>
      </c>
      <c r="K6" s="61">
        <v>11</v>
      </c>
      <c r="L6" s="65">
        <v>12</v>
      </c>
      <c r="M6" s="65">
        <v>13</v>
      </c>
    </row>
    <row r="7" spans="1:13" ht="54.75" customHeight="1">
      <c r="A7" s="63">
        <v>1</v>
      </c>
      <c r="B7" s="67"/>
      <c r="C7" s="68" t="s">
        <v>284</v>
      </c>
      <c r="D7" s="67" t="s">
        <v>49</v>
      </c>
      <c r="E7" s="185"/>
      <c r="F7" s="197">
        <v>1</v>
      </c>
      <c r="G7" s="261"/>
      <c r="H7" s="261"/>
      <c r="I7" s="80"/>
      <c r="J7" s="80"/>
      <c r="K7" s="80"/>
      <c r="L7" s="80"/>
      <c r="M7" s="1289"/>
    </row>
    <row r="8" spans="1:13" ht="20.100000000000001" customHeight="1">
      <c r="A8" s="63">
        <f>A7+0.1</f>
        <v>1.1000000000000001</v>
      </c>
      <c r="B8" s="63"/>
      <c r="C8" s="64" t="s">
        <v>50</v>
      </c>
      <c r="D8" s="63" t="s">
        <v>13</v>
      </c>
      <c r="E8" s="184">
        <v>6.5</v>
      </c>
      <c r="F8" s="153">
        <f>E8*F7</f>
        <v>6.5</v>
      </c>
      <c r="G8" s="261"/>
      <c r="H8" s="80">
        <f>F8*G8</f>
        <v>0</v>
      </c>
      <c r="I8" s="80"/>
      <c r="J8" s="80">
        <f>F8*I8</f>
        <v>0</v>
      </c>
      <c r="K8" s="80"/>
      <c r="L8" s="80"/>
      <c r="M8" s="1289">
        <f>H8+J8+L8</f>
        <v>0</v>
      </c>
    </row>
    <row r="9" spans="1:13" ht="24.75" customHeight="1">
      <c r="A9" s="63">
        <f>A8+0.1</f>
        <v>1.2000000000000002</v>
      </c>
      <c r="B9" s="199"/>
      <c r="C9" s="64" t="s">
        <v>285</v>
      </c>
      <c r="D9" s="63" t="s">
        <v>55</v>
      </c>
      <c r="E9" s="184"/>
      <c r="F9" s="153">
        <v>3</v>
      </c>
      <c r="G9" s="80"/>
      <c r="H9" s="80">
        <f t="shared" ref="H9:H39" si="0">F9*G9</f>
        <v>0</v>
      </c>
      <c r="I9" s="80"/>
      <c r="J9" s="80">
        <f t="shared" ref="J9:J39" si="1">F9*I9</f>
        <v>0</v>
      </c>
      <c r="K9" s="80"/>
      <c r="L9" s="80"/>
      <c r="M9" s="1289">
        <f t="shared" ref="M9:M39" si="2">H9+J9+L9</f>
        <v>0</v>
      </c>
    </row>
    <row r="10" spans="1:13" ht="57.75" customHeight="1">
      <c r="A10" s="63">
        <v>2</v>
      </c>
      <c r="B10" s="67"/>
      <c r="C10" s="68" t="s">
        <v>286</v>
      </c>
      <c r="D10" s="67" t="s">
        <v>68</v>
      </c>
      <c r="E10" s="185"/>
      <c r="F10" s="197">
        <v>1</v>
      </c>
      <c r="G10" s="261"/>
      <c r="H10" s="80">
        <f t="shared" si="0"/>
        <v>0</v>
      </c>
      <c r="I10" s="80"/>
      <c r="J10" s="80">
        <f t="shared" si="1"/>
        <v>0</v>
      </c>
      <c r="K10" s="80"/>
      <c r="L10" s="80"/>
      <c r="M10" s="1289">
        <f t="shared" si="2"/>
        <v>0</v>
      </c>
    </row>
    <row r="11" spans="1:13" ht="20.100000000000001" customHeight="1">
      <c r="A11" s="63">
        <f t="shared" ref="A11:A13" si="3">A10+0.1</f>
        <v>2.1</v>
      </c>
      <c r="B11" s="63"/>
      <c r="C11" s="64" t="s">
        <v>54</v>
      </c>
      <c r="D11" s="63" t="s">
        <v>13</v>
      </c>
      <c r="E11" s="184">
        <v>6.5</v>
      </c>
      <c r="F11" s="153">
        <f>E11*F10</f>
        <v>6.5</v>
      </c>
      <c r="G11" s="261"/>
      <c r="H11" s="80">
        <f t="shared" si="0"/>
        <v>0</v>
      </c>
      <c r="I11" s="80"/>
      <c r="J11" s="80">
        <f t="shared" si="1"/>
        <v>0</v>
      </c>
      <c r="K11" s="80"/>
      <c r="L11" s="80">
        <f>F11*K11</f>
        <v>0</v>
      </c>
      <c r="M11" s="1289">
        <f t="shared" si="2"/>
        <v>0</v>
      </c>
    </row>
    <row r="12" spans="1:13" ht="20.100000000000001" customHeight="1">
      <c r="A12" s="63">
        <f t="shared" si="3"/>
        <v>2.2000000000000002</v>
      </c>
      <c r="B12" s="63"/>
      <c r="C12" s="64" t="s">
        <v>51</v>
      </c>
      <c r="D12" s="63" t="s">
        <v>52</v>
      </c>
      <c r="E12" s="184">
        <v>1.25</v>
      </c>
      <c r="F12" s="153">
        <f>E12*F10</f>
        <v>1.25</v>
      </c>
      <c r="G12" s="261"/>
      <c r="H12" s="80">
        <f t="shared" si="0"/>
        <v>0</v>
      </c>
      <c r="I12" s="80"/>
      <c r="J12" s="80">
        <f t="shared" si="1"/>
        <v>0</v>
      </c>
      <c r="K12" s="80"/>
      <c r="L12" s="80">
        <f t="shared" ref="L12:L39" si="4">F12*K12</f>
        <v>0</v>
      </c>
      <c r="M12" s="1289">
        <f t="shared" si="2"/>
        <v>0</v>
      </c>
    </row>
    <row r="13" spans="1:13" ht="33.75" customHeight="1">
      <c r="A13" s="63">
        <f t="shared" si="3"/>
        <v>2.3000000000000003</v>
      </c>
      <c r="B13" s="63"/>
      <c r="C13" s="64" t="s">
        <v>287</v>
      </c>
      <c r="D13" s="63" t="s">
        <v>49</v>
      </c>
      <c r="E13" s="184"/>
      <c r="F13" s="153">
        <v>1</v>
      </c>
      <c r="G13" s="80"/>
      <c r="H13" s="80">
        <f t="shared" si="0"/>
        <v>0</v>
      </c>
      <c r="I13" s="80"/>
      <c r="J13" s="80">
        <f t="shared" si="1"/>
        <v>0</v>
      </c>
      <c r="K13" s="80"/>
      <c r="L13" s="80">
        <f t="shared" si="4"/>
        <v>0</v>
      </c>
      <c r="M13" s="1289">
        <f t="shared" si="2"/>
        <v>0</v>
      </c>
    </row>
    <row r="14" spans="1:13" ht="50.1" customHeight="1">
      <c r="A14" s="63">
        <v>3</v>
      </c>
      <c r="B14" s="67"/>
      <c r="C14" s="68" t="s">
        <v>288</v>
      </c>
      <c r="D14" s="67" t="s">
        <v>49</v>
      </c>
      <c r="E14" s="185"/>
      <c r="F14" s="197">
        <f>F17+F18</f>
        <v>5</v>
      </c>
      <c r="G14" s="261"/>
      <c r="H14" s="80">
        <f t="shared" si="0"/>
        <v>0</v>
      </c>
      <c r="I14" s="80"/>
      <c r="J14" s="80">
        <f t="shared" si="1"/>
        <v>0</v>
      </c>
      <c r="K14" s="80"/>
      <c r="L14" s="80">
        <f t="shared" si="4"/>
        <v>0</v>
      </c>
      <c r="M14" s="1289">
        <f t="shared" si="2"/>
        <v>0</v>
      </c>
    </row>
    <row r="15" spans="1:13" ht="20.100000000000001" customHeight="1">
      <c r="A15" s="63">
        <f t="shared" ref="A15:A18" si="5">A14+0.1</f>
        <v>3.1</v>
      </c>
      <c r="B15" s="63"/>
      <c r="C15" s="64" t="s">
        <v>54</v>
      </c>
      <c r="D15" s="63" t="s">
        <v>13</v>
      </c>
      <c r="E15" s="186">
        <v>2</v>
      </c>
      <c r="F15" s="153">
        <f>E15*F14</f>
        <v>10</v>
      </c>
      <c r="G15" s="261"/>
      <c r="H15" s="80">
        <f t="shared" si="0"/>
        <v>0</v>
      </c>
      <c r="I15" s="80"/>
      <c r="J15" s="80">
        <f t="shared" si="1"/>
        <v>0</v>
      </c>
      <c r="K15" s="80"/>
      <c r="L15" s="80">
        <f t="shared" si="4"/>
        <v>0</v>
      </c>
      <c r="M15" s="1289">
        <f t="shared" si="2"/>
        <v>0</v>
      </c>
    </row>
    <row r="16" spans="1:13" ht="20.100000000000001" customHeight="1">
      <c r="A16" s="63">
        <f t="shared" si="5"/>
        <v>3.2</v>
      </c>
      <c r="B16" s="63"/>
      <c r="C16" s="64" t="s">
        <v>51</v>
      </c>
      <c r="D16" s="63" t="s">
        <v>52</v>
      </c>
      <c r="E16" s="184">
        <v>0.06</v>
      </c>
      <c r="F16" s="184">
        <f>E16*F14</f>
        <v>0.3</v>
      </c>
      <c r="G16" s="261"/>
      <c r="H16" s="80">
        <f t="shared" si="0"/>
        <v>0</v>
      </c>
      <c r="I16" s="80"/>
      <c r="J16" s="80">
        <f t="shared" si="1"/>
        <v>0</v>
      </c>
      <c r="K16" s="80"/>
      <c r="L16" s="80">
        <f t="shared" si="4"/>
        <v>0</v>
      </c>
      <c r="M16" s="1289">
        <f t="shared" si="2"/>
        <v>0</v>
      </c>
    </row>
    <row r="17" spans="1:13" ht="36" customHeight="1">
      <c r="A17" s="63">
        <f t="shared" si="5"/>
        <v>3.3000000000000003</v>
      </c>
      <c r="B17" s="63"/>
      <c r="C17" s="64" t="s">
        <v>807</v>
      </c>
      <c r="D17" s="63" t="s">
        <v>49</v>
      </c>
      <c r="E17" s="184"/>
      <c r="F17" s="153">
        <v>4</v>
      </c>
      <c r="G17" s="80"/>
      <c r="H17" s="80">
        <f t="shared" ref="H17" si="6">F17*G17</f>
        <v>0</v>
      </c>
      <c r="I17" s="80"/>
      <c r="J17" s="80">
        <f t="shared" ref="J17" si="7">F17*I17</f>
        <v>0</v>
      </c>
      <c r="K17" s="80"/>
      <c r="L17" s="80">
        <f t="shared" ref="L17" si="8">F17*K17</f>
        <v>0</v>
      </c>
      <c r="M17" s="1289">
        <f t="shared" ref="M17" si="9">H17+J17+L17</f>
        <v>0</v>
      </c>
    </row>
    <row r="18" spans="1:13" ht="36" customHeight="1">
      <c r="A18" s="63">
        <f t="shared" si="5"/>
        <v>3.4000000000000004</v>
      </c>
      <c r="B18" s="63"/>
      <c r="C18" s="64" t="s">
        <v>808</v>
      </c>
      <c r="D18" s="63" t="s">
        <v>49</v>
      </c>
      <c r="E18" s="184"/>
      <c r="F18" s="153">
        <v>1</v>
      </c>
      <c r="G18" s="80"/>
      <c r="H18" s="80">
        <f t="shared" si="0"/>
        <v>0</v>
      </c>
      <c r="I18" s="80"/>
      <c r="J18" s="80">
        <f t="shared" si="1"/>
        <v>0</v>
      </c>
      <c r="K18" s="80"/>
      <c r="L18" s="80">
        <f t="shared" si="4"/>
        <v>0</v>
      </c>
      <c r="M18" s="1289">
        <f t="shared" si="2"/>
        <v>0</v>
      </c>
    </row>
    <row r="19" spans="1:13" ht="50.1" customHeight="1">
      <c r="A19" s="63">
        <v>4</v>
      </c>
      <c r="B19" s="67"/>
      <c r="C19" s="68" t="s">
        <v>291</v>
      </c>
      <c r="D19" s="67" t="s">
        <v>56</v>
      </c>
      <c r="E19" s="185" t="s">
        <v>120</v>
      </c>
      <c r="F19" s="150">
        <f>F22/100+F23/100</f>
        <v>0.89999999999999991</v>
      </c>
      <c r="G19" s="261"/>
      <c r="H19" s="80">
        <f t="shared" si="0"/>
        <v>0</v>
      </c>
      <c r="I19" s="80"/>
      <c r="J19" s="80">
        <f t="shared" si="1"/>
        <v>0</v>
      </c>
      <c r="K19" s="80"/>
      <c r="L19" s="80">
        <f t="shared" si="4"/>
        <v>0</v>
      </c>
      <c r="M19" s="1289">
        <f t="shared" si="2"/>
        <v>0</v>
      </c>
    </row>
    <row r="20" spans="1:13" ht="20.100000000000001" customHeight="1">
      <c r="A20" s="63">
        <f>A19+0.1</f>
        <v>4.0999999999999996</v>
      </c>
      <c r="B20" s="63"/>
      <c r="C20" s="64" t="s">
        <v>54</v>
      </c>
      <c r="D20" s="63" t="s">
        <v>13</v>
      </c>
      <c r="E20" s="153">
        <f>13*1.3</f>
        <v>16.900000000000002</v>
      </c>
      <c r="F20" s="153">
        <f>E20*F19</f>
        <v>15.21</v>
      </c>
      <c r="G20" s="261"/>
      <c r="H20" s="80">
        <f t="shared" si="0"/>
        <v>0</v>
      </c>
      <c r="I20" s="80"/>
      <c r="J20" s="80">
        <f t="shared" si="1"/>
        <v>0</v>
      </c>
      <c r="K20" s="80"/>
      <c r="L20" s="80">
        <f t="shared" si="4"/>
        <v>0</v>
      </c>
      <c r="M20" s="1289">
        <f t="shared" si="2"/>
        <v>0</v>
      </c>
    </row>
    <row r="21" spans="1:13" ht="20.100000000000001" customHeight="1">
      <c r="A21" s="63">
        <f>A20+0.1</f>
        <v>4.1999999999999993</v>
      </c>
      <c r="B21" s="63"/>
      <c r="C21" s="64" t="s">
        <v>51</v>
      </c>
      <c r="D21" s="63" t="s">
        <v>52</v>
      </c>
      <c r="E21" s="184">
        <f>3.71*1.3</f>
        <v>4.8230000000000004</v>
      </c>
      <c r="F21" s="153">
        <f>E21*F19</f>
        <v>4.3407</v>
      </c>
      <c r="G21" s="261"/>
      <c r="H21" s="80">
        <f t="shared" si="0"/>
        <v>0</v>
      </c>
      <c r="I21" s="80"/>
      <c r="J21" s="80">
        <f t="shared" si="1"/>
        <v>0</v>
      </c>
      <c r="K21" s="80"/>
      <c r="L21" s="80">
        <f t="shared" si="4"/>
        <v>0</v>
      </c>
      <c r="M21" s="1289">
        <f t="shared" si="2"/>
        <v>0</v>
      </c>
    </row>
    <row r="22" spans="1:13" ht="36" customHeight="1">
      <c r="A22" s="63">
        <f>A21+0.1</f>
        <v>4.2999999999999989</v>
      </c>
      <c r="B22" s="63"/>
      <c r="C22" s="64" t="s">
        <v>292</v>
      </c>
      <c r="D22" s="63" t="s">
        <v>55</v>
      </c>
      <c r="E22" s="184"/>
      <c r="F22" s="153">
        <v>20</v>
      </c>
      <c r="G22" s="80"/>
      <c r="H22" s="80">
        <f t="shared" si="0"/>
        <v>0</v>
      </c>
      <c r="I22" s="80"/>
      <c r="J22" s="80">
        <f t="shared" si="1"/>
        <v>0</v>
      </c>
      <c r="K22" s="80"/>
      <c r="L22" s="80">
        <f t="shared" si="4"/>
        <v>0</v>
      </c>
      <c r="M22" s="1289">
        <f t="shared" si="2"/>
        <v>0</v>
      </c>
    </row>
    <row r="23" spans="1:13" ht="20.100000000000001" customHeight="1">
      <c r="A23" s="63">
        <f>A22+0.1</f>
        <v>4.3999999999999986</v>
      </c>
      <c r="B23" s="63"/>
      <c r="C23" s="64" t="s">
        <v>504</v>
      </c>
      <c r="D23" s="63" t="s">
        <v>55</v>
      </c>
      <c r="E23" s="184"/>
      <c r="F23" s="153">
        <v>70</v>
      </c>
      <c r="G23" s="80"/>
      <c r="H23" s="80">
        <f t="shared" si="0"/>
        <v>0</v>
      </c>
      <c r="I23" s="80"/>
      <c r="J23" s="80">
        <f t="shared" si="1"/>
        <v>0</v>
      </c>
      <c r="K23" s="80"/>
      <c r="L23" s="80">
        <f t="shared" si="4"/>
        <v>0</v>
      </c>
      <c r="M23" s="1289">
        <f t="shared" si="2"/>
        <v>0</v>
      </c>
    </row>
    <row r="24" spans="1:13" ht="50.1" customHeight="1">
      <c r="A24" s="63">
        <v>5</v>
      </c>
      <c r="B24" s="67"/>
      <c r="C24" s="68" t="s">
        <v>294</v>
      </c>
      <c r="D24" s="67" t="s">
        <v>49</v>
      </c>
      <c r="E24" s="185" t="s">
        <v>120</v>
      </c>
      <c r="F24" s="197">
        <v>4</v>
      </c>
      <c r="G24" s="261"/>
      <c r="H24" s="80">
        <f t="shared" si="0"/>
        <v>0</v>
      </c>
      <c r="I24" s="80"/>
      <c r="J24" s="80">
        <f t="shared" si="1"/>
        <v>0</v>
      </c>
      <c r="K24" s="80"/>
      <c r="L24" s="80">
        <f t="shared" si="4"/>
        <v>0</v>
      </c>
      <c r="M24" s="1289">
        <f t="shared" si="2"/>
        <v>0</v>
      </c>
    </row>
    <row r="25" spans="1:13" ht="20.100000000000001" customHeight="1">
      <c r="A25" s="63">
        <f>A24+0.1</f>
        <v>5.0999999999999996</v>
      </c>
      <c r="B25" s="63"/>
      <c r="C25" s="64" t="s">
        <v>54</v>
      </c>
      <c r="D25" s="63" t="s">
        <v>13</v>
      </c>
      <c r="E25" s="153">
        <v>0.68</v>
      </c>
      <c r="F25" s="153">
        <f>E25*F24</f>
        <v>2.72</v>
      </c>
      <c r="G25" s="261"/>
      <c r="H25" s="80">
        <f t="shared" si="0"/>
        <v>0</v>
      </c>
      <c r="I25" s="80"/>
      <c r="J25" s="80">
        <f t="shared" si="1"/>
        <v>0</v>
      </c>
      <c r="K25" s="1289"/>
      <c r="L25" s="80">
        <f t="shared" si="4"/>
        <v>0</v>
      </c>
      <c r="M25" s="1289">
        <f t="shared" si="2"/>
        <v>0</v>
      </c>
    </row>
    <row r="26" spans="1:13" ht="20.100000000000001" customHeight="1">
      <c r="A26" s="63">
        <f>A25+0.1</f>
        <v>5.1999999999999993</v>
      </c>
      <c r="B26" s="63"/>
      <c r="C26" s="64" t="s">
        <v>51</v>
      </c>
      <c r="D26" s="63" t="s">
        <v>52</v>
      </c>
      <c r="E26" s="184">
        <v>0.01</v>
      </c>
      <c r="F26" s="153">
        <f>E26*F24</f>
        <v>0.04</v>
      </c>
      <c r="G26" s="261"/>
      <c r="H26" s="80">
        <f t="shared" si="0"/>
        <v>0</v>
      </c>
      <c r="I26" s="80"/>
      <c r="J26" s="80">
        <f t="shared" si="1"/>
        <v>0</v>
      </c>
      <c r="K26" s="80"/>
      <c r="L26" s="80">
        <f t="shared" si="4"/>
        <v>0</v>
      </c>
      <c r="M26" s="1289">
        <f t="shared" si="2"/>
        <v>0</v>
      </c>
    </row>
    <row r="27" spans="1:13" ht="39.75" customHeight="1">
      <c r="A27" s="63">
        <f>A26+0.1</f>
        <v>5.2999999999999989</v>
      </c>
      <c r="B27" s="63"/>
      <c r="C27" s="64" t="s">
        <v>295</v>
      </c>
      <c r="D27" s="63" t="s">
        <v>49</v>
      </c>
      <c r="E27" s="184"/>
      <c r="F27" s="153">
        <f>F24</f>
        <v>4</v>
      </c>
      <c r="G27" s="80"/>
      <c r="H27" s="80">
        <f t="shared" si="0"/>
        <v>0</v>
      </c>
      <c r="I27" s="80"/>
      <c r="J27" s="80">
        <f t="shared" si="1"/>
        <v>0</v>
      </c>
      <c r="K27" s="1289"/>
      <c r="L27" s="80">
        <f t="shared" si="4"/>
        <v>0</v>
      </c>
      <c r="M27" s="1289">
        <f t="shared" si="2"/>
        <v>0</v>
      </c>
    </row>
    <row r="28" spans="1:13" ht="45" customHeight="1">
      <c r="A28" s="63">
        <v>6</v>
      </c>
      <c r="B28" s="67"/>
      <c r="C28" s="68" t="s">
        <v>296</v>
      </c>
      <c r="D28" s="67" t="s">
        <v>49</v>
      </c>
      <c r="E28" s="185" t="s">
        <v>120</v>
      </c>
      <c r="F28" s="197">
        <v>4</v>
      </c>
      <c r="G28" s="261"/>
      <c r="H28" s="80">
        <f t="shared" si="0"/>
        <v>0</v>
      </c>
      <c r="I28" s="80"/>
      <c r="J28" s="80">
        <f t="shared" si="1"/>
        <v>0</v>
      </c>
      <c r="K28" s="1289"/>
      <c r="L28" s="80">
        <f t="shared" si="4"/>
        <v>0</v>
      </c>
      <c r="M28" s="1289">
        <f t="shared" si="2"/>
        <v>0</v>
      </c>
    </row>
    <row r="29" spans="1:13" ht="20.100000000000001" customHeight="1">
      <c r="A29" s="63">
        <f>A28+0.1</f>
        <v>6.1</v>
      </c>
      <c r="B29" s="63"/>
      <c r="C29" s="64" t="s">
        <v>54</v>
      </c>
      <c r="D29" s="63" t="s">
        <v>13</v>
      </c>
      <c r="E29" s="153">
        <v>0.34</v>
      </c>
      <c r="F29" s="153">
        <f>E29*F28</f>
        <v>1.36</v>
      </c>
      <c r="G29" s="261"/>
      <c r="H29" s="80">
        <f t="shared" si="0"/>
        <v>0</v>
      </c>
      <c r="I29" s="80"/>
      <c r="J29" s="80">
        <f t="shared" si="1"/>
        <v>0</v>
      </c>
      <c r="K29" s="1289"/>
      <c r="L29" s="80">
        <f t="shared" si="4"/>
        <v>0</v>
      </c>
      <c r="M29" s="1289">
        <f t="shared" si="2"/>
        <v>0</v>
      </c>
    </row>
    <row r="30" spans="1:13" ht="20.100000000000001" customHeight="1">
      <c r="A30" s="63">
        <f>A29+0.1</f>
        <v>6.1999999999999993</v>
      </c>
      <c r="B30" s="63"/>
      <c r="C30" s="64" t="s">
        <v>51</v>
      </c>
      <c r="D30" s="63" t="s">
        <v>52</v>
      </c>
      <c r="E30" s="184">
        <v>0.01</v>
      </c>
      <c r="F30" s="153">
        <f>E30*F28</f>
        <v>0.04</v>
      </c>
      <c r="G30" s="261"/>
      <c r="H30" s="80">
        <f t="shared" si="0"/>
        <v>0</v>
      </c>
      <c r="I30" s="80"/>
      <c r="J30" s="80">
        <f t="shared" si="1"/>
        <v>0</v>
      </c>
      <c r="K30" s="80"/>
      <c r="L30" s="80">
        <f t="shared" si="4"/>
        <v>0</v>
      </c>
      <c r="M30" s="1289">
        <f t="shared" si="2"/>
        <v>0</v>
      </c>
    </row>
    <row r="31" spans="1:13" ht="37.5" customHeight="1">
      <c r="A31" s="63">
        <f>A30+0.1</f>
        <v>6.2999999999999989</v>
      </c>
      <c r="B31" s="63"/>
      <c r="C31" s="64" t="s">
        <v>297</v>
      </c>
      <c r="D31" s="63" t="s">
        <v>49</v>
      </c>
      <c r="E31" s="184"/>
      <c r="F31" s="153">
        <v>4</v>
      </c>
      <c r="G31" s="80"/>
      <c r="H31" s="80">
        <f t="shared" si="0"/>
        <v>0</v>
      </c>
      <c r="I31" s="80"/>
      <c r="J31" s="80">
        <f t="shared" si="1"/>
        <v>0</v>
      </c>
      <c r="K31" s="1289"/>
      <c r="L31" s="80">
        <f t="shared" si="4"/>
        <v>0</v>
      </c>
      <c r="M31" s="1289">
        <f t="shared" si="2"/>
        <v>0</v>
      </c>
    </row>
    <row r="32" spans="1:13" s="26" customFormat="1" ht="53.25" customHeight="1">
      <c r="A32" s="81">
        <v>3</v>
      </c>
      <c r="B32" s="200"/>
      <c r="C32" s="201" t="s">
        <v>505</v>
      </c>
      <c r="D32" s="67" t="s">
        <v>11</v>
      </c>
      <c r="E32" s="185"/>
      <c r="F32" s="150">
        <v>3</v>
      </c>
      <c r="G32" s="1498"/>
      <c r="H32" s="1332">
        <f t="shared" si="0"/>
        <v>0</v>
      </c>
      <c r="I32" s="1495"/>
      <c r="J32" s="1493">
        <f t="shared" si="1"/>
        <v>0</v>
      </c>
      <c r="K32" s="1495"/>
      <c r="L32" s="1493">
        <f t="shared" si="4"/>
        <v>0</v>
      </c>
      <c r="M32" s="1493">
        <f t="shared" si="2"/>
        <v>0</v>
      </c>
    </row>
    <row r="33" spans="1:13" s="26" customFormat="1" ht="19.899999999999999" customHeight="1">
      <c r="A33" s="202">
        <f>A32+0.1</f>
        <v>3.1</v>
      </c>
      <c r="B33" s="115"/>
      <c r="C33" s="203" t="s">
        <v>50</v>
      </c>
      <c r="D33" s="63" t="s">
        <v>60</v>
      </c>
      <c r="E33" s="184">
        <v>0.5</v>
      </c>
      <c r="F33" s="153">
        <f>F32*E33</f>
        <v>1.5</v>
      </c>
      <c r="G33" s="1332"/>
      <c r="H33" s="1332">
        <f t="shared" si="0"/>
        <v>0</v>
      </c>
      <c r="I33" s="1495"/>
      <c r="J33" s="1493">
        <f t="shared" si="1"/>
        <v>0</v>
      </c>
      <c r="K33" s="1495"/>
      <c r="L33" s="1493">
        <f t="shared" si="4"/>
        <v>0</v>
      </c>
      <c r="M33" s="1493">
        <f t="shared" si="2"/>
        <v>0</v>
      </c>
    </row>
    <row r="34" spans="1:13" s="26" customFormat="1" ht="19.899999999999999" customHeight="1">
      <c r="A34" s="202">
        <f>A33+0.1</f>
        <v>3.2</v>
      </c>
      <c r="B34" s="131"/>
      <c r="C34" s="184" t="s">
        <v>506</v>
      </c>
      <c r="D34" s="63" t="s">
        <v>11</v>
      </c>
      <c r="E34" s="154">
        <v>1</v>
      </c>
      <c r="F34" s="196">
        <f>E34*F32</f>
        <v>3</v>
      </c>
      <c r="G34" s="1493"/>
      <c r="H34" s="1332">
        <f t="shared" si="0"/>
        <v>0</v>
      </c>
      <c r="I34" s="1495"/>
      <c r="J34" s="1493">
        <f t="shared" si="1"/>
        <v>0</v>
      </c>
      <c r="K34" s="1495"/>
      <c r="L34" s="1493">
        <f t="shared" si="4"/>
        <v>0</v>
      </c>
      <c r="M34" s="1493">
        <f t="shared" si="2"/>
        <v>0</v>
      </c>
    </row>
    <row r="35" spans="1:13" s="26" customFormat="1" ht="19.899999999999999" customHeight="1">
      <c r="A35" s="202">
        <f>A34+0.1</f>
        <v>3.3000000000000003</v>
      </c>
      <c r="B35" s="63"/>
      <c r="C35" s="184" t="s">
        <v>70</v>
      </c>
      <c r="D35" s="63" t="s">
        <v>14</v>
      </c>
      <c r="E35" s="204">
        <v>0.2</v>
      </c>
      <c r="F35" s="153">
        <f>F32*E35</f>
        <v>0.60000000000000009</v>
      </c>
      <c r="G35" s="1493"/>
      <c r="H35" s="1332">
        <f t="shared" si="0"/>
        <v>0</v>
      </c>
      <c r="I35" s="1495"/>
      <c r="J35" s="1493">
        <f t="shared" si="1"/>
        <v>0</v>
      </c>
      <c r="K35" s="1495"/>
      <c r="L35" s="1493">
        <f t="shared" si="4"/>
        <v>0</v>
      </c>
      <c r="M35" s="1493">
        <f t="shared" si="2"/>
        <v>0</v>
      </c>
    </row>
    <row r="36" spans="1:13" ht="57" customHeight="1">
      <c r="A36" s="63">
        <v>7</v>
      </c>
      <c r="B36" s="67"/>
      <c r="C36" s="68" t="s">
        <v>507</v>
      </c>
      <c r="D36" s="67" t="s">
        <v>49</v>
      </c>
      <c r="E36" s="185"/>
      <c r="F36" s="197">
        <v>6</v>
      </c>
      <c r="G36" s="261"/>
      <c r="H36" s="80">
        <f t="shared" si="0"/>
        <v>0</v>
      </c>
      <c r="I36" s="80"/>
      <c r="J36" s="80">
        <f t="shared" si="1"/>
        <v>0</v>
      </c>
      <c r="K36" s="1289"/>
      <c r="L36" s="80">
        <f t="shared" si="4"/>
        <v>0</v>
      </c>
      <c r="M36" s="1289">
        <f t="shared" si="2"/>
        <v>0</v>
      </c>
    </row>
    <row r="37" spans="1:13" ht="19.899999999999999" customHeight="1">
      <c r="A37" s="63">
        <f>A36+0.1</f>
        <v>7.1</v>
      </c>
      <c r="B37" s="63"/>
      <c r="C37" s="64" t="s">
        <v>50</v>
      </c>
      <c r="D37" s="63" t="s">
        <v>13</v>
      </c>
      <c r="E37" s="153">
        <v>1.03</v>
      </c>
      <c r="F37" s="153">
        <f>F36*E37</f>
        <v>6.18</v>
      </c>
      <c r="G37" s="80"/>
      <c r="H37" s="80">
        <f t="shared" si="0"/>
        <v>0</v>
      </c>
      <c r="I37" s="80"/>
      <c r="J37" s="80">
        <f t="shared" si="1"/>
        <v>0</v>
      </c>
      <c r="K37" s="1289"/>
      <c r="L37" s="80">
        <f t="shared" si="4"/>
        <v>0</v>
      </c>
      <c r="M37" s="1289">
        <f t="shared" si="2"/>
        <v>0</v>
      </c>
    </row>
    <row r="38" spans="1:13" ht="19.899999999999999" customHeight="1">
      <c r="A38" s="63">
        <f>A37+0.1</f>
        <v>7.1999999999999993</v>
      </c>
      <c r="B38" s="63"/>
      <c r="C38" s="64" t="s">
        <v>51</v>
      </c>
      <c r="D38" s="63" t="s">
        <v>52</v>
      </c>
      <c r="E38" s="184">
        <v>0.57999999999999996</v>
      </c>
      <c r="F38" s="153">
        <f>E38*F36</f>
        <v>3.4799999999999995</v>
      </c>
      <c r="G38" s="80"/>
      <c r="H38" s="80">
        <f t="shared" si="0"/>
        <v>0</v>
      </c>
      <c r="I38" s="80"/>
      <c r="J38" s="80">
        <f t="shared" si="1"/>
        <v>0</v>
      </c>
      <c r="K38" s="80"/>
      <c r="L38" s="80">
        <f t="shared" si="4"/>
        <v>0</v>
      </c>
      <c r="M38" s="1289">
        <f t="shared" si="2"/>
        <v>0</v>
      </c>
    </row>
    <row r="39" spans="1:13" ht="19.899999999999999" customHeight="1">
      <c r="A39" s="63">
        <f t="shared" ref="A39" si="10">A38+0.1</f>
        <v>7.2999999999999989</v>
      </c>
      <c r="B39" s="63"/>
      <c r="C39" s="64" t="s">
        <v>508</v>
      </c>
      <c r="D39" s="63" t="s">
        <v>49</v>
      </c>
      <c r="E39" s="184"/>
      <c r="F39" s="153">
        <f>F36</f>
        <v>6</v>
      </c>
      <c r="G39" s="80"/>
      <c r="H39" s="80">
        <f t="shared" si="0"/>
        <v>0</v>
      </c>
      <c r="I39" s="80"/>
      <c r="J39" s="80">
        <f t="shared" si="1"/>
        <v>0</v>
      </c>
      <c r="K39" s="1289"/>
      <c r="L39" s="80">
        <f t="shared" si="4"/>
        <v>0</v>
      </c>
      <c r="M39" s="1289">
        <f t="shared" si="2"/>
        <v>0</v>
      </c>
    </row>
    <row r="40" spans="1:13" ht="19.899999999999999" customHeight="1">
      <c r="A40" s="63"/>
      <c r="B40" s="63"/>
      <c r="C40" s="64" t="s">
        <v>39</v>
      </c>
      <c r="D40" s="63" t="s">
        <v>14</v>
      </c>
      <c r="E40" s="184"/>
      <c r="F40" s="184"/>
      <c r="G40" s="80"/>
      <c r="H40" s="261">
        <f>SUM(H8:H39)</f>
        <v>0</v>
      </c>
      <c r="I40" s="80"/>
      <c r="J40" s="261">
        <f>SUM(J8:J39)</f>
        <v>0</v>
      </c>
      <c r="K40" s="1289"/>
      <c r="L40" s="261">
        <f>SUM(L8:L39)</f>
        <v>0</v>
      </c>
      <c r="M40" s="261">
        <f>SUM(M8:M39)</f>
        <v>0</v>
      </c>
    </row>
    <row r="41" spans="1:13" ht="19.899999999999999" customHeight="1">
      <c r="A41" s="199"/>
      <c r="B41" s="63"/>
      <c r="C41" s="64" t="s">
        <v>247</v>
      </c>
      <c r="D41" s="137" t="s">
        <v>874</v>
      </c>
      <c r="E41" s="184"/>
      <c r="F41" s="198">
        <v>0</v>
      </c>
      <c r="G41" s="80"/>
      <c r="H41" s="80"/>
      <c r="I41" s="80"/>
      <c r="J41" s="1289"/>
      <c r="K41" s="1289"/>
      <c r="L41" s="1289"/>
      <c r="M41" s="1289">
        <f>H40*F41</f>
        <v>0</v>
      </c>
    </row>
    <row r="42" spans="1:13" ht="19.899999999999999" customHeight="1">
      <c r="A42" s="199"/>
      <c r="B42" s="63"/>
      <c r="C42" s="64" t="s">
        <v>39</v>
      </c>
      <c r="D42" s="63"/>
      <c r="E42" s="184"/>
      <c r="F42" s="198"/>
      <c r="G42" s="80"/>
      <c r="H42" s="80"/>
      <c r="I42" s="80"/>
      <c r="J42" s="1289"/>
      <c r="K42" s="1289"/>
      <c r="L42" s="1289"/>
      <c r="M42" s="1289">
        <f>M41+M40</f>
        <v>0</v>
      </c>
    </row>
    <row r="43" spans="1:13" ht="30" customHeight="1">
      <c r="A43" s="63"/>
      <c r="B43" s="205"/>
      <c r="C43" s="64" t="s">
        <v>298</v>
      </c>
      <c r="D43" s="137" t="s">
        <v>874</v>
      </c>
      <c r="E43" s="184"/>
      <c r="F43" s="198">
        <v>0</v>
      </c>
      <c r="G43" s="80"/>
      <c r="H43" s="80"/>
      <c r="I43" s="80"/>
      <c r="J43" s="1289"/>
      <c r="K43" s="1289"/>
      <c r="L43" s="1289"/>
      <c r="M43" s="1289">
        <f>J40*F43</f>
        <v>0</v>
      </c>
    </row>
    <row r="44" spans="1:13" ht="19.899999999999999" customHeight="1">
      <c r="A44" s="63"/>
      <c r="B44" s="206"/>
      <c r="C44" s="64" t="s">
        <v>39</v>
      </c>
      <c r="D44" s="63"/>
      <c r="E44" s="184"/>
      <c r="F44" s="198"/>
      <c r="G44" s="80"/>
      <c r="H44" s="80"/>
      <c r="I44" s="80"/>
      <c r="J44" s="1289"/>
      <c r="K44" s="1289"/>
      <c r="L44" s="1289"/>
      <c r="M44" s="1289">
        <f>M43+M42</f>
        <v>0</v>
      </c>
    </row>
    <row r="45" spans="1:13" ht="19.899999999999999" customHeight="1">
      <c r="A45" s="63"/>
      <c r="B45" s="63"/>
      <c r="C45" s="64" t="s">
        <v>299</v>
      </c>
      <c r="D45" s="137" t="s">
        <v>874</v>
      </c>
      <c r="E45" s="184"/>
      <c r="F45" s="198">
        <v>0</v>
      </c>
      <c r="G45" s="80"/>
      <c r="H45" s="80"/>
      <c r="I45" s="80"/>
      <c r="J45" s="1289"/>
      <c r="K45" s="1289"/>
      <c r="L45" s="1289"/>
      <c r="M45" s="1289">
        <f>M44*F45</f>
        <v>0</v>
      </c>
    </row>
    <row r="46" spans="1:13" ht="19.899999999999999" customHeight="1">
      <c r="A46" s="63"/>
      <c r="B46" s="63"/>
      <c r="C46" s="64" t="s">
        <v>10</v>
      </c>
      <c r="D46" s="63"/>
      <c r="E46" s="184"/>
      <c r="F46" s="184"/>
      <c r="G46" s="80"/>
      <c r="H46" s="80"/>
      <c r="I46" s="80"/>
      <c r="J46" s="1289"/>
      <c r="K46" s="1289"/>
      <c r="L46" s="1289"/>
      <c r="M46" s="1289">
        <f>M45+M44</f>
        <v>0</v>
      </c>
    </row>
    <row r="47" spans="1:13" ht="16.5" customHeight="1">
      <c r="A47" s="33"/>
      <c r="B47" s="33"/>
      <c r="C47" s="32"/>
      <c r="D47" s="33"/>
      <c r="E47" s="1671"/>
      <c r="F47" s="1671"/>
      <c r="G47" s="1671"/>
      <c r="H47" s="29"/>
      <c r="I47" s="31"/>
    </row>
    <row r="48" spans="1:13" ht="16.5" customHeight="1">
      <c r="A48" s="30"/>
      <c r="B48" s="30"/>
      <c r="C48" s="32"/>
      <c r="D48" s="33"/>
      <c r="E48" s="1672"/>
      <c r="F48" s="1672"/>
      <c r="G48" s="1672"/>
      <c r="H48" s="29"/>
      <c r="I48" s="31"/>
    </row>
    <row r="49" ht="54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54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54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54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54" customHeight="1"/>
    <row r="78" ht="16.5" customHeight="1"/>
    <row r="79" ht="16.5" customHeight="1"/>
    <row r="80" ht="16.5" customHeight="1"/>
    <row r="81" ht="16.5" customHeight="1"/>
    <row r="82" ht="54" customHeight="1"/>
    <row r="83" ht="16.5" customHeight="1"/>
    <row r="84" ht="16.5" customHeight="1"/>
    <row r="85" ht="16.5" customHeight="1"/>
    <row r="86" ht="16.5" customHeight="1"/>
    <row r="87" ht="54" customHeight="1"/>
    <row r="88" ht="16.5" customHeight="1"/>
    <row r="89" ht="16.5" customHeight="1"/>
    <row r="90" ht="16.5" customHeight="1"/>
    <row r="91" ht="16.5" customHeight="1"/>
    <row r="92" ht="54" customHeight="1"/>
    <row r="93" ht="16.5" customHeight="1"/>
    <row r="94" ht="16.5" customHeight="1"/>
    <row r="95" ht="16.5" customHeight="1"/>
    <row r="96" ht="16.5" customHeight="1"/>
    <row r="97" ht="54" customHeight="1"/>
    <row r="98" ht="16.5" customHeight="1"/>
    <row r="99" ht="16.5" customHeight="1"/>
    <row r="100" ht="16.5" customHeight="1"/>
    <row r="101" ht="16.5" customHeight="1"/>
    <row r="102" ht="54" customHeight="1"/>
    <row r="103" ht="16.5" customHeight="1"/>
    <row r="104" ht="16.5" customHeight="1"/>
    <row r="105" ht="16.5" customHeight="1"/>
    <row r="106" ht="16.5" customHeight="1"/>
    <row r="107" ht="54" customHeight="1"/>
    <row r="108" ht="16.5" customHeight="1"/>
    <row r="109" ht="16.5" customHeight="1"/>
    <row r="110" ht="16.5" customHeight="1"/>
    <row r="111" ht="16.5" customHeight="1"/>
    <row r="112" ht="54" customHeight="1"/>
    <row r="113" ht="16.5" customHeight="1"/>
    <row r="114" ht="16.5" customHeight="1"/>
    <row r="115" ht="16.5" customHeight="1"/>
    <row r="116" ht="16.5" customHeight="1"/>
    <row r="117" ht="54" customHeight="1"/>
    <row r="118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54" customHeight="1"/>
    <row r="127" ht="16.5" customHeight="1"/>
    <row r="128" ht="16.5" customHeight="1"/>
    <row r="129" ht="16.5" customHeight="1"/>
    <row r="130" ht="16.5" customHeight="1"/>
    <row r="131" ht="54" customHeight="1"/>
    <row r="132" ht="16.5" customHeight="1"/>
    <row r="133" ht="16.5" customHeight="1"/>
    <row r="134" ht="16.5" customHeight="1"/>
    <row r="135" ht="16.5" customHeight="1"/>
    <row r="136" ht="54" customHeight="1"/>
    <row r="137" ht="16.5" customHeight="1"/>
    <row r="138" ht="16.5" customHeight="1"/>
    <row r="139" ht="16.5" customHeight="1"/>
    <row r="140" ht="16.5" customHeight="1"/>
    <row r="142" ht="16.5" customHeight="1"/>
    <row r="143" ht="16.5" customHeight="1"/>
    <row r="144" ht="16.5" customHeight="1"/>
    <row r="145" ht="16.5" customHeight="1"/>
    <row r="146" ht="16.5" customHeight="1"/>
    <row r="148" ht="21" customHeight="1"/>
    <row r="151" ht="16.5" customHeight="1"/>
  </sheetData>
  <mergeCells count="14">
    <mergeCell ref="K4:L4"/>
    <mergeCell ref="M4:M5"/>
    <mergeCell ref="E47:G47"/>
    <mergeCell ref="E48:G48"/>
    <mergeCell ref="A1:H1"/>
    <mergeCell ref="A2:H2"/>
    <mergeCell ref="A3:I3"/>
    <mergeCell ref="A4:A5"/>
    <mergeCell ref="B4:B5"/>
    <mergeCell ref="C4:C5"/>
    <mergeCell ref="D4:D5"/>
    <mergeCell ref="E4:F4"/>
    <mergeCell ref="G4:H4"/>
    <mergeCell ref="I4:J4"/>
  </mergeCells>
  <pageMargins left="0.25" right="0.23" top="0.31" bottom="0.75" header="0.12" footer="0.3"/>
  <pageSetup paperSize="9" scale="72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4.9989318521683403E-2"/>
  </sheetPr>
  <dimension ref="A1:M152"/>
  <sheetViews>
    <sheetView zoomScale="70" zoomScaleNormal="70" zoomScaleSheetLayoutView="70" workbookViewId="0">
      <selection activeCell="K158" sqref="K158:L158"/>
    </sheetView>
  </sheetViews>
  <sheetFormatPr defaultRowHeight="15.75"/>
  <cols>
    <col min="1" max="1" width="6.140625" style="34" customWidth="1"/>
    <col min="2" max="2" width="10" style="3" customWidth="1"/>
    <col min="3" max="3" width="50.5703125" style="36" customWidth="1"/>
    <col min="4" max="4" width="12.28515625" style="10" customWidth="1"/>
    <col min="5" max="5" width="11.28515625" style="10" customWidth="1"/>
    <col min="6" max="6" width="12.7109375" style="13" customWidth="1"/>
    <col min="7" max="7" width="10.85546875" style="10" customWidth="1"/>
    <col min="8" max="8" width="13" style="14" customWidth="1"/>
    <col min="9" max="9" width="9" style="3" customWidth="1"/>
    <col min="10" max="10" width="12.5703125" style="10" customWidth="1"/>
    <col min="11" max="11" width="9.140625" style="10" customWidth="1"/>
    <col min="12" max="12" width="12.7109375" style="3" customWidth="1"/>
    <col min="13" max="13" width="13.7109375" style="3" customWidth="1"/>
    <col min="14" max="239" width="8.85546875" style="3"/>
    <col min="240" max="240" width="4.7109375" style="3" customWidth="1"/>
    <col min="241" max="241" width="17.85546875" style="3" customWidth="1"/>
    <col min="242" max="242" width="41.28515625" style="3" customWidth="1"/>
    <col min="243" max="243" width="8.140625" style="3" customWidth="1"/>
    <col min="244" max="244" width="7.85546875" style="3" customWidth="1"/>
    <col min="245" max="245" width="7.7109375" style="3" bestFit="1" customWidth="1"/>
    <col min="246" max="246" width="8.140625" style="3" customWidth="1"/>
    <col min="247" max="247" width="9.28515625" style="3" customWidth="1"/>
    <col min="248" max="248" width="9.28515625" style="3" bestFit="1" customWidth="1"/>
    <col min="249" max="250" width="8.85546875" style="3"/>
    <col min="251" max="251" width="9.28515625" style="3" bestFit="1" customWidth="1"/>
    <col min="252" max="252" width="9.7109375" style="3" bestFit="1" customWidth="1"/>
    <col min="253" max="495" width="8.85546875" style="3"/>
    <col min="496" max="496" width="4.7109375" style="3" customWidth="1"/>
    <col min="497" max="497" width="17.85546875" style="3" customWidth="1"/>
    <col min="498" max="498" width="41.28515625" style="3" customWidth="1"/>
    <col min="499" max="499" width="8.140625" style="3" customWidth="1"/>
    <col min="500" max="500" width="7.85546875" style="3" customWidth="1"/>
    <col min="501" max="501" width="7.7109375" style="3" bestFit="1" customWidth="1"/>
    <col min="502" max="502" width="8.140625" style="3" customWidth="1"/>
    <col min="503" max="503" width="9.28515625" style="3" customWidth="1"/>
    <col min="504" max="504" width="9.28515625" style="3" bestFit="1" customWidth="1"/>
    <col min="505" max="506" width="8.85546875" style="3"/>
    <col min="507" max="507" width="9.28515625" style="3" bestFit="1" customWidth="1"/>
    <col min="508" max="508" width="9.7109375" style="3" bestFit="1" customWidth="1"/>
    <col min="509" max="751" width="8.85546875" style="3"/>
    <col min="752" max="752" width="4.7109375" style="3" customWidth="1"/>
    <col min="753" max="753" width="17.85546875" style="3" customWidth="1"/>
    <col min="754" max="754" width="41.28515625" style="3" customWidth="1"/>
    <col min="755" max="755" width="8.140625" style="3" customWidth="1"/>
    <col min="756" max="756" width="7.85546875" style="3" customWidth="1"/>
    <col min="757" max="757" width="7.7109375" style="3" bestFit="1" customWidth="1"/>
    <col min="758" max="758" width="8.140625" style="3" customWidth="1"/>
    <col min="759" max="759" width="9.28515625" style="3" customWidth="1"/>
    <col min="760" max="760" width="9.28515625" style="3" bestFit="1" customWidth="1"/>
    <col min="761" max="762" width="8.85546875" style="3"/>
    <col min="763" max="763" width="9.28515625" style="3" bestFit="1" customWidth="1"/>
    <col min="764" max="764" width="9.7109375" style="3" bestFit="1" customWidth="1"/>
    <col min="765" max="1007" width="8.85546875" style="3"/>
    <col min="1008" max="1008" width="4.7109375" style="3" customWidth="1"/>
    <col min="1009" max="1009" width="17.85546875" style="3" customWidth="1"/>
    <col min="1010" max="1010" width="41.28515625" style="3" customWidth="1"/>
    <col min="1011" max="1011" width="8.140625" style="3" customWidth="1"/>
    <col min="1012" max="1012" width="7.85546875" style="3" customWidth="1"/>
    <col min="1013" max="1013" width="7.7109375" style="3" bestFit="1" customWidth="1"/>
    <col min="1014" max="1014" width="8.140625" style="3" customWidth="1"/>
    <col min="1015" max="1015" width="9.28515625" style="3" customWidth="1"/>
    <col min="1016" max="1016" width="9.28515625" style="3" bestFit="1" customWidth="1"/>
    <col min="1017" max="1018" width="8.85546875" style="3"/>
    <col min="1019" max="1019" width="9.28515625" style="3" bestFit="1" customWidth="1"/>
    <col min="1020" max="1020" width="9.7109375" style="3" bestFit="1" customWidth="1"/>
    <col min="1021" max="1263" width="8.85546875" style="3"/>
    <col min="1264" max="1264" width="4.7109375" style="3" customWidth="1"/>
    <col min="1265" max="1265" width="17.85546875" style="3" customWidth="1"/>
    <col min="1266" max="1266" width="41.28515625" style="3" customWidth="1"/>
    <col min="1267" max="1267" width="8.140625" style="3" customWidth="1"/>
    <col min="1268" max="1268" width="7.85546875" style="3" customWidth="1"/>
    <col min="1269" max="1269" width="7.7109375" style="3" bestFit="1" customWidth="1"/>
    <col min="1270" max="1270" width="8.140625" style="3" customWidth="1"/>
    <col min="1271" max="1271" width="9.28515625" style="3" customWidth="1"/>
    <col min="1272" max="1272" width="9.28515625" style="3" bestFit="1" customWidth="1"/>
    <col min="1273" max="1274" width="8.85546875" style="3"/>
    <col min="1275" max="1275" width="9.28515625" style="3" bestFit="1" customWidth="1"/>
    <col min="1276" max="1276" width="9.7109375" style="3" bestFit="1" customWidth="1"/>
    <col min="1277" max="1519" width="8.85546875" style="3"/>
    <col min="1520" max="1520" width="4.7109375" style="3" customWidth="1"/>
    <col min="1521" max="1521" width="17.85546875" style="3" customWidth="1"/>
    <col min="1522" max="1522" width="41.28515625" style="3" customWidth="1"/>
    <col min="1523" max="1523" width="8.140625" style="3" customWidth="1"/>
    <col min="1524" max="1524" width="7.85546875" style="3" customWidth="1"/>
    <col min="1525" max="1525" width="7.7109375" style="3" bestFit="1" customWidth="1"/>
    <col min="1526" max="1526" width="8.140625" style="3" customWidth="1"/>
    <col min="1527" max="1527" width="9.28515625" style="3" customWidth="1"/>
    <col min="1528" max="1528" width="9.28515625" style="3" bestFit="1" customWidth="1"/>
    <col min="1529" max="1530" width="8.85546875" style="3"/>
    <col min="1531" max="1531" width="9.28515625" style="3" bestFit="1" customWidth="1"/>
    <col min="1532" max="1532" width="9.7109375" style="3" bestFit="1" customWidth="1"/>
    <col min="1533" max="1775" width="8.85546875" style="3"/>
    <col min="1776" max="1776" width="4.7109375" style="3" customWidth="1"/>
    <col min="1777" max="1777" width="17.85546875" style="3" customWidth="1"/>
    <col min="1778" max="1778" width="41.28515625" style="3" customWidth="1"/>
    <col min="1779" max="1779" width="8.140625" style="3" customWidth="1"/>
    <col min="1780" max="1780" width="7.85546875" style="3" customWidth="1"/>
    <col min="1781" max="1781" width="7.7109375" style="3" bestFit="1" customWidth="1"/>
    <col min="1782" max="1782" width="8.140625" style="3" customWidth="1"/>
    <col min="1783" max="1783" width="9.28515625" style="3" customWidth="1"/>
    <col min="1784" max="1784" width="9.28515625" style="3" bestFit="1" customWidth="1"/>
    <col min="1785" max="1786" width="8.85546875" style="3"/>
    <col min="1787" max="1787" width="9.28515625" style="3" bestFit="1" customWidth="1"/>
    <col min="1788" max="1788" width="9.7109375" style="3" bestFit="1" customWidth="1"/>
    <col min="1789" max="2031" width="8.85546875" style="3"/>
    <col min="2032" max="2032" width="4.7109375" style="3" customWidth="1"/>
    <col min="2033" max="2033" width="17.85546875" style="3" customWidth="1"/>
    <col min="2034" max="2034" width="41.28515625" style="3" customWidth="1"/>
    <col min="2035" max="2035" width="8.140625" style="3" customWidth="1"/>
    <col min="2036" max="2036" width="7.85546875" style="3" customWidth="1"/>
    <col min="2037" max="2037" width="7.7109375" style="3" bestFit="1" customWidth="1"/>
    <col min="2038" max="2038" width="8.140625" style="3" customWidth="1"/>
    <col min="2039" max="2039" width="9.28515625" style="3" customWidth="1"/>
    <col min="2040" max="2040" width="9.28515625" style="3" bestFit="1" customWidth="1"/>
    <col min="2041" max="2042" width="8.85546875" style="3"/>
    <col min="2043" max="2043" width="9.28515625" style="3" bestFit="1" customWidth="1"/>
    <col min="2044" max="2044" width="9.7109375" style="3" bestFit="1" customWidth="1"/>
    <col min="2045" max="2287" width="8.85546875" style="3"/>
    <col min="2288" max="2288" width="4.7109375" style="3" customWidth="1"/>
    <col min="2289" max="2289" width="17.85546875" style="3" customWidth="1"/>
    <col min="2290" max="2290" width="41.28515625" style="3" customWidth="1"/>
    <col min="2291" max="2291" width="8.140625" style="3" customWidth="1"/>
    <col min="2292" max="2292" width="7.85546875" style="3" customWidth="1"/>
    <col min="2293" max="2293" width="7.7109375" style="3" bestFit="1" customWidth="1"/>
    <col min="2294" max="2294" width="8.140625" style="3" customWidth="1"/>
    <col min="2295" max="2295" width="9.28515625" style="3" customWidth="1"/>
    <col min="2296" max="2296" width="9.28515625" style="3" bestFit="1" customWidth="1"/>
    <col min="2297" max="2298" width="8.85546875" style="3"/>
    <col min="2299" max="2299" width="9.28515625" style="3" bestFit="1" customWidth="1"/>
    <col min="2300" max="2300" width="9.7109375" style="3" bestFit="1" customWidth="1"/>
    <col min="2301" max="2543" width="8.85546875" style="3"/>
    <col min="2544" max="2544" width="4.7109375" style="3" customWidth="1"/>
    <col min="2545" max="2545" width="17.85546875" style="3" customWidth="1"/>
    <col min="2546" max="2546" width="41.28515625" style="3" customWidth="1"/>
    <col min="2547" max="2547" width="8.140625" style="3" customWidth="1"/>
    <col min="2548" max="2548" width="7.85546875" style="3" customWidth="1"/>
    <col min="2549" max="2549" width="7.7109375" style="3" bestFit="1" customWidth="1"/>
    <col min="2550" max="2550" width="8.140625" style="3" customWidth="1"/>
    <col min="2551" max="2551" width="9.28515625" style="3" customWidth="1"/>
    <col min="2552" max="2552" width="9.28515625" style="3" bestFit="1" customWidth="1"/>
    <col min="2553" max="2554" width="8.85546875" style="3"/>
    <col min="2555" max="2555" width="9.28515625" style="3" bestFit="1" customWidth="1"/>
    <col min="2556" max="2556" width="9.7109375" style="3" bestFit="1" customWidth="1"/>
    <col min="2557" max="2799" width="8.85546875" style="3"/>
    <col min="2800" max="2800" width="4.7109375" style="3" customWidth="1"/>
    <col min="2801" max="2801" width="17.85546875" style="3" customWidth="1"/>
    <col min="2802" max="2802" width="41.28515625" style="3" customWidth="1"/>
    <col min="2803" max="2803" width="8.140625" style="3" customWidth="1"/>
    <col min="2804" max="2804" width="7.85546875" style="3" customWidth="1"/>
    <col min="2805" max="2805" width="7.7109375" style="3" bestFit="1" customWidth="1"/>
    <col min="2806" max="2806" width="8.140625" style="3" customWidth="1"/>
    <col min="2807" max="2807" width="9.28515625" style="3" customWidth="1"/>
    <col min="2808" max="2808" width="9.28515625" style="3" bestFit="1" customWidth="1"/>
    <col min="2809" max="2810" width="8.85546875" style="3"/>
    <col min="2811" max="2811" width="9.28515625" style="3" bestFit="1" customWidth="1"/>
    <col min="2812" max="2812" width="9.7109375" style="3" bestFit="1" customWidth="1"/>
    <col min="2813" max="3055" width="8.85546875" style="3"/>
    <col min="3056" max="3056" width="4.7109375" style="3" customWidth="1"/>
    <col min="3057" max="3057" width="17.85546875" style="3" customWidth="1"/>
    <col min="3058" max="3058" width="41.28515625" style="3" customWidth="1"/>
    <col min="3059" max="3059" width="8.140625" style="3" customWidth="1"/>
    <col min="3060" max="3060" width="7.85546875" style="3" customWidth="1"/>
    <col min="3061" max="3061" width="7.7109375" style="3" bestFit="1" customWidth="1"/>
    <col min="3062" max="3062" width="8.140625" style="3" customWidth="1"/>
    <col min="3063" max="3063" width="9.28515625" style="3" customWidth="1"/>
    <col min="3064" max="3064" width="9.28515625" style="3" bestFit="1" customWidth="1"/>
    <col min="3065" max="3066" width="8.85546875" style="3"/>
    <col min="3067" max="3067" width="9.28515625" style="3" bestFit="1" customWidth="1"/>
    <col min="3068" max="3068" width="9.7109375" style="3" bestFit="1" customWidth="1"/>
    <col min="3069" max="3311" width="8.85546875" style="3"/>
    <col min="3312" max="3312" width="4.7109375" style="3" customWidth="1"/>
    <col min="3313" max="3313" width="17.85546875" style="3" customWidth="1"/>
    <col min="3314" max="3314" width="41.28515625" style="3" customWidth="1"/>
    <col min="3315" max="3315" width="8.140625" style="3" customWidth="1"/>
    <col min="3316" max="3316" width="7.85546875" style="3" customWidth="1"/>
    <col min="3317" max="3317" width="7.7109375" style="3" bestFit="1" customWidth="1"/>
    <col min="3318" max="3318" width="8.140625" style="3" customWidth="1"/>
    <col min="3319" max="3319" width="9.28515625" style="3" customWidth="1"/>
    <col min="3320" max="3320" width="9.28515625" style="3" bestFit="1" customWidth="1"/>
    <col min="3321" max="3322" width="8.85546875" style="3"/>
    <col min="3323" max="3323" width="9.28515625" style="3" bestFit="1" customWidth="1"/>
    <col min="3324" max="3324" width="9.7109375" style="3" bestFit="1" customWidth="1"/>
    <col min="3325" max="3567" width="8.85546875" style="3"/>
    <col min="3568" max="3568" width="4.7109375" style="3" customWidth="1"/>
    <col min="3569" max="3569" width="17.85546875" style="3" customWidth="1"/>
    <col min="3570" max="3570" width="41.28515625" style="3" customWidth="1"/>
    <col min="3571" max="3571" width="8.140625" style="3" customWidth="1"/>
    <col min="3572" max="3572" width="7.85546875" style="3" customWidth="1"/>
    <col min="3573" max="3573" width="7.7109375" style="3" bestFit="1" customWidth="1"/>
    <col min="3574" max="3574" width="8.140625" style="3" customWidth="1"/>
    <col min="3575" max="3575" width="9.28515625" style="3" customWidth="1"/>
    <col min="3576" max="3576" width="9.28515625" style="3" bestFit="1" customWidth="1"/>
    <col min="3577" max="3578" width="8.85546875" style="3"/>
    <col min="3579" max="3579" width="9.28515625" style="3" bestFit="1" customWidth="1"/>
    <col min="3580" max="3580" width="9.7109375" style="3" bestFit="1" customWidth="1"/>
    <col min="3581" max="3823" width="8.85546875" style="3"/>
    <col min="3824" max="3824" width="4.7109375" style="3" customWidth="1"/>
    <col min="3825" max="3825" width="17.85546875" style="3" customWidth="1"/>
    <col min="3826" max="3826" width="41.28515625" style="3" customWidth="1"/>
    <col min="3827" max="3827" width="8.140625" style="3" customWidth="1"/>
    <col min="3828" max="3828" width="7.85546875" style="3" customWidth="1"/>
    <col min="3829" max="3829" width="7.7109375" style="3" bestFit="1" customWidth="1"/>
    <col min="3830" max="3830" width="8.140625" style="3" customWidth="1"/>
    <col min="3831" max="3831" width="9.28515625" style="3" customWidth="1"/>
    <col min="3832" max="3832" width="9.28515625" style="3" bestFit="1" customWidth="1"/>
    <col min="3833" max="3834" width="8.85546875" style="3"/>
    <col min="3835" max="3835" width="9.28515625" style="3" bestFit="1" customWidth="1"/>
    <col min="3836" max="3836" width="9.7109375" style="3" bestFit="1" customWidth="1"/>
    <col min="3837" max="4079" width="8.85546875" style="3"/>
    <col min="4080" max="4080" width="4.7109375" style="3" customWidth="1"/>
    <col min="4081" max="4081" width="17.85546875" style="3" customWidth="1"/>
    <col min="4082" max="4082" width="41.28515625" style="3" customWidth="1"/>
    <col min="4083" max="4083" width="8.140625" style="3" customWidth="1"/>
    <col min="4084" max="4084" width="7.85546875" style="3" customWidth="1"/>
    <col min="4085" max="4085" width="7.7109375" style="3" bestFit="1" customWidth="1"/>
    <col min="4086" max="4086" width="8.140625" style="3" customWidth="1"/>
    <col min="4087" max="4087" width="9.28515625" style="3" customWidth="1"/>
    <col min="4088" max="4088" width="9.28515625" style="3" bestFit="1" customWidth="1"/>
    <col min="4089" max="4090" width="8.85546875" style="3"/>
    <col min="4091" max="4091" width="9.28515625" style="3" bestFit="1" customWidth="1"/>
    <col min="4092" max="4092" width="9.7109375" style="3" bestFit="1" customWidth="1"/>
    <col min="4093" max="4335" width="8.85546875" style="3"/>
    <col min="4336" max="4336" width="4.7109375" style="3" customWidth="1"/>
    <col min="4337" max="4337" width="17.85546875" style="3" customWidth="1"/>
    <col min="4338" max="4338" width="41.28515625" style="3" customWidth="1"/>
    <col min="4339" max="4339" width="8.140625" style="3" customWidth="1"/>
    <col min="4340" max="4340" width="7.85546875" style="3" customWidth="1"/>
    <col min="4341" max="4341" width="7.7109375" style="3" bestFit="1" customWidth="1"/>
    <col min="4342" max="4342" width="8.140625" style="3" customWidth="1"/>
    <col min="4343" max="4343" width="9.28515625" style="3" customWidth="1"/>
    <col min="4344" max="4344" width="9.28515625" style="3" bestFit="1" customWidth="1"/>
    <col min="4345" max="4346" width="8.85546875" style="3"/>
    <col min="4347" max="4347" width="9.28515625" style="3" bestFit="1" customWidth="1"/>
    <col min="4348" max="4348" width="9.7109375" style="3" bestFit="1" customWidth="1"/>
    <col min="4349" max="4591" width="8.85546875" style="3"/>
    <col min="4592" max="4592" width="4.7109375" style="3" customWidth="1"/>
    <col min="4593" max="4593" width="17.85546875" style="3" customWidth="1"/>
    <col min="4594" max="4594" width="41.28515625" style="3" customWidth="1"/>
    <col min="4595" max="4595" width="8.140625" style="3" customWidth="1"/>
    <col min="4596" max="4596" width="7.85546875" style="3" customWidth="1"/>
    <col min="4597" max="4597" width="7.7109375" style="3" bestFit="1" customWidth="1"/>
    <col min="4598" max="4598" width="8.140625" style="3" customWidth="1"/>
    <col min="4599" max="4599" width="9.28515625" style="3" customWidth="1"/>
    <col min="4600" max="4600" width="9.28515625" style="3" bestFit="1" customWidth="1"/>
    <col min="4601" max="4602" width="8.85546875" style="3"/>
    <col min="4603" max="4603" width="9.28515625" style="3" bestFit="1" customWidth="1"/>
    <col min="4604" max="4604" width="9.7109375" style="3" bestFit="1" customWidth="1"/>
    <col min="4605" max="4847" width="8.85546875" style="3"/>
    <col min="4848" max="4848" width="4.7109375" style="3" customWidth="1"/>
    <col min="4849" max="4849" width="17.85546875" style="3" customWidth="1"/>
    <col min="4850" max="4850" width="41.28515625" style="3" customWidth="1"/>
    <col min="4851" max="4851" width="8.140625" style="3" customWidth="1"/>
    <col min="4852" max="4852" width="7.85546875" style="3" customWidth="1"/>
    <col min="4853" max="4853" width="7.7109375" style="3" bestFit="1" customWidth="1"/>
    <col min="4854" max="4854" width="8.140625" style="3" customWidth="1"/>
    <col min="4855" max="4855" width="9.28515625" style="3" customWidth="1"/>
    <col min="4856" max="4856" width="9.28515625" style="3" bestFit="1" customWidth="1"/>
    <col min="4857" max="4858" width="8.85546875" style="3"/>
    <col min="4859" max="4859" width="9.28515625" style="3" bestFit="1" customWidth="1"/>
    <col min="4860" max="4860" width="9.7109375" style="3" bestFit="1" customWidth="1"/>
    <col min="4861" max="5103" width="8.85546875" style="3"/>
    <col min="5104" max="5104" width="4.7109375" style="3" customWidth="1"/>
    <col min="5105" max="5105" width="17.85546875" style="3" customWidth="1"/>
    <col min="5106" max="5106" width="41.28515625" style="3" customWidth="1"/>
    <col min="5107" max="5107" width="8.140625" style="3" customWidth="1"/>
    <col min="5108" max="5108" width="7.85546875" style="3" customWidth="1"/>
    <col min="5109" max="5109" width="7.7109375" style="3" bestFit="1" customWidth="1"/>
    <col min="5110" max="5110" width="8.140625" style="3" customWidth="1"/>
    <col min="5111" max="5111" width="9.28515625" style="3" customWidth="1"/>
    <col min="5112" max="5112" width="9.28515625" style="3" bestFit="1" customWidth="1"/>
    <col min="5113" max="5114" width="8.85546875" style="3"/>
    <col min="5115" max="5115" width="9.28515625" style="3" bestFit="1" customWidth="1"/>
    <col min="5116" max="5116" width="9.7109375" style="3" bestFit="1" customWidth="1"/>
    <col min="5117" max="5359" width="8.85546875" style="3"/>
    <col min="5360" max="5360" width="4.7109375" style="3" customWidth="1"/>
    <col min="5361" max="5361" width="17.85546875" style="3" customWidth="1"/>
    <col min="5362" max="5362" width="41.28515625" style="3" customWidth="1"/>
    <col min="5363" max="5363" width="8.140625" style="3" customWidth="1"/>
    <col min="5364" max="5364" width="7.85546875" style="3" customWidth="1"/>
    <col min="5365" max="5365" width="7.7109375" style="3" bestFit="1" customWidth="1"/>
    <col min="5366" max="5366" width="8.140625" style="3" customWidth="1"/>
    <col min="5367" max="5367" width="9.28515625" style="3" customWidth="1"/>
    <col min="5368" max="5368" width="9.28515625" style="3" bestFit="1" customWidth="1"/>
    <col min="5369" max="5370" width="8.85546875" style="3"/>
    <col min="5371" max="5371" width="9.28515625" style="3" bestFit="1" customWidth="1"/>
    <col min="5372" max="5372" width="9.7109375" style="3" bestFit="1" customWidth="1"/>
    <col min="5373" max="5615" width="8.85546875" style="3"/>
    <col min="5616" max="5616" width="4.7109375" style="3" customWidth="1"/>
    <col min="5617" max="5617" width="17.85546875" style="3" customWidth="1"/>
    <col min="5618" max="5618" width="41.28515625" style="3" customWidth="1"/>
    <col min="5619" max="5619" width="8.140625" style="3" customWidth="1"/>
    <col min="5620" max="5620" width="7.85546875" style="3" customWidth="1"/>
    <col min="5621" max="5621" width="7.7109375" style="3" bestFit="1" customWidth="1"/>
    <col min="5622" max="5622" width="8.140625" style="3" customWidth="1"/>
    <col min="5623" max="5623" width="9.28515625" style="3" customWidth="1"/>
    <col min="5624" max="5624" width="9.28515625" style="3" bestFit="1" customWidth="1"/>
    <col min="5625" max="5626" width="8.85546875" style="3"/>
    <col min="5627" max="5627" width="9.28515625" style="3" bestFit="1" customWidth="1"/>
    <col min="5628" max="5628" width="9.7109375" style="3" bestFit="1" customWidth="1"/>
    <col min="5629" max="5871" width="8.85546875" style="3"/>
    <col min="5872" max="5872" width="4.7109375" style="3" customWidth="1"/>
    <col min="5873" max="5873" width="17.85546875" style="3" customWidth="1"/>
    <col min="5874" max="5874" width="41.28515625" style="3" customWidth="1"/>
    <col min="5875" max="5875" width="8.140625" style="3" customWidth="1"/>
    <col min="5876" max="5876" width="7.85546875" style="3" customWidth="1"/>
    <col min="5877" max="5877" width="7.7109375" style="3" bestFit="1" customWidth="1"/>
    <col min="5878" max="5878" width="8.140625" style="3" customWidth="1"/>
    <col min="5879" max="5879" width="9.28515625" style="3" customWidth="1"/>
    <col min="5880" max="5880" width="9.28515625" style="3" bestFit="1" customWidth="1"/>
    <col min="5881" max="5882" width="8.85546875" style="3"/>
    <col min="5883" max="5883" width="9.28515625" style="3" bestFit="1" customWidth="1"/>
    <col min="5884" max="5884" width="9.7109375" style="3" bestFit="1" customWidth="1"/>
    <col min="5885" max="6127" width="8.85546875" style="3"/>
    <col min="6128" max="6128" width="4.7109375" style="3" customWidth="1"/>
    <col min="6129" max="6129" width="17.85546875" style="3" customWidth="1"/>
    <col min="6130" max="6130" width="41.28515625" style="3" customWidth="1"/>
    <col min="6131" max="6131" width="8.140625" style="3" customWidth="1"/>
    <col min="6132" max="6132" width="7.85546875" style="3" customWidth="1"/>
    <col min="6133" max="6133" width="7.7109375" style="3" bestFit="1" customWidth="1"/>
    <col min="6134" max="6134" width="8.140625" style="3" customWidth="1"/>
    <col min="6135" max="6135" width="9.28515625" style="3" customWidth="1"/>
    <col min="6136" max="6136" width="9.28515625" style="3" bestFit="1" customWidth="1"/>
    <col min="6137" max="6138" width="8.85546875" style="3"/>
    <col min="6139" max="6139" width="9.28515625" style="3" bestFit="1" customWidth="1"/>
    <col min="6140" max="6140" width="9.7109375" style="3" bestFit="1" customWidth="1"/>
    <col min="6141" max="6383" width="8.85546875" style="3"/>
    <col min="6384" max="6384" width="4.7109375" style="3" customWidth="1"/>
    <col min="6385" max="6385" width="17.85546875" style="3" customWidth="1"/>
    <col min="6386" max="6386" width="41.28515625" style="3" customWidth="1"/>
    <col min="6387" max="6387" width="8.140625" style="3" customWidth="1"/>
    <col min="6388" max="6388" width="7.85546875" style="3" customWidth="1"/>
    <col min="6389" max="6389" width="7.7109375" style="3" bestFit="1" customWidth="1"/>
    <col min="6390" max="6390" width="8.140625" style="3" customWidth="1"/>
    <col min="6391" max="6391" width="9.28515625" style="3" customWidth="1"/>
    <col min="6392" max="6392" width="9.28515625" style="3" bestFit="1" customWidth="1"/>
    <col min="6393" max="6394" width="8.85546875" style="3"/>
    <col min="6395" max="6395" width="9.28515625" style="3" bestFit="1" customWidth="1"/>
    <col min="6396" max="6396" width="9.7109375" style="3" bestFit="1" customWidth="1"/>
    <col min="6397" max="6639" width="8.85546875" style="3"/>
    <col min="6640" max="6640" width="4.7109375" style="3" customWidth="1"/>
    <col min="6641" max="6641" width="17.85546875" style="3" customWidth="1"/>
    <col min="6642" max="6642" width="41.28515625" style="3" customWidth="1"/>
    <col min="6643" max="6643" width="8.140625" style="3" customWidth="1"/>
    <col min="6644" max="6644" width="7.85546875" style="3" customWidth="1"/>
    <col min="6645" max="6645" width="7.7109375" style="3" bestFit="1" customWidth="1"/>
    <col min="6646" max="6646" width="8.140625" style="3" customWidth="1"/>
    <col min="6647" max="6647" width="9.28515625" style="3" customWidth="1"/>
    <col min="6648" max="6648" width="9.28515625" style="3" bestFit="1" customWidth="1"/>
    <col min="6649" max="6650" width="8.85546875" style="3"/>
    <col min="6651" max="6651" width="9.28515625" style="3" bestFit="1" customWidth="1"/>
    <col min="6652" max="6652" width="9.7109375" style="3" bestFit="1" customWidth="1"/>
    <col min="6653" max="6895" width="8.85546875" style="3"/>
    <col min="6896" max="6896" width="4.7109375" style="3" customWidth="1"/>
    <col min="6897" max="6897" width="17.85546875" style="3" customWidth="1"/>
    <col min="6898" max="6898" width="41.28515625" style="3" customWidth="1"/>
    <col min="6899" max="6899" width="8.140625" style="3" customWidth="1"/>
    <col min="6900" max="6900" width="7.85546875" style="3" customWidth="1"/>
    <col min="6901" max="6901" width="7.7109375" style="3" bestFit="1" customWidth="1"/>
    <col min="6902" max="6902" width="8.140625" style="3" customWidth="1"/>
    <col min="6903" max="6903" width="9.28515625" style="3" customWidth="1"/>
    <col min="6904" max="6904" width="9.28515625" style="3" bestFit="1" customWidth="1"/>
    <col min="6905" max="6906" width="8.85546875" style="3"/>
    <col min="6907" max="6907" width="9.28515625" style="3" bestFit="1" customWidth="1"/>
    <col min="6908" max="6908" width="9.7109375" style="3" bestFit="1" customWidth="1"/>
    <col min="6909" max="7151" width="8.85546875" style="3"/>
    <col min="7152" max="7152" width="4.7109375" style="3" customWidth="1"/>
    <col min="7153" max="7153" width="17.85546875" style="3" customWidth="1"/>
    <col min="7154" max="7154" width="41.28515625" style="3" customWidth="1"/>
    <col min="7155" max="7155" width="8.140625" style="3" customWidth="1"/>
    <col min="7156" max="7156" width="7.85546875" style="3" customWidth="1"/>
    <col min="7157" max="7157" width="7.7109375" style="3" bestFit="1" customWidth="1"/>
    <col min="7158" max="7158" width="8.140625" style="3" customWidth="1"/>
    <col min="7159" max="7159" width="9.28515625" style="3" customWidth="1"/>
    <col min="7160" max="7160" width="9.28515625" style="3" bestFit="1" customWidth="1"/>
    <col min="7161" max="7162" width="8.85546875" style="3"/>
    <col min="7163" max="7163" width="9.28515625" style="3" bestFit="1" customWidth="1"/>
    <col min="7164" max="7164" width="9.7109375" style="3" bestFit="1" customWidth="1"/>
    <col min="7165" max="7407" width="8.85546875" style="3"/>
    <col min="7408" max="7408" width="4.7109375" style="3" customWidth="1"/>
    <col min="7409" max="7409" width="17.85546875" style="3" customWidth="1"/>
    <col min="7410" max="7410" width="41.28515625" style="3" customWidth="1"/>
    <col min="7411" max="7411" width="8.140625" style="3" customWidth="1"/>
    <col min="7412" max="7412" width="7.85546875" style="3" customWidth="1"/>
    <col min="7413" max="7413" width="7.7109375" style="3" bestFit="1" customWidth="1"/>
    <col min="7414" max="7414" width="8.140625" style="3" customWidth="1"/>
    <col min="7415" max="7415" width="9.28515625" style="3" customWidth="1"/>
    <col min="7416" max="7416" width="9.28515625" style="3" bestFit="1" customWidth="1"/>
    <col min="7417" max="7418" width="8.85546875" style="3"/>
    <col min="7419" max="7419" width="9.28515625" style="3" bestFit="1" customWidth="1"/>
    <col min="7420" max="7420" width="9.7109375" style="3" bestFit="1" customWidth="1"/>
    <col min="7421" max="7663" width="8.85546875" style="3"/>
    <col min="7664" max="7664" width="4.7109375" style="3" customWidth="1"/>
    <col min="7665" max="7665" width="17.85546875" style="3" customWidth="1"/>
    <col min="7666" max="7666" width="41.28515625" style="3" customWidth="1"/>
    <col min="7667" max="7667" width="8.140625" style="3" customWidth="1"/>
    <col min="7668" max="7668" width="7.85546875" style="3" customWidth="1"/>
    <col min="7669" max="7669" width="7.7109375" style="3" bestFit="1" customWidth="1"/>
    <col min="7670" max="7670" width="8.140625" style="3" customWidth="1"/>
    <col min="7671" max="7671" width="9.28515625" style="3" customWidth="1"/>
    <col min="7672" max="7672" width="9.28515625" style="3" bestFit="1" customWidth="1"/>
    <col min="7673" max="7674" width="8.85546875" style="3"/>
    <col min="7675" max="7675" width="9.28515625" style="3" bestFit="1" customWidth="1"/>
    <col min="7676" max="7676" width="9.7109375" style="3" bestFit="1" customWidth="1"/>
    <col min="7677" max="7919" width="8.85546875" style="3"/>
    <col min="7920" max="7920" width="4.7109375" style="3" customWidth="1"/>
    <col min="7921" max="7921" width="17.85546875" style="3" customWidth="1"/>
    <col min="7922" max="7922" width="41.28515625" style="3" customWidth="1"/>
    <col min="7923" max="7923" width="8.140625" style="3" customWidth="1"/>
    <col min="7924" max="7924" width="7.85546875" style="3" customWidth="1"/>
    <col min="7925" max="7925" width="7.7109375" style="3" bestFit="1" customWidth="1"/>
    <col min="7926" max="7926" width="8.140625" style="3" customWidth="1"/>
    <col min="7927" max="7927" width="9.28515625" style="3" customWidth="1"/>
    <col min="7928" max="7928" width="9.28515625" style="3" bestFit="1" customWidth="1"/>
    <col min="7929" max="7930" width="8.85546875" style="3"/>
    <col min="7931" max="7931" width="9.28515625" style="3" bestFit="1" customWidth="1"/>
    <col min="7932" max="7932" width="9.7109375" style="3" bestFit="1" customWidth="1"/>
    <col min="7933" max="8175" width="8.85546875" style="3"/>
    <col min="8176" max="8176" width="4.7109375" style="3" customWidth="1"/>
    <col min="8177" max="8177" width="17.85546875" style="3" customWidth="1"/>
    <col min="8178" max="8178" width="41.28515625" style="3" customWidth="1"/>
    <col min="8179" max="8179" width="8.140625" style="3" customWidth="1"/>
    <col min="8180" max="8180" width="7.85546875" style="3" customWidth="1"/>
    <col min="8181" max="8181" width="7.7109375" style="3" bestFit="1" customWidth="1"/>
    <col min="8182" max="8182" width="8.140625" style="3" customWidth="1"/>
    <col min="8183" max="8183" width="9.28515625" style="3" customWidth="1"/>
    <col min="8184" max="8184" width="9.28515625" style="3" bestFit="1" customWidth="1"/>
    <col min="8185" max="8186" width="8.85546875" style="3"/>
    <col min="8187" max="8187" width="9.28515625" style="3" bestFit="1" customWidth="1"/>
    <col min="8188" max="8188" width="9.7109375" style="3" bestFit="1" customWidth="1"/>
    <col min="8189" max="8431" width="8.85546875" style="3"/>
    <col min="8432" max="8432" width="4.7109375" style="3" customWidth="1"/>
    <col min="8433" max="8433" width="17.85546875" style="3" customWidth="1"/>
    <col min="8434" max="8434" width="41.28515625" style="3" customWidth="1"/>
    <col min="8435" max="8435" width="8.140625" style="3" customWidth="1"/>
    <col min="8436" max="8436" width="7.85546875" style="3" customWidth="1"/>
    <col min="8437" max="8437" width="7.7109375" style="3" bestFit="1" customWidth="1"/>
    <col min="8438" max="8438" width="8.140625" style="3" customWidth="1"/>
    <col min="8439" max="8439" width="9.28515625" style="3" customWidth="1"/>
    <col min="8440" max="8440" width="9.28515625" style="3" bestFit="1" customWidth="1"/>
    <col min="8441" max="8442" width="8.85546875" style="3"/>
    <col min="8443" max="8443" width="9.28515625" style="3" bestFit="1" customWidth="1"/>
    <col min="8444" max="8444" width="9.7109375" style="3" bestFit="1" customWidth="1"/>
    <col min="8445" max="8687" width="8.85546875" style="3"/>
    <col min="8688" max="8688" width="4.7109375" style="3" customWidth="1"/>
    <col min="8689" max="8689" width="17.85546875" style="3" customWidth="1"/>
    <col min="8690" max="8690" width="41.28515625" style="3" customWidth="1"/>
    <col min="8691" max="8691" width="8.140625" style="3" customWidth="1"/>
    <col min="8692" max="8692" width="7.85546875" style="3" customWidth="1"/>
    <col min="8693" max="8693" width="7.7109375" style="3" bestFit="1" customWidth="1"/>
    <col min="8694" max="8694" width="8.140625" style="3" customWidth="1"/>
    <col min="8695" max="8695" width="9.28515625" style="3" customWidth="1"/>
    <col min="8696" max="8696" width="9.28515625" style="3" bestFit="1" customWidth="1"/>
    <col min="8697" max="8698" width="8.85546875" style="3"/>
    <col min="8699" max="8699" width="9.28515625" style="3" bestFit="1" customWidth="1"/>
    <col min="8700" max="8700" width="9.7109375" style="3" bestFit="1" customWidth="1"/>
    <col min="8701" max="8943" width="8.85546875" style="3"/>
    <col min="8944" max="8944" width="4.7109375" style="3" customWidth="1"/>
    <col min="8945" max="8945" width="17.85546875" style="3" customWidth="1"/>
    <col min="8946" max="8946" width="41.28515625" style="3" customWidth="1"/>
    <col min="8947" max="8947" width="8.140625" style="3" customWidth="1"/>
    <col min="8948" max="8948" width="7.85546875" style="3" customWidth="1"/>
    <col min="8949" max="8949" width="7.7109375" style="3" bestFit="1" customWidth="1"/>
    <col min="8950" max="8950" width="8.140625" style="3" customWidth="1"/>
    <col min="8951" max="8951" width="9.28515625" style="3" customWidth="1"/>
    <col min="8952" max="8952" width="9.28515625" style="3" bestFit="1" customWidth="1"/>
    <col min="8953" max="8954" width="8.85546875" style="3"/>
    <col min="8955" max="8955" width="9.28515625" style="3" bestFit="1" customWidth="1"/>
    <col min="8956" max="8956" width="9.7109375" style="3" bestFit="1" customWidth="1"/>
    <col min="8957" max="9199" width="8.85546875" style="3"/>
    <col min="9200" max="9200" width="4.7109375" style="3" customWidth="1"/>
    <col min="9201" max="9201" width="17.85546875" style="3" customWidth="1"/>
    <col min="9202" max="9202" width="41.28515625" style="3" customWidth="1"/>
    <col min="9203" max="9203" width="8.140625" style="3" customWidth="1"/>
    <col min="9204" max="9204" width="7.85546875" style="3" customWidth="1"/>
    <col min="9205" max="9205" width="7.7109375" style="3" bestFit="1" customWidth="1"/>
    <col min="9206" max="9206" width="8.140625" style="3" customWidth="1"/>
    <col min="9207" max="9207" width="9.28515625" style="3" customWidth="1"/>
    <col min="9208" max="9208" width="9.28515625" style="3" bestFit="1" customWidth="1"/>
    <col min="9209" max="9210" width="8.85546875" style="3"/>
    <col min="9211" max="9211" width="9.28515625" style="3" bestFit="1" customWidth="1"/>
    <col min="9212" max="9212" width="9.7109375" style="3" bestFit="1" customWidth="1"/>
    <col min="9213" max="9455" width="8.85546875" style="3"/>
    <col min="9456" max="9456" width="4.7109375" style="3" customWidth="1"/>
    <col min="9457" max="9457" width="17.85546875" style="3" customWidth="1"/>
    <col min="9458" max="9458" width="41.28515625" style="3" customWidth="1"/>
    <col min="9459" max="9459" width="8.140625" style="3" customWidth="1"/>
    <col min="9460" max="9460" width="7.85546875" style="3" customWidth="1"/>
    <col min="9461" max="9461" width="7.7109375" style="3" bestFit="1" customWidth="1"/>
    <col min="9462" max="9462" width="8.140625" style="3" customWidth="1"/>
    <col min="9463" max="9463" width="9.28515625" style="3" customWidth="1"/>
    <col min="9464" max="9464" width="9.28515625" style="3" bestFit="1" customWidth="1"/>
    <col min="9465" max="9466" width="8.85546875" style="3"/>
    <col min="9467" max="9467" width="9.28515625" style="3" bestFit="1" customWidth="1"/>
    <col min="9468" max="9468" width="9.7109375" style="3" bestFit="1" customWidth="1"/>
    <col min="9469" max="9711" width="8.85546875" style="3"/>
    <col min="9712" max="9712" width="4.7109375" style="3" customWidth="1"/>
    <col min="9713" max="9713" width="17.85546875" style="3" customWidth="1"/>
    <col min="9714" max="9714" width="41.28515625" style="3" customWidth="1"/>
    <col min="9715" max="9715" width="8.140625" style="3" customWidth="1"/>
    <col min="9716" max="9716" width="7.85546875" style="3" customWidth="1"/>
    <col min="9717" max="9717" width="7.7109375" style="3" bestFit="1" customWidth="1"/>
    <col min="9718" max="9718" width="8.140625" style="3" customWidth="1"/>
    <col min="9719" max="9719" width="9.28515625" style="3" customWidth="1"/>
    <col min="9720" max="9720" width="9.28515625" style="3" bestFit="1" customWidth="1"/>
    <col min="9721" max="9722" width="8.85546875" style="3"/>
    <col min="9723" max="9723" width="9.28515625" style="3" bestFit="1" customWidth="1"/>
    <col min="9724" max="9724" width="9.7109375" style="3" bestFit="1" customWidth="1"/>
    <col min="9725" max="9967" width="8.85546875" style="3"/>
    <col min="9968" max="9968" width="4.7109375" style="3" customWidth="1"/>
    <col min="9969" max="9969" width="17.85546875" style="3" customWidth="1"/>
    <col min="9970" max="9970" width="41.28515625" style="3" customWidth="1"/>
    <col min="9971" max="9971" width="8.140625" style="3" customWidth="1"/>
    <col min="9972" max="9972" width="7.85546875" style="3" customWidth="1"/>
    <col min="9973" max="9973" width="7.7109375" style="3" bestFit="1" customWidth="1"/>
    <col min="9974" max="9974" width="8.140625" style="3" customWidth="1"/>
    <col min="9975" max="9975" width="9.28515625" style="3" customWidth="1"/>
    <col min="9976" max="9976" width="9.28515625" style="3" bestFit="1" customWidth="1"/>
    <col min="9977" max="9978" width="8.85546875" style="3"/>
    <col min="9979" max="9979" width="9.28515625" style="3" bestFit="1" customWidth="1"/>
    <col min="9980" max="9980" width="9.7109375" style="3" bestFit="1" customWidth="1"/>
    <col min="9981" max="10223" width="8.85546875" style="3"/>
    <col min="10224" max="10224" width="4.7109375" style="3" customWidth="1"/>
    <col min="10225" max="10225" width="17.85546875" style="3" customWidth="1"/>
    <col min="10226" max="10226" width="41.28515625" style="3" customWidth="1"/>
    <col min="10227" max="10227" width="8.140625" style="3" customWidth="1"/>
    <col min="10228" max="10228" width="7.85546875" style="3" customWidth="1"/>
    <col min="10229" max="10229" width="7.7109375" style="3" bestFit="1" customWidth="1"/>
    <col min="10230" max="10230" width="8.140625" style="3" customWidth="1"/>
    <col min="10231" max="10231" width="9.28515625" style="3" customWidth="1"/>
    <col min="10232" max="10232" width="9.28515625" style="3" bestFit="1" customWidth="1"/>
    <col min="10233" max="10234" width="8.85546875" style="3"/>
    <col min="10235" max="10235" width="9.28515625" style="3" bestFit="1" customWidth="1"/>
    <col min="10236" max="10236" width="9.7109375" style="3" bestFit="1" customWidth="1"/>
    <col min="10237" max="10479" width="8.85546875" style="3"/>
    <col min="10480" max="10480" width="4.7109375" style="3" customWidth="1"/>
    <col min="10481" max="10481" width="17.85546875" style="3" customWidth="1"/>
    <col min="10482" max="10482" width="41.28515625" style="3" customWidth="1"/>
    <col min="10483" max="10483" width="8.140625" style="3" customWidth="1"/>
    <col min="10484" max="10484" width="7.85546875" style="3" customWidth="1"/>
    <col min="10485" max="10485" width="7.7109375" style="3" bestFit="1" customWidth="1"/>
    <col min="10486" max="10486" width="8.140625" style="3" customWidth="1"/>
    <col min="10487" max="10487" width="9.28515625" style="3" customWidth="1"/>
    <col min="10488" max="10488" width="9.28515625" style="3" bestFit="1" customWidth="1"/>
    <col min="10489" max="10490" width="8.85546875" style="3"/>
    <col min="10491" max="10491" width="9.28515625" style="3" bestFit="1" customWidth="1"/>
    <col min="10492" max="10492" width="9.7109375" style="3" bestFit="1" customWidth="1"/>
    <col min="10493" max="10735" width="8.85546875" style="3"/>
    <col min="10736" max="10736" width="4.7109375" style="3" customWidth="1"/>
    <col min="10737" max="10737" width="17.85546875" style="3" customWidth="1"/>
    <col min="10738" max="10738" width="41.28515625" style="3" customWidth="1"/>
    <col min="10739" max="10739" width="8.140625" style="3" customWidth="1"/>
    <col min="10740" max="10740" width="7.85546875" style="3" customWidth="1"/>
    <col min="10741" max="10741" width="7.7109375" style="3" bestFit="1" customWidth="1"/>
    <col min="10742" max="10742" width="8.140625" style="3" customWidth="1"/>
    <col min="10743" max="10743" width="9.28515625" style="3" customWidth="1"/>
    <col min="10744" max="10744" width="9.28515625" style="3" bestFit="1" customWidth="1"/>
    <col min="10745" max="10746" width="8.85546875" style="3"/>
    <col min="10747" max="10747" width="9.28515625" style="3" bestFit="1" customWidth="1"/>
    <col min="10748" max="10748" width="9.7109375" style="3" bestFit="1" customWidth="1"/>
    <col min="10749" max="10991" width="8.85546875" style="3"/>
    <col min="10992" max="10992" width="4.7109375" style="3" customWidth="1"/>
    <col min="10993" max="10993" width="17.85546875" style="3" customWidth="1"/>
    <col min="10994" max="10994" width="41.28515625" style="3" customWidth="1"/>
    <col min="10995" max="10995" width="8.140625" style="3" customWidth="1"/>
    <col min="10996" max="10996" width="7.85546875" style="3" customWidth="1"/>
    <col min="10997" max="10997" width="7.7109375" style="3" bestFit="1" customWidth="1"/>
    <col min="10998" max="10998" width="8.140625" style="3" customWidth="1"/>
    <col min="10999" max="10999" width="9.28515625" style="3" customWidth="1"/>
    <col min="11000" max="11000" width="9.28515625" style="3" bestFit="1" customWidth="1"/>
    <col min="11001" max="11002" width="8.85546875" style="3"/>
    <col min="11003" max="11003" width="9.28515625" style="3" bestFit="1" customWidth="1"/>
    <col min="11004" max="11004" width="9.7109375" style="3" bestFit="1" customWidth="1"/>
    <col min="11005" max="11247" width="8.85546875" style="3"/>
    <col min="11248" max="11248" width="4.7109375" style="3" customWidth="1"/>
    <col min="11249" max="11249" width="17.85546875" style="3" customWidth="1"/>
    <col min="11250" max="11250" width="41.28515625" style="3" customWidth="1"/>
    <col min="11251" max="11251" width="8.140625" style="3" customWidth="1"/>
    <col min="11252" max="11252" width="7.85546875" style="3" customWidth="1"/>
    <col min="11253" max="11253" width="7.7109375" style="3" bestFit="1" customWidth="1"/>
    <col min="11254" max="11254" width="8.140625" style="3" customWidth="1"/>
    <col min="11255" max="11255" width="9.28515625" style="3" customWidth="1"/>
    <col min="11256" max="11256" width="9.28515625" style="3" bestFit="1" customWidth="1"/>
    <col min="11257" max="11258" width="8.85546875" style="3"/>
    <col min="11259" max="11259" width="9.28515625" style="3" bestFit="1" customWidth="1"/>
    <col min="11260" max="11260" width="9.7109375" style="3" bestFit="1" customWidth="1"/>
    <col min="11261" max="11503" width="8.85546875" style="3"/>
    <col min="11504" max="11504" width="4.7109375" style="3" customWidth="1"/>
    <col min="11505" max="11505" width="17.85546875" style="3" customWidth="1"/>
    <col min="11506" max="11506" width="41.28515625" style="3" customWidth="1"/>
    <col min="11507" max="11507" width="8.140625" style="3" customWidth="1"/>
    <col min="11508" max="11508" width="7.85546875" style="3" customWidth="1"/>
    <col min="11509" max="11509" width="7.7109375" style="3" bestFit="1" customWidth="1"/>
    <col min="11510" max="11510" width="8.140625" style="3" customWidth="1"/>
    <col min="11511" max="11511" width="9.28515625" style="3" customWidth="1"/>
    <col min="11512" max="11512" width="9.28515625" style="3" bestFit="1" customWidth="1"/>
    <col min="11513" max="11514" width="8.85546875" style="3"/>
    <col min="11515" max="11515" width="9.28515625" style="3" bestFit="1" customWidth="1"/>
    <col min="11516" max="11516" width="9.7109375" style="3" bestFit="1" customWidth="1"/>
    <col min="11517" max="11759" width="8.85546875" style="3"/>
    <col min="11760" max="11760" width="4.7109375" style="3" customWidth="1"/>
    <col min="11761" max="11761" width="17.85546875" style="3" customWidth="1"/>
    <col min="11762" max="11762" width="41.28515625" style="3" customWidth="1"/>
    <col min="11763" max="11763" width="8.140625" style="3" customWidth="1"/>
    <col min="11764" max="11764" width="7.85546875" style="3" customWidth="1"/>
    <col min="11765" max="11765" width="7.7109375" style="3" bestFit="1" customWidth="1"/>
    <col min="11766" max="11766" width="8.140625" style="3" customWidth="1"/>
    <col min="11767" max="11767" width="9.28515625" style="3" customWidth="1"/>
    <col min="11768" max="11768" width="9.28515625" style="3" bestFit="1" customWidth="1"/>
    <col min="11769" max="11770" width="8.85546875" style="3"/>
    <col min="11771" max="11771" width="9.28515625" style="3" bestFit="1" customWidth="1"/>
    <col min="11772" max="11772" width="9.7109375" style="3" bestFit="1" customWidth="1"/>
    <col min="11773" max="12015" width="8.85546875" style="3"/>
    <col min="12016" max="12016" width="4.7109375" style="3" customWidth="1"/>
    <col min="12017" max="12017" width="17.85546875" style="3" customWidth="1"/>
    <col min="12018" max="12018" width="41.28515625" style="3" customWidth="1"/>
    <col min="12019" max="12019" width="8.140625" style="3" customWidth="1"/>
    <col min="12020" max="12020" width="7.85546875" style="3" customWidth="1"/>
    <col min="12021" max="12021" width="7.7109375" style="3" bestFit="1" customWidth="1"/>
    <col min="12022" max="12022" width="8.140625" style="3" customWidth="1"/>
    <col min="12023" max="12023" width="9.28515625" style="3" customWidth="1"/>
    <col min="12024" max="12024" width="9.28515625" style="3" bestFit="1" customWidth="1"/>
    <col min="12025" max="12026" width="8.85546875" style="3"/>
    <col min="12027" max="12027" width="9.28515625" style="3" bestFit="1" customWidth="1"/>
    <col min="12028" max="12028" width="9.7109375" style="3" bestFit="1" customWidth="1"/>
    <col min="12029" max="12271" width="8.85546875" style="3"/>
    <col min="12272" max="12272" width="4.7109375" style="3" customWidth="1"/>
    <col min="12273" max="12273" width="17.85546875" style="3" customWidth="1"/>
    <col min="12274" max="12274" width="41.28515625" style="3" customWidth="1"/>
    <col min="12275" max="12275" width="8.140625" style="3" customWidth="1"/>
    <col min="12276" max="12276" width="7.85546875" style="3" customWidth="1"/>
    <col min="12277" max="12277" width="7.7109375" style="3" bestFit="1" customWidth="1"/>
    <col min="12278" max="12278" width="8.140625" style="3" customWidth="1"/>
    <col min="12279" max="12279" width="9.28515625" style="3" customWidth="1"/>
    <col min="12280" max="12280" width="9.28515625" style="3" bestFit="1" customWidth="1"/>
    <col min="12281" max="12282" width="8.85546875" style="3"/>
    <col min="12283" max="12283" width="9.28515625" style="3" bestFit="1" customWidth="1"/>
    <col min="12284" max="12284" width="9.7109375" style="3" bestFit="1" customWidth="1"/>
    <col min="12285" max="12527" width="8.85546875" style="3"/>
    <col min="12528" max="12528" width="4.7109375" style="3" customWidth="1"/>
    <col min="12529" max="12529" width="17.85546875" style="3" customWidth="1"/>
    <col min="12530" max="12530" width="41.28515625" style="3" customWidth="1"/>
    <col min="12531" max="12531" width="8.140625" style="3" customWidth="1"/>
    <col min="12532" max="12532" width="7.85546875" style="3" customWidth="1"/>
    <col min="12533" max="12533" width="7.7109375" style="3" bestFit="1" customWidth="1"/>
    <col min="12534" max="12534" width="8.140625" style="3" customWidth="1"/>
    <col min="12535" max="12535" width="9.28515625" style="3" customWidth="1"/>
    <col min="12536" max="12536" width="9.28515625" style="3" bestFit="1" customWidth="1"/>
    <col min="12537" max="12538" width="8.85546875" style="3"/>
    <col min="12539" max="12539" width="9.28515625" style="3" bestFit="1" customWidth="1"/>
    <col min="12540" max="12540" width="9.7109375" style="3" bestFit="1" customWidth="1"/>
    <col min="12541" max="12783" width="8.85546875" style="3"/>
    <col min="12784" max="12784" width="4.7109375" style="3" customWidth="1"/>
    <col min="12785" max="12785" width="17.85546875" style="3" customWidth="1"/>
    <col min="12786" max="12786" width="41.28515625" style="3" customWidth="1"/>
    <col min="12787" max="12787" width="8.140625" style="3" customWidth="1"/>
    <col min="12788" max="12788" width="7.85546875" style="3" customWidth="1"/>
    <col min="12789" max="12789" width="7.7109375" style="3" bestFit="1" customWidth="1"/>
    <col min="12790" max="12790" width="8.140625" style="3" customWidth="1"/>
    <col min="12791" max="12791" width="9.28515625" style="3" customWidth="1"/>
    <col min="12792" max="12792" width="9.28515625" style="3" bestFit="1" customWidth="1"/>
    <col min="12793" max="12794" width="8.85546875" style="3"/>
    <col min="12795" max="12795" width="9.28515625" style="3" bestFit="1" customWidth="1"/>
    <col min="12796" max="12796" width="9.7109375" style="3" bestFit="1" customWidth="1"/>
    <col min="12797" max="13039" width="8.85546875" style="3"/>
    <col min="13040" max="13040" width="4.7109375" style="3" customWidth="1"/>
    <col min="13041" max="13041" width="17.85546875" style="3" customWidth="1"/>
    <col min="13042" max="13042" width="41.28515625" style="3" customWidth="1"/>
    <col min="13043" max="13043" width="8.140625" style="3" customWidth="1"/>
    <col min="13044" max="13044" width="7.85546875" style="3" customWidth="1"/>
    <col min="13045" max="13045" width="7.7109375" style="3" bestFit="1" customWidth="1"/>
    <col min="13046" max="13046" width="8.140625" style="3" customWidth="1"/>
    <col min="13047" max="13047" width="9.28515625" style="3" customWidth="1"/>
    <col min="13048" max="13048" width="9.28515625" style="3" bestFit="1" customWidth="1"/>
    <col min="13049" max="13050" width="8.85546875" style="3"/>
    <col min="13051" max="13051" width="9.28515625" style="3" bestFit="1" customWidth="1"/>
    <col min="13052" max="13052" width="9.7109375" style="3" bestFit="1" customWidth="1"/>
    <col min="13053" max="13295" width="8.85546875" style="3"/>
    <col min="13296" max="13296" width="4.7109375" style="3" customWidth="1"/>
    <col min="13297" max="13297" width="17.85546875" style="3" customWidth="1"/>
    <col min="13298" max="13298" width="41.28515625" style="3" customWidth="1"/>
    <col min="13299" max="13299" width="8.140625" style="3" customWidth="1"/>
    <col min="13300" max="13300" width="7.85546875" style="3" customWidth="1"/>
    <col min="13301" max="13301" width="7.7109375" style="3" bestFit="1" customWidth="1"/>
    <col min="13302" max="13302" width="8.140625" style="3" customWidth="1"/>
    <col min="13303" max="13303" width="9.28515625" style="3" customWidth="1"/>
    <col min="13304" max="13304" width="9.28515625" style="3" bestFit="1" customWidth="1"/>
    <col min="13305" max="13306" width="8.85546875" style="3"/>
    <col min="13307" max="13307" width="9.28515625" style="3" bestFit="1" customWidth="1"/>
    <col min="13308" max="13308" width="9.7109375" style="3" bestFit="1" customWidth="1"/>
    <col min="13309" max="13551" width="8.85546875" style="3"/>
    <col min="13552" max="13552" width="4.7109375" style="3" customWidth="1"/>
    <col min="13553" max="13553" width="17.85546875" style="3" customWidth="1"/>
    <col min="13554" max="13554" width="41.28515625" style="3" customWidth="1"/>
    <col min="13555" max="13555" width="8.140625" style="3" customWidth="1"/>
    <col min="13556" max="13556" width="7.85546875" style="3" customWidth="1"/>
    <col min="13557" max="13557" width="7.7109375" style="3" bestFit="1" customWidth="1"/>
    <col min="13558" max="13558" width="8.140625" style="3" customWidth="1"/>
    <col min="13559" max="13559" width="9.28515625" style="3" customWidth="1"/>
    <col min="13560" max="13560" width="9.28515625" style="3" bestFit="1" customWidth="1"/>
    <col min="13561" max="13562" width="8.85546875" style="3"/>
    <col min="13563" max="13563" width="9.28515625" style="3" bestFit="1" customWidth="1"/>
    <col min="13564" max="13564" width="9.7109375" style="3" bestFit="1" customWidth="1"/>
    <col min="13565" max="13807" width="8.85546875" style="3"/>
    <col min="13808" max="13808" width="4.7109375" style="3" customWidth="1"/>
    <col min="13809" max="13809" width="17.85546875" style="3" customWidth="1"/>
    <col min="13810" max="13810" width="41.28515625" style="3" customWidth="1"/>
    <col min="13811" max="13811" width="8.140625" style="3" customWidth="1"/>
    <col min="13812" max="13812" width="7.85546875" style="3" customWidth="1"/>
    <col min="13813" max="13813" width="7.7109375" style="3" bestFit="1" customWidth="1"/>
    <col min="13814" max="13814" width="8.140625" style="3" customWidth="1"/>
    <col min="13815" max="13815" width="9.28515625" style="3" customWidth="1"/>
    <col min="13816" max="13816" width="9.28515625" style="3" bestFit="1" customWidth="1"/>
    <col min="13817" max="13818" width="8.85546875" style="3"/>
    <col min="13819" max="13819" width="9.28515625" style="3" bestFit="1" customWidth="1"/>
    <col min="13820" max="13820" width="9.7109375" style="3" bestFit="1" customWidth="1"/>
    <col min="13821" max="14063" width="8.85546875" style="3"/>
    <col min="14064" max="14064" width="4.7109375" style="3" customWidth="1"/>
    <col min="14065" max="14065" width="17.85546875" style="3" customWidth="1"/>
    <col min="14066" max="14066" width="41.28515625" style="3" customWidth="1"/>
    <col min="14067" max="14067" width="8.140625" style="3" customWidth="1"/>
    <col min="14068" max="14068" width="7.85546875" style="3" customWidth="1"/>
    <col min="14069" max="14069" width="7.7109375" style="3" bestFit="1" customWidth="1"/>
    <col min="14070" max="14070" width="8.140625" style="3" customWidth="1"/>
    <col min="14071" max="14071" width="9.28515625" style="3" customWidth="1"/>
    <col min="14072" max="14072" width="9.28515625" style="3" bestFit="1" customWidth="1"/>
    <col min="14073" max="14074" width="8.85546875" style="3"/>
    <col min="14075" max="14075" width="9.28515625" style="3" bestFit="1" customWidth="1"/>
    <col min="14076" max="14076" width="9.7109375" style="3" bestFit="1" customWidth="1"/>
    <col min="14077" max="14319" width="8.85546875" style="3"/>
    <col min="14320" max="14320" width="4.7109375" style="3" customWidth="1"/>
    <col min="14321" max="14321" width="17.85546875" style="3" customWidth="1"/>
    <col min="14322" max="14322" width="41.28515625" style="3" customWidth="1"/>
    <col min="14323" max="14323" width="8.140625" style="3" customWidth="1"/>
    <col min="14324" max="14324" width="7.85546875" style="3" customWidth="1"/>
    <col min="14325" max="14325" width="7.7109375" style="3" bestFit="1" customWidth="1"/>
    <col min="14326" max="14326" width="8.140625" style="3" customWidth="1"/>
    <col min="14327" max="14327" width="9.28515625" style="3" customWidth="1"/>
    <col min="14328" max="14328" width="9.28515625" style="3" bestFit="1" customWidth="1"/>
    <col min="14329" max="14330" width="8.85546875" style="3"/>
    <col min="14331" max="14331" width="9.28515625" style="3" bestFit="1" customWidth="1"/>
    <col min="14332" max="14332" width="9.7109375" style="3" bestFit="1" customWidth="1"/>
    <col min="14333" max="14575" width="8.85546875" style="3"/>
    <col min="14576" max="14576" width="4.7109375" style="3" customWidth="1"/>
    <col min="14577" max="14577" width="17.85546875" style="3" customWidth="1"/>
    <col min="14578" max="14578" width="41.28515625" style="3" customWidth="1"/>
    <col min="14579" max="14579" width="8.140625" style="3" customWidth="1"/>
    <col min="14580" max="14580" width="7.85546875" style="3" customWidth="1"/>
    <col min="14581" max="14581" width="7.7109375" style="3" bestFit="1" customWidth="1"/>
    <col min="14582" max="14582" width="8.140625" style="3" customWidth="1"/>
    <col min="14583" max="14583" width="9.28515625" style="3" customWidth="1"/>
    <col min="14584" max="14584" width="9.28515625" style="3" bestFit="1" customWidth="1"/>
    <col min="14585" max="14586" width="8.85546875" style="3"/>
    <col min="14587" max="14587" width="9.28515625" style="3" bestFit="1" customWidth="1"/>
    <col min="14588" max="14588" width="9.7109375" style="3" bestFit="1" customWidth="1"/>
    <col min="14589" max="14831" width="8.85546875" style="3"/>
    <col min="14832" max="14832" width="4.7109375" style="3" customWidth="1"/>
    <col min="14833" max="14833" width="17.85546875" style="3" customWidth="1"/>
    <col min="14834" max="14834" width="41.28515625" style="3" customWidth="1"/>
    <col min="14835" max="14835" width="8.140625" style="3" customWidth="1"/>
    <col min="14836" max="14836" width="7.85546875" style="3" customWidth="1"/>
    <col min="14837" max="14837" width="7.7109375" style="3" bestFit="1" customWidth="1"/>
    <col min="14838" max="14838" width="8.140625" style="3" customWidth="1"/>
    <col min="14839" max="14839" width="9.28515625" style="3" customWidth="1"/>
    <col min="14840" max="14840" width="9.28515625" style="3" bestFit="1" customWidth="1"/>
    <col min="14841" max="14842" width="8.85546875" style="3"/>
    <col min="14843" max="14843" width="9.28515625" style="3" bestFit="1" customWidth="1"/>
    <col min="14844" max="14844" width="9.7109375" style="3" bestFit="1" customWidth="1"/>
    <col min="14845" max="15087" width="8.85546875" style="3"/>
    <col min="15088" max="15088" width="4.7109375" style="3" customWidth="1"/>
    <col min="15089" max="15089" width="17.85546875" style="3" customWidth="1"/>
    <col min="15090" max="15090" width="41.28515625" style="3" customWidth="1"/>
    <col min="15091" max="15091" width="8.140625" style="3" customWidth="1"/>
    <col min="15092" max="15092" width="7.85546875" style="3" customWidth="1"/>
    <col min="15093" max="15093" width="7.7109375" style="3" bestFit="1" customWidth="1"/>
    <col min="15094" max="15094" width="8.140625" style="3" customWidth="1"/>
    <col min="15095" max="15095" width="9.28515625" style="3" customWidth="1"/>
    <col min="15096" max="15096" width="9.28515625" style="3" bestFit="1" customWidth="1"/>
    <col min="15097" max="15098" width="8.85546875" style="3"/>
    <col min="15099" max="15099" width="9.28515625" style="3" bestFit="1" customWidth="1"/>
    <col min="15100" max="15100" width="9.7109375" style="3" bestFit="1" customWidth="1"/>
    <col min="15101" max="15343" width="8.85546875" style="3"/>
    <col min="15344" max="15344" width="4.7109375" style="3" customWidth="1"/>
    <col min="15345" max="15345" width="17.85546875" style="3" customWidth="1"/>
    <col min="15346" max="15346" width="41.28515625" style="3" customWidth="1"/>
    <col min="15347" max="15347" width="8.140625" style="3" customWidth="1"/>
    <col min="15348" max="15348" width="7.85546875" style="3" customWidth="1"/>
    <col min="15349" max="15349" width="7.7109375" style="3" bestFit="1" customWidth="1"/>
    <col min="15350" max="15350" width="8.140625" style="3" customWidth="1"/>
    <col min="15351" max="15351" width="9.28515625" style="3" customWidth="1"/>
    <col min="15352" max="15352" width="9.28515625" style="3" bestFit="1" customWidth="1"/>
    <col min="15353" max="15354" width="8.85546875" style="3"/>
    <col min="15355" max="15355" width="9.28515625" style="3" bestFit="1" customWidth="1"/>
    <col min="15356" max="15356" width="9.7109375" style="3" bestFit="1" customWidth="1"/>
    <col min="15357" max="15599" width="8.85546875" style="3"/>
    <col min="15600" max="15600" width="4.7109375" style="3" customWidth="1"/>
    <col min="15601" max="15601" width="17.85546875" style="3" customWidth="1"/>
    <col min="15602" max="15602" width="41.28515625" style="3" customWidth="1"/>
    <col min="15603" max="15603" width="8.140625" style="3" customWidth="1"/>
    <col min="15604" max="15604" width="7.85546875" style="3" customWidth="1"/>
    <col min="15605" max="15605" width="7.7109375" style="3" bestFit="1" customWidth="1"/>
    <col min="15606" max="15606" width="8.140625" style="3" customWidth="1"/>
    <col min="15607" max="15607" width="9.28515625" style="3" customWidth="1"/>
    <col min="15608" max="15608" width="9.28515625" style="3" bestFit="1" customWidth="1"/>
    <col min="15609" max="15610" width="8.85546875" style="3"/>
    <col min="15611" max="15611" width="9.28515625" style="3" bestFit="1" customWidth="1"/>
    <col min="15612" max="15612" width="9.7109375" style="3" bestFit="1" customWidth="1"/>
    <col min="15613" max="15855" width="8.85546875" style="3"/>
    <col min="15856" max="15856" width="4.7109375" style="3" customWidth="1"/>
    <col min="15857" max="15857" width="17.85546875" style="3" customWidth="1"/>
    <col min="15858" max="15858" width="41.28515625" style="3" customWidth="1"/>
    <col min="15859" max="15859" width="8.140625" style="3" customWidth="1"/>
    <col min="15860" max="15860" width="7.85546875" style="3" customWidth="1"/>
    <col min="15861" max="15861" width="7.7109375" style="3" bestFit="1" customWidth="1"/>
    <col min="15862" max="15862" width="8.140625" style="3" customWidth="1"/>
    <col min="15863" max="15863" width="9.28515625" style="3" customWidth="1"/>
    <col min="15864" max="15864" width="9.28515625" style="3" bestFit="1" customWidth="1"/>
    <col min="15865" max="15866" width="8.85546875" style="3"/>
    <col min="15867" max="15867" width="9.28515625" style="3" bestFit="1" customWidth="1"/>
    <col min="15868" max="15868" width="9.7109375" style="3" bestFit="1" customWidth="1"/>
    <col min="15869" max="16111" width="8.85546875" style="3"/>
    <col min="16112" max="16112" width="4.7109375" style="3" customWidth="1"/>
    <col min="16113" max="16113" width="17.85546875" style="3" customWidth="1"/>
    <col min="16114" max="16114" width="41.28515625" style="3" customWidth="1"/>
    <col min="16115" max="16115" width="8.140625" style="3" customWidth="1"/>
    <col min="16116" max="16116" width="7.85546875" style="3" customWidth="1"/>
    <col min="16117" max="16117" width="7.7109375" style="3" bestFit="1" customWidth="1"/>
    <col min="16118" max="16118" width="8.140625" style="3" customWidth="1"/>
    <col min="16119" max="16119" width="9.28515625" style="3" customWidth="1"/>
    <col min="16120" max="16120" width="9.28515625" style="3" bestFit="1" customWidth="1"/>
    <col min="16121" max="16122" width="8.85546875" style="3"/>
    <col min="16123" max="16123" width="9.28515625" style="3" bestFit="1" customWidth="1"/>
    <col min="16124" max="16124" width="9.7109375" style="3" bestFit="1" customWidth="1"/>
    <col min="16125" max="16371" width="8.85546875" style="3"/>
    <col min="16372" max="16384" width="8.85546875" style="3" customWidth="1"/>
  </cols>
  <sheetData>
    <row r="1" spans="1:13" s="31" customFormat="1" ht="19.899999999999999" customHeight="1">
      <c r="A1" s="1664" t="s">
        <v>772</v>
      </c>
      <c r="B1" s="1664"/>
      <c r="C1" s="1664"/>
      <c r="D1" s="1664"/>
      <c r="E1" s="1664"/>
      <c r="F1" s="1664"/>
      <c r="G1" s="1664"/>
      <c r="H1" s="1664"/>
      <c r="I1" s="1664"/>
      <c r="J1" s="1664"/>
      <c r="K1" s="1664"/>
      <c r="L1" s="1664"/>
      <c r="M1" s="1664"/>
    </row>
    <row r="2" spans="1:13" s="31" customFormat="1" ht="19.899999999999999" customHeight="1">
      <c r="A2" s="1664" t="s">
        <v>691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</row>
    <row r="3" spans="1:13" s="31" customFormat="1" ht="19.899999999999999" customHeight="1">
      <c r="B3" s="1"/>
      <c r="C3" s="36"/>
      <c r="D3" s="35"/>
      <c r="E3" s="35"/>
      <c r="F3" s="35"/>
      <c r="G3" s="35"/>
      <c r="H3" s="35"/>
    </row>
    <row r="4" spans="1:13" s="31" customFormat="1" ht="19.899999999999999" customHeight="1">
      <c r="A4" s="1661"/>
      <c r="B4" s="1661"/>
      <c r="C4" s="1661"/>
      <c r="D4" s="1661"/>
      <c r="E4" s="1661"/>
      <c r="F4" s="1661"/>
      <c r="G4" s="1661"/>
      <c r="H4" s="1661"/>
      <c r="I4" s="56"/>
      <c r="J4" s="56"/>
      <c r="K4" s="56"/>
      <c r="L4" s="56"/>
      <c r="M4" s="56"/>
    </row>
    <row r="5" spans="1:13" s="31" customFormat="1" ht="45.75" customHeight="1">
      <c r="A5" s="1666" t="s">
        <v>153</v>
      </c>
      <c r="B5" s="1568" t="s">
        <v>2</v>
      </c>
      <c r="C5" s="1658" t="s">
        <v>3</v>
      </c>
      <c r="D5" s="1570" t="s">
        <v>4</v>
      </c>
      <c r="E5" s="1571" t="s">
        <v>5</v>
      </c>
      <c r="F5" s="1571"/>
      <c r="G5" s="1662" t="s">
        <v>6</v>
      </c>
      <c r="H5" s="1663"/>
      <c r="I5" s="1662" t="s">
        <v>66</v>
      </c>
      <c r="J5" s="1663"/>
      <c r="K5" s="1662" t="s">
        <v>72</v>
      </c>
      <c r="L5" s="1663"/>
      <c r="M5" s="1563" t="s">
        <v>67</v>
      </c>
    </row>
    <row r="6" spans="1:13" s="31" customFormat="1" ht="75">
      <c r="A6" s="1666"/>
      <c r="B6" s="1568"/>
      <c r="C6" s="1658"/>
      <c r="D6" s="1570"/>
      <c r="E6" s="60" t="s">
        <v>7</v>
      </c>
      <c r="F6" s="60" t="s">
        <v>8</v>
      </c>
      <c r="G6" s="61" t="s">
        <v>9</v>
      </c>
      <c r="H6" s="62" t="s">
        <v>10</v>
      </c>
      <c r="I6" s="61" t="s">
        <v>9</v>
      </c>
      <c r="J6" s="62" t="s">
        <v>10</v>
      </c>
      <c r="K6" s="61" t="s">
        <v>9</v>
      </c>
      <c r="L6" s="62" t="s">
        <v>10</v>
      </c>
      <c r="M6" s="1563"/>
    </row>
    <row r="7" spans="1:13" s="31" customFormat="1" ht="18.75">
      <c r="A7" s="63">
        <v>1</v>
      </c>
      <c r="B7" s="63">
        <v>2</v>
      </c>
      <c r="C7" s="64">
        <v>3</v>
      </c>
      <c r="D7" s="63">
        <v>4</v>
      </c>
      <c r="E7" s="61">
        <v>5</v>
      </c>
      <c r="F7" s="61">
        <v>6</v>
      </c>
      <c r="G7" s="61">
        <v>7</v>
      </c>
      <c r="H7" s="65">
        <v>8</v>
      </c>
      <c r="I7" s="61">
        <v>9</v>
      </c>
      <c r="J7" s="65">
        <v>10</v>
      </c>
      <c r="K7" s="61">
        <v>11</v>
      </c>
      <c r="L7" s="65">
        <v>12</v>
      </c>
      <c r="M7" s="65">
        <v>13</v>
      </c>
    </row>
    <row r="8" spans="1:13" s="31" customFormat="1" ht="19.899999999999999" customHeight="1">
      <c r="A8" s="63"/>
      <c r="B8" s="63"/>
      <c r="C8" s="64" t="s">
        <v>574</v>
      </c>
      <c r="D8" s="63"/>
      <c r="E8" s="61"/>
      <c r="F8" s="61"/>
      <c r="G8" s="1534"/>
      <c r="H8" s="1534"/>
      <c r="I8" s="1534"/>
      <c r="J8" s="1534"/>
      <c r="K8" s="1534"/>
      <c r="L8" s="1534"/>
      <c r="M8" s="1534"/>
    </row>
    <row r="9" spans="1:13" ht="57.75" customHeight="1">
      <c r="A9" s="127" t="s">
        <v>44</v>
      </c>
      <c r="B9" s="127"/>
      <c r="C9" s="68" t="s">
        <v>513</v>
      </c>
      <c r="D9" s="67" t="s">
        <v>135</v>
      </c>
      <c r="E9" s="150"/>
      <c r="F9" s="150">
        <v>15</v>
      </c>
      <c r="G9" s="1513"/>
      <c r="H9" s="1535">
        <f t="shared" ref="H9:H72" si="0">F9*G9</f>
        <v>0</v>
      </c>
      <c r="I9" s="1512"/>
      <c r="J9" s="1511">
        <f t="shared" ref="J9:J72" si="1">F9*I9</f>
        <v>0</v>
      </c>
      <c r="K9" s="1512"/>
      <c r="L9" s="1511">
        <f t="shared" ref="L9:L72" si="2">F9*K9</f>
        <v>0</v>
      </c>
      <c r="M9" s="1511">
        <f t="shared" ref="M9:M72" si="3">H9+J9+L9</f>
        <v>0</v>
      </c>
    </row>
    <row r="10" spans="1:13" ht="19.899999999999999" customHeight="1">
      <c r="A10" s="131">
        <f>A9+0.1</f>
        <v>1.1000000000000001</v>
      </c>
      <c r="B10" s="75"/>
      <c r="C10" s="76" t="s">
        <v>50</v>
      </c>
      <c r="D10" s="63" t="s">
        <v>13</v>
      </c>
      <c r="E10" s="153">
        <v>1.17</v>
      </c>
      <c r="F10" s="152">
        <f>F9*E10</f>
        <v>17.549999999999997</v>
      </c>
      <c r="G10" s="1536"/>
      <c r="H10" s="1535">
        <f t="shared" si="0"/>
        <v>0</v>
      </c>
      <c r="I10" s="1288"/>
      <c r="J10" s="1511">
        <f t="shared" si="1"/>
        <v>0</v>
      </c>
      <c r="K10" s="1512"/>
      <c r="L10" s="1511">
        <f t="shared" si="2"/>
        <v>0</v>
      </c>
      <c r="M10" s="1511">
        <f t="shared" si="3"/>
        <v>0</v>
      </c>
    </row>
    <row r="11" spans="1:13" ht="19.899999999999999" customHeight="1">
      <c r="A11" s="131">
        <f t="shared" ref="A11:A14" si="4">A10+0.1</f>
        <v>1.2000000000000002</v>
      </c>
      <c r="B11" s="75"/>
      <c r="C11" s="97" t="s">
        <v>140</v>
      </c>
      <c r="D11" s="63" t="s">
        <v>14</v>
      </c>
      <c r="E11" s="153">
        <f>1.72/100</f>
        <v>1.72E-2</v>
      </c>
      <c r="F11" s="152">
        <f>F9*E11</f>
        <v>0.25800000000000001</v>
      </c>
      <c r="G11" s="1536"/>
      <c r="H11" s="1535">
        <f t="shared" si="0"/>
        <v>0</v>
      </c>
      <c r="I11" s="1512"/>
      <c r="J11" s="1511">
        <f t="shared" si="1"/>
        <v>0</v>
      </c>
      <c r="K11" s="1510"/>
      <c r="L11" s="1511">
        <f t="shared" si="2"/>
        <v>0</v>
      </c>
      <c r="M11" s="1511">
        <f t="shared" si="3"/>
        <v>0</v>
      </c>
    </row>
    <row r="12" spans="1:13" ht="19.899999999999999" customHeight="1">
      <c r="A12" s="131">
        <f t="shared" si="4"/>
        <v>1.3000000000000003</v>
      </c>
      <c r="B12" s="131"/>
      <c r="C12" s="64" t="s">
        <v>516</v>
      </c>
      <c r="D12" s="85" t="s">
        <v>55</v>
      </c>
      <c r="E12" s="153">
        <v>1</v>
      </c>
      <c r="F12" s="152">
        <f>F9*E12</f>
        <v>15</v>
      </c>
      <c r="G12" s="1512"/>
      <c r="H12" s="1535">
        <f t="shared" si="0"/>
        <v>0</v>
      </c>
      <c r="I12" s="1512"/>
      <c r="J12" s="1511">
        <f t="shared" si="1"/>
        <v>0</v>
      </c>
      <c r="K12" s="1288"/>
      <c r="L12" s="1511">
        <f t="shared" si="2"/>
        <v>0</v>
      </c>
      <c r="M12" s="1511">
        <f t="shared" si="3"/>
        <v>0</v>
      </c>
    </row>
    <row r="13" spans="1:13" ht="19.899999999999999" customHeight="1">
      <c r="A13" s="131">
        <f t="shared" si="4"/>
        <v>1.4000000000000004</v>
      </c>
      <c r="B13" s="131"/>
      <c r="C13" s="76" t="s">
        <v>517</v>
      </c>
      <c r="D13" s="85" t="s">
        <v>49</v>
      </c>
      <c r="E13" s="156">
        <v>0.152</v>
      </c>
      <c r="F13" s="154">
        <f>F9*E13</f>
        <v>2.2799999999999998</v>
      </c>
      <c r="G13" s="1512"/>
      <c r="H13" s="1535">
        <f t="shared" si="0"/>
        <v>0</v>
      </c>
      <c r="I13" s="1512"/>
      <c r="J13" s="1511">
        <f t="shared" si="1"/>
        <v>0</v>
      </c>
      <c r="K13" s="1288"/>
      <c r="L13" s="1511">
        <f t="shared" si="2"/>
        <v>0</v>
      </c>
      <c r="M13" s="1511">
        <f t="shared" si="3"/>
        <v>0</v>
      </c>
    </row>
    <row r="14" spans="1:13" ht="19.899999999999999" customHeight="1">
      <c r="A14" s="131">
        <f t="shared" si="4"/>
        <v>1.5000000000000004</v>
      </c>
      <c r="B14" s="85"/>
      <c r="C14" s="64" t="s">
        <v>65</v>
      </c>
      <c r="D14" s="63" t="s">
        <v>14</v>
      </c>
      <c r="E14" s="152">
        <f>3.93/100</f>
        <v>3.9300000000000002E-2</v>
      </c>
      <c r="F14" s="152">
        <f>F9*E14</f>
        <v>0.58950000000000002</v>
      </c>
      <c r="G14" s="1512"/>
      <c r="H14" s="1535">
        <f t="shared" si="0"/>
        <v>0</v>
      </c>
      <c r="I14" s="1512"/>
      <c r="J14" s="1511">
        <f t="shared" si="1"/>
        <v>0</v>
      </c>
      <c r="K14" s="1512"/>
      <c r="L14" s="1511">
        <f t="shared" si="2"/>
        <v>0</v>
      </c>
      <c r="M14" s="1511">
        <f t="shared" si="3"/>
        <v>0</v>
      </c>
    </row>
    <row r="15" spans="1:13" ht="73.5" customHeight="1">
      <c r="A15" s="127" t="s">
        <v>45</v>
      </c>
      <c r="B15" s="127"/>
      <c r="C15" s="68" t="s">
        <v>513</v>
      </c>
      <c r="D15" s="67" t="s">
        <v>177</v>
      </c>
      <c r="E15" s="150"/>
      <c r="F15" s="150">
        <v>5</v>
      </c>
      <c r="G15" s="1513"/>
      <c r="H15" s="1535">
        <f t="shared" si="0"/>
        <v>0</v>
      </c>
      <c r="I15" s="1512"/>
      <c r="J15" s="1511">
        <f t="shared" si="1"/>
        <v>0</v>
      </c>
      <c r="K15" s="1512"/>
      <c r="L15" s="1511">
        <f t="shared" si="2"/>
        <v>0</v>
      </c>
      <c r="M15" s="1511">
        <f t="shared" si="3"/>
        <v>0</v>
      </c>
    </row>
    <row r="16" spans="1:13" ht="19.899999999999999" customHeight="1">
      <c r="A16" s="131">
        <f>A15+0.1</f>
        <v>2.1</v>
      </c>
      <c r="B16" s="75"/>
      <c r="C16" s="76" t="s">
        <v>50</v>
      </c>
      <c r="D16" s="63" t="s">
        <v>13</v>
      </c>
      <c r="E16" s="153">
        <v>1.56</v>
      </c>
      <c r="F16" s="152">
        <f>F15*E16</f>
        <v>7.8000000000000007</v>
      </c>
      <c r="G16" s="1536"/>
      <c r="H16" s="1535">
        <f t="shared" si="0"/>
        <v>0</v>
      </c>
      <c r="I16" s="1288"/>
      <c r="J16" s="1511">
        <f t="shared" si="1"/>
        <v>0</v>
      </c>
      <c r="K16" s="1512"/>
      <c r="L16" s="1511">
        <f t="shared" si="2"/>
        <v>0</v>
      </c>
      <c r="M16" s="1511">
        <f t="shared" si="3"/>
        <v>0</v>
      </c>
    </row>
    <row r="17" spans="1:13" ht="19.899999999999999" customHeight="1">
      <c r="A17" s="131">
        <f t="shared" ref="A17:A20" si="5">A16+0.1</f>
        <v>2.2000000000000002</v>
      </c>
      <c r="B17" s="75"/>
      <c r="C17" s="97" t="s">
        <v>140</v>
      </c>
      <c r="D17" s="63" t="s">
        <v>14</v>
      </c>
      <c r="E17" s="156">
        <f>2.17/100</f>
        <v>2.1700000000000001E-2</v>
      </c>
      <c r="F17" s="152">
        <f>F15*E17</f>
        <v>0.1085</v>
      </c>
      <c r="G17" s="1536"/>
      <c r="H17" s="1535">
        <f t="shared" si="0"/>
        <v>0</v>
      </c>
      <c r="I17" s="1512"/>
      <c r="J17" s="1511">
        <f t="shared" si="1"/>
        <v>0</v>
      </c>
      <c r="K17" s="1510"/>
      <c r="L17" s="1511">
        <f t="shared" si="2"/>
        <v>0</v>
      </c>
      <c r="M17" s="1511">
        <f t="shared" si="3"/>
        <v>0</v>
      </c>
    </row>
    <row r="18" spans="1:13" ht="19.899999999999999" customHeight="1">
      <c r="A18" s="131">
        <f t="shared" si="5"/>
        <v>2.3000000000000003</v>
      </c>
      <c r="B18" s="131"/>
      <c r="C18" s="64" t="s">
        <v>514</v>
      </c>
      <c r="D18" s="85" t="s">
        <v>55</v>
      </c>
      <c r="E18" s="153">
        <v>1</v>
      </c>
      <c r="F18" s="154">
        <f>F15*E18</f>
        <v>5</v>
      </c>
      <c r="G18" s="1512"/>
      <c r="H18" s="1535">
        <f t="shared" si="0"/>
        <v>0</v>
      </c>
      <c r="I18" s="1512"/>
      <c r="J18" s="1511">
        <f t="shared" si="1"/>
        <v>0</v>
      </c>
      <c r="K18" s="1288"/>
      <c r="L18" s="1511">
        <f t="shared" si="2"/>
        <v>0</v>
      </c>
      <c r="M18" s="1511">
        <f t="shared" si="3"/>
        <v>0</v>
      </c>
    </row>
    <row r="19" spans="1:13" ht="19.899999999999999" customHeight="1">
      <c r="A19" s="131">
        <f t="shared" si="5"/>
        <v>2.4000000000000004</v>
      </c>
      <c r="B19" s="131"/>
      <c r="C19" s="76" t="s">
        <v>515</v>
      </c>
      <c r="D19" s="85" t="s">
        <v>49</v>
      </c>
      <c r="E19" s="156">
        <v>0.152</v>
      </c>
      <c r="F19" s="154">
        <f>F15*E19</f>
        <v>0.76</v>
      </c>
      <c r="G19" s="1512"/>
      <c r="H19" s="1535">
        <f t="shared" si="0"/>
        <v>0</v>
      </c>
      <c r="I19" s="1512"/>
      <c r="J19" s="1511">
        <f t="shared" si="1"/>
        <v>0</v>
      </c>
      <c r="K19" s="1288"/>
      <c r="L19" s="1511">
        <f t="shared" si="2"/>
        <v>0</v>
      </c>
      <c r="M19" s="1511">
        <f t="shared" si="3"/>
        <v>0</v>
      </c>
    </row>
    <row r="20" spans="1:13" ht="19.899999999999999" customHeight="1">
      <c r="A20" s="131">
        <f t="shared" si="5"/>
        <v>2.5000000000000004</v>
      </c>
      <c r="B20" s="85"/>
      <c r="C20" s="64" t="s">
        <v>65</v>
      </c>
      <c r="D20" s="63" t="s">
        <v>14</v>
      </c>
      <c r="E20" s="157">
        <f>7.08/100</f>
        <v>7.0800000000000002E-2</v>
      </c>
      <c r="F20" s="152">
        <f>F15*E20</f>
        <v>0.35399999999999998</v>
      </c>
      <c r="G20" s="1512"/>
      <c r="H20" s="1535">
        <f t="shared" si="0"/>
        <v>0</v>
      </c>
      <c r="I20" s="1512"/>
      <c r="J20" s="1511">
        <f t="shared" si="1"/>
        <v>0</v>
      </c>
      <c r="K20" s="1512"/>
      <c r="L20" s="1511">
        <f t="shared" si="2"/>
        <v>0</v>
      </c>
      <c r="M20" s="1511">
        <f t="shared" si="3"/>
        <v>0</v>
      </c>
    </row>
    <row r="21" spans="1:13" s="4" customFormat="1" ht="49.9" customHeight="1">
      <c r="A21" s="120" t="s">
        <v>46</v>
      </c>
      <c r="B21" s="120"/>
      <c r="C21" s="121" t="s">
        <v>521</v>
      </c>
      <c r="D21" s="120" t="s">
        <v>204</v>
      </c>
      <c r="E21" s="158"/>
      <c r="F21" s="159">
        <v>2</v>
      </c>
      <c r="G21" s="1537"/>
      <c r="H21" s="1535">
        <f t="shared" si="0"/>
        <v>0</v>
      </c>
      <c r="I21" s="1538"/>
      <c r="J21" s="1511">
        <f t="shared" si="1"/>
        <v>0</v>
      </c>
      <c r="K21" s="1538"/>
      <c r="L21" s="1511">
        <f t="shared" si="2"/>
        <v>0</v>
      </c>
      <c r="M21" s="1511">
        <f t="shared" si="3"/>
        <v>0</v>
      </c>
    </row>
    <row r="22" spans="1:13" s="5" customFormat="1" ht="19.899999999999999" customHeight="1">
      <c r="A22" s="106">
        <f>A21+0.1</f>
        <v>3.1</v>
      </c>
      <c r="B22" s="75"/>
      <c r="C22" s="76" t="s">
        <v>50</v>
      </c>
      <c r="D22" s="108" t="s">
        <v>13</v>
      </c>
      <c r="E22" s="160">
        <v>3.66</v>
      </c>
      <c r="F22" s="151">
        <f>E22*F21</f>
        <v>7.32</v>
      </c>
      <c r="G22" s="1539"/>
      <c r="H22" s="1535">
        <f t="shared" si="0"/>
        <v>0</v>
      </c>
      <c r="I22" s="1288"/>
      <c r="J22" s="1511">
        <f t="shared" si="1"/>
        <v>0</v>
      </c>
      <c r="K22" s="1540"/>
      <c r="L22" s="1511">
        <f t="shared" si="2"/>
        <v>0</v>
      </c>
      <c r="M22" s="1511">
        <f t="shared" si="3"/>
        <v>0</v>
      </c>
    </row>
    <row r="23" spans="1:13" s="5" customFormat="1" ht="19.899999999999999" customHeight="1">
      <c r="A23" s="106">
        <f>A22+0.1</f>
        <v>3.2</v>
      </c>
      <c r="B23" s="75"/>
      <c r="C23" s="97" t="s">
        <v>140</v>
      </c>
      <c r="D23" s="108" t="s">
        <v>14</v>
      </c>
      <c r="E23" s="160">
        <v>0.28000000000000003</v>
      </c>
      <c r="F23" s="151">
        <f>E23*F21</f>
        <v>0.56000000000000005</v>
      </c>
      <c r="G23" s="1539"/>
      <c r="H23" s="1535">
        <f t="shared" si="0"/>
        <v>0</v>
      </c>
      <c r="I23" s="1540"/>
      <c r="J23" s="1511">
        <f t="shared" si="1"/>
        <v>0</v>
      </c>
      <c r="K23" s="1510"/>
      <c r="L23" s="1511">
        <f t="shared" si="2"/>
        <v>0</v>
      </c>
      <c r="M23" s="1511">
        <f t="shared" si="3"/>
        <v>0</v>
      </c>
    </row>
    <row r="24" spans="1:13" s="5" customFormat="1" ht="19.899999999999999" customHeight="1">
      <c r="A24" s="106">
        <f>A23+0.1</f>
        <v>3.3000000000000003</v>
      </c>
      <c r="B24" s="75"/>
      <c r="C24" s="76" t="s">
        <v>522</v>
      </c>
      <c r="D24" s="75" t="s">
        <v>204</v>
      </c>
      <c r="E24" s="160">
        <v>1</v>
      </c>
      <c r="F24" s="151">
        <f>E24*F21</f>
        <v>2</v>
      </c>
      <c r="G24" s="1535"/>
      <c r="H24" s="1535">
        <f t="shared" si="0"/>
        <v>0</v>
      </c>
      <c r="I24" s="1540"/>
      <c r="J24" s="1511">
        <f t="shared" si="1"/>
        <v>0</v>
      </c>
      <c r="K24" s="1540"/>
      <c r="L24" s="1511">
        <f t="shared" si="2"/>
        <v>0</v>
      </c>
      <c r="M24" s="1511">
        <f t="shared" si="3"/>
        <v>0</v>
      </c>
    </row>
    <row r="25" spans="1:13" s="5" customFormat="1" ht="19.899999999999999" customHeight="1">
      <c r="A25" s="106">
        <f>A24+0.1</f>
        <v>3.4000000000000004</v>
      </c>
      <c r="B25" s="85"/>
      <c r="C25" s="64" t="s">
        <v>65</v>
      </c>
      <c r="D25" s="63" t="s">
        <v>14</v>
      </c>
      <c r="E25" s="160">
        <v>1.24</v>
      </c>
      <c r="F25" s="151">
        <f>E25*F21</f>
        <v>2.48</v>
      </c>
      <c r="G25" s="1512"/>
      <c r="H25" s="1535">
        <f t="shared" si="0"/>
        <v>0</v>
      </c>
      <c r="I25" s="1540"/>
      <c r="J25" s="1511">
        <f t="shared" si="1"/>
        <v>0</v>
      </c>
      <c r="K25" s="1540"/>
      <c r="L25" s="1511">
        <f t="shared" si="2"/>
        <v>0</v>
      </c>
      <c r="M25" s="1511">
        <f t="shared" si="3"/>
        <v>0</v>
      </c>
    </row>
    <row r="26" spans="1:13" ht="49.9" customHeight="1">
      <c r="A26" s="127" t="s">
        <v>47</v>
      </c>
      <c r="B26" s="127"/>
      <c r="C26" s="68" t="s">
        <v>565</v>
      </c>
      <c r="D26" s="66" t="s">
        <v>134</v>
      </c>
      <c r="E26" s="150"/>
      <c r="F26" s="150">
        <v>2</v>
      </c>
      <c r="G26" s="1513"/>
      <c r="H26" s="1535">
        <f t="shared" si="0"/>
        <v>0</v>
      </c>
      <c r="I26" s="1512"/>
      <c r="J26" s="1511">
        <f t="shared" si="1"/>
        <v>0</v>
      </c>
      <c r="K26" s="1512"/>
      <c r="L26" s="1511">
        <f t="shared" si="2"/>
        <v>0</v>
      </c>
      <c r="M26" s="1511">
        <f t="shared" si="3"/>
        <v>0</v>
      </c>
    </row>
    <row r="27" spans="1:13" ht="19.899999999999999" customHeight="1">
      <c r="A27" s="131">
        <f>A26+0.1</f>
        <v>4.0999999999999996</v>
      </c>
      <c r="B27" s="75"/>
      <c r="C27" s="76" t="s">
        <v>50</v>
      </c>
      <c r="D27" s="63" t="s">
        <v>13</v>
      </c>
      <c r="E27" s="153">
        <v>1.56</v>
      </c>
      <c r="F27" s="152">
        <f>F26*E27</f>
        <v>3.12</v>
      </c>
      <c r="G27" s="1536"/>
      <c r="H27" s="1535">
        <f t="shared" si="0"/>
        <v>0</v>
      </c>
      <c r="I27" s="1288"/>
      <c r="J27" s="1511">
        <f t="shared" si="1"/>
        <v>0</v>
      </c>
      <c r="K27" s="1512"/>
      <c r="L27" s="1511">
        <f t="shared" si="2"/>
        <v>0</v>
      </c>
      <c r="M27" s="1511">
        <f t="shared" si="3"/>
        <v>0</v>
      </c>
    </row>
    <row r="28" spans="1:13" ht="19.899999999999999" customHeight="1">
      <c r="A28" s="131">
        <f t="shared" ref="A28:A30" si="6">A27+0.1</f>
        <v>4.1999999999999993</v>
      </c>
      <c r="B28" s="75"/>
      <c r="C28" s="97" t="s">
        <v>140</v>
      </c>
      <c r="D28" s="63" t="s">
        <v>14</v>
      </c>
      <c r="E28" s="153">
        <v>0.06</v>
      </c>
      <c r="F28" s="152">
        <f>F26*E28</f>
        <v>0.12</v>
      </c>
      <c r="G28" s="1536"/>
      <c r="H28" s="1535">
        <f t="shared" si="0"/>
        <v>0</v>
      </c>
      <c r="I28" s="1512"/>
      <c r="J28" s="1511">
        <f t="shared" si="1"/>
        <v>0</v>
      </c>
      <c r="K28" s="1510"/>
      <c r="L28" s="1511">
        <f t="shared" si="2"/>
        <v>0</v>
      </c>
      <c r="M28" s="1511">
        <f t="shared" si="3"/>
        <v>0</v>
      </c>
    </row>
    <row r="29" spans="1:13" ht="19.899999999999999" customHeight="1">
      <c r="A29" s="131">
        <f t="shared" si="6"/>
        <v>4.2999999999999989</v>
      </c>
      <c r="B29" s="85"/>
      <c r="C29" s="64" t="s">
        <v>518</v>
      </c>
      <c r="D29" s="85" t="s">
        <v>134</v>
      </c>
      <c r="E29" s="152">
        <v>1</v>
      </c>
      <c r="F29" s="152">
        <f>F26*E29</f>
        <v>2</v>
      </c>
      <c r="G29" s="1512"/>
      <c r="H29" s="1535">
        <f t="shared" si="0"/>
        <v>0</v>
      </c>
      <c r="I29" s="1512"/>
      <c r="J29" s="1511">
        <f t="shared" si="1"/>
        <v>0</v>
      </c>
      <c r="K29" s="1512"/>
      <c r="L29" s="1511">
        <f t="shared" si="2"/>
        <v>0</v>
      </c>
      <c r="M29" s="1511">
        <f t="shared" si="3"/>
        <v>0</v>
      </c>
    </row>
    <row r="30" spans="1:13" ht="19.899999999999999" customHeight="1">
      <c r="A30" s="131">
        <f t="shared" si="6"/>
        <v>4.3999999999999986</v>
      </c>
      <c r="B30" s="85"/>
      <c r="C30" s="64" t="s">
        <v>65</v>
      </c>
      <c r="D30" s="63" t="s">
        <v>14</v>
      </c>
      <c r="E30" s="152">
        <v>0.28999999999999998</v>
      </c>
      <c r="F30" s="152">
        <f>F26*E30</f>
        <v>0.57999999999999996</v>
      </c>
      <c r="G30" s="1512"/>
      <c r="H30" s="1535">
        <f t="shared" si="0"/>
        <v>0</v>
      </c>
      <c r="I30" s="1512"/>
      <c r="J30" s="1511">
        <f t="shared" si="1"/>
        <v>0</v>
      </c>
      <c r="K30" s="1512"/>
      <c r="L30" s="1511">
        <f t="shared" si="2"/>
        <v>0</v>
      </c>
      <c r="M30" s="1511">
        <f t="shared" si="3"/>
        <v>0</v>
      </c>
    </row>
    <row r="31" spans="1:13" ht="49.9" customHeight="1">
      <c r="A31" s="127" t="s">
        <v>48</v>
      </c>
      <c r="B31" s="127"/>
      <c r="C31" s="68" t="s">
        <v>564</v>
      </c>
      <c r="D31" s="66" t="s">
        <v>134</v>
      </c>
      <c r="E31" s="150"/>
      <c r="F31" s="150">
        <v>2</v>
      </c>
      <c r="G31" s="1513"/>
      <c r="H31" s="1535">
        <f t="shared" si="0"/>
        <v>0</v>
      </c>
      <c r="I31" s="1512"/>
      <c r="J31" s="1511">
        <f t="shared" si="1"/>
        <v>0</v>
      </c>
      <c r="K31" s="1512"/>
      <c r="L31" s="1511">
        <f t="shared" si="2"/>
        <v>0</v>
      </c>
      <c r="M31" s="1511">
        <f t="shared" si="3"/>
        <v>0</v>
      </c>
    </row>
    <row r="32" spans="1:13" ht="19.899999999999999" customHeight="1">
      <c r="A32" s="131">
        <f>A31+0.1</f>
        <v>5.0999999999999996</v>
      </c>
      <c r="B32" s="75"/>
      <c r="C32" s="76" t="s">
        <v>50</v>
      </c>
      <c r="D32" s="63" t="s">
        <v>13</v>
      </c>
      <c r="E32" s="153">
        <v>1.56</v>
      </c>
      <c r="F32" s="152">
        <f>F31*E32</f>
        <v>3.12</v>
      </c>
      <c r="G32" s="1536"/>
      <c r="H32" s="1535">
        <f t="shared" si="0"/>
        <v>0</v>
      </c>
      <c r="I32" s="1288"/>
      <c r="J32" s="1511">
        <f t="shared" si="1"/>
        <v>0</v>
      </c>
      <c r="K32" s="1512"/>
      <c r="L32" s="1511">
        <f t="shared" si="2"/>
        <v>0</v>
      </c>
      <c r="M32" s="1511">
        <f t="shared" si="3"/>
        <v>0</v>
      </c>
    </row>
    <row r="33" spans="1:13" ht="19.899999999999999" customHeight="1">
      <c r="A33" s="131">
        <f t="shared" ref="A33:A35" si="7">A32+0.1</f>
        <v>5.1999999999999993</v>
      </c>
      <c r="B33" s="75"/>
      <c r="C33" s="97" t="s">
        <v>140</v>
      </c>
      <c r="D33" s="63" t="s">
        <v>14</v>
      </c>
      <c r="E33" s="153">
        <v>0.06</v>
      </c>
      <c r="F33" s="152">
        <f>F31*E33</f>
        <v>0.12</v>
      </c>
      <c r="G33" s="1536"/>
      <c r="H33" s="1535">
        <f t="shared" si="0"/>
        <v>0</v>
      </c>
      <c r="I33" s="1512"/>
      <c r="J33" s="1511">
        <f t="shared" si="1"/>
        <v>0</v>
      </c>
      <c r="K33" s="1510"/>
      <c r="L33" s="1511">
        <f t="shared" si="2"/>
        <v>0</v>
      </c>
      <c r="M33" s="1511">
        <f t="shared" si="3"/>
        <v>0</v>
      </c>
    </row>
    <row r="34" spans="1:13" ht="19.899999999999999" customHeight="1">
      <c r="A34" s="131">
        <f t="shared" si="7"/>
        <v>5.2999999999999989</v>
      </c>
      <c r="B34" s="85"/>
      <c r="C34" s="64" t="s">
        <v>518</v>
      </c>
      <c r="D34" s="85" t="s">
        <v>134</v>
      </c>
      <c r="E34" s="152">
        <v>1</v>
      </c>
      <c r="F34" s="152">
        <f>F31*E34</f>
        <v>2</v>
      </c>
      <c r="G34" s="1512"/>
      <c r="H34" s="1535">
        <f t="shared" si="0"/>
        <v>0</v>
      </c>
      <c r="I34" s="1512"/>
      <c r="J34" s="1511">
        <f t="shared" si="1"/>
        <v>0</v>
      </c>
      <c r="K34" s="1512"/>
      <c r="L34" s="1511">
        <f t="shared" si="2"/>
        <v>0</v>
      </c>
      <c r="M34" s="1511">
        <f t="shared" si="3"/>
        <v>0</v>
      </c>
    </row>
    <row r="35" spans="1:13" ht="19.899999999999999" customHeight="1">
      <c r="A35" s="131">
        <f t="shared" si="7"/>
        <v>5.3999999999999986</v>
      </c>
      <c r="B35" s="85"/>
      <c r="C35" s="64" t="s">
        <v>65</v>
      </c>
      <c r="D35" s="63" t="s">
        <v>14</v>
      </c>
      <c r="E35" s="152">
        <v>0.28999999999999998</v>
      </c>
      <c r="F35" s="152">
        <f>F31*E35</f>
        <v>0.57999999999999996</v>
      </c>
      <c r="G35" s="1512"/>
      <c r="H35" s="1535">
        <f t="shared" si="0"/>
        <v>0</v>
      </c>
      <c r="I35" s="1512"/>
      <c r="J35" s="1511">
        <f t="shared" si="1"/>
        <v>0</v>
      </c>
      <c r="K35" s="1512"/>
      <c r="L35" s="1511">
        <f t="shared" si="2"/>
        <v>0</v>
      </c>
      <c r="M35" s="1511">
        <f t="shared" si="3"/>
        <v>0</v>
      </c>
    </row>
    <row r="36" spans="1:13" s="4" customFormat="1" ht="49.9" customHeight="1">
      <c r="A36" s="120" t="s">
        <v>127</v>
      </c>
      <c r="B36" s="120"/>
      <c r="C36" s="121" t="s">
        <v>523</v>
      </c>
      <c r="D36" s="120" t="s">
        <v>204</v>
      </c>
      <c r="E36" s="158"/>
      <c r="F36" s="159">
        <v>1</v>
      </c>
      <c r="G36" s="1537"/>
      <c r="H36" s="1535">
        <f t="shared" si="0"/>
        <v>0</v>
      </c>
      <c r="I36" s="1538"/>
      <c r="J36" s="1511">
        <f t="shared" si="1"/>
        <v>0</v>
      </c>
      <c r="K36" s="1538"/>
      <c r="L36" s="1511">
        <f t="shared" si="2"/>
        <v>0</v>
      </c>
      <c r="M36" s="1511">
        <f t="shared" si="3"/>
        <v>0</v>
      </c>
    </row>
    <row r="37" spans="1:13" s="5" customFormat="1" ht="19.899999999999999" customHeight="1">
      <c r="A37" s="106">
        <f>A36+0.1</f>
        <v>6.1</v>
      </c>
      <c r="B37" s="75"/>
      <c r="C37" s="76" t="s">
        <v>50</v>
      </c>
      <c r="D37" s="108" t="s">
        <v>13</v>
      </c>
      <c r="E37" s="160">
        <v>3.66</v>
      </c>
      <c r="F37" s="151">
        <f>E37*F36</f>
        <v>3.66</v>
      </c>
      <c r="G37" s="1539"/>
      <c r="H37" s="1535">
        <f t="shared" si="0"/>
        <v>0</v>
      </c>
      <c r="I37" s="1288"/>
      <c r="J37" s="1511">
        <f t="shared" si="1"/>
        <v>0</v>
      </c>
      <c r="K37" s="1540"/>
      <c r="L37" s="1511">
        <f t="shared" si="2"/>
        <v>0</v>
      </c>
      <c r="M37" s="1511">
        <f t="shared" si="3"/>
        <v>0</v>
      </c>
    </row>
    <row r="38" spans="1:13" s="5" customFormat="1" ht="19.899999999999999" customHeight="1">
      <c r="A38" s="106">
        <f>A37+0.1</f>
        <v>6.1999999999999993</v>
      </c>
      <c r="B38" s="75"/>
      <c r="C38" s="97" t="s">
        <v>140</v>
      </c>
      <c r="D38" s="108" t="s">
        <v>14</v>
      </c>
      <c r="E38" s="160">
        <v>0.28000000000000003</v>
      </c>
      <c r="F38" s="151">
        <f>E38*F36</f>
        <v>0.28000000000000003</v>
      </c>
      <c r="G38" s="1539"/>
      <c r="H38" s="1535">
        <f t="shared" si="0"/>
        <v>0</v>
      </c>
      <c r="I38" s="1540"/>
      <c r="J38" s="1511">
        <f t="shared" si="1"/>
        <v>0</v>
      </c>
      <c r="K38" s="1510"/>
      <c r="L38" s="1511">
        <f t="shared" si="2"/>
        <v>0</v>
      </c>
      <c r="M38" s="1511">
        <f t="shared" si="3"/>
        <v>0</v>
      </c>
    </row>
    <row r="39" spans="1:13" s="5" customFormat="1" ht="19.899999999999999" customHeight="1">
      <c r="A39" s="106">
        <f>A38+0.1</f>
        <v>6.2999999999999989</v>
      </c>
      <c r="B39" s="75"/>
      <c r="C39" s="76" t="s">
        <v>524</v>
      </c>
      <c r="D39" s="75" t="s">
        <v>204</v>
      </c>
      <c r="E39" s="160">
        <v>1</v>
      </c>
      <c r="F39" s="151">
        <f>E39*F36</f>
        <v>1</v>
      </c>
      <c r="G39" s="1535"/>
      <c r="H39" s="1535">
        <f t="shared" si="0"/>
        <v>0</v>
      </c>
      <c r="I39" s="1540"/>
      <c r="J39" s="1511">
        <f t="shared" si="1"/>
        <v>0</v>
      </c>
      <c r="K39" s="1540"/>
      <c r="L39" s="1511">
        <f t="shared" si="2"/>
        <v>0</v>
      </c>
      <c r="M39" s="1511">
        <f t="shared" si="3"/>
        <v>0</v>
      </c>
    </row>
    <row r="40" spans="1:13" s="5" customFormat="1" ht="19.899999999999999" customHeight="1">
      <c r="A40" s="106">
        <f>A39+0.1</f>
        <v>6.3999999999999986</v>
      </c>
      <c r="B40" s="85"/>
      <c r="C40" s="64" t="s">
        <v>65</v>
      </c>
      <c r="D40" s="63" t="s">
        <v>14</v>
      </c>
      <c r="E40" s="160">
        <v>1.24</v>
      </c>
      <c r="F40" s="151">
        <f>E40*F36</f>
        <v>1.24</v>
      </c>
      <c r="G40" s="1512"/>
      <c r="H40" s="1535">
        <f t="shared" si="0"/>
        <v>0</v>
      </c>
      <c r="I40" s="1540"/>
      <c r="J40" s="1511">
        <f t="shared" si="1"/>
        <v>0</v>
      </c>
      <c r="K40" s="1540"/>
      <c r="L40" s="1511">
        <f t="shared" si="2"/>
        <v>0</v>
      </c>
      <c r="M40" s="1511">
        <f t="shared" si="3"/>
        <v>0</v>
      </c>
    </row>
    <row r="41" spans="1:13" ht="49.9" customHeight="1">
      <c r="A41" s="127" t="s">
        <v>122</v>
      </c>
      <c r="B41" s="127"/>
      <c r="C41" s="68" t="s">
        <v>519</v>
      </c>
      <c r="D41" s="66" t="s">
        <v>134</v>
      </c>
      <c r="E41" s="150"/>
      <c r="F41" s="150">
        <v>1</v>
      </c>
      <c r="G41" s="1513"/>
      <c r="H41" s="1535">
        <f t="shared" si="0"/>
        <v>0</v>
      </c>
      <c r="I41" s="1512"/>
      <c r="J41" s="1511">
        <f t="shared" si="1"/>
        <v>0</v>
      </c>
      <c r="K41" s="1512"/>
      <c r="L41" s="1511">
        <f t="shared" si="2"/>
        <v>0</v>
      </c>
      <c r="M41" s="1511">
        <f t="shared" si="3"/>
        <v>0</v>
      </c>
    </row>
    <row r="42" spans="1:13" ht="19.899999999999999" customHeight="1">
      <c r="A42" s="131">
        <f>A41+0.1</f>
        <v>7.1</v>
      </c>
      <c r="B42" s="75"/>
      <c r="C42" s="76" t="s">
        <v>50</v>
      </c>
      <c r="D42" s="63" t="s">
        <v>13</v>
      </c>
      <c r="E42" s="153">
        <v>1.56</v>
      </c>
      <c r="F42" s="152">
        <f>F41*E42</f>
        <v>1.56</v>
      </c>
      <c r="G42" s="1536"/>
      <c r="H42" s="1535">
        <f t="shared" si="0"/>
        <v>0</v>
      </c>
      <c r="I42" s="1288"/>
      <c r="J42" s="1511">
        <f t="shared" si="1"/>
        <v>0</v>
      </c>
      <c r="K42" s="1512"/>
      <c r="L42" s="1511">
        <f t="shared" si="2"/>
        <v>0</v>
      </c>
      <c r="M42" s="1511">
        <f t="shared" si="3"/>
        <v>0</v>
      </c>
    </row>
    <row r="43" spans="1:13" ht="19.899999999999999" customHeight="1">
      <c r="A43" s="131">
        <f t="shared" ref="A43:A45" si="8">A42+0.1</f>
        <v>7.1999999999999993</v>
      </c>
      <c r="B43" s="75"/>
      <c r="C43" s="97" t="s">
        <v>140</v>
      </c>
      <c r="D43" s="63" t="s">
        <v>14</v>
      </c>
      <c r="E43" s="153">
        <v>0.06</v>
      </c>
      <c r="F43" s="152">
        <f>F41*E43</f>
        <v>0.06</v>
      </c>
      <c r="G43" s="1536"/>
      <c r="H43" s="1535">
        <f t="shared" si="0"/>
        <v>0</v>
      </c>
      <c r="I43" s="1512"/>
      <c r="J43" s="1511">
        <f t="shared" si="1"/>
        <v>0</v>
      </c>
      <c r="K43" s="1510"/>
      <c r="L43" s="1511">
        <f t="shared" si="2"/>
        <v>0</v>
      </c>
      <c r="M43" s="1511">
        <f t="shared" si="3"/>
        <v>0</v>
      </c>
    </row>
    <row r="44" spans="1:13" ht="19.899999999999999" customHeight="1">
      <c r="A44" s="131">
        <f t="shared" si="8"/>
        <v>7.2999999999999989</v>
      </c>
      <c r="B44" s="85"/>
      <c r="C44" s="64" t="s">
        <v>520</v>
      </c>
      <c r="D44" s="85" t="s">
        <v>134</v>
      </c>
      <c r="E44" s="152">
        <v>1</v>
      </c>
      <c r="F44" s="152">
        <f>F41*E44</f>
        <v>1</v>
      </c>
      <c r="G44" s="1512"/>
      <c r="H44" s="1535">
        <f t="shared" si="0"/>
        <v>0</v>
      </c>
      <c r="I44" s="1512"/>
      <c r="J44" s="1511">
        <f t="shared" si="1"/>
        <v>0</v>
      </c>
      <c r="K44" s="1512"/>
      <c r="L44" s="1511">
        <f t="shared" si="2"/>
        <v>0</v>
      </c>
      <c r="M44" s="1511">
        <f t="shared" si="3"/>
        <v>0</v>
      </c>
    </row>
    <row r="45" spans="1:13" ht="19.899999999999999" customHeight="1">
      <c r="A45" s="131">
        <f t="shared" si="8"/>
        <v>7.3999999999999986</v>
      </c>
      <c r="B45" s="85"/>
      <c r="C45" s="64" t="s">
        <v>65</v>
      </c>
      <c r="D45" s="63" t="s">
        <v>14</v>
      </c>
      <c r="E45" s="152">
        <v>0.28999999999999998</v>
      </c>
      <c r="F45" s="152">
        <f>F41*E45</f>
        <v>0.28999999999999998</v>
      </c>
      <c r="G45" s="1512"/>
      <c r="H45" s="1535">
        <f t="shared" si="0"/>
        <v>0</v>
      </c>
      <c r="I45" s="1512"/>
      <c r="J45" s="1511">
        <f t="shared" si="1"/>
        <v>0</v>
      </c>
      <c r="K45" s="1512"/>
      <c r="L45" s="1511">
        <f t="shared" si="2"/>
        <v>0</v>
      </c>
      <c r="M45" s="1511">
        <f t="shared" si="3"/>
        <v>0</v>
      </c>
    </row>
    <row r="46" spans="1:13" ht="49.9" customHeight="1">
      <c r="A46" s="127" t="s">
        <v>123</v>
      </c>
      <c r="B46" s="127"/>
      <c r="C46" s="68" t="s">
        <v>525</v>
      </c>
      <c r="D46" s="66" t="s">
        <v>11</v>
      </c>
      <c r="E46" s="150"/>
      <c r="F46" s="150">
        <v>6</v>
      </c>
      <c r="G46" s="1513"/>
      <c r="H46" s="1535">
        <f t="shared" si="0"/>
        <v>0</v>
      </c>
      <c r="I46" s="1512"/>
      <c r="J46" s="1511">
        <f t="shared" si="1"/>
        <v>0</v>
      </c>
      <c r="K46" s="1512"/>
      <c r="L46" s="1511">
        <f t="shared" si="2"/>
        <v>0</v>
      </c>
      <c r="M46" s="1511">
        <f t="shared" si="3"/>
        <v>0</v>
      </c>
    </row>
    <row r="47" spans="1:13" ht="19.899999999999999" customHeight="1">
      <c r="A47" s="131">
        <f>A46+0.1</f>
        <v>8.1</v>
      </c>
      <c r="B47" s="75"/>
      <c r="C47" s="76" t="s">
        <v>50</v>
      </c>
      <c r="D47" s="63" t="s">
        <v>13</v>
      </c>
      <c r="E47" s="153">
        <v>0.82</v>
      </c>
      <c r="F47" s="152">
        <f>F46*E47</f>
        <v>4.92</v>
      </c>
      <c r="G47" s="1536"/>
      <c r="H47" s="1535">
        <f t="shared" si="0"/>
        <v>0</v>
      </c>
      <c r="I47" s="1288"/>
      <c r="J47" s="1511">
        <f t="shared" si="1"/>
        <v>0</v>
      </c>
      <c r="K47" s="1512"/>
      <c r="L47" s="1511">
        <f t="shared" si="2"/>
        <v>0</v>
      </c>
      <c r="M47" s="1511">
        <f t="shared" si="3"/>
        <v>0</v>
      </c>
    </row>
    <row r="48" spans="1:13" ht="19.899999999999999" customHeight="1">
      <c r="A48" s="131">
        <f t="shared" ref="A48:A50" si="9">A47+0.1</f>
        <v>8.1999999999999993</v>
      </c>
      <c r="B48" s="75"/>
      <c r="C48" s="97" t="s">
        <v>140</v>
      </c>
      <c r="D48" s="63" t="s">
        <v>14</v>
      </c>
      <c r="E48" s="153">
        <v>0.01</v>
      </c>
      <c r="F48" s="152">
        <f>F46*E48</f>
        <v>0.06</v>
      </c>
      <c r="G48" s="1536"/>
      <c r="H48" s="1535">
        <f t="shared" si="0"/>
        <v>0</v>
      </c>
      <c r="I48" s="1512"/>
      <c r="J48" s="1511">
        <f t="shared" si="1"/>
        <v>0</v>
      </c>
      <c r="K48" s="1510"/>
      <c r="L48" s="1511">
        <f t="shared" si="2"/>
        <v>0</v>
      </c>
      <c r="M48" s="1511">
        <f t="shared" si="3"/>
        <v>0</v>
      </c>
    </row>
    <row r="49" spans="1:13" ht="19.899999999999999" customHeight="1">
      <c r="A49" s="131">
        <f t="shared" si="9"/>
        <v>8.2999999999999989</v>
      </c>
      <c r="B49" s="75"/>
      <c r="C49" s="64" t="s">
        <v>526</v>
      </c>
      <c r="D49" s="85" t="s">
        <v>11</v>
      </c>
      <c r="E49" s="152">
        <v>1</v>
      </c>
      <c r="F49" s="152">
        <f>F46*E49</f>
        <v>6</v>
      </c>
      <c r="G49" s="1512"/>
      <c r="H49" s="1535">
        <f t="shared" si="0"/>
        <v>0</v>
      </c>
      <c r="I49" s="1512"/>
      <c r="J49" s="1511">
        <f t="shared" si="1"/>
        <v>0</v>
      </c>
      <c r="K49" s="1512"/>
      <c r="L49" s="1511">
        <f t="shared" si="2"/>
        <v>0</v>
      </c>
      <c r="M49" s="1511">
        <f t="shared" si="3"/>
        <v>0</v>
      </c>
    </row>
    <row r="50" spans="1:13" ht="19.899999999999999" customHeight="1">
      <c r="A50" s="131">
        <f t="shared" si="9"/>
        <v>8.3999999999999986</v>
      </c>
      <c r="B50" s="85"/>
      <c r="C50" s="64" t="s">
        <v>65</v>
      </c>
      <c r="D50" s="63" t="s">
        <v>14</v>
      </c>
      <c r="E50" s="152">
        <v>7.0000000000000007E-2</v>
      </c>
      <c r="F50" s="152">
        <f>F46*E50</f>
        <v>0.42000000000000004</v>
      </c>
      <c r="G50" s="1512"/>
      <c r="H50" s="1535">
        <f t="shared" si="0"/>
        <v>0</v>
      </c>
      <c r="I50" s="1512"/>
      <c r="J50" s="1511">
        <f t="shared" si="1"/>
        <v>0</v>
      </c>
      <c r="K50" s="1512"/>
      <c r="L50" s="1511">
        <f t="shared" si="2"/>
        <v>0</v>
      </c>
      <c r="M50" s="1511">
        <f t="shared" si="3"/>
        <v>0</v>
      </c>
    </row>
    <row r="51" spans="1:13" s="7" customFormat="1" ht="49.9" customHeight="1">
      <c r="A51" s="100">
        <v>9</v>
      </c>
      <c r="B51" s="161"/>
      <c r="C51" s="162" t="s">
        <v>212</v>
      </c>
      <c r="D51" s="161" t="s">
        <v>11</v>
      </c>
      <c r="E51" s="163"/>
      <c r="F51" s="163">
        <f>F54+F55+F56+F57</f>
        <v>26</v>
      </c>
      <c r="G51" s="1541"/>
      <c r="H51" s="1535">
        <f t="shared" si="0"/>
        <v>0</v>
      </c>
      <c r="I51" s="1510"/>
      <c r="J51" s="1511">
        <f t="shared" si="1"/>
        <v>0</v>
      </c>
      <c r="K51" s="1510"/>
      <c r="L51" s="1511">
        <f t="shared" si="2"/>
        <v>0</v>
      </c>
      <c r="M51" s="1511">
        <f t="shared" si="3"/>
        <v>0</v>
      </c>
    </row>
    <row r="52" spans="1:13" s="7" customFormat="1" ht="19.899999999999999" customHeight="1">
      <c r="A52" s="106">
        <f>A51+0.1</f>
        <v>9.1</v>
      </c>
      <c r="B52" s="75"/>
      <c r="C52" s="76" t="s">
        <v>50</v>
      </c>
      <c r="D52" s="108" t="s">
        <v>13</v>
      </c>
      <c r="E52" s="155">
        <v>1.51</v>
      </c>
      <c r="F52" s="155">
        <f>E52*F51</f>
        <v>39.26</v>
      </c>
      <c r="G52" s="1510"/>
      <c r="H52" s="1535">
        <f t="shared" si="0"/>
        <v>0</v>
      </c>
      <c r="I52" s="1288"/>
      <c r="J52" s="1511">
        <f t="shared" si="1"/>
        <v>0</v>
      </c>
      <c r="K52" s="1512"/>
      <c r="L52" s="1511">
        <f t="shared" si="2"/>
        <v>0</v>
      </c>
      <c r="M52" s="1511">
        <f t="shared" si="3"/>
        <v>0</v>
      </c>
    </row>
    <row r="53" spans="1:13" s="7" customFormat="1" ht="19.899999999999999" customHeight="1">
      <c r="A53" s="106">
        <f t="shared" ref="A53:A58" si="10">A52+0.1</f>
        <v>9.1999999999999993</v>
      </c>
      <c r="B53" s="75"/>
      <c r="C53" s="97" t="s">
        <v>140</v>
      </c>
      <c r="D53" s="108" t="s">
        <v>14</v>
      </c>
      <c r="E53" s="155">
        <v>0.1</v>
      </c>
      <c r="F53" s="155">
        <f>E53*F51</f>
        <v>2.6</v>
      </c>
      <c r="G53" s="1510"/>
      <c r="H53" s="1535">
        <f t="shared" si="0"/>
        <v>0</v>
      </c>
      <c r="I53" s="1512"/>
      <c r="J53" s="1511">
        <f t="shared" si="1"/>
        <v>0</v>
      </c>
      <c r="K53" s="1510"/>
      <c r="L53" s="1511">
        <f t="shared" si="2"/>
        <v>0</v>
      </c>
      <c r="M53" s="1511">
        <f t="shared" si="3"/>
        <v>0</v>
      </c>
    </row>
    <row r="54" spans="1:13" s="7" customFormat="1" ht="19.899999999999999" customHeight="1">
      <c r="A54" s="106">
        <f t="shared" si="10"/>
        <v>9.2999999999999989</v>
      </c>
      <c r="B54" s="75"/>
      <c r="C54" s="164" t="s">
        <v>528</v>
      </c>
      <c r="D54" s="108" t="s">
        <v>11</v>
      </c>
      <c r="E54" s="155" t="s">
        <v>20</v>
      </c>
      <c r="F54" s="155">
        <v>4</v>
      </c>
      <c r="G54" s="1510"/>
      <c r="H54" s="1535">
        <f t="shared" si="0"/>
        <v>0</v>
      </c>
      <c r="I54" s="1510"/>
      <c r="J54" s="1511">
        <f t="shared" si="1"/>
        <v>0</v>
      </c>
      <c r="K54" s="1510"/>
      <c r="L54" s="1511">
        <f t="shared" si="2"/>
        <v>0</v>
      </c>
      <c r="M54" s="1511">
        <f t="shared" si="3"/>
        <v>0</v>
      </c>
    </row>
    <row r="55" spans="1:13" s="7" customFormat="1" ht="19.899999999999999" customHeight="1">
      <c r="A55" s="106">
        <f t="shared" si="10"/>
        <v>9.3999999999999986</v>
      </c>
      <c r="B55" s="75"/>
      <c r="C55" s="164" t="s">
        <v>529</v>
      </c>
      <c r="D55" s="108" t="s">
        <v>11</v>
      </c>
      <c r="E55" s="155" t="s">
        <v>20</v>
      </c>
      <c r="F55" s="155">
        <v>2</v>
      </c>
      <c r="G55" s="1510"/>
      <c r="H55" s="1535">
        <f t="shared" si="0"/>
        <v>0</v>
      </c>
      <c r="I55" s="1510"/>
      <c r="J55" s="1511">
        <f t="shared" si="1"/>
        <v>0</v>
      </c>
      <c r="K55" s="1510"/>
      <c r="L55" s="1511">
        <f t="shared" si="2"/>
        <v>0</v>
      </c>
      <c r="M55" s="1511">
        <f t="shared" si="3"/>
        <v>0</v>
      </c>
    </row>
    <row r="56" spans="1:13" s="7" customFormat="1" ht="19.899999999999999" customHeight="1">
      <c r="A56" s="106">
        <f t="shared" si="10"/>
        <v>9.4999999999999982</v>
      </c>
      <c r="B56" s="75"/>
      <c r="C56" s="164" t="s">
        <v>530</v>
      </c>
      <c r="D56" s="108" t="s">
        <v>11</v>
      </c>
      <c r="E56" s="155" t="s">
        <v>20</v>
      </c>
      <c r="F56" s="155">
        <v>5</v>
      </c>
      <c r="G56" s="1510"/>
      <c r="H56" s="1535">
        <f t="shared" si="0"/>
        <v>0</v>
      </c>
      <c r="I56" s="1510"/>
      <c r="J56" s="1511">
        <f t="shared" si="1"/>
        <v>0</v>
      </c>
      <c r="K56" s="1510"/>
      <c r="L56" s="1511">
        <f t="shared" si="2"/>
        <v>0</v>
      </c>
      <c r="M56" s="1511">
        <f t="shared" si="3"/>
        <v>0</v>
      </c>
    </row>
    <row r="57" spans="1:13" s="7" customFormat="1" ht="19.899999999999999" customHeight="1">
      <c r="A57" s="106">
        <f t="shared" si="10"/>
        <v>9.5999999999999979</v>
      </c>
      <c r="B57" s="75"/>
      <c r="C57" s="164" t="s">
        <v>531</v>
      </c>
      <c r="D57" s="108" t="s">
        <v>11</v>
      </c>
      <c r="E57" s="155" t="s">
        <v>20</v>
      </c>
      <c r="F57" s="155">
        <v>15</v>
      </c>
      <c r="G57" s="1510"/>
      <c r="H57" s="1535">
        <f t="shared" si="0"/>
        <v>0</v>
      </c>
      <c r="I57" s="1510"/>
      <c r="J57" s="1511">
        <f t="shared" si="1"/>
        <v>0</v>
      </c>
      <c r="K57" s="1510"/>
      <c r="L57" s="1511">
        <f t="shared" si="2"/>
        <v>0</v>
      </c>
      <c r="M57" s="1511">
        <f t="shared" si="3"/>
        <v>0</v>
      </c>
    </row>
    <row r="58" spans="1:13" s="7" customFormat="1" ht="19.899999999999999" customHeight="1">
      <c r="A58" s="106">
        <f t="shared" si="10"/>
        <v>9.6999999999999975</v>
      </c>
      <c r="B58" s="85"/>
      <c r="C58" s="64" t="s">
        <v>65</v>
      </c>
      <c r="D58" s="63" t="s">
        <v>14</v>
      </c>
      <c r="E58" s="155">
        <v>7.0000000000000007E-2</v>
      </c>
      <c r="F58" s="155">
        <f>E58*F51</f>
        <v>1.8200000000000003</v>
      </c>
      <c r="G58" s="1512"/>
      <c r="H58" s="1535">
        <f t="shared" si="0"/>
        <v>0</v>
      </c>
      <c r="I58" s="1510"/>
      <c r="J58" s="1511">
        <f t="shared" si="1"/>
        <v>0</v>
      </c>
      <c r="K58" s="1510"/>
      <c r="L58" s="1511">
        <f t="shared" si="2"/>
        <v>0</v>
      </c>
      <c r="M58" s="1511">
        <f t="shared" si="3"/>
        <v>0</v>
      </c>
    </row>
    <row r="59" spans="1:13" ht="49.9" customHeight="1">
      <c r="A59" s="120" t="s">
        <v>129</v>
      </c>
      <c r="B59" s="120"/>
      <c r="C59" s="121" t="s">
        <v>532</v>
      </c>
      <c r="D59" s="120" t="s">
        <v>11</v>
      </c>
      <c r="E59" s="158"/>
      <c r="F59" s="159">
        <f>SUM(F62:F73)</f>
        <v>212</v>
      </c>
      <c r="G59" s="1537"/>
      <c r="H59" s="1535">
        <f t="shared" si="0"/>
        <v>0</v>
      </c>
      <c r="I59" s="1512"/>
      <c r="J59" s="1511">
        <f t="shared" si="1"/>
        <v>0</v>
      </c>
      <c r="K59" s="1288"/>
      <c r="L59" s="1511">
        <f t="shared" si="2"/>
        <v>0</v>
      </c>
      <c r="M59" s="1511">
        <f t="shared" si="3"/>
        <v>0</v>
      </c>
    </row>
    <row r="60" spans="1:13" ht="19.899999999999999" customHeight="1">
      <c r="A60" s="106">
        <f>A59+0.1</f>
        <v>10.1</v>
      </c>
      <c r="B60" s="75"/>
      <c r="C60" s="76" t="s">
        <v>50</v>
      </c>
      <c r="D60" s="108" t="s">
        <v>13</v>
      </c>
      <c r="E60" s="160">
        <v>0.38900000000000001</v>
      </c>
      <c r="F60" s="151">
        <f>E60*F59</f>
        <v>82.468000000000004</v>
      </c>
      <c r="G60" s="1539"/>
      <c r="H60" s="1535">
        <f t="shared" si="0"/>
        <v>0</v>
      </c>
      <c r="I60" s="1288"/>
      <c r="J60" s="1511">
        <f t="shared" si="1"/>
        <v>0</v>
      </c>
      <c r="K60" s="1512"/>
      <c r="L60" s="1511">
        <f t="shared" si="2"/>
        <v>0</v>
      </c>
      <c r="M60" s="1511">
        <f t="shared" si="3"/>
        <v>0</v>
      </c>
    </row>
    <row r="61" spans="1:13" ht="19.899999999999999" customHeight="1">
      <c r="A61" s="106">
        <f>A60+0.1</f>
        <v>10.199999999999999</v>
      </c>
      <c r="B61" s="75"/>
      <c r="C61" s="97" t="s">
        <v>140</v>
      </c>
      <c r="D61" s="108" t="s">
        <v>14</v>
      </c>
      <c r="E61" s="160">
        <v>0.151</v>
      </c>
      <c r="F61" s="151">
        <f>E61*F59</f>
        <v>32.012</v>
      </c>
      <c r="G61" s="1539"/>
      <c r="H61" s="1535">
        <f t="shared" si="0"/>
        <v>0</v>
      </c>
      <c r="I61" s="1512"/>
      <c r="J61" s="1511">
        <f t="shared" si="1"/>
        <v>0</v>
      </c>
      <c r="K61" s="1510"/>
      <c r="L61" s="1511">
        <f t="shared" si="2"/>
        <v>0</v>
      </c>
      <c r="M61" s="1511">
        <f t="shared" si="3"/>
        <v>0</v>
      </c>
    </row>
    <row r="62" spans="1:13" ht="19.899999999999999" customHeight="1">
      <c r="A62" s="106">
        <f t="shared" ref="A62:A74" si="11">A61+0.1</f>
        <v>10.299999999999999</v>
      </c>
      <c r="B62" s="75"/>
      <c r="C62" s="124" t="s">
        <v>801</v>
      </c>
      <c r="D62" s="125" t="s">
        <v>11</v>
      </c>
      <c r="E62" s="160"/>
      <c r="F62" s="165">
        <v>44</v>
      </c>
      <c r="G62" s="1539"/>
      <c r="H62" s="1535">
        <f t="shared" si="0"/>
        <v>0</v>
      </c>
      <c r="I62" s="1512"/>
      <c r="J62" s="1511">
        <f t="shared" si="1"/>
        <v>0</v>
      </c>
      <c r="K62" s="1288"/>
      <c r="L62" s="1511">
        <f t="shared" si="2"/>
        <v>0</v>
      </c>
      <c r="M62" s="1511">
        <f t="shared" si="3"/>
        <v>0</v>
      </c>
    </row>
    <row r="63" spans="1:13" ht="19.899999999999999" customHeight="1">
      <c r="A63" s="106">
        <f t="shared" si="11"/>
        <v>10.399999999999999</v>
      </c>
      <c r="B63" s="75"/>
      <c r="C63" s="124" t="s">
        <v>802</v>
      </c>
      <c r="D63" s="125" t="s">
        <v>11</v>
      </c>
      <c r="E63" s="160"/>
      <c r="F63" s="165">
        <v>38</v>
      </c>
      <c r="G63" s="1539"/>
      <c r="H63" s="1535">
        <f t="shared" si="0"/>
        <v>0</v>
      </c>
      <c r="I63" s="1512"/>
      <c r="J63" s="1511">
        <f t="shared" si="1"/>
        <v>0</v>
      </c>
      <c r="K63" s="1288"/>
      <c r="L63" s="1511">
        <f t="shared" si="2"/>
        <v>0</v>
      </c>
      <c r="M63" s="1511">
        <f t="shared" si="3"/>
        <v>0</v>
      </c>
    </row>
    <row r="64" spans="1:13" ht="19.899999999999999" customHeight="1">
      <c r="A64" s="106">
        <f t="shared" si="11"/>
        <v>10.499999999999998</v>
      </c>
      <c r="B64" s="75"/>
      <c r="C64" s="124" t="s">
        <v>803</v>
      </c>
      <c r="D64" s="125" t="s">
        <v>11</v>
      </c>
      <c r="E64" s="160"/>
      <c r="F64" s="165">
        <v>25</v>
      </c>
      <c r="G64" s="1539"/>
      <c r="H64" s="1535">
        <f t="shared" si="0"/>
        <v>0</v>
      </c>
      <c r="I64" s="1512"/>
      <c r="J64" s="1511">
        <f t="shared" si="1"/>
        <v>0</v>
      </c>
      <c r="K64" s="1288"/>
      <c r="L64" s="1511">
        <f t="shared" si="2"/>
        <v>0</v>
      </c>
      <c r="M64" s="1511">
        <f t="shared" si="3"/>
        <v>0</v>
      </c>
    </row>
    <row r="65" spans="1:13" ht="19.899999999999999" customHeight="1">
      <c r="A65" s="106">
        <f>A59+0.1</f>
        <v>10.1</v>
      </c>
      <c r="B65" s="75"/>
      <c r="C65" s="124" t="s">
        <v>533</v>
      </c>
      <c r="D65" s="125" t="s">
        <v>11</v>
      </c>
      <c r="E65" s="160"/>
      <c r="F65" s="165">
        <v>22</v>
      </c>
      <c r="G65" s="1539"/>
      <c r="H65" s="1535">
        <f t="shared" si="0"/>
        <v>0</v>
      </c>
      <c r="I65" s="1512"/>
      <c r="J65" s="1511">
        <f t="shared" si="1"/>
        <v>0</v>
      </c>
      <c r="K65" s="1288"/>
      <c r="L65" s="1511">
        <f t="shared" si="2"/>
        <v>0</v>
      </c>
      <c r="M65" s="1511">
        <f t="shared" si="3"/>
        <v>0</v>
      </c>
    </row>
    <row r="66" spans="1:13" ht="19.899999999999999" customHeight="1">
      <c r="A66" s="106">
        <f t="shared" ref="A66:A69" si="12">A65+0.1</f>
        <v>10.199999999999999</v>
      </c>
      <c r="B66" s="75"/>
      <c r="C66" s="124" t="s">
        <v>534</v>
      </c>
      <c r="D66" s="125" t="s">
        <v>11</v>
      </c>
      <c r="E66" s="160"/>
      <c r="F66" s="165">
        <v>11</v>
      </c>
      <c r="G66" s="1539"/>
      <c r="H66" s="1535">
        <f t="shared" si="0"/>
        <v>0</v>
      </c>
      <c r="I66" s="1512"/>
      <c r="J66" s="1511">
        <f t="shared" si="1"/>
        <v>0</v>
      </c>
      <c r="K66" s="1288"/>
      <c r="L66" s="1511">
        <f t="shared" si="2"/>
        <v>0</v>
      </c>
      <c r="M66" s="1511">
        <f t="shared" si="3"/>
        <v>0</v>
      </c>
    </row>
    <row r="67" spans="1:13" ht="19.899999999999999" customHeight="1">
      <c r="A67" s="106">
        <f t="shared" si="12"/>
        <v>10.299999999999999</v>
      </c>
      <c r="B67" s="75"/>
      <c r="C67" s="124" t="s">
        <v>535</v>
      </c>
      <c r="D67" s="125" t="s">
        <v>11</v>
      </c>
      <c r="E67" s="160"/>
      <c r="F67" s="165">
        <v>10</v>
      </c>
      <c r="G67" s="1539"/>
      <c r="H67" s="1535">
        <f t="shared" si="0"/>
        <v>0</v>
      </c>
      <c r="I67" s="1512"/>
      <c r="J67" s="1511">
        <f t="shared" si="1"/>
        <v>0</v>
      </c>
      <c r="K67" s="1288"/>
      <c r="L67" s="1511">
        <f t="shared" si="2"/>
        <v>0</v>
      </c>
      <c r="M67" s="1511">
        <f t="shared" si="3"/>
        <v>0</v>
      </c>
    </row>
    <row r="68" spans="1:13" ht="19.899999999999999" customHeight="1">
      <c r="A68" s="106">
        <f t="shared" si="12"/>
        <v>10.399999999999999</v>
      </c>
      <c r="B68" s="75"/>
      <c r="C68" s="124" t="s">
        <v>536</v>
      </c>
      <c r="D68" s="125" t="s">
        <v>11</v>
      </c>
      <c r="E68" s="166"/>
      <c r="F68" s="165">
        <v>11</v>
      </c>
      <c r="G68" s="1539"/>
      <c r="H68" s="1535">
        <f t="shared" si="0"/>
        <v>0</v>
      </c>
      <c r="I68" s="1512"/>
      <c r="J68" s="1511">
        <f t="shared" si="1"/>
        <v>0</v>
      </c>
      <c r="K68" s="1288"/>
      <c r="L68" s="1511">
        <f t="shared" si="2"/>
        <v>0</v>
      </c>
      <c r="M68" s="1511">
        <f t="shared" si="3"/>
        <v>0</v>
      </c>
    </row>
    <row r="69" spans="1:13" ht="19.899999999999999" customHeight="1">
      <c r="A69" s="106">
        <f t="shared" si="12"/>
        <v>10.499999999999998</v>
      </c>
      <c r="B69" s="75"/>
      <c r="C69" s="124" t="s">
        <v>537</v>
      </c>
      <c r="D69" s="125" t="s">
        <v>11</v>
      </c>
      <c r="E69" s="166"/>
      <c r="F69" s="165">
        <v>10</v>
      </c>
      <c r="G69" s="1539"/>
      <c r="H69" s="1535">
        <f t="shared" si="0"/>
        <v>0</v>
      </c>
      <c r="I69" s="1512"/>
      <c r="J69" s="1511">
        <f t="shared" si="1"/>
        <v>0</v>
      </c>
      <c r="K69" s="1288"/>
      <c r="L69" s="1511">
        <f t="shared" si="2"/>
        <v>0</v>
      </c>
      <c r="M69" s="1511">
        <f t="shared" si="3"/>
        <v>0</v>
      </c>
    </row>
    <row r="70" spans="1:13" ht="19.899999999999999" customHeight="1">
      <c r="A70" s="106">
        <f>A64+0.1</f>
        <v>10.599999999999998</v>
      </c>
      <c r="B70" s="75"/>
      <c r="C70" s="124" t="s">
        <v>538</v>
      </c>
      <c r="D70" s="125" t="s">
        <v>11</v>
      </c>
      <c r="E70" s="160"/>
      <c r="F70" s="165">
        <v>10</v>
      </c>
      <c r="G70" s="1539"/>
      <c r="H70" s="1535">
        <f t="shared" si="0"/>
        <v>0</v>
      </c>
      <c r="I70" s="1512"/>
      <c r="J70" s="1511">
        <f t="shared" si="1"/>
        <v>0</v>
      </c>
      <c r="K70" s="1288"/>
      <c r="L70" s="1511">
        <f t="shared" si="2"/>
        <v>0</v>
      </c>
      <c r="M70" s="1511">
        <f t="shared" si="3"/>
        <v>0</v>
      </c>
    </row>
    <row r="71" spans="1:13" ht="19.899999999999999" customHeight="1">
      <c r="A71" s="106">
        <f t="shared" si="11"/>
        <v>10.699999999999998</v>
      </c>
      <c r="B71" s="75"/>
      <c r="C71" s="124" t="s">
        <v>539</v>
      </c>
      <c r="D71" s="125" t="s">
        <v>11</v>
      </c>
      <c r="E71" s="160"/>
      <c r="F71" s="165">
        <v>10</v>
      </c>
      <c r="G71" s="1539"/>
      <c r="H71" s="1535">
        <f t="shared" si="0"/>
        <v>0</v>
      </c>
      <c r="I71" s="1512"/>
      <c r="J71" s="1511">
        <f t="shared" si="1"/>
        <v>0</v>
      </c>
      <c r="K71" s="1288"/>
      <c r="L71" s="1511">
        <f t="shared" si="2"/>
        <v>0</v>
      </c>
      <c r="M71" s="1511">
        <f t="shared" si="3"/>
        <v>0</v>
      </c>
    </row>
    <row r="72" spans="1:13" ht="19.899999999999999" customHeight="1">
      <c r="A72" s="106">
        <f t="shared" si="11"/>
        <v>10.799999999999997</v>
      </c>
      <c r="B72" s="75"/>
      <c r="C72" s="124" t="s">
        <v>540</v>
      </c>
      <c r="D72" s="125" t="s">
        <v>11</v>
      </c>
      <c r="E72" s="160"/>
      <c r="F72" s="165">
        <v>6</v>
      </c>
      <c r="G72" s="1539"/>
      <c r="H72" s="1535">
        <f t="shared" si="0"/>
        <v>0</v>
      </c>
      <c r="I72" s="1512"/>
      <c r="J72" s="1511">
        <f t="shared" si="1"/>
        <v>0</v>
      </c>
      <c r="K72" s="1288"/>
      <c r="L72" s="1511">
        <f t="shared" si="2"/>
        <v>0</v>
      </c>
      <c r="M72" s="1511">
        <f t="shared" si="3"/>
        <v>0</v>
      </c>
    </row>
    <row r="73" spans="1:13" ht="19.899999999999999" customHeight="1">
      <c r="A73" s="106">
        <f t="shared" si="11"/>
        <v>10.899999999999997</v>
      </c>
      <c r="B73" s="75"/>
      <c r="C73" s="124" t="s">
        <v>541</v>
      </c>
      <c r="D73" s="125" t="s">
        <v>11</v>
      </c>
      <c r="E73" s="166"/>
      <c r="F73" s="165">
        <v>15</v>
      </c>
      <c r="G73" s="1539"/>
      <c r="H73" s="1535">
        <f t="shared" ref="H73:H136" si="13">F73*G73</f>
        <v>0</v>
      </c>
      <c r="I73" s="1512"/>
      <c r="J73" s="1511">
        <f t="shared" ref="J73:J136" si="14">F73*I73</f>
        <v>0</v>
      </c>
      <c r="K73" s="1288"/>
      <c r="L73" s="1511">
        <f t="shared" ref="L73:L136" si="15">F73*K73</f>
        <v>0</v>
      </c>
      <c r="M73" s="1511">
        <f t="shared" ref="M73:M136" si="16">H73+J73+L73</f>
        <v>0</v>
      </c>
    </row>
    <row r="74" spans="1:13" ht="19.899999999999999" customHeight="1">
      <c r="A74" s="106">
        <f t="shared" si="11"/>
        <v>10.999999999999996</v>
      </c>
      <c r="B74" s="85"/>
      <c r="C74" s="64" t="s">
        <v>65</v>
      </c>
      <c r="D74" s="63" t="s">
        <v>14</v>
      </c>
      <c r="E74" s="160">
        <v>2.4E-2</v>
      </c>
      <c r="F74" s="151">
        <f>E74*F59</f>
        <v>5.0880000000000001</v>
      </c>
      <c r="G74" s="1512"/>
      <c r="H74" s="1535">
        <f t="shared" si="13"/>
        <v>0</v>
      </c>
      <c r="I74" s="1512"/>
      <c r="J74" s="1511">
        <f t="shared" si="14"/>
        <v>0</v>
      </c>
      <c r="K74" s="1288"/>
      <c r="L74" s="1511">
        <f t="shared" si="15"/>
        <v>0</v>
      </c>
      <c r="M74" s="1511">
        <f t="shared" si="16"/>
        <v>0</v>
      </c>
    </row>
    <row r="75" spans="1:13" s="8" customFormat="1" ht="49.9" customHeight="1">
      <c r="A75" s="167" t="s">
        <v>130</v>
      </c>
      <c r="B75" s="167"/>
      <c r="C75" s="128" t="s">
        <v>542</v>
      </c>
      <c r="D75" s="168" t="s">
        <v>11</v>
      </c>
      <c r="E75" s="169"/>
      <c r="F75" s="170">
        <v>1</v>
      </c>
      <c r="G75" s="1516"/>
      <c r="H75" s="1535">
        <f t="shared" si="13"/>
        <v>0</v>
      </c>
      <c r="I75" s="1515"/>
      <c r="J75" s="1511">
        <f t="shared" si="14"/>
        <v>0</v>
      </c>
      <c r="K75" s="1515"/>
      <c r="L75" s="1511">
        <f t="shared" si="15"/>
        <v>0</v>
      </c>
      <c r="M75" s="1511">
        <f t="shared" si="16"/>
        <v>0</v>
      </c>
    </row>
    <row r="76" spans="1:13" s="8" customFormat="1" ht="19.899999999999999" customHeight="1">
      <c r="A76" s="106">
        <f>A75+0.1</f>
        <v>11.1</v>
      </c>
      <c r="B76" s="75"/>
      <c r="C76" s="76" t="s">
        <v>50</v>
      </c>
      <c r="D76" s="131" t="s">
        <v>13</v>
      </c>
      <c r="E76" s="171">
        <v>3.15</v>
      </c>
      <c r="F76" s="171">
        <f>F75*E76</f>
        <v>3.15</v>
      </c>
      <c r="G76" s="1515"/>
      <c r="H76" s="1535">
        <f t="shared" si="13"/>
        <v>0</v>
      </c>
      <c r="I76" s="1515"/>
      <c r="J76" s="1511">
        <f t="shared" si="14"/>
        <v>0</v>
      </c>
      <c r="K76" s="1515"/>
      <c r="L76" s="1511">
        <f t="shared" si="15"/>
        <v>0</v>
      </c>
      <c r="M76" s="1511">
        <f t="shared" si="16"/>
        <v>0</v>
      </c>
    </row>
    <row r="77" spans="1:13" s="8" customFormat="1" ht="19.899999999999999" customHeight="1">
      <c r="A77" s="106">
        <f t="shared" ref="A77:A79" si="17">A76+0.1</f>
        <v>11.2</v>
      </c>
      <c r="B77" s="75"/>
      <c r="C77" s="97" t="s">
        <v>140</v>
      </c>
      <c r="D77" s="167" t="s">
        <v>14</v>
      </c>
      <c r="E77" s="172">
        <v>0.84</v>
      </c>
      <c r="F77" s="172">
        <f>F75*E77</f>
        <v>0.84</v>
      </c>
      <c r="G77" s="1515"/>
      <c r="H77" s="1535">
        <f t="shared" si="13"/>
        <v>0</v>
      </c>
      <c r="I77" s="1515"/>
      <c r="J77" s="1511">
        <f t="shared" si="14"/>
        <v>0</v>
      </c>
      <c r="K77" s="1510"/>
      <c r="L77" s="1511">
        <f t="shared" si="15"/>
        <v>0</v>
      </c>
      <c r="M77" s="1511">
        <f t="shared" si="16"/>
        <v>0</v>
      </c>
    </row>
    <row r="78" spans="1:13" s="8" customFormat="1" ht="19.899999999999999" customHeight="1">
      <c r="A78" s="106">
        <f t="shared" si="17"/>
        <v>11.299999999999999</v>
      </c>
      <c r="B78" s="75"/>
      <c r="C78" s="173" t="s">
        <v>228</v>
      </c>
      <c r="D78" s="167" t="s">
        <v>21</v>
      </c>
      <c r="E78" s="172">
        <v>20</v>
      </c>
      <c r="F78" s="174">
        <f>E78*F75</f>
        <v>20</v>
      </c>
      <c r="G78" s="1515"/>
      <c r="H78" s="1535">
        <f t="shared" si="13"/>
        <v>0</v>
      </c>
      <c r="I78" s="1515"/>
      <c r="J78" s="1511">
        <f t="shared" si="14"/>
        <v>0</v>
      </c>
      <c r="K78" s="1515"/>
      <c r="L78" s="1511">
        <f t="shared" si="15"/>
        <v>0</v>
      </c>
      <c r="M78" s="1511">
        <f t="shared" si="16"/>
        <v>0</v>
      </c>
    </row>
    <row r="79" spans="1:13" s="8" customFormat="1" ht="19.899999999999999" customHeight="1">
      <c r="A79" s="106">
        <f t="shared" si="17"/>
        <v>11.399999999999999</v>
      </c>
      <c r="B79" s="85"/>
      <c r="C79" s="64" t="s">
        <v>65</v>
      </c>
      <c r="D79" s="63" t="s">
        <v>14</v>
      </c>
      <c r="E79" s="172">
        <v>0.47</v>
      </c>
      <c r="F79" s="172">
        <f>F75*E79</f>
        <v>0.47</v>
      </c>
      <c r="G79" s="1512"/>
      <c r="H79" s="1535">
        <f t="shared" si="13"/>
        <v>0</v>
      </c>
      <c r="I79" s="1515"/>
      <c r="J79" s="1511">
        <f t="shared" si="14"/>
        <v>0</v>
      </c>
      <c r="K79" s="1515"/>
      <c r="L79" s="1511">
        <f t="shared" si="15"/>
        <v>0</v>
      </c>
      <c r="M79" s="1511">
        <f t="shared" si="16"/>
        <v>0</v>
      </c>
    </row>
    <row r="80" spans="1:13" s="4" customFormat="1" ht="57.75" customHeight="1">
      <c r="A80" s="120" t="s">
        <v>527</v>
      </c>
      <c r="B80" s="120"/>
      <c r="C80" s="121" t="s">
        <v>509</v>
      </c>
      <c r="D80" s="131" t="s">
        <v>131</v>
      </c>
      <c r="E80" s="158"/>
      <c r="F80" s="163">
        <v>1.1000000000000001</v>
      </c>
      <c r="G80" s="1537"/>
      <c r="H80" s="1535">
        <f t="shared" si="13"/>
        <v>0</v>
      </c>
      <c r="I80" s="1538"/>
      <c r="J80" s="1511">
        <f t="shared" si="14"/>
        <v>0</v>
      </c>
      <c r="K80" s="1538"/>
      <c r="L80" s="1511">
        <f t="shared" si="15"/>
        <v>0</v>
      </c>
      <c r="M80" s="1511">
        <f t="shared" si="16"/>
        <v>0</v>
      </c>
    </row>
    <row r="81" spans="1:13" s="5" customFormat="1" ht="19.899999999999999" customHeight="1">
      <c r="A81" s="106">
        <f>A80+0.1</f>
        <v>12.1</v>
      </c>
      <c r="B81" s="75"/>
      <c r="C81" s="76" t="s">
        <v>50</v>
      </c>
      <c r="D81" s="75" t="s">
        <v>13</v>
      </c>
      <c r="E81" s="175">
        <f>21.1</f>
        <v>21.1</v>
      </c>
      <c r="F81" s="151">
        <f>E81*F80</f>
        <v>23.210000000000004</v>
      </c>
      <c r="G81" s="1539"/>
      <c r="H81" s="1535">
        <f t="shared" si="13"/>
        <v>0</v>
      </c>
      <c r="I81" s="1510"/>
      <c r="J81" s="1511">
        <f t="shared" si="14"/>
        <v>0</v>
      </c>
      <c r="K81" s="1540"/>
      <c r="L81" s="1511">
        <f t="shared" si="15"/>
        <v>0</v>
      </c>
      <c r="M81" s="1511">
        <f t="shared" si="16"/>
        <v>0</v>
      </c>
    </row>
    <row r="82" spans="1:13" s="5" customFormat="1" ht="19.899999999999999" customHeight="1">
      <c r="A82" s="106">
        <f>A81+0.1</f>
        <v>12.2</v>
      </c>
      <c r="B82" s="75"/>
      <c r="C82" s="97" t="s">
        <v>140</v>
      </c>
      <c r="D82" s="108" t="s">
        <v>14</v>
      </c>
      <c r="E82" s="175">
        <v>14.7</v>
      </c>
      <c r="F82" s="155">
        <f>E82*F80</f>
        <v>16.170000000000002</v>
      </c>
      <c r="G82" s="1539"/>
      <c r="H82" s="1535">
        <f t="shared" si="13"/>
        <v>0</v>
      </c>
      <c r="I82" s="1540"/>
      <c r="J82" s="1511">
        <f t="shared" si="14"/>
        <v>0</v>
      </c>
      <c r="K82" s="1510"/>
      <c r="L82" s="1511">
        <f t="shared" si="15"/>
        <v>0</v>
      </c>
      <c r="M82" s="1511">
        <f t="shared" si="16"/>
        <v>0</v>
      </c>
    </row>
    <row r="83" spans="1:13" s="8" customFormat="1" ht="49.9" customHeight="1">
      <c r="A83" s="127" t="s">
        <v>208</v>
      </c>
      <c r="B83" s="176"/>
      <c r="C83" s="177" t="s">
        <v>510</v>
      </c>
      <c r="D83" s="131" t="s">
        <v>131</v>
      </c>
      <c r="E83" s="170"/>
      <c r="F83" s="178">
        <v>1.1000000000000001</v>
      </c>
      <c r="G83" s="1288"/>
      <c r="H83" s="1535">
        <f t="shared" si="13"/>
        <v>0</v>
      </c>
      <c r="I83" s="1511"/>
      <c r="J83" s="1511">
        <f t="shared" si="14"/>
        <v>0</v>
      </c>
      <c r="K83" s="1511"/>
      <c r="L83" s="1511">
        <f t="shared" si="15"/>
        <v>0</v>
      </c>
      <c r="M83" s="1511">
        <f t="shared" si="16"/>
        <v>0</v>
      </c>
    </row>
    <row r="84" spans="1:13" s="8" customFormat="1" ht="19.899999999999999" customHeight="1">
      <c r="A84" s="106">
        <f>A83+0.1</f>
        <v>13.1</v>
      </c>
      <c r="B84" s="75"/>
      <c r="C84" s="76" t="s">
        <v>50</v>
      </c>
      <c r="D84" s="179" t="s">
        <v>13</v>
      </c>
      <c r="E84" s="180">
        <v>74.2</v>
      </c>
      <c r="F84" s="181">
        <f>F83*E84</f>
        <v>81.62</v>
      </c>
      <c r="G84" s="1542"/>
      <c r="H84" s="1535">
        <f t="shared" si="13"/>
        <v>0</v>
      </c>
      <c r="I84" s="1511"/>
      <c r="J84" s="1511">
        <f t="shared" si="14"/>
        <v>0</v>
      </c>
      <c r="K84" s="1511"/>
      <c r="L84" s="1511">
        <f t="shared" si="15"/>
        <v>0</v>
      </c>
      <c r="M84" s="1511">
        <f t="shared" si="16"/>
        <v>0</v>
      </c>
    </row>
    <row r="85" spans="1:13" s="8" customFormat="1" ht="19.899999999999999" customHeight="1">
      <c r="A85" s="106">
        <f t="shared" ref="A85:A88" si="18">A84+0.1</f>
        <v>13.2</v>
      </c>
      <c r="B85" s="75"/>
      <c r="C85" s="97" t="s">
        <v>140</v>
      </c>
      <c r="D85" s="179" t="s">
        <v>14</v>
      </c>
      <c r="E85" s="180">
        <v>1.1000000000000001</v>
      </c>
      <c r="F85" s="182">
        <f>F83*E85</f>
        <v>1.2100000000000002</v>
      </c>
      <c r="G85" s="1542"/>
      <c r="H85" s="1535">
        <f t="shared" si="13"/>
        <v>0</v>
      </c>
      <c r="I85" s="1511"/>
      <c r="J85" s="1511">
        <f t="shared" si="14"/>
        <v>0</v>
      </c>
      <c r="K85" s="1510"/>
      <c r="L85" s="1511">
        <f t="shared" si="15"/>
        <v>0</v>
      </c>
      <c r="M85" s="1511">
        <f t="shared" si="16"/>
        <v>0</v>
      </c>
    </row>
    <row r="86" spans="1:13" s="8" customFormat="1" ht="19.899999999999999" customHeight="1">
      <c r="A86" s="106">
        <f t="shared" si="18"/>
        <v>13.299999999999999</v>
      </c>
      <c r="B86" s="176"/>
      <c r="C86" s="133" t="s">
        <v>511</v>
      </c>
      <c r="D86" s="179" t="s">
        <v>15</v>
      </c>
      <c r="E86" s="180">
        <v>1.04</v>
      </c>
      <c r="F86" s="181">
        <f>F83*E86</f>
        <v>1.1440000000000001</v>
      </c>
      <c r="G86" s="1542"/>
      <c r="H86" s="1535">
        <f t="shared" si="13"/>
        <v>0</v>
      </c>
      <c r="I86" s="1511"/>
      <c r="J86" s="1511">
        <f t="shared" si="14"/>
        <v>0</v>
      </c>
      <c r="K86" s="1511"/>
      <c r="L86" s="1511">
        <f t="shared" si="15"/>
        <v>0</v>
      </c>
      <c r="M86" s="1511">
        <f t="shared" si="16"/>
        <v>0</v>
      </c>
    </row>
    <row r="87" spans="1:13" s="8" customFormat="1" ht="19.899999999999999" customHeight="1">
      <c r="A87" s="106">
        <f t="shared" si="18"/>
        <v>13.399999999999999</v>
      </c>
      <c r="B87" s="176"/>
      <c r="C87" s="183" t="s">
        <v>512</v>
      </c>
      <c r="D87" s="179" t="s">
        <v>21</v>
      </c>
      <c r="E87" s="180">
        <v>5.9</v>
      </c>
      <c r="F87" s="181">
        <f>F83*E87</f>
        <v>6.4900000000000011</v>
      </c>
      <c r="G87" s="1542"/>
      <c r="H87" s="1535">
        <f t="shared" si="13"/>
        <v>0</v>
      </c>
      <c r="I87" s="1511"/>
      <c r="J87" s="1511">
        <f t="shared" si="14"/>
        <v>0</v>
      </c>
      <c r="K87" s="1511"/>
      <c r="L87" s="1511">
        <f t="shared" si="15"/>
        <v>0</v>
      </c>
      <c r="M87" s="1511">
        <f t="shared" si="16"/>
        <v>0</v>
      </c>
    </row>
    <row r="88" spans="1:13" s="8" customFormat="1" ht="19.899999999999999" customHeight="1">
      <c r="A88" s="106">
        <f t="shared" si="18"/>
        <v>13.499999999999998</v>
      </c>
      <c r="B88" s="176"/>
      <c r="C88" s="183" t="s">
        <v>241</v>
      </c>
      <c r="D88" s="179" t="s">
        <v>15</v>
      </c>
      <c r="E88" s="180">
        <f>0.21+0.18</f>
        <v>0.39</v>
      </c>
      <c r="F88" s="181">
        <f>F83*E88</f>
        <v>0.42900000000000005</v>
      </c>
      <c r="G88" s="1542"/>
      <c r="H88" s="1535">
        <f t="shared" si="13"/>
        <v>0</v>
      </c>
      <c r="I88" s="1511"/>
      <c r="J88" s="1511">
        <f t="shared" si="14"/>
        <v>0</v>
      </c>
      <c r="K88" s="1511"/>
      <c r="L88" s="1511">
        <f t="shared" si="15"/>
        <v>0</v>
      </c>
      <c r="M88" s="1511">
        <f t="shared" si="16"/>
        <v>0</v>
      </c>
    </row>
    <row r="89" spans="1:13" ht="49.9" customHeight="1">
      <c r="A89" s="127" t="s">
        <v>209</v>
      </c>
      <c r="B89" s="127"/>
      <c r="C89" s="68" t="s">
        <v>546</v>
      </c>
      <c r="D89" s="67" t="s">
        <v>543</v>
      </c>
      <c r="E89" s="150"/>
      <c r="F89" s="150">
        <v>10</v>
      </c>
      <c r="G89" s="1543"/>
      <c r="H89" s="1535">
        <f t="shared" si="13"/>
        <v>0</v>
      </c>
      <c r="I89" s="1512"/>
      <c r="J89" s="1511">
        <f t="shared" si="14"/>
        <v>0</v>
      </c>
      <c r="K89" s="1512"/>
      <c r="L89" s="1511">
        <f t="shared" si="15"/>
        <v>0</v>
      </c>
      <c r="M89" s="1511">
        <f t="shared" si="16"/>
        <v>0</v>
      </c>
    </row>
    <row r="90" spans="1:13" ht="19.899999999999999" customHeight="1">
      <c r="A90" s="131">
        <f>A89+0.1</f>
        <v>14.1</v>
      </c>
      <c r="B90" s="75"/>
      <c r="C90" s="76" t="s">
        <v>50</v>
      </c>
      <c r="D90" s="63" t="s">
        <v>13</v>
      </c>
      <c r="E90" s="153">
        <v>0.60899999999999999</v>
      </c>
      <c r="F90" s="152">
        <f>F89*E90</f>
        <v>6.09</v>
      </c>
      <c r="G90" s="1536"/>
      <c r="H90" s="1535">
        <f t="shared" si="13"/>
        <v>0</v>
      </c>
      <c r="I90" s="1288"/>
      <c r="J90" s="1511">
        <f t="shared" si="14"/>
        <v>0</v>
      </c>
      <c r="K90" s="1512"/>
      <c r="L90" s="1511">
        <f t="shared" si="15"/>
        <v>0</v>
      </c>
      <c r="M90" s="1511">
        <f t="shared" si="16"/>
        <v>0</v>
      </c>
    </row>
    <row r="91" spans="1:13" ht="19.899999999999999" customHeight="1">
      <c r="A91" s="131">
        <f t="shared" ref="A91:A93" si="19">A90+0.1</f>
        <v>14.2</v>
      </c>
      <c r="B91" s="75"/>
      <c r="C91" s="97" t="s">
        <v>140</v>
      </c>
      <c r="D91" s="63" t="s">
        <v>14</v>
      </c>
      <c r="E91" s="153">
        <v>2.0999999999999999E-3</v>
      </c>
      <c r="F91" s="152">
        <f>F89*E91</f>
        <v>2.0999999999999998E-2</v>
      </c>
      <c r="G91" s="1536"/>
      <c r="H91" s="1535">
        <f t="shared" si="13"/>
        <v>0</v>
      </c>
      <c r="I91" s="1512"/>
      <c r="J91" s="1511">
        <f t="shared" si="14"/>
        <v>0</v>
      </c>
      <c r="K91" s="1510"/>
      <c r="L91" s="1511">
        <f t="shared" si="15"/>
        <v>0</v>
      </c>
      <c r="M91" s="1511">
        <f t="shared" si="16"/>
        <v>0</v>
      </c>
    </row>
    <row r="92" spans="1:13" ht="19.899999999999999" customHeight="1">
      <c r="A92" s="131">
        <f t="shared" si="19"/>
        <v>14.299999999999999</v>
      </c>
      <c r="B92" s="85"/>
      <c r="C92" s="64" t="s">
        <v>547</v>
      </c>
      <c r="D92" s="63" t="s">
        <v>543</v>
      </c>
      <c r="E92" s="152">
        <v>1</v>
      </c>
      <c r="F92" s="152">
        <f>F89*E92</f>
        <v>10</v>
      </c>
      <c r="G92" s="1512"/>
      <c r="H92" s="1535">
        <f t="shared" si="13"/>
        <v>0</v>
      </c>
      <c r="I92" s="1512"/>
      <c r="J92" s="1511">
        <f t="shared" si="14"/>
        <v>0</v>
      </c>
      <c r="K92" s="1512"/>
      <c r="L92" s="1511">
        <f t="shared" si="15"/>
        <v>0</v>
      </c>
      <c r="M92" s="1511">
        <f t="shared" si="16"/>
        <v>0</v>
      </c>
    </row>
    <row r="93" spans="1:13" ht="19.899999999999999" customHeight="1">
      <c r="A93" s="131">
        <f t="shared" si="19"/>
        <v>14.399999999999999</v>
      </c>
      <c r="B93" s="85"/>
      <c r="C93" s="64" t="s">
        <v>65</v>
      </c>
      <c r="D93" s="63" t="s">
        <v>14</v>
      </c>
      <c r="E93" s="152">
        <v>0.156</v>
      </c>
      <c r="F93" s="152">
        <f>F89*E93</f>
        <v>1.56</v>
      </c>
      <c r="G93" s="1512"/>
      <c r="H93" s="1535">
        <f t="shared" si="13"/>
        <v>0</v>
      </c>
      <c r="I93" s="1512"/>
      <c r="J93" s="1511">
        <f t="shared" si="14"/>
        <v>0</v>
      </c>
      <c r="K93" s="1512"/>
      <c r="L93" s="1511">
        <f t="shared" si="15"/>
        <v>0</v>
      </c>
      <c r="M93" s="1511">
        <f t="shared" si="16"/>
        <v>0</v>
      </c>
    </row>
    <row r="94" spans="1:13" ht="49.9" customHeight="1">
      <c r="A94" s="127" t="s">
        <v>210</v>
      </c>
      <c r="B94" s="127"/>
      <c r="C94" s="68" t="s">
        <v>544</v>
      </c>
      <c r="D94" s="67" t="s">
        <v>543</v>
      </c>
      <c r="E94" s="150"/>
      <c r="F94" s="150">
        <v>6</v>
      </c>
      <c r="G94" s="1513"/>
      <c r="H94" s="1535">
        <f t="shared" si="13"/>
        <v>0</v>
      </c>
      <c r="I94" s="1512"/>
      <c r="J94" s="1511">
        <f t="shared" si="14"/>
        <v>0</v>
      </c>
      <c r="K94" s="1512"/>
      <c r="L94" s="1511">
        <f t="shared" si="15"/>
        <v>0</v>
      </c>
      <c r="M94" s="1511">
        <f t="shared" si="16"/>
        <v>0</v>
      </c>
    </row>
    <row r="95" spans="1:13" ht="19.899999999999999" customHeight="1">
      <c r="A95" s="131">
        <f>A94+0.1</f>
        <v>15.1</v>
      </c>
      <c r="B95" s="75"/>
      <c r="C95" s="76" t="s">
        <v>50</v>
      </c>
      <c r="D95" s="63" t="s">
        <v>13</v>
      </c>
      <c r="E95" s="153">
        <v>0.58299999999999996</v>
      </c>
      <c r="F95" s="152">
        <f>F94*E95</f>
        <v>3.4979999999999998</v>
      </c>
      <c r="G95" s="1536"/>
      <c r="H95" s="1535">
        <f t="shared" si="13"/>
        <v>0</v>
      </c>
      <c r="I95" s="1288"/>
      <c r="J95" s="1511">
        <f t="shared" si="14"/>
        <v>0</v>
      </c>
      <c r="K95" s="1512"/>
      <c r="L95" s="1511">
        <f t="shared" si="15"/>
        <v>0</v>
      </c>
      <c r="M95" s="1511">
        <f t="shared" si="16"/>
        <v>0</v>
      </c>
    </row>
    <row r="96" spans="1:13" ht="19.899999999999999" customHeight="1">
      <c r="A96" s="131">
        <f t="shared" ref="A96:A98" si="20">A95+0.1</f>
        <v>15.2</v>
      </c>
      <c r="B96" s="75"/>
      <c r="C96" s="97" t="s">
        <v>140</v>
      </c>
      <c r="D96" s="63" t="s">
        <v>14</v>
      </c>
      <c r="E96" s="153">
        <v>4.5999999999999999E-3</v>
      </c>
      <c r="F96" s="152">
        <f>F94*E96</f>
        <v>2.76E-2</v>
      </c>
      <c r="G96" s="1536"/>
      <c r="H96" s="1535">
        <f t="shared" si="13"/>
        <v>0</v>
      </c>
      <c r="I96" s="1512"/>
      <c r="J96" s="1511">
        <f t="shared" si="14"/>
        <v>0</v>
      </c>
      <c r="K96" s="1510"/>
      <c r="L96" s="1511">
        <f t="shared" si="15"/>
        <v>0</v>
      </c>
      <c r="M96" s="1511">
        <f t="shared" si="16"/>
        <v>0</v>
      </c>
    </row>
    <row r="97" spans="1:13" ht="19.899999999999999" customHeight="1">
      <c r="A97" s="131">
        <f t="shared" si="20"/>
        <v>15.299999999999999</v>
      </c>
      <c r="B97" s="85"/>
      <c r="C97" s="64" t="s">
        <v>545</v>
      </c>
      <c r="D97" s="63" t="s">
        <v>543</v>
      </c>
      <c r="E97" s="152">
        <v>1</v>
      </c>
      <c r="F97" s="152">
        <f>F94*E97</f>
        <v>6</v>
      </c>
      <c r="G97" s="1512"/>
      <c r="H97" s="1535">
        <f t="shared" si="13"/>
        <v>0</v>
      </c>
      <c r="I97" s="1512"/>
      <c r="J97" s="1511">
        <f t="shared" si="14"/>
        <v>0</v>
      </c>
      <c r="K97" s="1512"/>
      <c r="L97" s="1511">
        <f t="shared" si="15"/>
        <v>0</v>
      </c>
      <c r="M97" s="1511">
        <f t="shared" si="16"/>
        <v>0</v>
      </c>
    </row>
    <row r="98" spans="1:13" ht="19.899999999999999" customHeight="1">
      <c r="A98" s="131">
        <f t="shared" si="20"/>
        <v>15.399999999999999</v>
      </c>
      <c r="B98" s="85"/>
      <c r="C98" s="64" t="s">
        <v>65</v>
      </c>
      <c r="D98" s="63" t="s">
        <v>14</v>
      </c>
      <c r="E98" s="152">
        <v>0.20799999999999999</v>
      </c>
      <c r="F98" s="152">
        <f>F94*E98</f>
        <v>1.248</v>
      </c>
      <c r="G98" s="1512"/>
      <c r="H98" s="1535">
        <f t="shared" si="13"/>
        <v>0</v>
      </c>
      <c r="I98" s="1512"/>
      <c r="J98" s="1511">
        <f t="shared" si="14"/>
        <v>0</v>
      </c>
      <c r="K98" s="1512"/>
      <c r="L98" s="1511">
        <f t="shared" si="15"/>
        <v>0</v>
      </c>
      <c r="M98" s="1511">
        <f t="shared" si="16"/>
        <v>0</v>
      </c>
    </row>
    <row r="99" spans="1:13" ht="49.9" customHeight="1">
      <c r="A99" s="127" t="s">
        <v>211</v>
      </c>
      <c r="B99" s="127"/>
      <c r="C99" s="68" t="s">
        <v>566</v>
      </c>
      <c r="D99" s="67" t="s">
        <v>543</v>
      </c>
      <c r="E99" s="150"/>
      <c r="F99" s="150">
        <v>6</v>
      </c>
      <c r="G99" s="1513"/>
      <c r="H99" s="1535">
        <f t="shared" si="13"/>
        <v>0</v>
      </c>
      <c r="I99" s="1512"/>
      <c r="J99" s="1511">
        <f t="shared" si="14"/>
        <v>0</v>
      </c>
      <c r="K99" s="1512"/>
      <c r="L99" s="1511">
        <f t="shared" si="15"/>
        <v>0</v>
      </c>
      <c r="M99" s="1511">
        <f t="shared" si="16"/>
        <v>0</v>
      </c>
    </row>
    <row r="100" spans="1:13" ht="19.899999999999999" customHeight="1">
      <c r="A100" s="131">
        <f>A99+0.1</f>
        <v>16.100000000000001</v>
      </c>
      <c r="B100" s="75"/>
      <c r="C100" s="76" t="s">
        <v>50</v>
      </c>
      <c r="D100" s="63" t="s">
        <v>13</v>
      </c>
      <c r="E100" s="153">
        <v>0.58299999999999996</v>
      </c>
      <c r="F100" s="152">
        <f>F99*E100</f>
        <v>3.4979999999999998</v>
      </c>
      <c r="G100" s="1536"/>
      <c r="H100" s="1535">
        <f t="shared" si="13"/>
        <v>0</v>
      </c>
      <c r="I100" s="1288"/>
      <c r="J100" s="1511">
        <f t="shared" si="14"/>
        <v>0</v>
      </c>
      <c r="K100" s="1512"/>
      <c r="L100" s="1511">
        <f t="shared" si="15"/>
        <v>0</v>
      </c>
      <c r="M100" s="1511">
        <f t="shared" si="16"/>
        <v>0</v>
      </c>
    </row>
    <row r="101" spans="1:13" ht="19.899999999999999" customHeight="1">
      <c r="A101" s="131">
        <f t="shared" ref="A101:A103" si="21">A100+0.1</f>
        <v>16.200000000000003</v>
      </c>
      <c r="B101" s="75"/>
      <c r="C101" s="97" t="s">
        <v>140</v>
      </c>
      <c r="D101" s="63" t="s">
        <v>14</v>
      </c>
      <c r="E101" s="153">
        <v>4.5999999999999999E-3</v>
      </c>
      <c r="F101" s="152">
        <f>F99*E101</f>
        <v>2.76E-2</v>
      </c>
      <c r="G101" s="1536"/>
      <c r="H101" s="1535">
        <f t="shared" si="13"/>
        <v>0</v>
      </c>
      <c r="I101" s="1512"/>
      <c r="J101" s="1511">
        <f t="shared" si="14"/>
        <v>0</v>
      </c>
      <c r="K101" s="1510"/>
      <c r="L101" s="1511">
        <f t="shared" si="15"/>
        <v>0</v>
      </c>
      <c r="M101" s="1511">
        <f t="shared" si="16"/>
        <v>0</v>
      </c>
    </row>
    <row r="102" spans="1:13" ht="19.899999999999999" customHeight="1">
      <c r="A102" s="131">
        <f t="shared" si="21"/>
        <v>16.300000000000004</v>
      </c>
      <c r="B102" s="85"/>
      <c r="C102" s="64" t="s">
        <v>567</v>
      </c>
      <c r="D102" s="63" t="s">
        <v>543</v>
      </c>
      <c r="E102" s="152">
        <v>1</v>
      </c>
      <c r="F102" s="152">
        <f>F99*E102</f>
        <v>6</v>
      </c>
      <c r="G102" s="1512"/>
      <c r="H102" s="1535">
        <f t="shared" si="13"/>
        <v>0</v>
      </c>
      <c r="I102" s="1512"/>
      <c r="J102" s="1511">
        <f t="shared" si="14"/>
        <v>0</v>
      </c>
      <c r="K102" s="1512"/>
      <c r="L102" s="1511">
        <f t="shared" si="15"/>
        <v>0</v>
      </c>
      <c r="M102" s="1511">
        <f t="shared" si="16"/>
        <v>0</v>
      </c>
    </row>
    <row r="103" spans="1:13" ht="19.899999999999999" customHeight="1">
      <c r="A103" s="131">
        <f t="shared" si="21"/>
        <v>16.400000000000006</v>
      </c>
      <c r="B103" s="85"/>
      <c r="C103" s="64" t="s">
        <v>65</v>
      </c>
      <c r="D103" s="63" t="s">
        <v>14</v>
      </c>
      <c r="E103" s="152">
        <v>0.20799999999999999</v>
      </c>
      <c r="F103" s="152">
        <f>F99*E103</f>
        <v>1.248</v>
      </c>
      <c r="G103" s="1512"/>
      <c r="H103" s="1535">
        <f t="shared" si="13"/>
        <v>0</v>
      </c>
      <c r="I103" s="1512"/>
      <c r="J103" s="1511">
        <f t="shared" si="14"/>
        <v>0</v>
      </c>
      <c r="K103" s="1512"/>
      <c r="L103" s="1511">
        <f t="shared" si="15"/>
        <v>0</v>
      </c>
      <c r="M103" s="1511">
        <f t="shared" si="16"/>
        <v>0</v>
      </c>
    </row>
    <row r="104" spans="1:13" ht="49.9" customHeight="1">
      <c r="A104" s="67">
        <v>17</v>
      </c>
      <c r="B104" s="67"/>
      <c r="C104" s="68" t="s">
        <v>553</v>
      </c>
      <c r="D104" s="67" t="s">
        <v>49</v>
      </c>
      <c r="E104" s="184"/>
      <c r="F104" s="185">
        <v>3</v>
      </c>
      <c r="G104" s="1534"/>
      <c r="H104" s="1535">
        <f t="shared" si="13"/>
        <v>0</v>
      </c>
      <c r="I104" s="1544"/>
      <c r="J104" s="1511">
        <f t="shared" si="14"/>
        <v>0</v>
      </c>
      <c r="K104" s="1544"/>
      <c r="L104" s="1511">
        <f t="shared" si="15"/>
        <v>0</v>
      </c>
      <c r="M104" s="1511">
        <f t="shared" si="16"/>
        <v>0</v>
      </c>
    </row>
    <row r="105" spans="1:13" ht="19.899999999999999" customHeight="1">
      <c r="A105" s="63">
        <f>A104+0.1</f>
        <v>17.100000000000001</v>
      </c>
      <c r="B105" s="75"/>
      <c r="C105" s="76" t="s">
        <v>50</v>
      </c>
      <c r="D105" s="63" t="s">
        <v>13</v>
      </c>
      <c r="E105" s="184">
        <v>3.02</v>
      </c>
      <c r="F105" s="153">
        <f>F104*E105</f>
        <v>9.06</v>
      </c>
      <c r="G105" s="1534"/>
      <c r="H105" s="1535">
        <f t="shared" si="13"/>
        <v>0</v>
      </c>
      <c r="I105" s="1288"/>
      <c r="J105" s="1511">
        <f t="shared" si="14"/>
        <v>0</v>
      </c>
      <c r="K105" s="1288"/>
      <c r="L105" s="1511">
        <f t="shared" si="15"/>
        <v>0</v>
      </c>
      <c r="M105" s="1511">
        <f t="shared" si="16"/>
        <v>0</v>
      </c>
    </row>
    <row r="106" spans="1:13" ht="19.899999999999999" customHeight="1">
      <c r="A106" s="63">
        <f t="shared" ref="A106:A108" si="22">A105+0.1</f>
        <v>17.200000000000003</v>
      </c>
      <c r="B106" s="75"/>
      <c r="C106" s="97" t="s">
        <v>140</v>
      </c>
      <c r="D106" s="63" t="s">
        <v>52</v>
      </c>
      <c r="E106" s="184">
        <v>0.14000000000000001</v>
      </c>
      <c r="F106" s="153">
        <f>F104*E106</f>
        <v>0.42000000000000004</v>
      </c>
      <c r="G106" s="1534"/>
      <c r="H106" s="1535">
        <f t="shared" si="13"/>
        <v>0</v>
      </c>
      <c r="I106" s="1288"/>
      <c r="J106" s="1511">
        <f t="shared" si="14"/>
        <v>0</v>
      </c>
      <c r="K106" s="1510"/>
      <c r="L106" s="1511">
        <f t="shared" si="15"/>
        <v>0</v>
      </c>
      <c r="M106" s="1511">
        <f t="shared" si="16"/>
        <v>0</v>
      </c>
    </row>
    <row r="107" spans="1:13" ht="19.899999999999999" customHeight="1">
      <c r="A107" s="63">
        <f t="shared" si="22"/>
        <v>17.300000000000004</v>
      </c>
      <c r="B107" s="63"/>
      <c r="C107" s="64" t="s">
        <v>554</v>
      </c>
      <c r="D107" s="63" t="s">
        <v>49</v>
      </c>
      <c r="E107" s="184">
        <v>1</v>
      </c>
      <c r="F107" s="184">
        <f>F104*E107</f>
        <v>3</v>
      </c>
      <c r="G107" s="1288"/>
      <c r="H107" s="1535">
        <f t="shared" si="13"/>
        <v>0</v>
      </c>
      <c r="I107" s="1288"/>
      <c r="J107" s="1511">
        <f t="shared" si="14"/>
        <v>0</v>
      </c>
      <c r="K107" s="1288"/>
      <c r="L107" s="1511">
        <f t="shared" si="15"/>
        <v>0</v>
      </c>
      <c r="M107" s="1511">
        <f t="shared" si="16"/>
        <v>0</v>
      </c>
    </row>
    <row r="108" spans="1:13" ht="19.899999999999999" customHeight="1">
      <c r="A108" s="63">
        <f t="shared" si="22"/>
        <v>17.400000000000006</v>
      </c>
      <c r="B108" s="85"/>
      <c r="C108" s="64" t="s">
        <v>65</v>
      </c>
      <c r="D108" s="63" t="s">
        <v>14</v>
      </c>
      <c r="E108" s="184">
        <v>0.62</v>
      </c>
      <c r="F108" s="186">
        <f>F104*E108</f>
        <v>1.8599999999999999</v>
      </c>
      <c r="G108" s="1512"/>
      <c r="H108" s="1535">
        <f t="shared" si="13"/>
        <v>0</v>
      </c>
      <c r="I108" s="1288"/>
      <c r="J108" s="1511">
        <f t="shared" si="14"/>
        <v>0</v>
      </c>
      <c r="K108" s="1288"/>
      <c r="L108" s="1511">
        <f t="shared" si="15"/>
        <v>0</v>
      </c>
      <c r="M108" s="1511">
        <f t="shared" si="16"/>
        <v>0</v>
      </c>
    </row>
    <row r="109" spans="1:13" ht="49.9" customHeight="1">
      <c r="A109" s="120" t="s">
        <v>622</v>
      </c>
      <c r="B109" s="120"/>
      <c r="C109" s="121" t="s">
        <v>561</v>
      </c>
      <c r="D109" s="120" t="s">
        <v>11</v>
      </c>
      <c r="E109" s="158"/>
      <c r="F109" s="159">
        <f>SUM(F112:F123)</f>
        <v>35</v>
      </c>
      <c r="G109" s="1537"/>
      <c r="H109" s="1535">
        <f t="shared" si="13"/>
        <v>0</v>
      </c>
      <c r="I109" s="1512"/>
      <c r="J109" s="1511">
        <f t="shared" si="14"/>
        <v>0</v>
      </c>
      <c r="K109" s="1288"/>
      <c r="L109" s="1511">
        <f t="shared" si="15"/>
        <v>0</v>
      </c>
      <c r="M109" s="1511">
        <f t="shared" si="16"/>
        <v>0</v>
      </c>
    </row>
    <row r="110" spans="1:13" ht="19.899999999999999" customHeight="1">
      <c r="A110" s="106">
        <f>A109+0.1</f>
        <v>18.100000000000001</v>
      </c>
      <c r="B110" s="75"/>
      <c r="C110" s="76" t="s">
        <v>50</v>
      </c>
      <c r="D110" s="108" t="s">
        <v>13</v>
      </c>
      <c r="E110" s="160">
        <v>0.38900000000000001</v>
      </c>
      <c r="F110" s="151">
        <f>E110*F109</f>
        <v>13.615</v>
      </c>
      <c r="G110" s="1539"/>
      <c r="H110" s="1535">
        <f t="shared" si="13"/>
        <v>0</v>
      </c>
      <c r="I110" s="1539"/>
      <c r="J110" s="1511">
        <f t="shared" si="14"/>
        <v>0</v>
      </c>
      <c r="K110" s="1288"/>
      <c r="L110" s="1511">
        <f t="shared" si="15"/>
        <v>0</v>
      </c>
      <c r="M110" s="1511">
        <f t="shared" si="16"/>
        <v>0</v>
      </c>
    </row>
    <row r="111" spans="1:13" ht="19.899999999999999" customHeight="1">
      <c r="A111" s="106">
        <f t="shared" ref="A111:A124" si="23">A110+0.1</f>
        <v>18.200000000000003</v>
      </c>
      <c r="B111" s="75"/>
      <c r="C111" s="97" t="s">
        <v>140</v>
      </c>
      <c r="D111" s="108" t="s">
        <v>14</v>
      </c>
      <c r="E111" s="160">
        <v>0.151</v>
      </c>
      <c r="F111" s="151">
        <f>E111*F109</f>
        <v>5.2850000000000001</v>
      </c>
      <c r="G111" s="1539"/>
      <c r="H111" s="1535">
        <f t="shared" si="13"/>
        <v>0</v>
      </c>
      <c r="I111" s="1512"/>
      <c r="J111" s="1511">
        <f t="shared" si="14"/>
        <v>0</v>
      </c>
      <c r="K111" s="1510"/>
      <c r="L111" s="1511">
        <f t="shared" si="15"/>
        <v>0</v>
      </c>
      <c r="M111" s="1511">
        <f t="shared" si="16"/>
        <v>0</v>
      </c>
    </row>
    <row r="112" spans="1:13" ht="19.899999999999999" customHeight="1">
      <c r="A112" s="106">
        <f t="shared" si="23"/>
        <v>18.300000000000004</v>
      </c>
      <c r="B112" s="75"/>
      <c r="C112" s="97" t="s">
        <v>568</v>
      </c>
      <c r="D112" s="108" t="s">
        <v>11</v>
      </c>
      <c r="E112" s="160"/>
      <c r="F112" s="151">
        <v>3</v>
      </c>
      <c r="G112" s="1539"/>
      <c r="H112" s="1535">
        <f t="shared" si="13"/>
        <v>0</v>
      </c>
      <c r="I112" s="1512"/>
      <c r="J112" s="1511">
        <f t="shared" si="14"/>
        <v>0</v>
      </c>
      <c r="K112" s="1510"/>
      <c r="L112" s="1511">
        <f t="shared" si="15"/>
        <v>0</v>
      </c>
      <c r="M112" s="1511">
        <f t="shared" si="16"/>
        <v>0</v>
      </c>
    </row>
    <row r="113" spans="1:13" ht="19.899999999999999" customHeight="1">
      <c r="A113" s="106">
        <f t="shared" si="23"/>
        <v>18.400000000000006</v>
      </c>
      <c r="B113" s="75"/>
      <c r="C113" s="97" t="s">
        <v>569</v>
      </c>
      <c r="D113" s="108" t="s">
        <v>11</v>
      </c>
      <c r="E113" s="160"/>
      <c r="F113" s="151">
        <v>4</v>
      </c>
      <c r="G113" s="1539"/>
      <c r="H113" s="1535">
        <f t="shared" si="13"/>
        <v>0</v>
      </c>
      <c r="I113" s="1512"/>
      <c r="J113" s="1511">
        <f t="shared" si="14"/>
        <v>0</v>
      </c>
      <c r="K113" s="1510"/>
      <c r="L113" s="1511">
        <f t="shared" si="15"/>
        <v>0</v>
      </c>
      <c r="M113" s="1511">
        <f t="shared" si="16"/>
        <v>0</v>
      </c>
    </row>
    <row r="114" spans="1:13" ht="19.899999999999999" customHeight="1">
      <c r="A114" s="106">
        <f t="shared" si="23"/>
        <v>18.500000000000007</v>
      </c>
      <c r="B114" s="75"/>
      <c r="C114" s="97" t="s">
        <v>570</v>
      </c>
      <c r="D114" s="108" t="s">
        <v>11</v>
      </c>
      <c r="E114" s="160"/>
      <c r="F114" s="151">
        <v>7</v>
      </c>
      <c r="G114" s="1539"/>
      <c r="H114" s="1535">
        <f t="shared" si="13"/>
        <v>0</v>
      </c>
      <c r="I114" s="1512"/>
      <c r="J114" s="1511">
        <f t="shared" si="14"/>
        <v>0</v>
      </c>
      <c r="K114" s="1510"/>
      <c r="L114" s="1511">
        <f t="shared" si="15"/>
        <v>0</v>
      </c>
      <c r="M114" s="1511">
        <f t="shared" si="16"/>
        <v>0</v>
      </c>
    </row>
    <row r="115" spans="1:13" ht="19.899999999999999" customHeight="1">
      <c r="A115" s="106">
        <f t="shared" si="23"/>
        <v>18.600000000000009</v>
      </c>
      <c r="B115" s="75"/>
      <c r="C115" s="97" t="s">
        <v>571</v>
      </c>
      <c r="D115" s="108" t="s">
        <v>11</v>
      </c>
      <c r="E115" s="160"/>
      <c r="F115" s="151">
        <v>1</v>
      </c>
      <c r="G115" s="1539"/>
      <c r="H115" s="1535">
        <f t="shared" si="13"/>
        <v>0</v>
      </c>
      <c r="I115" s="1512"/>
      <c r="J115" s="1511">
        <f t="shared" si="14"/>
        <v>0</v>
      </c>
      <c r="K115" s="1510"/>
      <c r="L115" s="1511">
        <f t="shared" si="15"/>
        <v>0</v>
      </c>
      <c r="M115" s="1511">
        <f t="shared" si="16"/>
        <v>0</v>
      </c>
    </row>
    <row r="116" spans="1:13" ht="19.899999999999999" customHeight="1">
      <c r="A116" s="106">
        <f t="shared" si="23"/>
        <v>18.70000000000001</v>
      </c>
      <c r="B116" s="75"/>
      <c r="C116" s="124" t="s">
        <v>804</v>
      </c>
      <c r="D116" s="125" t="s">
        <v>11</v>
      </c>
      <c r="E116" s="160"/>
      <c r="F116" s="165">
        <v>3</v>
      </c>
      <c r="G116" s="1539"/>
      <c r="H116" s="1535">
        <f t="shared" si="13"/>
        <v>0</v>
      </c>
      <c r="I116" s="1512"/>
      <c r="J116" s="1511">
        <f t="shared" si="14"/>
        <v>0</v>
      </c>
      <c r="K116" s="1288"/>
      <c r="L116" s="1511">
        <f t="shared" si="15"/>
        <v>0</v>
      </c>
      <c r="M116" s="1511">
        <f t="shared" si="16"/>
        <v>0</v>
      </c>
    </row>
    <row r="117" spans="1:13" ht="19.899999999999999" customHeight="1">
      <c r="A117" s="106">
        <f t="shared" si="23"/>
        <v>18.800000000000011</v>
      </c>
      <c r="B117" s="75"/>
      <c r="C117" s="124" t="s">
        <v>548</v>
      </c>
      <c r="D117" s="125" t="s">
        <v>11</v>
      </c>
      <c r="E117" s="160"/>
      <c r="F117" s="165">
        <v>4</v>
      </c>
      <c r="G117" s="1539"/>
      <c r="H117" s="1535">
        <f t="shared" si="13"/>
        <v>0</v>
      </c>
      <c r="I117" s="1512"/>
      <c r="J117" s="1511">
        <f t="shared" si="14"/>
        <v>0</v>
      </c>
      <c r="K117" s="1288"/>
      <c r="L117" s="1511">
        <f t="shared" si="15"/>
        <v>0</v>
      </c>
      <c r="M117" s="1511">
        <f t="shared" si="16"/>
        <v>0</v>
      </c>
    </row>
    <row r="118" spans="1:13" ht="19.899999999999999" customHeight="1">
      <c r="A118" s="106">
        <f t="shared" si="23"/>
        <v>18.900000000000013</v>
      </c>
      <c r="B118" s="75"/>
      <c r="C118" s="124" t="s">
        <v>550</v>
      </c>
      <c r="D118" s="125" t="s">
        <v>11</v>
      </c>
      <c r="E118" s="160"/>
      <c r="F118" s="165">
        <v>3</v>
      </c>
      <c r="G118" s="1539"/>
      <c r="H118" s="1535">
        <f t="shared" si="13"/>
        <v>0</v>
      </c>
      <c r="I118" s="1512"/>
      <c r="J118" s="1511">
        <f t="shared" si="14"/>
        <v>0</v>
      </c>
      <c r="K118" s="1288"/>
      <c r="L118" s="1511">
        <f t="shared" si="15"/>
        <v>0</v>
      </c>
      <c r="M118" s="1511">
        <f t="shared" si="16"/>
        <v>0</v>
      </c>
    </row>
    <row r="119" spans="1:13" ht="19.899999999999999" customHeight="1">
      <c r="A119" s="106">
        <f t="shared" si="23"/>
        <v>19.000000000000014</v>
      </c>
      <c r="B119" s="75"/>
      <c r="C119" s="124" t="s">
        <v>549</v>
      </c>
      <c r="D119" s="125" t="s">
        <v>11</v>
      </c>
      <c r="E119" s="160"/>
      <c r="F119" s="165">
        <v>2</v>
      </c>
      <c r="G119" s="1539"/>
      <c r="H119" s="1535">
        <f t="shared" si="13"/>
        <v>0</v>
      </c>
      <c r="I119" s="1512"/>
      <c r="J119" s="1511">
        <f t="shared" si="14"/>
        <v>0</v>
      </c>
      <c r="K119" s="1288"/>
      <c r="L119" s="1511">
        <f t="shared" si="15"/>
        <v>0</v>
      </c>
      <c r="M119" s="1511">
        <f t="shared" si="16"/>
        <v>0</v>
      </c>
    </row>
    <row r="120" spans="1:13" ht="19.899999999999999" customHeight="1">
      <c r="A120" s="106">
        <f t="shared" si="23"/>
        <v>19.100000000000016</v>
      </c>
      <c r="B120" s="75"/>
      <c r="C120" s="124" t="s">
        <v>805</v>
      </c>
      <c r="D120" s="125" t="s">
        <v>11</v>
      </c>
      <c r="E120" s="160"/>
      <c r="F120" s="165">
        <v>1</v>
      </c>
      <c r="G120" s="1539"/>
      <c r="H120" s="1535">
        <f t="shared" si="13"/>
        <v>0</v>
      </c>
      <c r="I120" s="1512"/>
      <c r="J120" s="1511">
        <f t="shared" si="14"/>
        <v>0</v>
      </c>
      <c r="K120" s="1288"/>
      <c r="L120" s="1511">
        <f t="shared" si="15"/>
        <v>0</v>
      </c>
      <c r="M120" s="1511">
        <f t="shared" si="16"/>
        <v>0</v>
      </c>
    </row>
    <row r="121" spans="1:13" ht="19.899999999999999" customHeight="1">
      <c r="A121" s="106">
        <f t="shared" si="23"/>
        <v>19.200000000000017</v>
      </c>
      <c r="B121" s="75"/>
      <c r="C121" s="124" t="s">
        <v>806</v>
      </c>
      <c r="D121" s="125" t="s">
        <v>11</v>
      </c>
      <c r="E121" s="160"/>
      <c r="F121" s="165">
        <v>3</v>
      </c>
      <c r="G121" s="1539"/>
      <c r="H121" s="1535">
        <f t="shared" si="13"/>
        <v>0</v>
      </c>
      <c r="I121" s="1512"/>
      <c r="J121" s="1511">
        <f t="shared" si="14"/>
        <v>0</v>
      </c>
      <c r="K121" s="1288"/>
      <c r="L121" s="1511">
        <f t="shared" si="15"/>
        <v>0</v>
      </c>
      <c r="M121" s="1511">
        <f t="shared" si="16"/>
        <v>0</v>
      </c>
    </row>
    <row r="122" spans="1:13" ht="19.899999999999999" customHeight="1">
      <c r="A122" s="106">
        <f t="shared" si="23"/>
        <v>19.300000000000018</v>
      </c>
      <c r="B122" s="75"/>
      <c r="C122" s="124" t="s">
        <v>552</v>
      </c>
      <c r="D122" s="125" t="s">
        <v>11</v>
      </c>
      <c r="E122" s="166"/>
      <c r="F122" s="165">
        <v>3</v>
      </c>
      <c r="G122" s="1539"/>
      <c r="H122" s="1535">
        <f t="shared" si="13"/>
        <v>0</v>
      </c>
      <c r="I122" s="1512"/>
      <c r="J122" s="1511">
        <f t="shared" si="14"/>
        <v>0</v>
      </c>
      <c r="K122" s="1288"/>
      <c r="L122" s="1511">
        <f t="shared" si="15"/>
        <v>0</v>
      </c>
      <c r="M122" s="1511">
        <f t="shared" si="16"/>
        <v>0</v>
      </c>
    </row>
    <row r="123" spans="1:13" ht="19.899999999999999" customHeight="1">
      <c r="A123" s="106">
        <f t="shared" si="23"/>
        <v>19.40000000000002</v>
      </c>
      <c r="B123" s="75"/>
      <c r="C123" s="124" t="s">
        <v>551</v>
      </c>
      <c r="D123" s="125" t="s">
        <v>11</v>
      </c>
      <c r="E123" s="160"/>
      <c r="F123" s="165">
        <v>1</v>
      </c>
      <c r="G123" s="1539"/>
      <c r="H123" s="1535">
        <f t="shared" si="13"/>
        <v>0</v>
      </c>
      <c r="I123" s="1512"/>
      <c r="J123" s="1511">
        <f t="shared" si="14"/>
        <v>0</v>
      </c>
      <c r="K123" s="1288"/>
      <c r="L123" s="1511">
        <f t="shared" si="15"/>
        <v>0</v>
      </c>
      <c r="M123" s="1511">
        <f t="shared" si="16"/>
        <v>0</v>
      </c>
    </row>
    <row r="124" spans="1:13" ht="19.899999999999999" customHeight="1">
      <c r="A124" s="106">
        <f t="shared" si="23"/>
        <v>19.500000000000021</v>
      </c>
      <c r="B124" s="85"/>
      <c r="C124" s="64" t="s">
        <v>65</v>
      </c>
      <c r="D124" s="63" t="s">
        <v>14</v>
      </c>
      <c r="E124" s="160">
        <v>2.4E-2</v>
      </c>
      <c r="F124" s="151">
        <f>E124*F109</f>
        <v>0.84</v>
      </c>
      <c r="G124" s="1512"/>
      <c r="H124" s="1535">
        <f t="shared" si="13"/>
        <v>0</v>
      </c>
      <c r="I124" s="1512"/>
      <c r="J124" s="1511">
        <f t="shared" si="14"/>
        <v>0</v>
      </c>
      <c r="K124" s="1288"/>
      <c r="L124" s="1511">
        <f t="shared" si="15"/>
        <v>0</v>
      </c>
      <c r="M124" s="1511">
        <f t="shared" si="16"/>
        <v>0</v>
      </c>
    </row>
    <row r="125" spans="1:13" ht="49.9" customHeight="1">
      <c r="A125" s="66">
        <v>19</v>
      </c>
      <c r="B125" s="67"/>
      <c r="C125" s="68" t="s">
        <v>214</v>
      </c>
      <c r="D125" s="67" t="s">
        <v>15</v>
      </c>
      <c r="E125" s="150"/>
      <c r="F125" s="187">
        <f>1.6+1.92</f>
        <v>3.52</v>
      </c>
      <c r="G125" s="1288"/>
      <c r="H125" s="1535">
        <f t="shared" si="13"/>
        <v>0</v>
      </c>
      <c r="I125" s="1288"/>
      <c r="J125" s="1511">
        <f t="shared" si="14"/>
        <v>0</v>
      </c>
      <c r="K125" s="1288"/>
      <c r="L125" s="1511">
        <f t="shared" si="15"/>
        <v>0</v>
      </c>
      <c r="M125" s="1511">
        <f t="shared" si="16"/>
        <v>0</v>
      </c>
    </row>
    <row r="126" spans="1:13" ht="19.899999999999999" customHeight="1">
      <c r="A126" s="66">
        <f>A125+0.1</f>
        <v>19.100000000000001</v>
      </c>
      <c r="B126" s="75"/>
      <c r="C126" s="76" t="s">
        <v>50</v>
      </c>
      <c r="D126" s="63" t="s">
        <v>13</v>
      </c>
      <c r="E126" s="153">
        <f>1.15*206/100</f>
        <v>2.3689999999999998</v>
      </c>
      <c r="F126" s="188">
        <f>E126*F125</f>
        <v>8.3388799999999996</v>
      </c>
      <c r="G126" s="1288"/>
      <c r="H126" s="1535">
        <f t="shared" si="13"/>
        <v>0</v>
      </c>
      <c r="I126" s="1512"/>
      <c r="J126" s="1511">
        <f t="shared" si="14"/>
        <v>0</v>
      </c>
      <c r="K126" s="1288"/>
      <c r="L126" s="1511">
        <f t="shared" si="15"/>
        <v>0</v>
      </c>
      <c r="M126" s="1511">
        <f t="shared" si="16"/>
        <v>0</v>
      </c>
    </row>
    <row r="127" spans="1:13" s="8" customFormat="1" ht="49.9" customHeight="1">
      <c r="A127" s="66">
        <v>20</v>
      </c>
      <c r="B127" s="131"/>
      <c r="C127" s="189" t="s">
        <v>597</v>
      </c>
      <c r="D127" s="127" t="s">
        <v>15</v>
      </c>
      <c r="E127" s="190"/>
      <c r="F127" s="190">
        <f>0.6+0.72</f>
        <v>1.3199999999999998</v>
      </c>
      <c r="G127" s="1516"/>
      <c r="H127" s="1535">
        <f t="shared" si="13"/>
        <v>0</v>
      </c>
      <c r="I127" s="1515"/>
      <c r="J127" s="1511">
        <f t="shared" si="14"/>
        <v>0</v>
      </c>
      <c r="K127" s="1515"/>
      <c r="L127" s="1511">
        <f t="shared" si="15"/>
        <v>0</v>
      </c>
      <c r="M127" s="1511">
        <f t="shared" si="16"/>
        <v>0</v>
      </c>
    </row>
    <row r="128" spans="1:13" s="8" customFormat="1" ht="19.899999999999999" customHeight="1">
      <c r="A128" s="66">
        <f>A127+0.1</f>
        <v>20.100000000000001</v>
      </c>
      <c r="B128" s="75"/>
      <c r="C128" s="76" t="s">
        <v>50</v>
      </c>
      <c r="D128" s="63" t="s">
        <v>13</v>
      </c>
      <c r="E128" s="171">
        <f>18/10</f>
        <v>1.8</v>
      </c>
      <c r="F128" s="171">
        <f>E128*F127</f>
        <v>2.3759999999999999</v>
      </c>
      <c r="G128" s="1515"/>
      <c r="H128" s="1535">
        <f t="shared" si="13"/>
        <v>0</v>
      </c>
      <c r="I128" s="1515"/>
      <c r="J128" s="1511">
        <f t="shared" si="14"/>
        <v>0</v>
      </c>
      <c r="K128" s="1515"/>
      <c r="L128" s="1511">
        <f t="shared" si="15"/>
        <v>0</v>
      </c>
      <c r="M128" s="1511">
        <f t="shared" si="16"/>
        <v>0</v>
      </c>
    </row>
    <row r="129" spans="1:13" s="8" customFormat="1" ht="19.899999999999999" customHeight="1">
      <c r="A129" s="66">
        <f>A128+0.1</f>
        <v>20.200000000000003</v>
      </c>
      <c r="B129" s="131"/>
      <c r="C129" s="191" t="s">
        <v>598</v>
      </c>
      <c r="D129" s="131" t="s">
        <v>15</v>
      </c>
      <c r="E129" s="171">
        <v>1.1499999999999999</v>
      </c>
      <c r="F129" s="171">
        <f>F127*E129</f>
        <v>1.5179999999999998</v>
      </c>
      <c r="G129" s="1515"/>
      <c r="H129" s="1535">
        <f t="shared" si="13"/>
        <v>0</v>
      </c>
      <c r="I129" s="1515"/>
      <c r="J129" s="1511">
        <f t="shared" si="14"/>
        <v>0</v>
      </c>
      <c r="K129" s="1515"/>
      <c r="L129" s="1511">
        <f t="shared" si="15"/>
        <v>0</v>
      </c>
      <c r="M129" s="1511">
        <f t="shared" si="16"/>
        <v>0</v>
      </c>
    </row>
    <row r="130" spans="1:13" s="8" customFormat="1" ht="49.9" customHeight="1">
      <c r="A130" s="66">
        <v>21</v>
      </c>
      <c r="B130" s="131"/>
      <c r="C130" s="189" t="s">
        <v>240</v>
      </c>
      <c r="D130" s="127" t="s">
        <v>15</v>
      </c>
      <c r="E130" s="190"/>
      <c r="F130" s="190">
        <f>0.4+0.48</f>
        <v>0.88</v>
      </c>
      <c r="G130" s="1516"/>
      <c r="H130" s="1535">
        <f t="shared" si="13"/>
        <v>0</v>
      </c>
      <c r="I130" s="1515"/>
      <c r="J130" s="1511">
        <f t="shared" si="14"/>
        <v>0</v>
      </c>
      <c r="K130" s="1515"/>
      <c r="L130" s="1511">
        <f t="shared" si="15"/>
        <v>0</v>
      </c>
      <c r="M130" s="1511">
        <f t="shared" si="16"/>
        <v>0</v>
      </c>
    </row>
    <row r="131" spans="1:13" s="8" customFormat="1" ht="19.899999999999999" customHeight="1">
      <c r="A131" s="66">
        <f>A130+0.1</f>
        <v>21.1</v>
      </c>
      <c r="B131" s="75"/>
      <c r="C131" s="76" t="s">
        <v>50</v>
      </c>
      <c r="D131" s="63" t="s">
        <v>13</v>
      </c>
      <c r="E131" s="171">
        <f>18/10</f>
        <v>1.8</v>
      </c>
      <c r="F131" s="171">
        <f>E131*F130</f>
        <v>1.5840000000000001</v>
      </c>
      <c r="G131" s="1515"/>
      <c r="H131" s="1535">
        <f t="shared" si="13"/>
        <v>0</v>
      </c>
      <c r="I131" s="1515"/>
      <c r="J131" s="1511">
        <f t="shared" si="14"/>
        <v>0</v>
      </c>
      <c r="K131" s="1515"/>
      <c r="L131" s="1511">
        <f t="shared" si="15"/>
        <v>0</v>
      </c>
      <c r="M131" s="1511">
        <f t="shared" si="16"/>
        <v>0</v>
      </c>
    </row>
    <row r="132" spans="1:13" s="8" customFormat="1" ht="19.899999999999999" customHeight="1">
      <c r="A132" s="66">
        <f>A131+0.1</f>
        <v>21.200000000000003</v>
      </c>
      <c r="B132" s="131"/>
      <c r="C132" s="191" t="s">
        <v>42</v>
      </c>
      <c r="D132" s="131" t="s">
        <v>15</v>
      </c>
      <c r="E132" s="171">
        <v>1.1499999999999999</v>
      </c>
      <c r="F132" s="171">
        <f>F130*E132</f>
        <v>1.012</v>
      </c>
      <c r="G132" s="1515"/>
      <c r="H132" s="1535">
        <f t="shared" si="13"/>
        <v>0</v>
      </c>
      <c r="I132" s="1515"/>
      <c r="J132" s="1511">
        <f t="shared" si="14"/>
        <v>0</v>
      </c>
      <c r="K132" s="1515"/>
      <c r="L132" s="1511">
        <f t="shared" si="15"/>
        <v>0</v>
      </c>
      <c r="M132" s="1511">
        <f t="shared" si="16"/>
        <v>0</v>
      </c>
    </row>
    <row r="133" spans="1:13" s="8" customFormat="1" ht="49.9" customHeight="1">
      <c r="A133" s="66">
        <v>22</v>
      </c>
      <c r="B133" s="167"/>
      <c r="C133" s="189" t="s">
        <v>555</v>
      </c>
      <c r="D133" s="168" t="s">
        <v>177</v>
      </c>
      <c r="E133" s="169"/>
      <c r="F133" s="190">
        <v>4</v>
      </c>
      <c r="G133" s="1516"/>
      <c r="H133" s="1535">
        <f t="shared" si="13"/>
        <v>0</v>
      </c>
      <c r="I133" s="1515"/>
      <c r="J133" s="1511">
        <f t="shared" si="14"/>
        <v>0</v>
      </c>
      <c r="K133" s="1515"/>
      <c r="L133" s="1511">
        <f t="shared" si="15"/>
        <v>0</v>
      </c>
      <c r="M133" s="1511">
        <f t="shared" si="16"/>
        <v>0</v>
      </c>
    </row>
    <row r="134" spans="1:13" s="8" customFormat="1" ht="19.899999999999999" customHeight="1">
      <c r="A134" s="66">
        <f>A133+0.1</f>
        <v>22.1</v>
      </c>
      <c r="B134" s="75"/>
      <c r="C134" s="76" t="s">
        <v>50</v>
      </c>
      <c r="D134" s="63" t="s">
        <v>13</v>
      </c>
      <c r="E134" s="172">
        <f>245*0.001</f>
        <v>0.245</v>
      </c>
      <c r="F134" s="172">
        <f>F133*E134</f>
        <v>0.98</v>
      </c>
      <c r="G134" s="1515"/>
      <c r="H134" s="1535">
        <f t="shared" si="13"/>
        <v>0</v>
      </c>
      <c r="I134" s="1515"/>
      <c r="J134" s="1511">
        <f t="shared" si="14"/>
        <v>0</v>
      </c>
      <c r="K134" s="1515"/>
      <c r="L134" s="1511">
        <f t="shared" si="15"/>
        <v>0</v>
      </c>
      <c r="M134" s="1511">
        <f t="shared" si="16"/>
        <v>0</v>
      </c>
    </row>
    <row r="135" spans="1:13" s="8" customFormat="1" ht="19.899999999999999" customHeight="1">
      <c r="A135" s="66">
        <f t="shared" ref="A135:A137" si="24">A134+0.1</f>
        <v>22.200000000000003</v>
      </c>
      <c r="B135" s="75"/>
      <c r="C135" s="97" t="s">
        <v>140</v>
      </c>
      <c r="D135" s="75" t="s">
        <v>14</v>
      </c>
      <c r="E135" s="172">
        <v>0.84</v>
      </c>
      <c r="F135" s="172">
        <f>F133*E135</f>
        <v>3.36</v>
      </c>
      <c r="G135" s="1545"/>
      <c r="H135" s="1535">
        <f t="shared" si="13"/>
        <v>0</v>
      </c>
      <c r="I135" s="1545"/>
      <c r="J135" s="1511">
        <f t="shared" si="14"/>
        <v>0</v>
      </c>
      <c r="K135" s="1510"/>
      <c r="L135" s="1511">
        <f t="shared" si="15"/>
        <v>0</v>
      </c>
      <c r="M135" s="1511">
        <f t="shared" si="16"/>
        <v>0</v>
      </c>
    </row>
    <row r="136" spans="1:13" s="8" customFormat="1" ht="19.899999999999999" customHeight="1">
      <c r="A136" s="66">
        <f t="shared" si="24"/>
        <v>22.300000000000004</v>
      </c>
      <c r="B136" s="167"/>
      <c r="C136" s="173" t="s">
        <v>556</v>
      </c>
      <c r="D136" s="167" t="s">
        <v>55</v>
      </c>
      <c r="E136" s="172">
        <v>1.01</v>
      </c>
      <c r="F136" s="172">
        <f>F133*E136</f>
        <v>4.04</v>
      </c>
      <c r="G136" s="1515"/>
      <c r="H136" s="1535">
        <f t="shared" si="13"/>
        <v>0</v>
      </c>
      <c r="I136" s="1515"/>
      <c r="J136" s="1511">
        <f t="shared" si="14"/>
        <v>0</v>
      </c>
      <c r="K136" s="1515"/>
      <c r="L136" s="1511">
        <f t="shared" si="15"/>
        <v>0</v>
      </c>
      <c r="M136" s="1511">
        <f t="shared" si="16"/>
        <v>0</v>
      </c>
    </row>
    <row r="137" spans="1:13" s="8" customFormat="1" ht="19.899999999999999" customHeight="1">
      <c r="A137" s="66">
        <f t="shared" si="24"/>
        <v>22.400000000000006</v>
      </c>
      <c r="B137" s="85"/>
      <c r="C137" s="64" t="s">
        <v>65</v>
      </c>
      <c r="D137" s="63" t="s">
        <v>14</v>
      </c>
      <c r="E137" s="172">
        <f>8.88*0.001</f>
        <v>8.8800000000000007E-3</v>
      </c>
      <c r="F137" s="172">
        <f>F133*E137</f>
        <v>3.5520000000000003E-2</v>
      </c>
      <c r="G137" s="1512"/>
      <c r="H137" s="1535">
        <f t="shared" ref="H137:H145" si="25">F137*G137</f>
        <v>0</v>
      </c>
      <c r="I137" s="1515"/>
      <c r="J137" s="1511">
        <f t="shared" ref="J137:J145" si="26">F137*I137</f>
        <v>0</v>
      </c>
      <c r="K137" s="1515"/>
      <c r="L137" s="1511">
        <f t="shared" ref="L137:L145" si="27">F137*K137</f>
        <v>0</v>
      </c>
      <c r="M137" s="1511">
        <f t="shared" ref="M137:M145" si="28">H137+J137+L137</f>
        <v>0</v>
      </c>
    </row>
    <row r="138" spans="1:13" ht="59.25" customHeight="1">
      <c r="A138" s="66">
        <v>23</v>
      </c>
      <c r="B138" s="67"/>
      <c r="C138" s="68" t="s">
        <v>141</v>
      </c>
      <c r="D138" s="67" t="s">
        <v>15</v>
      </c>
      <c r="E138" s="150"/>
      <c r="F138" s="150">
        <f>0.6+0.72</f>
        <v>1.3199999999999998</v>
      </c>
      <c r="G138" s="1288"/>
      <c r="H138" s="1535">
        <f t="shared" si="25"/>
        <v>0</v>
      </c>
      <c r="I138" s="1512"/>
      <c r="J138" s="1511">
        <f t="shared" si="26"/>
        <v>0</v>
      </c>
      <c r="K138" s="1512"/>
      <c r="L138" s="1511">
        <f t="shared" si="27"/>
        <v>0</v>
      </c>
      <c r="M138" s="1511">
        <f t="shared" si="28"/>
        <v>0</v>
      </c>
    </row>
    <row r="139" spans="1:13" ht="19.899999999999999" customHeight="1">
      <c r="A139" s="66">
        <f>A138+0.1</f>
        <v>23.1</v>
      </c>
      <c r="B139" s="75"/>
      <c r="C139" s="76" t="s">
        <v>50</v>
      </c>
      <c r="D139" s="63" t="s">
        <v>13</v>
      </c>
      <c r="E139" s="153">
        <v>2.1</v>
      </c>
      <c r="F139" s="153">
        <f>E139*F138</f>
        <v>2.7719999999999998</v>
      </c>
      <c r="G139" s="1536"/>
      <c r="H139" s="1535">
        <f t="shared" si="25"/>
        <v>0</v>
      </c>
      <c r="I139" s="1288"/>
      <c r="J139" s="1511">
        <f t="shared" si="26"/>
        <v>0</v>
      </c>
      <c r="K139" s="1512"/>
      <c r="L139" s="1511">
        <f t="shared" si="27"/>
        <v>0</v>
      </c>
      <c r="M139" s="1511">
        <f t="shared" si="28"/>
        <v>0</v>
      </c>
    </row>
    <row r="140" spans="1:13" s="8" customFormat="1" ht="56.25" customHeight="1">
      <c r="A140" s="192" t="s">
        <v>623</v>
      </c>
      <c r="B140" s="193"/>
      <c r="C140" s="194" t="s">
        <v>557</v>
      </c>
      <c r="D140" s="192" t="s">
        <v>245</v>
      </c>
      <c r="E140" s="195"/>
      <c r="F140" s="190">
        <v>1</v>
      </c>
      <c r="G140" s="1546"/>
      <c r="H140" s="1535">
        <f t="shared" si="25"/>
        <v>0</v>
      </c>
      <c r="I140" s="1546"/>
      <c r="J140" s="1511">
        <f t="shared" si="26"/>
        <v>0</v>
      </c>
      <c r="K140" s="1546"/>
      <c r="L140" s="1511">
        <f t="shared" si="27"/>
        <v>0</v>
      </c>
      <c r="M140" s="1511">
        <f t="shared" si="28"/>
        <v>0</v>
      </c>
    </row>
    <row r="141" spans="1:13" s="8" customFormat="1" ht="19.899999999999999" customHeight="1">
      <c r="A141" s="131">
        <f>A140+0.1</f>
        <v>24.1</v>
      </c>
      <c r="B141" s="75"/>
      <c r="C141" s="76" t="s">
        <v>50</v>
      </c>
      <c r="D141" s="131" t="s">
        <v>213</v>
      </c>
      <c r="E141" s="171">
        <v>17</v>
      </c>
      <c r="F141" s="171">
        <f>F140*E141</f>
        <v>17</v>
      </c>
      <c r="G141" s="1288"/>
      <c r="H141" s="1535">
        <f t="shared" si="25"/>
        <v>0</v>
      </c>
      <c r="I141" s="1288"/>
      <c r="J141" s="1511">
        <f t="shared" si="26"/>
        <v>0</v>
      </c>
      <c r="K141" s="1288"/>
      <c r="L141" s="1511">
        <f t="shared" si="27"/>
        <v>0</v>
      </c>
      <c r="M141" s="1511">
        <f t="shared" si="28"/>
        <v>0</v>
      </c>
    </row>
    <row r="142" spans="1:13" s="8" customFormat="1" ht="19.899999999999999" customHeight="1">
      <c r="A142" s="131">
        <f t="shared" ref="A142:A145" si="29">A141+0.1</f>
        <v>24.200000000000003</v>
      </c>
      <c r="B142" s="131"/>
      <c r="C142" s="191" t="s">
        <v>243</v>
      </c>
      <c r="D142" s="131" t="s">
        <v>131</v>
      </c>
      <c r="E142" s="171">
        <v>0.05</v>
      </c>
      <c r="F142" s="171">
        <f>E142*F140</f>
        <v>0.05</v>
      </c>
      <c r="G142" s="1515"/>
      <c r="H142" s="1535">
        <f t="shared" si="25"/>
        <v>0</v>
      </c>
      <c r="I142" s="1515"/>
      <c r="J142" s="1511">
        <f t="shared" si="26"/>
        <v>0</v>
      </c>
      <c r="K142" s="1515"/>
      <c r="L142" s="1511">
        <f t="shared" si="27"/>
        <v>0</v>
      </c>
      <c r="M142" s="1511">
        <f t="shared" si="28"/>
        <v>0</v>
      </c>
    </row>
    <row r="143" spans="1:13" s="8" customFormat="1" ht="19.899999999999999" customHeight="1">
      <c r="A143" s="131">
        <f t="shared" si="29"/>
        <v>24.300000000000004</v>
      </c>
      <c r="B143" s="131"/>
      <c r="C143" s="191" t="s">
        <v>795</v>
      </c>
      <c r="D143" s="131" t="s">
        <v>131</v>
      </c>
      <c r="E143" s="171">
        <v>0.2</v>
      </c>
      <c r="F143" s="171">
        <f>E143*F140</f>
        <v>0.2</v>
      </c>
      <c r="G143" s="1515"/>
      <c r="H143" s="1535">
        <f t="shared" si="25"/>
        <v>0</v>
      </c>
      <c r="I143" s="1515"/>
      <c r="J143" s="1511">
        <f t="shared" si="26"/>
        <v>0</v>
      </c>
      <c r="K143" s="1515"/>
      <c r="L143" s="1511">
        <f t="shared" si="27"/>
        <v>0</v>
      </c>
      <c r="M143" s="1511">
        <f t="shared" si="28"/>
        <v>0</v>
      </c>
    </row>
    <row r="144" spans="1:13" s="8" customFormat="1" ht="19.899999999999999" customHeight="1">
      <c r="A144" s="131">
        <f t="shared" si="29"/>
        <v>24.400000000000006</v>
      </c>
      <c r="B144" s="127"/>
      <c r="C144" s="191" t="s">
        <v>242</v>
      </c>
      <c r="D144" s="131" t="s">
        <v>21</v>
      </c>
      <c r="E144" s="171">
        <v>7.8</v>
      </c>
      <c r="F144" s="171">
        <f>E144*F140</f>
        <v>7.8</v>
      </c>
      <c r="G144" s="1288"/>
      <c r="H144" s="1535">
        <f t="shared" si="25"/>
        <v>0</v>
      </c>
      <c r="I144" s="1288"/>
      <c r="J144" s="1511">
        <f t="shared" si="26"/>
        <v>0</v>
      </c>
      <c r="K144" s="1515"/>
      <c r="L144" s="1511">
        <f t="shared" si="27"/>
        <v>0</v>
      </c>
      <c r="M144" s="1511">
        <f t="shared" si="28"/>
        <v>0</v>
      </c>
    </row>
    <row r="145" spans="1:13" s="8" customFormat="1" ht="19.899999999999999" customHeight="1">
      <c r="A145" s="131">
        <f t="shared" si="29"/>
        <v>24.500000000000007</v>
      </c>
      <c r="B145" s="85"/>
      <c r="C145" s="64" t="s">
        <v>65</v>
      </c>
      <c r="D145" s="63" t="s">
        <v>14</v>
      </c>
      <c r="E145" s="171">
        <v>1.08</v>
      </c>
      <c r="F145" s="171">
        <f>E145*F140</f>
        <v>1.08</v>
      </c>
      <c r="G145" s="1512"/>
      <c r="H145" s="1535">
        <f t="shared" si="25"/>
        <v>0</v>
      </c>
      <c r="I145" s="1288"/>
      <c r="J145" s="1511">
        <f t="shared" si="26"/>
        <v>0</v>
      </c>
      <c r="K145" s="1515"/>
      <c r="L145" s="1511">
        <f t="shared" si="27"/>
        <v>0</v>
      </c>
      <c r="M145" s="1511">
        <f t="shared" si="28"/>
        <v>0</v>
      </c>
    </row>
    <row r="146" spans="1:13" ht="19.899999999999999" customHeight="1">
      <c r="A146" s="66"/>
      <c r="B146" s="135"/>
      <c r="C146" s="68" t="s">
        <v>142</v>
      </c>
      <c r="D146" s="67" t="s">
        <v>14</v>
      </c>
      <c r="E146" s="150"/>
      <c r="F146" s="150"/>
      <c r="G146" s="1513"/>
      <c r="H146" s="1513">
        <f>SUM(H9:H145)</f>
        <v>0</v>
      </c>
      <c r="I146" s="1514"/>
      <c r="J146" s="1513">
        <f>SUM(J9:J145)</f>
        <v>0</v>
      </c>
      <c r="K146" s="1514"/>
      <c r="L146" s="1513">
        <f>SUM(L9:L145)</f>
        <v>0</v>
      </c>
      <c r="M146" s="1513">
        <f>SUM(M9:M145)</f>
        <v>0</v>
      </c>
    </row>
    <row r="147" spans="1:13" ht="19.899999999999999" customHeight="1">
      <c r="A147" s="66"/>
      <c r="B147" s="63"/>
      <c r="C147" s="64" t="s">
        <v>149</v>
      </c>
      <c r="D147" s="137" t="s">
        <v>874</v>
      </c>
      <c r="E147" s="153"/>
      <c r="F147" s="198">
        <v>0</v>
      </c>
      <c r="G147" s="1288"/>
      <c r="H147" s="1536"/>
      <c r="I147" s="1536"/>
      <c r="J147" s="1536"/>
      <c r="K147" s="1536"/>
      <c r="L147" s="1536"/>
      <c r="M147" s="1513">
        <f>H146*F147</f>
        <v>0</v>
      </c>
    </row>
    <row r="148" spans="1:13" ht="19.899999999999999" customHeight="1">
      <c r="A148" s="66"/>
      <c r="B148" s="63"/>
      <c r="C148" s="64" t="s">
        <v>143</v>
      </c>
      <c r="D148" s="63"/>
      <c r="E148" s="153"/>
      <c r="F148" s="198"/>
      <c r="G148" s="1288"/>
      <c r="H148" s="1536"/>
      <c r="I148" s="1536"/>
      <c r="J148" s="1536"/>
      <c r="K148" s="1536"/>
      <c r="L148" s="1536"/>
      <c r="M148" s="1513">
        <f>M147+M146</f>
        <v>0</v>
      </c>
    </row>
    <row r="149" spans="1:13" ht="19.899999999999999" customHeight="1">
      <c r="A149" s="66"/>
      <c r="B149" s="63"/>
      <c r="C149" s="64" t="s">
        <v>144</v>
      </c>
      <c r="D149" s="137" t="s">
        <v>874</v>
      </c>
      <c r="E149" s="153"/>
      <c r="F149" s="198">
        <v>0</v>
      </c>
      <c r="G149" s="1288"/>
      <c r="H149" s="1536"/>
      <c r="I149" s="1536"/>
      <c r="J149" s="1536"/>
      <c r="K149" s="1536"/>
      <c r="L149" s="1536"/>
      <c r="M149" s="1513">
        <f>M148*F149</f>
        <v>0</v>
      </c>
    </row>
    <row r="150" spans="1:13" ht="19.899999999999999" customHeight="1">
      <c r="A150" s="66"/>
      <c r="B150" s="63"/>
      <c r="C150" s="64" t="s">
        <v>39</v>
      </c>
      <c r="D150" s="63"/>
      <c r="E150" s="153"/>
      <c r="F150" s="198"/>
      <c r="G150" s="1288"/>
      <c r="H150" s="1536"/>
      <c r="I150" s="1536"/>
      <c r="J150" s="1536"/>
      <c r="K150" s="1536"/>
      <c r="L150" s="1536"/>
      <c r="M150" s="1513">
        <f>SUM(M148:M149)</f>
        <v>0</v>
      </c>
    </row>
    <row r="151" spans="1:13" ht="19.899999999999999" customHeight="1">
      <c r="A151" s="66"/>
      <c r="B151" s="63"/>
      <c r="C151" s="64" t="s">
        <v>145</v>
      </c>
      <c r="D151" s="137" t="s">
        <v>874</v>
      </c>
      <c r="E151" s="153"/>
      <c r="F151" s="198">
        <v>0</v>
      </c>
      <c r="G151" s="1288"/>
      <c r="H151" s="1536"/>
      <c r="I151" s="1536"/>
      <c r="J151" s="1536"/>
      <c r="K151" s="1536"/>
      <c r="L151" s="1536"/>
      <c r="M151" s="1513">
        <f>M150*F151</f>
        <v>0</v>
      </c>
    </row>
    <row r="152" spans="1:13" ht="19.899999999999999" customHeight="1">
      <c r="A152" s="66"/>
      <c r="B152" s="131"/>
      <c r="C152" s="64" t="s">
        <v>39</v>
      </c>
      <c r="D152" s="67"/>
      <c r="E152" s="153"/>
      <c r="F152" s="153"/>
      <c r="G152" s="1288"/>
      <c r="H152" s="1547"/>
      <c r="I152" s="1536"/>
      <c r="J152" s="1536"/>
      <c r="K152" s="1536"/>
      <c r="L152" s="1536"/>
      <c r="M152" s="1513">
        <f>SUM(M150:M151)</f>
        <v>0</v>
      </c>
    </row>
  </sheetData>
  <protectedRanges>
    <protectedRange sqref="G147:M152 I52:I53 K52 K59:K60 K9:K10 K12:K16 K39:K42 K136:K139 G79 K92:K95 K97:K100 K89:K90 K107:K110 K102:K105 K18:K22 I9:I50 K116:K134 G58:G74 K62:K74 I59:I74 G145 G89:G139 I89:I139 K24:K27 K29:K32 K44:K47 K34:K37 K49:K50 G9:G50 G146:M146" name="Range1"/>
  </protectedRanges>
  <mergeCells count="12">
    <mergeCell ref="A1:M1"/>
    <mergeCell ref="A2:M2"/>
    <mergeCell ref="A4:H4"/>
    <mergeCell ref="G5:H5"/>
    <mergeCell ref="I5:J5"/>
    <mergeCell ref="K5:L5"/>
    <mergeCell ref="M5:M6"/>
    <mergeCell ref="A5:A6"/>
    <mergeCell ref="B5:B6"/>
    <mergeCell ref="C5:C6"/>
    <mergeCell ref="D5:D6"/>
    <mergeCell ref="E5:F5"/>
  </mergeCells>
  <pageMargins left="0.19" right="0.15" top="0.44" bottom="0.36" header="0.3" footer="0.24"/>
  <pageSetup paperSize="9" scale="65" orientation="landscape" horizontalDpi="4294967295" verticalDpi="4294967295" r:id="rId1"/>
  <rowBreaks count="1" manualBreakCount="1">
    <brk id="122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 tint="4.9989318521683403E-2"/>
  </sheetPr>
  <dimension ref="A1:M67"/>
  <sheetViews>
    <sheetView topLeftCell="A40" zoomScale="70" zoomScaleNormal="70" zoomScaleSheetLayoutView="70" workbookViewId="0">
      <selection activeCell="F6" sqref="F6"/>
    </sheetView>
  </sheetViews>
  <sheetFormatPr defaultRowHeight="18.75"/>
  <cols>
    <col min="1" max="1" width="6.140625" style="143" customWidth="1"/>
    <col min="2" max="2" width="9" style="148" customWidth="1"/>
    <col min="3" max="3" width="48.85546875" style="57" customWidth="1"/>
    <col min="4" max="4" width="12.42578125" style="139" customWidth="1"/>
    <col min="5" max="5" width="15.42578125" style="141" customWidth="1"/>
    <col min="6" max="6" width="15.28515625" style="145" customWidth="1"/>
    <col min="7" max="7" width="13" style="141" customWidth="1"/>
    <col min="8" max="8" width="11.140625" style="146" customWidth="1"/>
    <col min="9" max="9" width="9.28515625" style="144" customWidth="1"/>
    <col min="10" max="10" width="10.85546875" style="141" customWidth="1"/>
    <col min="11" max="11" width="9.42578125" style="141" customWidth="1"/>
    <col min="12" max="12" width="12.7109375" style="144" customWidth="1"/>
    <col min="13" max="13" width="13.28515625" style="144" customWidth="1"/>
    <col min="14" max="235" width="8.85546875" style="74"/>
    <col min="236" max="236" width="4.7109375" style="74" customWidth="1"/>
    <col min="237" max="237" width="17.85546875" style="74" customWidth="1"/>
    <col min="238" max="238" width="41.28515625" style="74" customWidth="1"/>
    <col min="239" max="239" width="8.140625" style="74" customWidth="1"/>
    <col min="240" max="240" width="7.85546875" style="74" customWidth="1"/>
    <col min="241" max="241" width="7.7109375" style="74" bestFit="1" customWidth="1"/>
    <col min="242" max="242" width="8.140625" style="74" customWidth="1"/>
    <col min="243" max="243" width="9.28515625" style="74" customWidth="1"/>
    <col min="244" max="244" width="9.28515625" style="74" bestFit="1" customWidth="1"/>
    <col min="245" max="246" width="8.85546875" style="74"/>
    <col min="247" max="247" width="9.28515625" style="74" bestFit="1" customWidth="1"/>
    <col min="248" max="248" width="9.7109375" style="74" bestFit="1" customWidth="1"/>
    <col min="249" max="491" width="8.85546875" style="74"/>
    <col min="492" max="492" width="4.7109375" style="74" customWidth="1"/>
    <col min="493" max="493" width="17.85546875" style="74" customWidth="1"/>
    <col min="494" max="494" width="41.28515625" style="74" customWidth="1"/>
    <col min="495" max="495" width="8.140625" style="74" customWidth="1"/>
    <col min="496" max="496" width="7.85546875" style="74" customWidth="1"/>
    <col min="497" max="497" width="7.7109375" style="74" bestFit="1" customWidth="1"/>
    <col min="498" max="498" width="8.140625" style="74" customWidth="1"/>
    <col min="499" max="499" width="9.28515625" style="74" customWidth="1"/>
    <col min="500" max="500" width="9.28515625" style="74" bestFit="1" customWidth="1"/>
    <col min="501" max="502" width="8.85546875" style="74"/>
    <col min="503" max="503" width="9.28515625" style="74" bestFit="1" customWidth="1"/>
    <col min="504" max="504" width="9.7109375" style="74" bestFit="1" customWidth="1"/>
    <col min="505" max="747" width="8.85546875" style="74"/>
    <col min="748" max="748" width="4.7109375" style="74" customWidth="1"/>
    <col min="749" max="749" width="17.85546875" style="74" customWidth="1"/>
    <col min="750" max="750" width="41.28515625" style="74" customWidth="1"/>
    <col min="751" max="751" width="8.140625" style="74" customWidth="1"/>
    <col min="752" max="752" width="7.85546875" style="74" customWidth="1"/>
    <col min="753" max="753" width="7.7109375" style="74" bestFit="1" customWidth="1"/>
    <col min="754" max="754" width="8.140625" style="74" customWidth="1"/>
    <col min="755" max="755" width="9.28515625" style="74" customWidth="1"/>
    <col min="756" max="756" width="9.28515625" style="74" bestFit="1" customWidth="1"/>
    <col min="757" max="758" width="8.85546875" style="74"/>
    <col min="759" max="759" width="9.28515625" style="74" bestFit="1" customWidth="1"/>
    <col min="760" max="760" width="9.7109375" style="74" bestFit="1" customWidth="1"/>
    <col min="761" max="1003" width="8.85546875" style="74"/>
    <col min="1004" max="1004" width="4.7109375" style="74" customWidth="1"/>
    <col min="1005" max="1005" width="17.85546875" style="74" customWidth="1"/>
    <col min="1006" max="1006" width="41.28515625" style="74" customWidth="1"/>
    <col min="1007" max="1007" width="8.140625" style="74" customWidth="1"/>
    <col min="1008" max="1008" width="7.85546875" style="74" customWidth="1"/>
    <col min="1009" max="1009" width="7.7109375" style="74" bestFit="1" customWidth="1"/>
    <col min="1010" max="1010" width="8.140625" style="74" customWidth="1"/>
    <col min="1011" max="1011" width="9.28515625" style="74" customWidth="1"/>
    <col min="1012" max="1012" width="9.28515625" style="74" bestFit="1" customWidth="1"/>
    <col min="1013" max="1014" width="8.85546875" style="74"/>
    <col min="1015" max="1015" width="9.28515625" style="74" bestFit="1" customWidth="1"/>
    <col min="1016" max="1016" width="9.7109375" style="74" bestFit="1" customWidth="1"/>
    <col min="1017" max="1259" width="8.85546875" style="74"/>
    <col min="1260" max="1260" width="4.7109375" style="74" customWidth="1"/>
    <col min="1261" max="1261" width="17.85546875" style="74" customWidth="1"/>
    <col min="1262" max="1262" width="41.28515625" style="74" customWidth="1"/>
    <col min="1263" max="1263" width="8.140625" style="74" customWidth="1"/>
    <col min="1264" max="1264" width="7.85546875" style="74" customWidth="1"/>
    <col min="1265" max="1265" width="7.7109375" style="74" bestFit="1" customWidth="1"/>
    <col min="1266" max="1266" width="8.140625" style="74" customWidth="1"/>
    <col min="1267" max="1267" width="9.28515625" style="74" customWidth="1"/>
    <col min="1268" max="1268" width="9.28515625" style="74" bestFit="1" customWidth="1"/>
    <col min="1269" max="1270" width="8.85546875" style="74"/>
    <col min="1271" max="1271" width="9.28515625" style="74" bestFit="1" customWidth="1"/>
    <col min="1272" max="1272" width="9.7109375" style="74" bestFit="1" customWidth="1"/>
    <col min="1273" max="1515" width="8.85546875" style="74"/>
    <col min="1516" max="1516" width="4.7109375" style="74" customWidth="1"/>
    <col min="1517" max="1517" width="17.85546875" style="74" customWidth="1"/>
    <col min="1518" max="1518" width="41.28515625" style="74" customWidth="1"/>
    <col min="1519" max="1519" width="8.140625" style="74" customWidth="1"/>
    <col min="1520" max="1520" width="7.85546875" style="74" customWidth="1"/>
    <col min="1521" max="1521" width="7.7109375" style="74" bestFit="1" customWidth="1"/>
    <col min="1522" max="1522" width="8.140625" style="74" customWidth="1"/>
    <col min="1523" max="1523" width="9.28515625" style="74" customWidth="1"/>
    <col min="1524" max="1524" width="9.28515625" style="74" bestFit="1" customWidth="1"/>
    <col min="1525" max="1526" width="8.85546875" style="74"/>
    <col min="1527" max="1527" width="9.28515625" style="74" bestFit="1" customWidth="1"/>
    <col min="1528" max="1528" width="9.7109375" style="74" bestFit="1" customWidth="1"/>
    <col min="1529" max="1771" width="8.85546875" style="74"/>
    <col min="1772" max="1772" width="4.7109375" style="74" customWidth="1"/>
    <col min="1773" max="1773" width="17.85546875" style="74" customWidth="1"/>
    <col min="1774" max="1774" width="41.28515625" style="74" customWidth="1"/>
    <col min="1775" max="1775" width="8.140625" style="74" customWidth="1"/>
    <col min="1776" max="1776" width="7.85546875" style="74" customWidth="1"/>
    <col min="1777" max="1777" width="7.7109375" style="74" bestFit="1" customWidth="1"/>
    <col min="1778" max="1778" width="8.140625" style="74" customWidth="1"/>
    <col min="1779" max="1779" width="9.28515625" style="74" customWidth="1"/>
    <col min="1780" max="1780" width="9.28515625" style="74" bestFit="1" customWidth="1"/>
    <col min="1781" max="1782" width="8.85546875" style="74"/>
    <col min="1783" max="1783" width="9.28515625" style="74" bestFit="1" customWidth="1"/>
    <col min="1784" max="1784" width="9.7109375" style="74" bestFit="1" customWidth="1"/>
    <col min="1785" max="2027" width="8.85546875" style="74"/>
    <col min="2028" max="2028" width="4.7109375" style="74" customWidth="1"/>
    <col min="2029" max="2029" width="17.85546875" style="74" customWidth="1"/>
    <col min="2030" max="2030" width="41.28515625" style="74" customWidth="1"/>
    <col min="2031" max="2031" width="8.140625" style="74" customWidth="1"/>
    <col min="2032" max="2032" width="7.85546875" style="74" customWidth="1"/>
    <col min="2033" max="2033" width="7.7109375" style="74" bestFit="1" customWidth="1"/>
    <col min="2034" max="2034" width="8.140625" style="74" customWidth="1"/>
    <col min="2035" max="2035" width="9.28515625" style="74" customWidth="1"/>
    <col min="2036" max="2036" width="9.28515625" style="74" bestFit="1" customWidth="1"/>
    <col min="2037" max="2038" width="8.85546875" style="74"/>
    <col min="2039" max="2039" width="9.28515625" style="74" bestFit="1" customWidth="1"/>
    <col min="2040" max="2040" width="9.7109375" style="74" bestFit="1" customWidth="1"/>
    <col min="2041" max="2283" width="8.85546875" style="74"/>
    <col min="2284" max="2284" width="4.7109375" style="74" customWidth="1"/>
    <col min="2285" max="2285" width="17.85546875" style="74" customWidth="1"/>
    <col min="2286" max="2286" width="41.28515625" style="74" customWidth="1"/>
    <col min="2287" max="2287" width="8.140625" style="74" customWidth="1"/>
    <col min="2288" max="2288" width="7.85546875" style="74" customWidth="1"/>
    <col min="2289" max="2289" width="7.7109375" style="74" bestFit="1" customWidth="1"/>
    <col min="2290" max="2290" width="8.140625" style="74" customWidth="1"/>
    <col min="2291" max="2291" width="9.28515625" style="74" customWidth="1"/>
    <col min="2292" max="2292" width="9.28515625" style="74" bestFit="1" customWidth="1"/>
    <col min="2293" max="2294" width="8.85546875" style="74"/>
    <col min="2295" max="2295" width="9.28515625" style="74" bestFit="1" customWidth="1"/>
    <col min="2296" max="2296" width="9.7109375" style="74" bestFit="1" customWidth="1"/>
    <col min="2297" max="2539" width="8.85546875" style="74"/>
    <col min="2540" max="2540" width="4.7109375" style="74" customWidth="1"/>
    <col min="2541" max="2541" width="17.85546875" style="74" customWidth="1"/>
    <col min="2542" max="2542" width="41.28515625" style="74" customWidth="1"/>
    <col min="2543" max="2543" width="8.140625" style="74" customWidth="1"/>
    <col min="2544" max="2544" width="7.85546875" style="74" customWidth="1"/>
    <col min="2545" max="2545" width="7.7109375" style="74" bestFit="1" customWidth="1"/>
    <col min="2546" max="2546" width="8.140625" style="74" customWidth="1"/>
    <col min="2547" max="2547" width="9.28515625" style="74" customWidth="1"/>
    <col min="2548" max="2548" width="9.28515625" style="74" bestFit="1" customWidth="1"/>
    <col min="2549" max="2550" width="8.85546875" style="74"/>
    <col min="2551" max="2551" width="9.28515625" style="74" bestFit="1" customWidth="1"/>
    <col min="2552" max="2552" width="9.7109375" style="74" bestFit="1" customWidth="1"/>
    <col min="2553" max="2795" width="8.85546875" style="74"/>
    <col min="2796" max="2796" width="4.7109375" style="74" customWidth="1"/>
    <col min="2797" max="2797" width="17.85546875" style="74" customWidth="1"/>
    <col min="2798" max="2798" width="41.28515625" style="74" customWidth="1"/>
    <col min="2799" max="2799" width="8.140625" style="74" customWidth="1"/>
    <col min="2800" max="2800" width="7.85546875" style="74" customWidth="1"/>
    <col min="2801" max="2801" width="7.7109375" style="74" bestFit="1" customWidth="1"/>
    <col min="2802" max="2802" width="8.140625" style="74" customWidth="1"/>
    <col min="2803" max="2803" width="9.28515625" style="74" customWidth="1"/>
    <col min="2804" max="2804" width="9.28515625" style="74" bestFit="1" customWidth="1"/>
    <col min="2805" max="2806" width="8.85546875" style="74"/>
    <col min="2807" max="2807" width="9.28515625" style="74" bestFit="1" customWidth="1"/>
    <col min="2808" max="2808" width="9.7109375" style="74" bestFit="1" customWidth="1"/>
    <col min="2809" max="3051" width="8.85546875" style="74"/>
    <col min="3052" max="3052" width="4.7109375" style="74" customWidth="1"/>
    <col min="3053" max="3053" width="17.85546875" style="74" customWidth="1"/>
    <col min="3054" max="3054" width="41.28515625" style="74" customWidth="1"/>
    <col min="3055" max="3055" width="8.140625" style="74" customWidth="1"/>
    <col min="3056" max="3056" width="7.85546875" style="74" customWidth="1"/>
    <col min="3057" max="3057" width="7.7109375" style="74" bestFit="1" customWidth="1"/>
    <col min="3058" max="3058" width="8.140625" style="74" customWidth="1"/>
    <col min="3059" max="3059" width="9.28515625" style="74" customWidth="1"/>
    <col min="3060" max="3060" width="9.28515625" style="74" bestFit="1" customWidth="1"/>
    <col min="3061" max="3062" width="8.85546875" style="74"/>
    <col min="3063" max="3063" width="9.28515625" style="74" bestFit="1" customWidth="1"/>
    <col min="3064" max="3064" width="9.7109375" style="74" bestFit="1" customWidth="1"/>
    <col min="3065" max="3307" width="8.85546875" style="74"/>
    <col min="3308" max="3308" width="4.7109375" style="74" customWidth="1"/>
    <col min="3309" max="3309" width="17.85546875" style="74" customWidth="1"/>
    <col min="3310" max="3310" width="41.28515625" style="74" customWidth="1"/>
    <col min="3311" max="3311" width="8.140625" style="74" customWidth="1"/>
    <col min="3312" max="3312" width="7.85546875" style="74" customWidth="1"/>
    <col min="3313" max="3313" width="7.7109375" style="74" bestFit="1" customWidth="1"/>
    <col min="3314" max="3314" width="8.140625" style="74" customWidth="1"/>
    <col min="3315" max="3315" width="9.28515625" style="74" customWidth="1"/>
    <col min="3316" max="3316" width="9.28515625" style="74" bestFit="1" customWidth="1"/>
    <col min="3317" max="3318" width="8.85546875" style="74"/>
    <col min="3319" max="3319" width="9.28515625" style="74" bestFit="1" customWidth="1"/>
    <col min="3320" max="3320" width="9.7109375" style="74" bestFit="1" customWidth="1"/>
    <col min="3321" max="3563" width="8.85546875" style="74"/>
    <col min="3564" max="3564" width="4.7109375" style="74" customWidth="1"/>
    <col min="3565" max="3565" width="17.85546875" style="74" customWidth="1"/>
    <col min="3566" max="3566" width="41.28515625" style="74" customWidth="1"/>
    <col min="3567" max="3567" width="8.140625" style="74" customWidth="1"/>
    <col min="3568" max="3568" width="7.85546875" style="74" customWidth="1"/>
    <col min="3569" max="3569" width="7.7109375" style="74" bestFit="1" customWidth="1"/>
    <col min="3570" max="3570" width="8.140625" style="74" customWidth="1"/>
    <col min="3571" max="3571" width="9.28515625" style="74" customWidth="1"/>
    <col min="3572" max="3572" width="9.28515625" style="74" bestFit="1" customWidth="1"/>
    <col min="3573" max="3574" width="8.85546875" style="74"/>
    <col min="3575" max="3575" width="9.28515625" style="74" bestFit="1" customWidth="1"/>
    <col min="3576" max="3576" width="9.7109375" style="74" bestFit="1" customWidth="1"/>
    <col min="3577" max="3819" width="8.85546875" style="74"/>
    <col min="3820" max="3820" width="4.7109375" style="74" customWidth="1"/>
    <col min="3821" max="3821" width="17.85546875" style="74" customWidth="1"/>
    <col min="3822" max="3822" width="41.28515625" style="74" customWidth="1"/>
    <col min="3823" max="3823" width="8.140625" style="74" customWidth="1"/>
    <col min="3824" max="3824" width="7.85546875" style="74" customWidth="1"/>
    <col min="3825" max="3825" width="7.7109375" style="74" bestFit="1" customWidth="1"/>
    <col min="3826" max="3826" width="8.140625" style="74" customWidth="1"/>
    <col min="3827" max="3827" width="9.28515625" style="74" customWidth="1"/>
    <col min="3828" max="3828" width="9.28515625" style="74" bestFit="1" customWidth="1"/>
    <col min="3829" max="3830" width="8.85546875" style="74"/>
    <col min="3831" max="3831" width="9.28515625" style="74" bestFit="1" customWidth="1"/>
    <col min="3832" max="3832" width="9.7109375" style="74" bestFit="1" customWidth="1"/>
    <col min="3833" max="4075" width="8.85546875" style="74"/>
    <col min="4076" max="4076" width="4.7109375" style="74" customWidth="1"/>
    <col min="4077" max="4077" width="17.85546875" style="74" customWidth="1"/>
    <col min="4078" max="4078" width="41.28515625" style="74" customWidth="1"/>
    <col min="4079" max="4079" width="8.140625" style="74" customWidth="1"/>
    <col min="4080" max="4080" width="7.85546875" style="74" customWidth="1"/>
    <col min="4081" max="4081" width="7.7109375" style="74" bestFit="1" customWidth="1"/>
    <col min="4082" max="4082" width="8.140625" style="74" customWidth="1"/>
    <col min="4083" max="4083" width="9.28515625" style="74" customWidth="1"/>
    <col min="4084" max="4084" width="9.28515625" style="74" bestFit="1" customWidth="1"/>
    <col min="4085" max="4086" width="8.85546875" style="74"/>
    <col min="4087" max="4087" width="9.28515625" style="74" bestFit="1" customWidth="1"/>
    <col min="4088" max="4088" width="9.7109375" style="74" bestFit="1" customWidth="1"/>
    <col min="4089" max="4331" width="8.85546875" style="74"/>
    <col min="4332" max="4332" width="4.7109375" style="74" customWidth="1"/>
    <col min="4333" max="4333" width="17.85546875" style="74" customWidth="1"/>
    <col min="4334" max="4334" width="41.28515625" style="74" customWidth="1"/>
    <col min="4335" max="4335" width="8.140625" style="74" customWidth="1"/>
    <col min="4336" max="4336" width="7.85546875" style="74" customWidth="1"/>
    <col min="4337" max="4337" width="7.7109375" style="74" bestFit="1" customWidth="1"/>
    <col min="4338" max="4338" width="8.140625" style="74" customWidth="1"/>
    <col min="4339" max="4339" width="9.28515625" style="74" customWidth="1"/>
    <col min="4340" max="4340" width="9.28515625" style="74" bestFit="1" customWidth="1"/>
    <col min="4341" max="4342" width="8.85546875" style="74"/>
    <col min="4343" max="4343" width="9.28515625" style="74" bestFit="1" customWidth="1"/>
    <col min="4344" max="4344" width="9.7109375" style="74" bestFit="1" customWidth="1"/>
    <col min="4345" max="4587" width="8.85546875" style="74"/>
    <col min="4588" max="4588" width="4.7109375" style="74" customWidth="1"/>
    <col min="4589" max="4589" width="17.85546875" style="74" customWidth="1"/>
    <col min="4590" max="4590" width="41.28515625" style="74" customWidth="1"/>
    <col min="4591" max="4591" width="8.140625" style="74" customWidth="1"/>
    <col min="4592" max="4592" width="7.85546875" style="74" customWidth="1"/>
    <col min="4593" max="4593" width="7.7109375" style="74" bestFit="1" customWidth="1"/>
    <col min="4594" max="4594" width="8.140625" style="74" customWidth="1"/>
    <col min="4595" max="4595" width="9.28515625" style="74" customWidth="1"/>
    <col min="4596" max="4596" width="9.28515625" style="74" bestFit="1" customWidth="1"/>
    <col min="4597" max="4598" width="8.85546875" style="74"/>
    <col min="4599" max="4599" width="9.28515625" style="74" bestFit="1" customWidth="1"/>
    <col min="4600" max="4600" width="9.7109375" style="74" bestFit="1" customWidth="1"/>
    <col min="4601" max="4843" width="8.85546875" style="74"/>
    <col min="4844" max="4844" width="4.7109375" style="74" customWidth="1"/>
    <col min="4845" max="4845" width="17.85546875" style="74" customWidth="1"/>
    <col min="4846" max="4846" width="41.28515625" style="74" customWidth="1"/>
    <col min="4847" max="4847" width="8.140625" style="74" customWidth="1"/>
    <col min="4848" max="4848" width="7.85546875" style="74" customWidth="1"/>
    <col min="4849" max="4849" width="7.7109375" style="74" bestFit="1" customWidth="1"/>
    <col min="4850" max="4850" width="8.140625" style="74" customWidth="1"/>
    <col min="4851" max="4851" width="9.28515625" style="74" customWidth="1"/>
    <col min="4852" max="4852" width="9.28515625" style="74" bestFit="1" customWidth="1"/>
    <col min="4853" max="4854" width="8.85546875" style="74"/>
    <col min="4855" max="4855" width="9.28515625" style="74" bestFit="1" customWidth="1"/>
    <col min="4856" max="4856" width="9.7109375" style="74" bestFit="1" customWidth="1"/>
    <col min="4857" max="5099" width="8.85546875" style="74"/>
    <col min="5100" max="5100" width="4.7109375" style="74" customWidth="1"/>
    <col min="5101" max="5101" width="17.85546875" style="74" customWidth="1"/>
    <col min="5102" max="5102" width="41.28515625" style="74" customWidth="1"/>
    <col min="5103" max="5103" width="8.140625" style="74" customWidth="1"/>
    <col min="5104" max="5104" width="7.85546875" style="74" customWidth="1"/>
    <col min="5105" max="5105" width="7.7109375" style="74" bestFit="1" customWidth="1"/>
    <col min="5106" max="5106" width="8.140625" style="74" customWidth="1"/>
    <col min="5107" max="5107" width="9.28515625" style="74" customWidth="1"/>
    <col min="5108" max="5108" width="9.28515625" style="74" bestFit="1" customWidth="1"/>
    <col min="5109" max="5110" width="8.85546875" style="74"/>
    <col min="5111" max="5111" width="9.28515625" style="74" bestFit="1" customWidth="1"/>
    <col min="5112" max="5112" width="9.7109375" style="74" bestFit="1" customWidth="1"/>
    <col min="5113" max="5355" width="8.85546875" style="74"/>
    <col min="5356" max="5356" width="4.7109375" style="74" customWidth="1"/>
    <col min="5357" max="5357" width="17.85546875" style="74" customWidth="1"/>
    <col min="5358" max="5358" width="41.28515625" style="74" customWidth="1"/>
    <col min="5359" max="5359" width="8.140625" style="74" customWidth="1"/>
    <col min="5360" max="5360" width="7.85546875" style="74" customWidth="1"/>
    <col min="5361" max="5361" width="7.7109375" style="74" bestFit="1" customWidth="1"/>
    <col min="5362" max="5362" width="8.140625" style="74" customWidth="1"/>
    <col min="5363" max="5363" width="9.28515625" style="74" customWidth="1"/>
    <col min="5364" max="5364" width="9.28515625" style="74" bestFit="1" customWidth="1"/>
    <col min="5365" max="5366" width="8.85546875" style="74"/>
    <col min="5367" max="5367" width="9.28515625" style="74" bestFit="1" customWidth="1"/>
    <col min="5368" max="5368" width="9.7109375" style="74" bestFit="1" customWidth="1"/>
    <col min="5369" max="5611" width="8.85546875" style="74"/>
    <col min="5612" max="5612" width="4.7109375" style="74" customWidth="1"/>
    <col min="5613" max="5613" width="17.85546875" style="74" customWidth="1"/>
    <col min="5614" max="5614" width="41.28515625" style="74" customWidth="1"/>
    <col min="5615" max="5615" width="8.140625" style="74" customWidth="1"/>
    <col min="5616" max="5616" width="7.85546875" style="74" customWidth="1"/>
    <col min="5617" max="5617" width="7.7109375" style="74" bestFit="1" customWidth="1"/>
    <col min="5618" max="5618" width="8.140625" style="74" customWidth="1"/>
    <col min="5619" max="5619" width="9.28515625" style="74" customWidth="1"/>
    <col min="5620" max="5620" width="9.28515625" style="74" bestFit="1" customWidth="1"/>
    <col min="5621" max="5622" width="8.85546875" style="74"/>
    <col min="5623" max="5623" width="9.28515625" style="74" bestFit="1" customWidth="1"/>
    <col min="5624" max="5624" width="9.7109375" style="74" bestFit="1" customWidth="1"/>
    <col min="5625" max="5867" width="8.85546875" style="74"/>
    <col min="5868" max="5868" width="4.7109375" style="74" customWidth="1"/>
    <col min="5869" max="5869" width="17.85546875" style="74" customWidth="1"/>
    <col min="5870" max="5870" width="41.28515625" style="74" customWidth="1"/>
    <col min="5871" max="5871" width="8.140625" style="74" customWidth="1"/>
    <col min="5872" max="5872" width="7.85546875" style="74" customWidth="1"/>
    <col min="5873" max="5873" width="7.7109375" style="74" bestFit="1" customWidth="1"/>
    <col min="5874" max="5874" width="8.140625" style="74" customWidth="1"/>
    <col min="5875" max="5875" width="9.28515625" style="74" customWidth="1"/>
    <col min="5876" max="5876" width="9.28515625" style="74" bestFit="1" customWidth="1"/>
    <col min="5877" max="5878" width="8.85546875" style="74"/>
    <col min="5879" max="5879" width="9.28515625" style="74" bestFit="1" customWidth="1"/>
    <col min="5880" max="5880" width="9.7109375" style="74" bestFit="1" customWidth="1"/>
    <col min="5881" max="6123" width="8.85546875" style="74"/>
    <col min="6124" max="6124" width="4.7109375" style="74" customWidth="1"/>
    <col min="6125" max="6125" width="17.85546875" style="74" customWidth="1"/>
    <col min="6126" max="6126" width="41.28515625" style="74" customWidth="1"/>
    <col min="6127" max="6127" width="8.140625" style="74" customWidth="1"/>
    <col min="6128" max="6128" width="7.85546875" style="74" customWidth="1"/>
    <col min="6129" max="6129" width="7.7109375" style="74" bestFit="1" customWidth="1"/>
    <col min="6130" max="6130" width="8.140625" style="74" customWidth="1"/>
    <col min="6131" max="6131" width="9.28515625" style="74" customWidth="1"/>
    <col min="6132" max="6132" width="9.28515625" style="74" bestFit="1" customWidth="1"/>
    <col min="6133" max="6134" width="8.85546875" style="74"/>
    <col min="6135" max="6135" width="9.28515625" style="74" bestFit="1" customWidth="1"/>
    <col min="6136" max="6136" width="9.7109375" style="74" bestFit="1" customWidth="1"/>
    <col min="6137" max="6379" width="8.85546875" style="74"/>
    <col min="6380" max="6380" width="4.7109375" style="74" customWidth="1"/>
    <col min="6381" max="6381" width="17.85546875" style="74" customWidth="1"/>
    <col min="6382" max="6382" width="41.28515625" style="74" customWidth="1"/>
    <col min="6383" max="6383" width="8.140625" style="74" customWidth="1"/>
    <col min="6384" max="6384" width="7.85546875" style="74" customWidth="1"/>
    <col min="6385" max="6385" width="7.7109375" style="74" bestFit="1" customWidth="1"/>
    <col min="6386" max="6386" width="8.140625" style="74" customWidth="1"/>
    <col min="6387" max="6387" width="9.28515625" style="74" customWidth="1"/>
    <col min="6388" max="6388" width="9.28515625" style="74" bestFit="1" customWidth="1"/>
    <col min="6389" max="6390" width="8.85546875" style="74"/>
    <col min="6391" max="6391" width="9.28515625" style="74" bestFit="1" customWidth="1"/>
    <col min="6392" max="6392" width="9.7109375" style="74" bestFit="1" customWidth="1"/>
    <col min="6393" max="6635" width="8.85546875" style="74"/>
    <col min="6636" max="6636" width="4.7109375" style="74" customWidth="1"/>
    <col min="6637" max="6637" width="17.85546875" style="74" customWidth="1"/>
    <col min="6638" max="6638" width="41.28515625" style="74" customWidth="1"/>
    <col min="6639" max="6639" width="8.140625" style="74" customWidth="1"/>
    <col min="6640" max="6640" width="7.85546875" style="74" customWidth="1"/>
    <col min="6641" max="6641" width="7.7109375" style="74" bestFit="1" customWidth="1"/>
    <col min="6642" max="6642" width="8.140625" style="74" customWidth="1"/>
    <col min="6643" max="6643" width="9.28515625" style="74" customWidth="1"/>
    <col min="6644" max="6644" width="9.28515625" style="74" bestFit="1" customWidth="1"/>
    <col min="6645" max="6646" width="8.85546875" style="74"/>
    <col min="6647" max="6647" width="9.28515625" style="74" bestFit="1" customWidth="1"/>
    <col min="6648" max="6648" width="9.7109375" style="74" bestFit="1" customWidth="1"/>
    <col min="6649" max="6891" width="8.85546875" style="74"/>
    <col min="6892" max="6892" width="4.7109375" style="74" customWidth="1"/>
    <col min="6893" max="6893" width="17.85546875" style="74" customWidth="1"/>
    <col min="6894" max="6894" width="41.28515625" style="74" customWidth="1"/>
    <col min="6895" max="6895" width="8.140625" style="74" customWidth="1"/>
    <col min="6896" max="6896" width="7.85546875" style="74" customWidth="1"/>
    <col min="6897" max="6897" width="7.7109375" style="74" bestFit="1" customWidth="1"/>
    <col min="6898" max="6898" width="8.140625" style="74" customWidth="1"/>
    <col min="6899" max="6899" width="9.28515625" style="74" customWidth="1"/>
    <col min="6900" max="6900" width="9.28515625" style="74" bestFit="1" customWidth="1"/>
    <col min="6901" max="6902" width="8.85546875" style="74"/>
    <col min="6903" max="6903" width="9.28515625" style="74" bestFit="1" customWidth="1"/>
    <col min="6904" max="6904" width="9.7109375" style="74" bestFit="1" customWidth="1"/>
    <col min="6905" max="7147" width="8.85546875" style="74"/>
    <col min="7148" max="7148" width="4.7109375" style="74" customWidth="1"/>
    <col min="7149" max="7149" width="17.85546875" style="74" customWidth="1"/>
    <col min="7150" max="7150" width="41.28515625" style="74" customWidth="1"/>
    <col min="7151" max="7151" width="8.140625" style="74" customWidth="1"/>
    <col min="7152" max="7152" width="7.85546875" style="74" customWidth="1"/>
    <col min="7153" max="7153" width="7.7109375" style="74" bestFit="1" customWidth="1"/>
    <col min="7154" max="7154" width="8.140625" style="74" customWidth="1"/>
    <col min="7155" max="7155" width="9.28515625" style="74" customWidth="1"/>
    <col min="7156" max="7156" width="9.28515625" style="74" bestFit="1" customWidth="1"/>
    <col min="7157" max="7158" width="8.85546875" style="74"/>
    <col min="7159" max="7159" width="9.28515625" style="74" bestFit="1" customWidth="1"/>
    <col min="7160" max="7160" width="9.7109375" style="74" bestFit="1" customWidth="1"/>
    <col min="7161" max="7403" width="8.85546875" style="74"/>
    <col min="7404" max="7404" width="4.7109375" style="74" customWidth="1"/>
    <col min="7405" max="7405" width="17.85546875" style="74" customWidth="1"/>
    <col min="7406" max="7406" width="41.28515625" style="74" customWidth="1"/>
    <col min="7407" max="7407" width="8.140625" style="74" customWidth="1"/>
    <col min="7408" max="7408" width="7.85546875" style="74" customWidth="1"/>
    <col min="7409" max="7409" width="7.7109375" style="74" bestFit="1" customWidth="1"/>
    <col min="7410" max="7410" width="8.140625" style="74" customWidth="1"/>
    <col min="7411" max="7411" width="9.28515625" style="74" customWidth="1"/>
    <col min="7412" max="7412" width="9.28515625" style="74" bestFit="1" customWidth="1"/>
    <col min="7413" max="7414" width="8.85546875" style="74"/>
    <col min="7415" max="7415" width="9.28515625" style="74" bestFit="1" customWidth="1"/>
    <col min="7416" max="7416" width="9.7109375" style="74" bestFit="1" customWidth="1"/>
    <col min="7417" max="7659" width="8.85546875" style="74"/>
    <col min="7660" max="7660" width="4.7109375" style="74" customWidth="1"/>
    <col min="7661" max="7661" width="17.85546875" style="74" customWidth="1"/>
    <col min="7662" max="7662" width="41.28515625" style="74" customWidth="1"/>
    <col min="7663" max="7663" width="8.140625" style="74" customWidth="1"/>
    <col min="7664" max="7664" width="7.85546875" style="74" customWidth="1"/>
    <col min="7665" max="7665" width="7.7109375" style="74" bestFit="1" customWidth="1"/>
    <col min="7666" max="7666" width="8.140625" style="74" customWidth="1"/>
    <col min="7667" max="7667" width="9.28515625" style="74" customWidth="1"/>
    <col min="7668" max="7668" width="9.28515625" style="74" bestFit="1" customWidth="1"/>
    <col min="7669" max="7670" width="8.85546875" style="74"/>
    <col min="7671" max="7671" width="9.28515625" style="74" bestFit="1" customWidth="1"/>
    <col min="7672" max="7672" width="9.7109375" style="74" bestFit="1" customWidth="1"/>
    <col min="7673" max="7915" width="8.85546875" style="74"/>
    <col min="7916" max="7916" width="4.7109375" style="74" customWidth="1"/>
    <col min="7917" max="7917" width="17.85546875" style="74" customWidth="1"/>
    <col min="7918" max="7918" width="41.28515625" style="74" customWidth="1"/>
    <col min="7919" max="7919" width="8.140625" style="74" customWidth="1"/>
    <col min="7920" max="7920" width="7.85546875" style="74" customWidth="1"/>
    <col min="7921" max="7921" width="7.7109375" style="74" bestFit="1" customWidth="1"/>
    <col min="7922" max="7922" width="8.140625" style="74" customWidth="1"/>
    <col min="7923" max="7923" width="9.28515625" style="74" customWidth="1"/>
    <col min="7924" max="7924" width="9.28515625" style="74" bestFit="1" customWidth="1"/>
    <col min="7925" max="7926" width="8.85546875" style="74"/>
    <col min="7927" max="7927" width="9.28515625" style="74" bestFit="1" customWidth="1"/>
    <col min="7928" max="7928" width="9.7109375" style="74" bestFit="1" customWidth="1"/>
    <col min="7929" max="8171" width="8.85546875" style="74"/>
    <col min="8172" max="8172" width="4.7109375" style="74" customWidth="1"/>
    <col min="8173" max="8173" width="17.85546875" style="74" customWidth="1"/>
    <col min="8174" max="8174" width="41.28515625" style="74" customWidth="1"/>
    <col min="8175" max="8175" width="8.140625" style="74" customWidth="1"/>
    <col min="8176" max="8176" width="7.85546875" style="74" customWidth="1"/>
    <col min="8177" max="8177" width="7.7109375" style="74" bestFit="1" customWidth="1"/>
    <col min="8178" max="8178" width="8.140625" style="74" customWidth="1"/>
    <col min="8179" max="8179" width="9.28515625" style="74" customWidth="1"/>
    <col min="8180" max="8180" width="9.28515625" style="74" bestFit="1" customWidth="1"/>
    <col min="8181" max="8182" width="8.85546875" style="74"/>
    <col min="8183" max="8183" width="9.28515625" style="74" bestFit="1" customWidth="1"/>
    <col min="8184" max="8184" width="9.7109375" style="74" bestFit="1" customWidth="1"/>
    <col min="8185" max="8427" width="8.85546875" style="74"/>
    <col min="8428" max="8428" width="4.7109375" style="74" customWidth="1"/>
    <col min="8429" max="8429" width="17.85546875" style="74" customWidth="1"/>
    <col min="8430" max="8430" width="41.28515625" style="74" customWidth="1"/>
    <col min="8431" max="8431" width="8.140625" style="74" customWidth="1"/>
    <col min="8432" max="8432" width="7.85546875" style="74" customWidth="1"/>
    <col min="8433" max="8433" width="7.7109375" style="74" bestFit="1" customWidth="1"/>
    <col min="8434" max="8434" width="8.140625" style="74" customWidth="1"/>
    <col min="8435" max="8435" width="9.28515625" style="74" customWidth="1"/>
    <col min="8436" max="8436" width="9.28515625" style="74" bestFit="1" customWidth="1"/>
    <col min="8437" max="8438" width="8.85546875" style="74"/>
    <col min="8439" max="8439" width="9.28515625" style="74" bestFit="1" customWidth="1"/>
    <col min="8440" max="8440" width="9.7109375" style="74" bestFit="1" customWidth="1"/>
    <col min="8441" max="8683" width="8.85546875" style="74"/>
    <col min="8684" max="8684" width="4.7109375" style="74" customWidth="1"/>
    <col min="8685" max="8685" width="17.85546875" style="74" customWidth="1"/>
    <col min="8686" max="8686" width="41.28515625" style="74" customWidth="1"/>
    <col min="8687" max="8687" width="8.140625" style="74" customWidth="1"/>
    <col min="8688" max="8688" width="7.85546875" style="74" customWidth="1"/>
    <col min="8689" max="8689" width="7.7109375" style="74" bestFit="1" customWidth="1"/>
    <col min="8690" max="8690" width="8.140625" style="74" customWidth="1"/>
    <col min="8691" max="8691" width="9.28515625" style="74" customWidth="1"/>
    <col min="8692" max="8692" width="9.28515625" style="74" bestFit="1" customWidth="1"/>
    <col min="8693" max="8694" width="8.85546875" style="74"/>
    <col min="8695" max="8695" width="9.28515625" style="74" bestFit="1" customWidth="1"/>
    <col min="8696" max="8696" width="9.7109375" style="74" bestFit="1" customWidth="1"/>
    <col min="8697" max="8939" width="8.85546875" style="74"/>
    <col min="8940" max="8940" width="4.7109375" style="74" customWidth="1"/>
    <col min="8941" max="8941" width="17.85546875" style="74" customWidth="1"/>
    <col min="8942" max="8942" width="41.28515625" style="74" customWidth="1"/>
    <col min="8943" max="8943" width="8.140625" style="74" customWidth="1"/>
    <col min="8944" max="8944" width="7.85546875" style="74" customWidth="1"/>
    <col min="8945" max="8945" width="7.7109375" style="74" bestFit="1" customWidth="1"/>
    <col min="8946" max="8946" width="8.140625" style="74" customWidth="1"/>
    <col min="8947" max="8947" width="9.28515625" style="74" customWidth="1"/>
    <col min="8948" max="8948" width="9.28515625" style="74" bestFit="1" customWidth="1"/>
    <col min="8949" max="8950" width="8.85546875" style="74"/>
    <col min="8951" max="8951" width="9.28515625" style="74" bestFit="1" customWidth="1"/>
    <col min="8952" max="8952" width="9.7109375" style="74" bestFit="1" customWidth="1"/>
    <col min="8953" max="9195" width="8.85546875" style="74"/>
    <col min="9196" max="9196" width="4.7109375" style="74" customWidth="1"/>
    <col min="9197" max="9197" width="17.85546875" style="74" customWidth="1"/>
    <col min="9198" max="9198" width="41.28515625" style="74" customWidth="1"/>
    <col min="9199" max="9199" width="8.140625" style="74" customWidth="1"/>
    <col min="9200" max="9200" width="7.85546875" style="74" customWidth="1"/>
    <col min="9201" max="9201" width="7.7109375" style="74" bestFit="1" customWidth="1"/>
    <col min="9202" max="9202" width="8.140625" style="74" customWidth="1"/>
    <col min="9203" max="9203" width="9.28515625" style="74" customWidth="1"/>
    <col min="9204" max="9204" width="9.28515625" style="74" bestFit="1" customWidth="1"/>
    <col min="9205" max="9206" width="8.85546875" style="74"/>
    <col min="9207" max="9207" width="9.28515625" style="74" bestFit="1" customWidth="1"/>
    <col min="9208" max="9208" width="9.7109375" style="74" bestFit="1" customWidth="1"/>
    <col min="9209" max="9451" width="8.85546875" style="74"/>
    <col min="9452" max="9452" width="4.7109375" style="74" customWidth="1"/>
    <col min="9453" max="9453" width="17.85546875" style="74" customWidth="1"/>
    <col min="9454" max="9454" width="41.28515625" style="74" customWidth="1"/>
    <col min="9455" max="9455" width="8.140625" style="74" customWidth="1"/>
    <col min="9456" max="9456" width="7.85546875" style="74" customWidth="1"/>
    <col min="9457" max="9457" width="7.7109375" style="74" bestFit="1" customWidth="1"/>
    <col min="9458" max="9458" width="8.140625" style="74" customWidth="1"/>
    <col min="9459" max="9459" width="9.28515625" style="74" customWidth="1"/>
    <col min="9460" max="9460" width="9.28515625" style="74" bestFit="1" customWidth="1"/>
    <col min="9461" max="9462" width="8.85546875" style="74"/>
    <col min="9463" max="9463" width="9.28515625" style="74" bestFit="1" customWidth="1"/>
    <col min="9464" max="9464" width="9.7109375" style="74" bestFit="1" customWidth="1"/>
    <col min="9465" max="9707" width="8.85546875" style="74"/>
    <col min="9708" max="9708" width="4.7109375" style="74" customWidth="1"/>
    <col min="9709" max="9709" width="17.85546875" style="74" customWidth="1"/>
    <col min="9710" max="9710" width="41.28515625" style="74" customWidth="1"/>
    <col min="9711" max="9711" width="8.140625" style="74" customWidth="1"/>
    <col min="9712" max="9712" width="7.85546875" style="74" customWidth="1"/>
    <col min="9713" max="9713" width="7.7109375" style="74" bestFit="1" customWidth="1"/>
    <col min="9714" max="9714" width="8.140625" style="74" customWidth="1"/>
    <col min="9715" max="9715" width="9.28515625" style="74" customWidth="1"/>
    <col min="9716" max="9716" width="9.28515625" style="74" bestFit="1" customWidth="1"/>
    <col min="9717" max="9718" width="8.85546875" style="74"/>
    <col min="9719" max="9719" width="9.28515625" style="74" bestFit="1" customWidth="1"/>
    <col min="9720" max="9720" width="9.7109375" style="74" bestFit="1" customWidth="1"/>
    <col min="9721" max="9963" width="8.85546875" style="74"/>
    <col min="9964" max="9964" width="4.7109375" style="74" customWidth="1"/>
    <col min="9965" max="9965" width="17.85546875" style="74" customWidth="1"/>
    <col min="9966" max="9966" width="41.28515625" style="74" customWidth="1"/>
    <col min="9967" max="9967" width="8.140625" style="74" customWidth="1"/>
    <col min="9968" max="9968" width="7.85546875" style="74" customWidth="1"/>
    <col min="9969" max="9969" width="7.7109375" style="74" bestFit="1" customWidth="1"/>
    <col min="9970" max="9970" width="8.140625" style="74" customWidth="1"/>
    <col min="9971" max="9971" width="9.28515625" style="74" customWidth="1"/>
    <col min="9972" max="9972" width="9.28515625" style="74" bestFit="1" customWidth="1"/>
    <col min="9973" max="9974" width="8.85546875" style="74"/>
    <col min="9975" max="9975" width="9.28515625" style="74" bestFit="1" customWidth="1"/>
    <col min="9976" max="9976" width="9.7109375" style="74" bestFit="1" customWidth="1"/>
    <col min="9977" max="10219" width="8.85546875" style="74"/>
    <col min="10220" max="10220" width="4.7109375" style="74" customWidth="1"/>
    <col min="10221" max="10221" width="17.85546875" style="74" customWidth="1"/>
    <col min="10222" max="10222" width="41.28515625" style="74" customWidth="1"/>
    <col min="10223" max="10223" width="8.140625" style="74" customWidth="1"/>
    <col min="10224" max="10224" width="7.85546875" style="74" customWidth="1"/>
    <col min="10225" max="10225" width="7.7109375" style="74" bestFit="1" customWidth="1"/>
    <col min="10226" max="10226" width="8.140625" style="74" customWidth="1"/>
    <col min="10227" max="10227" width="9.28515625" style="74" customWidth="1"/>
    <col min="10228" max="10228" width="9.28515625" style="74" bestFit="1" customWidth="1"/>
    <col min="10229" max="10230" width="8.85546875" style="74"/>
    <col min="10231" max="10231" width="9.28515625" style="74" bestFit="1" customWidth="1"/>
    <col min="10232" max="10232" width="9.7109375" style="74" bestFit="1" customWidth="1"/>
    <col min="10233" max="10475" width="8.85546875" style="74"/>
    <col min="10476" max="10476" width="4.7109375" style="74" customWidth="1"/>
    <col min="10477" max="10477" width="17.85546875" style="74" customWidth="1"/>
    <col min="10478" max="10478" width="41.28515625" style="74" customWidth="1"/>
    <col min="10479" max="10479" width="8.140625" style="74" customWidth="1"/>
    <col min="10480" max="10480" width="7.85546875" style="74" customWidth="1"/>
    <col min="10481" max="10481" width="7.7109375" style="74" bestFit="1" customWidth="1"/>
    <col min="10482" max="10482" width="8.140625" style="74" customWidth="1"/>
    <col min="10483" max="10483" width="9.28515625" style="74" customWidth="1"/>
    <col min="10484" max="10484" width="9.28515625" style="74" bestFit="1" customWidth="1"/>
    <col min="10485" max="10486" width="8.85546875" style="74"/>
    <col min="10487" max="10487" width="9.28515625" style="74" bestFit="1" customWidth="1"/>
    <col min="10488" max="10488" width="9.7109375" style="74" bestFit="1" customWidth="1"/>
    <col min="10489" max="10731" width="8.85546875" style="74"/>
    <col min="10732" max="10732" width="4.7109375" style="74" customWidth="1"/>
    <col min="10733" max="10733" width="17.85546875" style="74" customWidth="1"/>
    <col min="10734" max="10734" width="41.28515625" style="74" customWidth="1"/>
    <col min="10735" max="10735" width="8.140625" style="74" customWidth="1"/>
    <col min="10736" max="10736" width="7.85546875" style="74" customWidth="1"/>
    <col min="10737" max="10737" width="7.7109375" style="74" bestFit="1" customWidth="1"/>
    <col min="10738" max="10738" width="8.140625" style="74" customWidth="1"/>
    <col min="10739" max="10739" width="9.28515625" style="74" customWidth="1"/>
    <col min="10740" max="10740" width="9.28515625" style="74" bestFit="1" customWidth="1"/>
    <col min="10741" max="10742" width="8.85546875" style="74"/>
    <col min="10743" max="10743" width="9.28515625" style="74" bestFit="1" customWidth="1"/>
    <col min="10744" max="10744" width="9.7109375" style="74" bestFit="1" customWidth="1"/>
    <col min="10745" max="10987" width="8.85546875" style="74"/>
    <col min="10988" max="10988" width="4.7109375" style="74" customWidth="1"/>
    <col min="10989" max="10989" width="17.85546875" style="74" customWidth="1"/>
    <col min="10990" max="10990" width="41.28515625" style="74" customWidth="1"/>
    <col min="10991" max="10991" width="8.140625" style="74" customWidth="1"/>
    <col min="10992" max="10992" width="7.85546875" style="74" customWidth="1"/>
    <col min="10993" max="10993" width="7.7109375" style="74" bestFit="1" customWidth="1"/>
    <col min="10994" max="10994" width="8.140625" style="74" customWidth="1"/>
    <col min="10995" max="10995" width="9.28515625" style="74" customWidth="1"/>
    <col min="10996" max="10996" width="9.28515625" style="74" bestFit="1" customWidth="1"/>
    <col min="10997" max="10998" width="8.85546875" style="74"/>
    <col min="10999" max="10999" width="9.28515625" style="74" bestFit="1" customWidth="1"/>
    <col min="11000" max="11000" width="9.7109375" style="74" bestFit="1" customWidth="1"/>
    <col min="11001" max="11243" width="8.85546875" style="74"/>
    <col min="11244" max="11244" width="4.7109375" style="74" customWidth="1"/>
    <col min="11245" max="11245" width="17.85546875" style="74" customWidth="1"/>
    <col min="11246" max="11246" width="41.28515625" style="74" customWidth="1"/>
    <col min="11247" max="11247" width="8.140625" style="74" customWidth="1"/>
    <col min="11248" max="11248" width="7.85546875" style="74" customWidth="1"/>
    <col min="11249" max="11249" width="7.7109375" style="74" bestFit="1" customWidth="1"/>
    <col min="11250" max="11250" width="8.140625" style="74" customWidth="1"/>
    <col min="11251" max="11251" width="9.28515625" style="74" customWidth="1"/>
    <col min="11252" max="11252" width="9.28515625" style="74" bestFit="1" customWidth="1"/>
    <col min="11253" max="11254" width="8.85546875" style="74"/>
    <col min="11255" max="11255" width="9.28515625" style="74" bestFit="1" customWidth="1"/>
    <col min="11256" max="11256" width="9.7109375" style="74" bestFit="1" customWidth="1"/>
    <col min="11257" max="11499" width="8.85546875" style="74"/>
    <col min="11500" max="11500" width="4.7109375" style="74" customWidth="1"/>
    <col min="11501" max="11501" width="17.85546875" style="74" customWidth="1"/>
    <col min="11502" max="11502" width="41.28515625" style="74" customWidth="1"/>
    <col min="11503" max="11503" width="8.140625" style="74" customWidth="1"/>
    <col min="11504" max="11504" width="7.85546875" style="74" customWidth="1"/>
    <col min="11505" max="11505" width="7.7109375" style="74" bestFit="1" customWidth="1"/>
    <col min="11506" max="11506" width="8.140625" style="74" customWidth="1"/>
    <col min="11507" max="11507" width="9.28515625" style="74" customWidth="1"/>
    <col min="11508" max="11508" width="9.28515625" style="74" bestFit="1" customWidth="1"/>
    <col min="11509" max="11510" width="8.85546875" style="74"/>
    <col min="11511" max="11511" width="9.28515625" style="74" bestFit="1" customWidth="1"/>
    <col min="11512" max="11512" width="9.7109375" style="74" bestFit="1" customWidth="1"/>
    <col min="11513" max="11755" width="8.85546875" style="74"/>
    <col min="11756" max="11756" width="4.7109375" style="74" customWidth="1"/>
    <col min="11757" max="11757" width="17.85546875" style="74" customWidth="1"/>
    <col min="11758" max="11758" width="41.28515625" style="74" customWidth="1"/>
    <col min="11759" max="11759" width="8.140625" style="74" customWidth="1"/>
    <col min="11760" max="11760" width="7.85546875" style="74" customWidth="1"/>
    <col min="11761" max="11761" width="7.7109375" style="74" bestFit="1" customWidth="1"/>
    <col min="11762" max="11762" width="8.140625" style="74" customWidth="1"/>
    <col min="11763" max="11763" width="9.28515625" style="74" customWidth="1"/>
    <col min="11764" max="11764" width="9.28515625" style="74" bestFit="1" customWidth="1"/>
    <col min="11765" max="11766" width="8.85546875" style="74"/>
    <col min="11767" max="11767" width="9.28515625" style="74" bestFit="1" customWidth="1"/>
    <col min="11768" max="11768" width="9.7109375" style="74" bestFit="1" customWidth="1"/>
    <col min="11769" max="12011" width="8.85546875" style="74"/>
    <col min="12012" max="12012" width="4.7109375" style="74" customWidth="1"/>
    <col min="12013" max="12013" width="17.85546875" style="74" customWidth="1"/>
    <col min="12014" max="12014" width="41.28515625" style="74" customWidth="1"/>
    <col min="12015" max="12015" width="8.140625" style="74" customWidth="1"/>
    <col min="12016" max="12016" width="7.85546875" style="74" customWidth="1"/>
    <col min="12017" max="12017" width="7.7109375" style="74" bestFit="1" customWidth="1"/>
    <col min="12018" max="12018" width="8.140625" style="74" customWidth="1"/>
    <col min="12019" max="12019" width="9.28515625" style="74" customWidth="1"/>
    <col min="12020" max="12020" width="9.28515625" style="74" bestFit="1" customWidth="1"/>
    <col min="12021" max="12022" width="8.85546875" style="74"/>
    <col min="12023" max="12023" width="9.28515625" style="74" bestFit="1" customWidth="1"/>
    <col min="12024" max="12024" width="9.7109375" style="74" bestFit="1" customWidth="1"/>
    <col min="12025" max="12267" width="8.85546875" style="74"/>
    <col min="12268" max="12268" width="4.7109375" style="74" customWidth="1"/>
    <col min="12269" max="12269" width="17.85546875" style="74" customWidth="1"/>
    <col min="12270" max="12270" width="41.28515625" style="74" customWidth="1"/>
    <col min="12271" max="12271" width="8.140625" style="74" customWidth="1"/>
    <col min="12272" max="12272" width="7.85546875" style="74" customWidth="1"/>
    <col min="12273" max="12273" width="7.7109375" style="74" bestFit="1" customWidth="1"/>
    <col min="12274" max="12274" width="8.140625" style="74" customWidth="1"/>
    <col min="12275" max="12275" width="9.28515625" style="74" customWidth="1"/>
    <col min="12276" max="12276" width="9.28515625" style="74" bestFit="1" customWidth="1"/>
    <col min="12277" max="12278" width="8.85546875" style="74"/>
    <col min="12279" max="12279" width="9.28515625" style="74" bestFit="1" customWidth="1"/>
    <col min="12280" max="12280" width="9.7109375" style="74" bestFit="1" customWidth="1"/>
    <col min="12281" max="12523" width="8.85546875" style="74"/>
    <col min="12524" max="12524" width="4.7109375" style="74" customWidth="1"/>
    <col min="12525" max="12525" width="17.85546875" style="74" customWidth="1"/>
    <col min="12526" max="12526" width="41.28515625" style="74" customWidth="1"/>
    <col min="12527" max="12527" width="8.140625" style="74" customWidth="1"/>
    <col min="12528" max="12528" width="7.85546875" style="74" customWidth="1"/>
    <col min="12529" max="12529" width="7.7109375" style="74" bestFit="1" customWidth="1"/>
    <col min="12530" max="12530" width="8.140625" style="74" customWidth="1"/>
    <col min="12531" max="12531" width="9.28515625" style="74" customWidth="1"/>
    <col min="12532" max="12532" width="9.28515625" style="74" bestFit="1" customWidth="1"/>
    <col min="12533" max="12534" width="8.85546875" style="74"/>
    <col min="12535" max="12535" width="9.28515625" style="74" bestFit="1" customWidth="1"/>
    <col min="12536" max="12536" width="9.7109375" style="74" bestFit="1" customWidth="1"/>
    <col min="12537" max="12779" width="8.85546875" style="74"/>
    <col min="12780" max="12780" width="4.7109375" style="74" customWidth="1"/>
    <col min="12781" max="12781" width="17.85546875" style="74" customWidth="1"/>
    <col min="12782" max="12782" width="41.28515625" style="74" customWidth="1"/>
    <col min="12783" max="12783" width="8.140625" style="74" customWidth="1"/>
    <col min="12784" max="12784" width="7.85546875" style="74" customWidth="1"/>
    <col min="12785" max="12785" width="7.7109375" style="74" bestFit="1" customWidth="1"/>
    <col min="12786" max="12786" width="8.140625" style="74" customWidth="1"/>
    <col min="12787" max="12787" width="9.28515625" style="74" customWidth="1"/>
    <col min="12788" max="12788" width="9.28515625" style="74" bestFit="1" customWidth="1"/>
    <col min="12789" max="12790" width="8.85546875" style="74"/>
    <col min="12791" max="12791" width="9.28515625" style="74" bestFit="1" customWidth="1"/>
    <col min="12792" max="12792" width="9.7109375" style="74" bestFit="1" customWidth="1"/>
    <col min="12793" max="13035" width="8.85546875" style="74"/>
    <col min="13036" max="13036" width="4.7109375" style="74" customWidth="1"/>
    <col min="13037" max="13037" width="17.85546875" style="74" customWidth="1"/>
    <col min="13038" max="13038" width="41.28515625" style="74" customWidth="1"/>
    <col min="13039" max="13039" width="8.140625" style="74" customWidth="1"/>
    <col min="13040" max="13040" width="7.85546875" style="74" customWidth="1"/>
    <col min="13041" max="13041" width="7.7109375" style="74" bestFit="1" customWidth="1"/>
    <col min="13042" max="13042" width="8.140625" style="74" customWidth="1"/>
    <col min="13043" max="13043" width="9.28515625" style="74" customWidth="1"/>
    <col min="13044" max="13044" width="9.28515625" style="74" bestFit="1" customWidth="1"/>
    <col min="13045" max="13046" width="8.85546875" style="74"/>
    <col min="13047" max="13047" width="9.28515625" style="74" bestFit="1" customWidth="1"/>
    <col min="13048" max="13048" width="9.7109375" style="74" bestFit="1" customWidth="1"/>
    <col min="13049" max="13291" width="8.85546875" style="74"/>
    <col min="13292" max="13292" width="4.7109375" style="74" customWidth="1"/>
    <col min="13293" max="13293" width="17.85546875" style="74" customWidth="1"/>
    <col min="13294" max="13294" width="41.28515625" style="74" customWidth="1"/>
    <col min="13295" max="13295" width="8.140625" style="74" customWidth="1"/>
    <col min="13296" max="13296" width="7.85546875" style="74" customWidth="1"/>
    <col min="13297" max="13297" width="7.7109375" style="74" bestFit="1" customWidth="1"/>
    <col min="13298" max="13298" width="8.140625" style="74" customWidth="1"/>
    <col min="13299" max="13299" width="9.28515625" style="74" customWidth="1"/>
    <col min="13300" max="13300" width="9.28515625" style="74" bestFit="1" customWidth="1"/>
    <col min="13301" max="13302" width="8.85546875" style="74"/>
    <col min="13303" max="13303" width="9.28515625" style="74" bestFit="1" customWidth="1"/>
    <col min="13304" max="13304" width="9.7109375" style="74" bestFit="1" customWidth="1"/>
    <col min="13305" max="13547" width="8.85546875" style="74"/>
    <col min="13548" max="13548" width="4.7109375" style="74" customWidth="1"/>
    <col min="13549" max="13549" width="17.85546875" style="74" customWidth="1"/>
    <col min="13550" max="13550" width="41.28515625" style="74" customWidth="1"/>
    <col min="13551" max="13551" width="8.140625" style="74" customWidth="1"/>
    <col min="13552" max="13552" width="7.85546875" style="74" customWidth="1"/>
    <col min="13553" max="13553" width="7.7109375" style="74" bestFit="1" customWidth="1"/>
    <col min="13554" max="13554" width="8.140625" style="74" customWidth="1"/>
    <col min="13555" max="13555" width="9.28515625" style="74" customWidth="1"/>
    <col min="13556" max="13556" width="9.28515625" style="74" bestFit="1" customWidth="1"/>
    <col min="13557" max="13558" width="8.85546875" style="74"/>
    <col min="13559" max="13559" width="9.28515625" style="74" bestFit="1" customWidth="1"/>
    <col min="13560" max="13560" width="9.7109375" style="74" bestFit="1" customWidth="1"/>
    <col min="13561" max="13803" width="8.85546875" style="74"/>
    <col min="13804" max="13804" width="4.7109375" style="74" customWidth="1"/>
    <col min="13805" max="13805" width="17.85546875" style="74" customWidth="1"/>
    <col min="13806" max="13806" width="41.28515625" style="74" customWidth="1"/>
    <col min="13807" max="13807" width="8.140625" style="74" customWidth="1"/>
    <col min="13808" max="13808" width="7.85546875" style="74" customWidth="1"/>
    <col min="13809" max="13809" width="7.7109375" style="74" bestFit="1" customWidth="1"/>
    <col min="13810" max="13810" width="8.140625" style="74" customWidth="1"/>
    <col min="13811" max="13811" width="9.28515625" style="74" customWidth="1"/>
    <col min="13812" max="13812" width="9.28515625" style="74" bestFit="1" customWidth="1"/>
    <col min="13813" max="13814" width="8.85546875" style="74"/>
    <col min="13815" max="13815" width="9.28515625" style="74" bestFit="1" customWidth="1"/>
    <col min="13816" max="13816" width="9.7109375" style="74" bestFit="1" customWidth="1"/>
    <col min="13817" max="14059" width="8.85546875" style="74"/>
    <col min="14060" max="14060" width="4.7109375" style="74" customWidth="1"/>
    <col min="14061" max="14061" width="17.85546875" style="74" customWidth="1"/>
    <col min="14062" max="14062" width="41.28515625" style="74" customWidth="1"/>
    <col min="14063" max="14063" width="8.140625" style="74" customWidth="1"/>
    <col min="14064" max="14064" width="7.85546875" style="74" customWidth="1"/>
    <col min="14065" max="14065" width="7.7109375" style="74" bestFit="1" customWidth="1"/>
    <col min="14066" max="14066" width="8.140625" style="74" customWidth="1"/>
    <col min="14067" max="14067" width="9.28515625" style="74" customWidth="1"/>
    <col min="14068" max="14068" width="9.28515625" style="74" bestFit="1" customWidth="1"/>
    <col min="14069" max="14070" width="8.85546875" style="74"/>
    <col min="14071" max="14071" width="9.28515625" style="74" bestFit="1" customWidth="1"/>
    <col min="14072" max="14072" width="9.7109375" style="74" bestFit="1" customWidth="1"/>
    <col min="14073" max="14315" width="8.85546875" style="74"/>
    <col min="14316" max="14316" width="4.7109375" style="74" customWidth="1"/>
    <col min="14317" max="14317" width="17.85546875" style="74" customWidth="1"/>
    <col min="14318" max="14318" width="41.28515625" style="74" customWidth="1"/>
    <col min="14319" max="14319" width="8.140625" style="74" customWidth="1"/>
    <col min="14320" max="14320" width="7.85546875" style="74" customWidth="1"/>
    <col min="14321" max="14321" width="7.7109375" style="74" bestFit="1" customWidth="1"/>
    <col min="14322" max="14322" width="8.140625" style="74" customWidth="1"/>
    <col min="14323" max="14323" width="9.28515625" style="74" customWidth="1"/>
    <col min="14324" max="14324" width="9.28515625" style="74" bestFit="1" customWidth="1"/>
    <col min="14325" max="14326" width="8.85546875" style="74"/>
    <col min="14327" max="14327" width="9.28515625" style="74" bestFit="1" customWidth="1"/>
    <col min="14328" max="14328" width="9.7109375" style="74" bestFit="1" customWidth="1"/>
    <col min="14329" max="14571" width="8.85546875" style="74"/>
    <col min="14572" max="14572" width="4.7109375" style="74" customWidth="1"/>
    <col min="14573" max="14573" width="17.85546875" style="74" customWidth="1"/>
    <col min="14574" max="14574" width="41.28515625" style="74" customWidth="1"/>
    <col min="14575" max="14575" width="8.140625" style="74" customWidth="1"/>
    <col min="14576" max="14576" width="7.85546875" style="74" customWidth="1"/>
    <col min="14577" max="14577" width="7.7109375" style="74" bestFit="1" customWidth="1"/>
    <col min="14578" max="14578" width="8.140625" style="74" customWidth="1"/>
    <col min="14579" max="14579" width="9.28515625" style="74" customWidth="1"/>
    <col min="14580" max="14580" width="9.28515625" style="74" bestFit="1" customWidth="1"/>
    <col min="14581" max="14582" width="8.85546875" style="74"/>
    <col min="14583" max="14583" width="9.28515625" style="74" bestFit="1" customWidth="1"/>
    <col min="14584" max="14584" width="9.7109375" style="74" bestFit="1" customWidth="1"/>
    <col min="14585" max="14827" width="8.85546875" style="74"/>
    <col min="14828" max="14828" width="4.7109375" style="74" customWidth="1"/>
    <col min="14829" max="14829" width="17.85546875" style="74" customWidth="1"/>
    <col min="14830" max="14830" width="41.28515625" style="74" customWidth="1"/>
    <col min="14831" max="14831" width="8.140625" style="74" customWidth="1"/>
    <col min="14832" max="14832" width="7.85546875" style="74" customWidth="1"/>
    <col min="14833" max="14833" width="7.7109375" style="74" bestFit="1" customWidth="1"/>
    <col min="14834" max="14834" width="8.140625" style="74" customWidth="1"/>
    <col min="14835" max="14835" width="9.28515625" style="74" customWidth="1"/>
    <col min="14836" max="14836" width="9.28515625" style="74" bestFit="1" customWidth="1"/>
    <col min="14837" max="14838" width="8.85546875" style="74"/>
    <col min="14839" max="14839" width="9.28515625" style="74" bestFit="1" customWidth="1"/>
    <col min="14840" max="14840" width="9.7109375" style="74" bestFit="1" customWidth="1"/>
    <col min="14841" max="15083" width="8.85546875" style="74"/>
    <col min="15084" max="15084" width="4.7109375" style="74" customWidth="1"/>
    <col min="15085" max="15085" width="17.85546875" style="74" customWidth="1"/>
    <col min="15086" max="15086" width="41.28515625" style="74" customWidth="1"/>
    <col min="15087" max="15087" width="8.140625" style="74" customWidth="1"/>
    <col min="15088" max="15088" width="7.85546875" style="74" customWidth="1"/>
    <col min="15089" max="15089" width="7.7109375" style="74" bestFit="1" customWidth="1"/>
    <col min="15090" max="15090" width="8.140625" style="74" customWidth="1"/>
    <col min="15091" max="15091" width="9.28515625" style="74" customWidth="1"/>
    <col min="15092" max="15092" width="9.28515625" style="74" bestFit="1" customWidth="1"/>
    <col min="15093" max="15094" width="8.85546875" style="74"/>
    <col min="15095" max="15095" width="9.28515625" style="74" bestFit="1" customWidth="1"/>
    <col min="15096" max="15096" width="9.7109375" style="74" bestFit="1" customWidth="1"/>
    <col min="15097" max="15339" width="8.85546875" style="74"/>
    <col min="15340" max="15340" width="4.7109375" style="74" customWidth="1"/>
    <col min="15341" max="15341" width="17.85546875" style="74" customWidth="1"/>
    <col min="15342" max="15342" width="41.28515625" style="74" customWidth="1"/>
    <col min="15343" max="15343" width="8.140625" style="74" customWidth="1"/>
    <col min="15344" max="15344" width="7.85546875" style="74" customWidth="1"/>
    <col min="15345" max="15345" width="7.7109375" style="74" bestFit="1" customWidth="1"/>
    <col min="15346" max="15346" width="8.140625" style="74" customWidth="1"/>
    <col min="15347" max="15347" width="9.28515625" style="74" customWidth="1"/>
    <col min="15348" max="15348" width="9.28515625" style="74" bestFit="1" customWidth="1"/>
    <col min="15349" max="15350" width="8.85546875" style="74"/>
    <col min="15351" max="15351" width="9.28515625" style="74" bestFit="1" customWidth="1"/>
    <col min="15352" max="15352" width="9.7109375" style="74" bestFit="1" customWidth="1"/>
    <col min="15353" max="15595" width="8.85546875" style="74"/>
    <col min="15596" max="15596" width="4.7109375" style="74" customWidth="1"/>
    <col min="15597" max="15597" width="17.85546875" style="74" customWidth="1"/>
    <col min="15598" max="15598" width="41.28515625" style="74" customWidth="1"/>
    <col min="15599" max="15599" width="8.140625" style="74" customWidth="1"/>
    <col min="15600" max="15600" width="7.85546875" style="74" customWidth="1"/>
    <col min="15601" max="15601" width="7.7109375" style="74" bestFit="1" customWidth="1"/>
    <col min="15602" max="15602" width="8.140625" style="74" customWidth="1"/>
    <col min="15603" max="15603" width="9.28515625" style="74" customWidth="1"/>
    <col min="15604" max="15604" width="9.28515625" style="74" bestFit="1" customWidth="1"/>
    <col min="15605" max="15606" width="8.85546875" style="74"/>
    <col min="15607" max="15607" width="9.28515625" style="74" bestFit="1" customWidth="1"/>
    <col min="15608" max="15608" width="9.7109375" style="74" bestFit="1" customWidth="1"/>
    <col min="15609" max="15851" width="8.85546875" style="74"/>
    <col min="15852" max="15852" width="4.7109375" style="74" customWidth="1"/>
    <col min="15853" max="15853" width="17.85546875" style="74" customWidth="1"/>
    <col min="15854" max="15854" width="41.28515625" style="74" customWidth="1"/>
    <col min="15855" max="15855" width="8.140625" style="74" customWidth="1"/>
    <col min="15856" max="15856" width="7.85546875" style="74" customWidth="1"/>
    <col min="15857" max="15857" width="7.7109375" style="74" bestFit="1" customWidth="1"/>
    <col min="15858" max="15858" width="8.140625" style="74" customWidth="1"/>
    <col min="15859" max="15859" width="9.28515625" style="74" customWidth="1"/>
    <col min="15860" max="15860" width="9.28515625" style="74" bestFit="1" customWidth="1"/>
    <col min="15861" max="15862" width="8.85546875" style="74"/>
    <col min="15863" max="15863" width="9.28515625" style="74" bestFit="1" customWidth="1"/>
    <col min="15864" max="15864" width="9.7109375" style="74" bestFit="1" customWidth="1"/>
    <col min="15865" max="16107" width="8.85546875" style="74"/>
    <col min="16108" max="16108" width="4.7109375" style="74" customWidth="1"/>
    <col min="16109" max="16109" width="17.85546875" style="74" customWidth="1"/>
    <col min="16110" max="16110" width="41.28515625" style="74" customWidth="1"/>
    <col min="16111" max="16111" width="8.140625" style="74" customWidth="1"/>
    <col min="16112" max="16112" width="7.85546875" style="74" customWidth="1"/>
    <col min="16113" max="16113" width="7.7109375" style="74" bestFit="1" customWidth="1"/>
    <col min="16114" max="16114" width="8.140625" style="74" customWidth="1"/>
    <col min="16115" max="16115" width="9.28515625" style="74" customWidth="1"/>
    <col min="16116" max="16116" width="9.28515625" style="74" bestFit="1" customWidth="1"/>
    <col min="16117" max="16118" width="8.85546875" style="74"/>
    <col min="16119" max="16119" width="9.28515625" style="74" bestFit="1" customWidth="1"/>
    <col min="16120" max="16120" width="9.7109375" style="74" bestFit="1" customWidth="1"/>
    <col min="16121" max="16367" width="8.85546875" style="74"/>
    <col min="16368" max="16384" width="8.85546875" style="74" customWidth="1"/>
  </cols>
  <sheetData>
    <row r="1" spans="1:13" s="56" customFormat="1" ht="19.149999999999999" customHeight="1">
      <c r="A1" s="1564" t="s">
        <v>773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</row>
    <row r="2" spans="1:13" s="56" customFormat="1" ht="19.149999999999999" customHeight="1">
      <c r="A2" s="1564" t="s">
        <v>591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</row>
    <row r="3" spans="1:13" s="56" customFormat="1" ht="19.149999999999999" customHeight="1">
      <c r="B3" s="142"/>
      <c r="C3" s="57"/>
      <c r="D3" s="58"/>
      <c r="E3" s="59"/>
      <c r="F3" s="59"/>
      <c r="G3" s="59"/>
      <c r="H3" s="59"/>
      <c r="I3" s="59"/>
      <c r="J3" s="59"/>
      <c r="K3" s="59"/>
      <c r="L3" s="59"/>
      <c r="M3" s="59"/>
    </row>
    <row r="4" spans="1:13" s="56" customFormat="1" ht="19.149999999999999" customHeight="1">
      <c r="A4" s="1661"/>
      <c r="B4" s="1661"/>
      <c r="C4" s="1661"/>
      <c r="D4" s="1661"/>
      <c r="E4" s="1661"/>
      <c r="F4" s="1661"/>
      <c r="G4" s="1661"/>
      <c r="H4" s="1661"/>
      <c r="I4" s="59"/>
      <c r="J4" s="59"/>
      <c r="K4" s="59"/>
      <c r="L4" s="59"/>
      <c r="M4" s="59"/>
    </row>
    <row r="5" spans="1:13" s="56" customFormat="1" ht="45.75" customHeight="1">
      <c r="A5" s="1666" t="s">
        <v>153</v>
      </c>
      <c r="B5" s="1568" t="s">
        <v>2</v>
      </c>
      <c r="C5" s="1658" t="s">
        <v>3</v>
      </c>
      <c r="D5" s="1570" t="s">
        <v>4</v>
      </c>
      <c r="E5" s="1666" t="s">
        <v>5</v>
      </c>
      <c r="F5" s="1666"/>
      <c r="G5" s="1662" t="s">
        <v>6</v>
      </c>
      <c r="H5" s="1663"/>
      <c r="I5" s="1662" t="s">
        <v>66</v>
      </c>
      <c r="J5" s="1663"/>
      <c r="K5" s="1662" t="s">
        <v>72</v>
      </c>
      <c r="L5" s="1663"/>
      <c r="M5" s="1591" t="s">
        <v>67</v>
      </c>
    </row>
    <row r="6" spans="1:13" s="56" customFormat="1" ht="56.25">
      <c r="A6" s="1666"/>
      <c r="B6" s="1568"/>
      <c r="C6" s="1658"/>
      <c r="D6" s="1570"/>
      <c r="E6" s="147" t="s">
        <v>7</v>
      </c>
      <c r="F6" s="147" t="s">
        <v>8</v>
      </c>
      <c r="G6" s="63" t="s">
        <v>9</v>
      </c>
      <c r="H6" s="80" t="s">
        <v>10</v>
      </c>
      <c r="I6" s="63" t="s">
        <v>9</v>
      </c>
      <c r="J6" s="80" t="s">
        <v>10</v>
      </c>
      <c r="K6" s="63" t="s">
        <v>9</v>
      </c>
      <c r="L6" s="80" t="s">
        <v>10</v>
      </c>
      <c r="M6" s="1591"/>
    </row>
    <row r="7" spans="1:13" s="56" customFormat="1">
      <c r="A7" s="63">
        <v>1</v>
      </c>
      <c r="B7" s="63">
        <v>2</v>
      </c>
      <c r="C7" s="64">
        <v>3</v>
      </c>
      <c r="D7" s="63">
        <v>4</v>
      </c>
      <c r="E7" s="61">
        <v>5</v>
      </c>
      <c r="F7" s="61">
        <v>6</v>
      </c>
      <c r="G7" s="61">
        <v>7</v>
      </c>
      <c r="H7" s="65">
        <v>8</v>
      </c>
      <c r="I7" s="61">
        <v>9</v>
      </c>
      <c r="J7" s="65">
        <v>10</v>
      </c>
      <c r="K7" s="61">
        <v>11</v>
      </c>
      <c r="L7" s="65">
        <v>12</v>
      </c>
      <c r="M7" s="65">
        <v>13</v>
      </c>
    </row>
    <row r="8" spans="1:13" ht="57" customHeight="1">
      <c r="A8" s="66">
        <v>1</v>
      </c>
      <c r="B8" s="67"/>
      <c r="C8" s="68" t="s">
        <v>576</v>
      </c>
      <c r="D8" s="67" t="s">
        <v>138</v>
      </c>
      <c r="E8" s="69"/>
      <c r="F8" s="70">
        <f>7.8/100</f>
        <v>7.8E-2</v>
      </c>
      <c r="G8" s="62"/>
      <c r="H8" s="71">
        <f t="shared" ref="H8:H58" si="0">F8*G8</f>
        <v>0</v>
      </c>
      <c r="I8" s="62"/>
      <c r="J8" s="72">
        <f t="shared" ref="J8:J33" si="1">F8*I8</f>
        <v>0</v>
      </c>
      <c r="K8" s="62"/>
      <c r="L8" s="72">
        <f t="shared" ref="L8:L33" si="2">F8*K8</f>
        <v>0</v>
      </c>
      <c r="M8" s="72">
        <f t="shared" ref="M8:M58" si="3">H8+J8+L8</f>
        <v>0</v>
      </c>
    </row>
    <row r="9" spans="1:13" ht="19.899999999999999" customHeight="1">
      <c r="A9" s="66">
        <f>A8+0.1</f>
        <v>1.1000000000000001</v>
      </c>
      <c r="B9" s="75"/>
      <c r="C9" s="76" t="s">
        <v>50</v>
      </c>
      <c r="D9" s="63" t="s">
        <v>13</v>
      </c>
      <c r="E9" s="62">
        <f>206</f>
        <v>206</v>
      </c>
      <c r="F9" s="77">
        <f>E9*F8</f>
        <v>16.068000000000001</v>
      </c>
      <c r="G9" s="62"/>
      <c r="H9" s="71">
        <f t="shared" si="0"/>
        <v>0</v>
      </c>
      <c r="I9" s="78"/>
      <c r="J9" s="72">
        <f t="shared" si="1"/>
        <v>0</v>
      </c>
      <c r="K9" s="62"/>
      <c r="L9" s="72">
        <f t="shared" si="2"/>
        <v>0</v>
      </c>
      <c r="M9" s="72">
        <f t="shared" si="3"/>
        <v>0</v>
      </c>
    </row>
    <row r="10" spans="1:13" ht="57" customHeight="1">
      <c r="A10" s="66">
        <v>2</v>
      </c>
      <c r="B10" s="67"/>
      <c r="C10" s="68" t="s">
        <v>577</v>
      </c>
      <c r="D10" s="67" t="s">
        <v>138</v>
      </c>
      <c r="E10" s="69"/>
      <c r="F10" s="79">
        <f>0.7/100</f>
        <v>6.9999999999999993E-3</v>
      </c>
      <c r="G10" s="62"/>
      <c r="H10" s="71">
        <f t="shared" si="0"/>
        <v>0</v>
      </c>
      <c r="I10" s="78"/>
      <c r="J10" s="72">
        <f t="shared" si="1"/>
        <v>0</v>
      </c>
      <c r="K10" s="78"/>
      <c r="L10" s="72">
        <f t="shared" si="2"/>
        <v>0</v>
      </c>
      <c r="M10" s="72">
        <f t="shared" si="3"/>
        <v>0</v>
      </c>
    </row>
    <row r="11" spans="1:13" ht="19.899999999999999" customHeight="1">
      <c r="A11" s="66">
        <f>A10+0.1</f>
        <v>2.1</v>
      </c>
      <c r="B11" s="75"/>
      <c r="C11" s="76" t="s">
        <v>50</v>
      </c>
      <c r="D11" s="80" t="s">
        <v>13</v>
      </c>
      <c r="E11" s="62">
        <v>19</v>
      </c>
      <c r="F11" s="62">
        <f>E11*F10</f>
        <v>0.13299999999999998</v>
      </c>
      <c r="G11" s="78"/>
      <c r="H11" s="71">
        <f t="shared" si="0"/>
        <v>0</v>
      </c>
      <c r="I11" s="62"/>
      <c r="J11" s="72">
        <f t="shared" si="1"/>
        <v>0</v>
      </c>
      <c r="K11" s="78"/>
      <c r="L11" s="72">
        <f t="shared" si="2"/>
        <v>0</v>
      </c>
      <c r="M11" s="72">
        <f t="shared" si="3"/>
        <v>0</v>
      </c>
    </row>
    <row r="12" spans="1:13" ht="19.899999999999999" customHeight="1">
      <c r="A12" s="66">
        <f>A11+0.1</f>
        <v>2.2000000000000002</v>
      </c>
      <c r="B12" s="63"/>
      <c r="C12" s="64" t="s">
        <v>139</v>
      </c>
      <c r="D12" s="63" t="s">
        <v>137</v>
      </c>
      <c r="E12" s="62">
        <v>122</v>
      </c>
      <c r="F12" s="62">
        <f>E12*F10</f>
        <v>0.85399999999999987</v>
      </c>
      <c r="G12" s="62"/>
      <c r="H12" s="71">
        <f t="shared" si="0"/>
        <v>0</v>
      </c>
      <c r="I12" s="78"/>
      <c r="J12" s="72">
        <f t="shared" si="1"/>
        <v>0</v>
      </c>
      <c r="K12" s="78"/>
      <c r="L12" s="72">
        <f t="shared" si="2"/>
        <v>0</v>
      </c>
      <c r="M12" s="72">
        <f t="shared" si="3"/>
        <v>0</v>
      </c>
    </row>
    <row r="13" spans="1:13" ht="49.9" customHeight="1">
      <c r="A13" s="81">
        <v>3</v>
      </c>
      <c r="B13" s="67"/>
      <c r="C13" s="68" t="s">
        <v>580</v>
      </c>
      <c r="D13" s="66" t="s">
        <v>137</v>
      </c>
      <c r="E13" s="82"/>
      <c r="F13" s="83">
        <v>3.3</v>
      </c>
      <c r="G13" s="84"/>
      <c r="H13" s="71">
        <f t="shared" si="0"/>
        <v>0</v>
      </c>
      <c r="I13" s="62"/>
      <c r="J13" s="72"/>
      <c r="K13" s="62"/>
      <c r="L13" s="72"/>
      <c r="M13" s="72">
        <f t="shared" si="3"/>
        <v>0</v>
      </c>
    </row>
    <row r="14" spans="1:13" ht="19.899999999999999" customHeight="1">
      <c r="A14" s="66">
        <f>A13+0.1</f>
        <v>3.1</v>
      </c>
      <c r="B14" s="75"/>
      <c r="C14" s="64" t="s">
        <v>253</v>
      </c>
      <c r="D14" s="85" t="s">
        <v>60</v>
      </c>
      <c r="E14" s="86">
        <f>1.15*8.06</f>
        <v>9.2690000000000001</v>
      </c>
      <c r="F14" s="87">
        <f>E14*F13</f>
        <v>30.587699999999998</v>
      </c>
      <c r="G14" s="88"/>
      <c r="H14" s="71">
        <f t="shared" si="0"/>
        <v>0</v>
      </c>
      <c r="I14" s="88"/>
      <c r="J14" s="72">
        <f t="shared" ref="J14:J15" si="4">F14*I14</f>
        <v>0</v>
      </c>
      <c r="K14" s="88"/>
      <c r="L14" s="72">
        <f t="shared" ref="L14:L15" si="5">F14*K14</f>
        <v>0</v>
      </c>
      <c r="M14" s="72">
        <f t="shared" si="3"/>
        <v>0</v>
      </c>
    </row>
    <row r="15" spans="1:13" ht="19.899999999999999" customHeight="1">
      <c r="A15" s="66">
        <f t="shared" ref="A15:A20" si="6">A14+0.1</f>
        <v>3.2</v>
      </c>
      <c r="B15" s="75"/>
      <c r="C15" s="64" t="s">
        <v>266</v>
      </c>
      <c r="D15" s="85" t="s">
        <v>62</v>
      </c>
      <c r="E15" s="86">
        <v>1.23</v>
      </c>
      <c r="F15" s="87">
        <f>E15*F13</f>
        <v>4.0590000000000002</v>
      </c>
      <c r="G15" s="88"/>
      <c r="H15" s="71">
        <f t="shared" si="0"/>
        <v>0</v>
      </c>
      <c r="I15" s="88"/>
      <c r="J15" s="72">
        <f t="shared" si="4"/>
        <v>0</v>
      </c>
      <c r="K15" s="89"/>
      <c r="L15" s="72">
        <f t="shared" si="5"/>
        <v>0</v>
      </c>
      <c r="M15" s="72">
        <f t="shared" si="3"/>
        <v>0</v>
      </c>
    </row>
    <row r="16" spans="1:13" ht="19.899999999999999" customHeight="1">
      <c r="A16" s="66">
        <f t="shared" si="6"/>
        <v>3.3000000000000003</v>
      </c>
      <c r="B16" s="90"/>
      <c r="C16" s="64" t="s">
        <v>582</v>
      </c>
      <c r="D16" s="85" t="s">
        <v>137</v>
      </c>
      <c r="E16" s="86">
        <v>1.0149999999999999</v>
      </c>
      <c r="F16" s="87">
        <f>F13*E16</f>
        <v>3.3494999999999995</v>
      </c>
      <c r="G16" s="84"/>
      <c r="H16" s="71">
        <f t="shared" si="0"/>
        <v>0</v>
      </c>
      <c r="I16" s="62"/>
      <c r="J16" s="72"/>
      <c r="K16" s="62"/>
      <c r="L16" s="72"/>
      <c r="M16" s="72">
        <f t="shared" si="3"/>
        <v>0</v>
      </c>
    </row>
    <row r="17" spans="1:13" ht="19.899999999999999" customHeight="1">
      <c r="A17" s="66">
        <f t="shared" si="6"/>
        <v>3.4000000000000004</v>
      </c>
      <c r="B17" s="90"/>
      <c r="C17" s="64" t="s">
        <v>583</v>
      </c>
      <c r="D17" s="85" t="s">
        <v>16</v>
      </c>
      <c r="E17" s="86" t="s">
        <v>20</v>
      </c>
      <c r="F17" s="87">
        <f>0.14</f>
        <v>0.14000000000000001</v>
      </c>
      <c r="G17" s="84"/>
      <c r="H17" s="71">
        <f t="shared" si="0"/>
        <v>0</v>
      </c>
      <c r="I17" s="62"/>
      <c r="J17" s="72"/>
      <c r="K17" s="62"/>
      <c r="L17" s="72"/>
      <c r="M17" s="72">
        <f t="shared" si="3"/>
        <v>0</v>
      </c>
    </row>
    <row r="18" spans="1:13" ht="19.899999999999999" customHeight="1">
      <c r="A18" s="66">
        <f t="shared" si="6"/>
        <v>3.5000000000000004</v>
      </c>
      <c r="B18" s="90"/>
      <c r="C18" s="64" t="s">
        <v>578</v>
      </c>
      <c r="D18" s="85" t="s">
        <v>43</v>
      </c>
      <c r="E18" s="86">
        <v>1.28</v>
      </c>
      <c r="F18" s="87">
        <f>F13*E18</f>
        <v>4.2240000000000002</v>
      </c>
      <c r="G18" s="84"/>
      <c r="H18" s="71">
        <f t="shared" si="0"/>
        <v>0</v>
      </c>
      <c r="I18" s="62"/>
      <c r="J18" s="72"/>
      <c r="K18" s="62"/>
      <c r="L18" s="72"/>
      <c r="M18" s="72">
        <f t="shared" si="3"/>
        <v>0</v>
      </c>
    </row>
    <row r="19" spans="1:13" ht="19.899999999999999" customHeight="1">
      <c r="A19" s="66">
        <f t="shared" si="6"/>
        <v>3.6000000000000005</v>
      </c>
      <c r="B19" s="90"/>
      <c r="C19" s="64" t="s">
        <v>581</v>
      </c>
      <c r="D19" s="85" t="s">
        <v>137</v>
      </c>
      <c r="E19" s="86">
        <f>(0.24+0.63+3.09)/100</f>
        <v>3.9599999999999996E-2</v>
      </c>
      <c r="F19" s="87">
        <f>F13*E19</f>
        <v>0.13067999999999999</v>
      </c>
      <c r="G19" s="84"/>
      <c r="H19" s="71">
        <f t="shared" si="0"/>
        <v>0</v>
      </c>
      <c r="I19" s="62"/>
      <c r="J19" s="72"/>
      <c r="K19" s="62"/>
      <c r="L19" s="72"/>
      <c r="M19" s="72">
        <f t="shared" si="3"/>
        <v>0</v>
      </c>
    </row>
    <row r="20" spans="1:13" ht="19.899999999999999" customHeight="1">
      <c r="A20" s="66">
        <f t="shared" si="6"/>
        <v>3.7000000000000006</v>
      </c>
      <c r="B20" s="90"/>
      <c r="C20" s="64" t="s">
        <v>579</v>
      </c>
      <c r="D20" s="85" t="s">
        <v>14</v>
      </c>
      <c r="E20" s="86">
        <v>2.09</v>
      </c>
      <c r="F20" s="87">
        <f>E20*F13</f>
        <v>6.8969999999999994</v>
      </c>
      <c r="G20" s="84"/>
      <c r="H20" s="71">
        <f t="shared" si="0"/>
        <v>0</v>
      </c>
      <c r="I20" s="62"/>
      <c r="J20" s="72"/>
      <c r="K20" s="62"/>
      <c r="L20" s="72"/>
      <c r="M20" s="72">
        <f t="shared" si="3"/>
        <v>0</v>
      </c>
    </row>
    <row r="21" spans="1:13" ht="67.900000000000006" customHeight="1">
      <c r="A21" s="81">
        <v>4</v>
      </c>
      <c r="B21" s="149"/>
      <c r="C21" s="68" t="s">
        <v>585</v>
      </c>
      <c r="D21" s="67" t="s">
        <v>64</v>
      </c>
      <c r="E21" s="91"/>
      <c r="F21" s="92">
        <v>0.105</v>
      </c>
      <c r="G21" s="84"/>
      <c r="H21" s="71">
        <f t="shared" si="0"/>
        <v>0</v>
      </c>
      <c r="I21" s="62"/>
      <c r="J21" s="72"/>
      <c r="K21" s="62"/>
      <c r="L21" s="72"/>
      <c r="M21" s="72">
        <f t="shared" si="3"/>
        <v>0</v>
      </c>
    </row>
    <row r="22" spans="1:13" ht="19.899999999999999" customHeight="1">
      <c r="A22" s="66">
        <f>A21+0.1</f>
        <v>4.0999999999999996</v>
      </c>
      <c r="B22" s="75"/>
      <c r="C22" s="64" t="s">
        <v>586</v>
      </c>
      <c r="D22" s="63" t="s">
        <v>60</v>
      </c>
      <c r="E22" s="61">
        <v>18.3</v>
      </c>
      <c r="F22" s="62">
        <f>E22*F21</f>
        <v>1.9215</v>
      </c>
      <c r="G22" s="88"/>
      <c r="H22" s="71">
        <f t="shared" si="0"/>
        <v>0</v>
      </c>
      <c r="I22" s="88"/>
      <c r="J22" s="72">
        <f t="shared" ref="J22:J23" si="7">F22*I22</f>
        <v>0</v>
      </c>
      <c r="K22" s="88"/>
      <c r="L22" s="72">
        <f t="shared" ref="L22:L23" si="8">F22*K22</f>
        <v>0</v>
      </c>
      <c r="M22" s="72">
        <f t="shared" si="3"/>
        <v>0</v>
      </c>
    </row>
    <row r="23" spans="1:13" ht="19.899999999999999" customHeight="1">
      <c r="A23" s="66">
        <f t="shared" ref="A23:A28" si="9">A22+0.1</f>
        <v>4.1999999999999993</v>
      </c>
      <c r="B23" s="90"/>
      <c r="C23" s="64" t="s">
        <v>587</v>
      </c>
      <c r="D23" s="63" t="s">
        <v>160</v>
      </c>
      <c r="E23" s="61">
        <v>1.33</v>
      </c>
      <c r="F23" s="62">
        <f>F21*E23</f>
        <v>0.13965</v>
      </c>
      <c r="G23" s="88"/>
      <c r="H23" s="71">
        <f t="shared" si="0"/>
        <v>0</v>
      </c>
      <c r="I23" s="88"/>
      <c r="J23" s="72">
        <f t="shared" si="7"/>
        <v>0</v>
      </c>
      <c r="K23" s="89"/>
      <c r="L23" s="72">
        <f t="shared" si="8"/>
        <v>0</v>
      </c>
      <c r="M23" s="72">
        <f t="shared" si="3"/>
        <v>0</v>
      </c>
    </row>
    <row r="24" spans="1:13" ht="19.899999999999999" customHeight="1">
      <c r="A24" s="66">
        <f t="shared" si="9"/>
        <v>4.2999999999999989</v>
      </c>
      <c r="B24" s="75"/>
      <c r="C24" s="64" t="s">
        <v>588</v>
      </c>
      <c r="D24" s="63" t="s">
        <v>14</v>
      </c>
      <c r="E24" s="61">
        <v>4.3099999999999996</v>
      </c>
      <c r="F24" s="62">
        <f>E24*F21</f>
        <v>0.45254999999999995</v>
      </c>
      <c r="G24" s="84"/>
      <c r="H24" s="71">
        <f t="shared" si="0"/>
        <v>0</v>
      </c>
      <c r="I24" s="62"/>
      <c r="J24" s="72"/>
      <c r="K24" s="62"/>
      <c r="L24" s="72">
        <f t="shared" ref="L24" si="10">F24*K24</f>
        <v>0</v>
      </c>
      <c r="M24" s="72">
        <f t="shared" si="3"/>
        <v>0</v>
      </c>
    </row>
    <row r="25" spans="1:13" ht="19.899999999999999" customHeight="1">
      <c r="A25" s="66">
        <f t="shared" si="9"/>
        <v>4.3999999999999986</v>
      </c>
      <c r="B25" s="90"/>
      <c r="C25" s="64" t="s">
        <v>589</v>
      </c>
      <c r="D25" s="63" t="s">
        <v>64</v>
      </c>
      <c r="E25" s="61">
        <v>1.02</v>
      </c>
      <c r="F25" s="93">
        <f>E25*F21</f>
        <v>0.1071</v>
      </c>
      <c r="G25" s="84"/>
      <c r="H25" s="71">
        <f t="shared" si="0"/>
        <v>0</v>
      </c>
      <c r="I25" s="62"/>
      <c r="J25" s="72"/>
      <c r="K25" s="62"/>
      <c r="L25" s="72"/>
      <c r="M25" s="72">
        <f t="shared" si="3"/>
        <v>0</v>
      </c>
    </row>
    <row r="26" spans="1:13" ht="19.899999999999999" customHeight="1">
      <c r="A26" s="66">
        <f t="shared" si="9"/>
        <v>4.4999999999999982</v>
      </c>
      <c r="B26" s="90"/>
      <c r="C26" s="64" t="s">
        <v>590</v>
      </c>
      <c r="D26" s="63" t="s">
        <v>21</v>
      </c>
      <c r="E26" s="61">
        <v>1</v>
      </c>
      <c r="F26" s="62">
        <f>F21*E26</f>
        <v>0.105</v>
      </c>
      <c r="G26" s="84"/>
      <c r="H26" s="71">
        <f t="shared" si="0"/>
        <v>0</v>
      </c>
      <c r="I26" s="62"/>
      <c r="J26" s="72"/>
      <c r="K26" s="62"/>
      <c r="L26" s="72"/>
      <c r="M26" s="72">
        <f t="shared" si="3"/>
        <v>0</v>
      </c>
    </row>
    <row r="27" spans="1:13" ht="19.899999999999999" customHeight="1">
      <c r="A27" s="66">
        <f t="shared" si="9"/>
        <v>4.5999999999999979</v>
      </c>
      <c r="B27" s="90"/>
      <c r="C27" s="64" t="s">
        <v>79</v>
      </c>
      <c r="D27" s="63" t="s">
        <v>21</v>
      </c>
      <c r="E27" s="61">
        <v>3</v>
      </c>
      <c r="F27" s="62">
        <f>F21*E27</f>
        <v>0.315</v>
      </c>
      <c r="G27" s="84"/>
      <c r="H27" s="71">
        <f t="shared" si="0"/>
        <v>0</v>
      </c>
      <c r="I27" s="62"/>
      <c r="J27" s="72"/>
      <c r="K27" s="62"/>
      <c r="L27" s="72"/>
      <c r="M27" s="72">
        <f t="shared" si="3"/>
        <v>0</v>
      </c>
    </row>
    <row r="28" spans="1:13" ht="19.899999999999999" customHeight="1">
      <c r="A28" s="66">
        <f t="shared" si="9"/>
        <v>4.6999999999999975</v>
      </c>
      <c r="B28" s="90"/>
      <c r="C28" s="64" t="s">
        <v>579</v>
      </c>
      <c r="D28" s="63" t="s">
        <v>14</v>
      </c>
      <c r="E28" s="61">
        <v>2.78</v>
      </c>
      <c r="F28" s="62">
        <f>F21*E28</f>
        <v>0.29189999999999999</v>
      </c>
      <c r="G28" s="84"/>
      <c r="H28" s="71">
        <f t="shared" si="0"/>
        <v>0</v>
      </c>
      <c r="I28" s="62"/>
      <c r="J28" s="72"/>
      <c r="K28" s="62"/>
      <c r="L28" s="72"/>
      <c r="M28" s="72">
        <f t="shared" si="3"/>
        <v>0</v>
      </c>
    </row>
    <row r="29" spans="1:13" ht="81.75" customHeight="1">
      <c r="A29" s="81">
        <v>5</v>
      </c>
      <c r="B29" s="67"/>
      <c r="C29" s="68" t="s">
        <v>239</v>
      </c>
      <c r="D29" s="66" t="s">
        <v>121</v>
      </c>
      <c r="E29" s="82"/>
      <c r="F29" s="94">
        <v>20</v>
      </c>
      <c r="G29" s="95"/>
      <c r="H29" s="71">
        <f t="shared" si="0"/>
        <v>0</v>
      </c>
      <c r="I29" s="95"/>
      <c r="J29" s="72">
        <f t="shared" si="1"/>
        <v>0</v>
      </c>
      <c r="K29" s="95"/>
      <c r="L29" s="72">
        <f t="shared" si="2"/>
        <v>0</v>
      </c>
      <c r="M29" s="72">
        <f t="shared" si="3"/>
        <v>0</v>
      </c>
    </row>
    <row r="30" spans="1:13" ht="19.899999999999999" customHeight="1">
      <c r="A30" s="66">
        <f>A29+0.1</f>
        <v>5.0999999999999996</v>
      </c>
      <c r="B30" s="75"/>
      <c r="C30" s="76" t="s">
        <v>50</v>
      </c>
      <c r="D30" s="63" t="s">
        <v>60</v>
      </c>
      <c r="E30" s="87">
        <f>33.6/100</f>
        <v>0.33600000000000002</v>
      </c>
      <c r="F30" s="96">
        <f>E30*F29</f>
        <v>6.7200000000000006</v>
      </c>
      <c r="G30" s="88"/>
      <c r="H30" s="71">
        <f t="shared" si="0"/>
        <v>0</v>
      </c>
      <c r="I30" s="88"/>
      <c r="J30" s="72">
        <f t="shared" si="1"/>
        <v>0</v>
      </c>
      <c r="K30" s="88"/>
      <c r="L30" s="72">
        <f t="shared" si="2"/>
        <v>0</v>
      </c>
      <c r="M30" s="72">
        <f t="shared" si="3"/>
        <v>0</v>
      </c>
    </row>
    <row r="31" spans="1:13" ht="19.899999999999999" customHeight="1">
      <c r="A31" s="66">
        <f t="shared" ref="A31:A33" si="11">A30+0.1</f>
        <v>5.1999999999999993</v>
      </c>
      <c r="B31" s="75"/>
      <c r="C31" s="97" t="s">
        <v>140</v>
      </c>
      <c r="D31" s="63" t="s">
        <v>14</v>
      </c>
      <c r="E31" s="98">
        <f>1.5/100</f>
        <v>1.4999999999999999E-2</v>
      </c>
      <c r="F31" s="96">
        <f>F29*E31</f>
        <v>0.3</v>
      </c>
      <c r="G31" s="88"/>
      <c r="H31" s="71">
        <f t="shared" si="0"/>
        <v>0</v>
      </c>
      <c r="I31" s="88"/>
      <c r="J31" s="72">
        <f t="shared" si="1"/>
        <v>0</v>
      </c>
      <c r="K31" s="89"/>
      <c r="L31" s="72">
        <f t="shared" si="2"/>
        <v>0</v>
      </c>
      <c r="M31" s="72">
        <f t="shared" si="3"/>
        <v>0</v>
      </c>
    </row>
    <row r="32" spans="1:13" ht="19.899999999999999" customHeight="1">
      <c r="A32" s="66">
        <f t="shared" si="11"/>
        <v>5.2999999999999989</v>
      </c>
      <c r="B32" s="99"/>
      <c r="C32" s="64" t="s">
        <v>238</v>
      </c>
      <c r="D32" s="63" t="s">
        <v>104</v>
      </c>
      <c r="E32" s="98">
        <f>0.24/100</f>
        <v>2.3999999999999998E-3</v>
      </c>
      <c r="F32" s="96">
        <f>F29*E32</f>
        <v>4.7999999999999994E-2</v>
      </c>
      <c r="G32" s="88"/>
      <c r="H32" s="71">
        <f t="shared" si="0"/>
        <v>0</v>
      </c>
      <c r="I32" s="88"/>
      <c r="J32" s="72">
        <f t="shared" si="1"/>
        <v>0</v>
      </c>
      <c r="K32" s="88"/>
      <c r="L32" s="72">
        <f t="shared" si="2"/>
        <v>0</v>
      </c>
      <c r="M32" s="72">
        <f t="shared" si="3"/>
        <v>0</v>
      </c>
    </row>
    <row r="33" spans="1:13" ht="19.899999999999999" customHeight="1">
      <c r="A33" s="66">
        <f t="shared" si="11"/>
        <v>5.3999999999999986</v>
      </c>
      <c r="B33" s="90"/>
      <c r="C33" s="64" t="s">
        <v>579</v>
      </c>
      <c r="D33" s="63" t="s">
        <v>14</v>
      </c>
      <c r="E33" s="98">
        <f>2.28/100</f>
        <v>2.2799999999999997E-2</v>
      </c>
      <c r="F33" s="96">
        <f>F29*E33</f>
        <v>0.45599999999999996</v>
      </c>
      <c r="G33" s="78"/>
      <c r="H33" s="71">
        <f t="shared" si="0"/>
        <v>0</v>
      </c>
      <c r="I33" s="88"/>
      <c r="J33" s="72">
        <f t="shared" si="1"/>
        <v>0</v>
      </c>
      <c r="K33" s="88"/>
      <c r="L33" s="72">
        <f t="shared" si="2"/>
        <v>0</v>
      </c>
      <c r="M33" s="72">
        <f t="shared" si="3"/>
        <v>0</v>
      </c>
    </row>
    <row r="34" spans="1:13" ht="56.25" customHeight="1">
      <c r="A34" s="66">
        <v>6</v>
      </c>
      <c r="B34" s="67"/>
      <c r="C34" s="68" t="s">
        <v>141</v>
      </c>
      <c r="D34" s="67" t="s">
        <v>138</v>
      </c>
      <c r="E34" s="69"/>
      <c r="F34" s="69">
        <f>1.8/100</f>
        <v>1.8000000000000002E-2</v>
      </c>
      <c r="G34" s="62"/>
      <c r="H34" s="71">
        <f t="shared" si="0"/>
        <v>0</v>
      </c>
      <c r="I34" s="78"/>
      <c r="J34" s="72">
        <f t="shared" ref="J34:J52" si="12">F34*I34</f>
        <v>0</v>
      </c>
      <c r="K34" s="78"/>
      <c r="L34" s="72">
        <f t="shared" ref="L34:L52" si="13">F34*K34</f>
        <v>0</v>
      </c>
      <c r="M34" s="72">
        <f t="shared" si="3"/>
        <v>0</v>
      </c>
    </row>
    <row r="35" spans="1:13" ht="19.899999999999999" customHeight="1">
      <c r="A35" s="66">
        <f>A34+0.1</f>
        <v>6.1</v>
      </c>
      <c r="B35" s="75"/>
      <c r="C35" s="76" t="s">
        <v>50</v>
      </c>
      <c r="D35" s="63" t="s">
        <v>13</v>
      </c>
      <c r="E35" s="62">
        <v>1.21</v>
      </c>
      <c r="F35" s="62">
        <f>E35*F34</f>
        <v>2.1780000000000001E-2</v>
      </c>
      <c r="G35" s="86"/>
      <c r="H35" s="71">
        <f t="shared" si="0"/>
        <v>0</v>
      </c>
      <c r="I35" s="62"/>
      <c r="J35" s="72">
        <f t="shared" si="12"/>
        <v>0</v>
      </c>
      <c r="K35" s="78"/>
      <c r="L35" s="72">
        <f t="shared" si="13"/>
        <v>0</v>
      </c>
      <c r="M35" s="72">
        <f t="shared" si="3"/>
        <v>0</v>
      </c>
    </row>
    <row r="36" spans="1:13" s="105" customFormat="1" ht="49.9" customHeight="1">
      <c r="A36" s="100">
        <v>7</v>
      </c>
      <c r="B36" s="101"/>
      <c r="C36" s="102" t="s">
        <v>584</v>
      </c>
      <c r="D36" s="101" t="s">
        <v>204</v>
      </c>
      <c r="E36" s="103"/>
      <c r="F36" s="104">
        <v>1</v>
      </c>
      <c r="G36" s="104"/>
      <c r="H36" s="71">
        <f t="shared" si="0"/>
        <v>0</v>
      </c>
      <c r="I36" s="103"/>
      <c r="J36" s="72">
        <f t="shared" si="12"/>
        <v>0</v>
      </c>
      <c r="K36" s="103"/>
      <c r="L36" s="72">
        <f t="shared" si="13"/>
        <v>0</v>
      </c>
      <c r="M36" s="72">
        <f t="shared" si="3"/>
        <v>0</v>
      </c>
    </row>
    <row r="37" spans="1:13" s="105" customFormat="1" ht="19.899999999999999" customHeight="1">
      <c r="A37" s="106">
        <f>A36+0.1</f>
        <v>7.1</v>
      </c>
      <c r="B37" s="75"/>
      <c r="C37" s="76" t="s">
        <v>50</v>
      </c>
      <c r="D37" s="75" t="s">
        <v>13</v>
      </c>
      <c r="E37" s="107">
        <v>1.54</v>
      </c>
      <c r="F37" s="103">
        <f>E37*F36</f>
        <v>1.54</v>
      </c>
      <c r="G37" s="89"/>
      <c r="H37" s="71">
        <f t="shared" si="0"/>
        <v>0</v>
      </c>
      <c r="I37" s="103"/>
      <c r="J37" s="72">
        <f t="shared" si="12"/>
        <v>0</v>
      </c>
      <c r="K37" s="103"/>
      <c r="L37" s="72">
        <f t="shared" si="13"/>
        <v>0</v>
      </c>
      <c r="M37" s="72">
        <f t="shared" si="3"/>
        <v>0</v>
      </c>
    </row>
    <row r="38" spans="1:13" s="105" customFormat="1" ht="19.899999999999999" customHeight="1">
      <c r="A38" s="106">
        <f>A37+0.1</f>
        <v>7.1999999999999993</v>
      </c>
      <c r="B38" s="75"/>
      <c r="C38" s="97" t="s">
        <v>140</v>
      </c>
      <c r="D38" s="108" t="s">
        <v>14</v>
      </c>
      <c r="E38" s="107">
        <v>0.09</v>
      </c>
      <c r="F38" s="103">
        <f>E38*F36</f>
        <v>0.09</v>
      </c>
      <c r="G38" s="109"/>
      <c r="H38" s="71">
        <f t="shared" si="0"/>
        <v>0</v>
      </c>
      <c r="I38" s="103"/>
      <c r="J38" s="72">
        <f t="shared" si="12"/>
        <v>0</v>
      </c>
      <c r="K38" s="89"/>
      <c r="L38" s="72">
        <f t="shared" si="13"/>
        <v>0</v>
      </c>
      <c r="M38" s="72">
        <f t="shared" si="3"/>
        <v>0</v>
      </c>
    </row>
    <row r="39" spans="1:13" s="112" customFormat="1" ht="19.899999999999999" customHeight="1">
      <c r="A39" s="106">
        <f>A38+0.1</f>
        <v>7.2999999999999989</v>
      </c>
      <c r="B39" s="75"/>
      <c r="C39" s="110" t="s">
        <v>688</v>
      </c>
      <c r="D39" s="75" t="s">
        <v>49</v>
      </c>
      <c r="E39" s="109">
        <v>1</v>
      </c>
      <c r="F39" s="71">
        <f>E39*F36</f>
        <v>1</v>
      </c>
      <c r="G39" s="71"/>
      <c r="H39" s="71">
        <f t="shared" si="0"/>
        <v>0</v>
      </c>
      <c r="I39" s="111"/>
      <c r="J39" s="72">
        <f t="shared" si="12"/>
        <v>0</v>
      </c>
      <c r="K39" s="111"/>
      <c r="L39" s="72">
        <f t="shared" si="13"/>
        <v>0</v>
      </c>
      <c r="M39" s="72">
        <f t="shared" si="3"/>
        <v>0</v>
      </c>
    </row>
    <row r="40" spans="1:13" s="105" customFormat="1" ht="19.899999999999999" customHeight="1">
      <c r="A40" s="106">
        <f>A39+0.1</f>
        <v>7.3999999999999986</v>
      </c>
      <c r="B40" s="90"/>
      <c r="C40" s="64" t="s">
        <v>579</v>
      </c>
      <c r="D40" s="63" t="s">
        <v>14</v>
      </c>
      <c r="E40" s="113">
        <v>1.4E-2</v>
      </c>
      <c r="F40" s="103">
        <f>E40*F36</f>
        <v>1.4E-2</v>
      </c>
      <c r="G40" s="78"/>
      <c r="H40" s="71">
        <f t="shared" si="0"/>
        <v>0</v>
      </c>
      <c r="I40" s="103"/>
      <c r="J40" s="72">
        <f t="shared" si="12"/>
        <v>0</v>
      </c>
      <c r="K40" s="103"/>
      <c r="L40" s="72">
        <f t="shared" si="13"/>
        <v>0</v>
      </c>
      <c r="M40" s="72">
        <f t="shared" si="3"/>
        <v>0</v>
      </c>
    </row>
    <row r="41" spans="1:13" s="105" customFormat="1" ht="49.9" customHeight="1">
      <c r="A41" s="100">
        <v>8</v>
      </c>
      <c r="B41" s="101"/>
      <c r="C41" s="114" t="s">
        <v>558</v>
      </c>
      <c r="D41" s="115" t="s">
        <v>559</v>
      </c>
      <c r="E41" s="107"/>
      <c r="F41" s="103">
        <v>1</v>
      </c>
      <c r="G41" s="109"/>
      <c r="H41" s="71">
        <f t="shared" si="0"/>
        <v>0</v>
      </c>
      <c r="I41" s="103"/>
      <c r="J41" s="72">
        <f t="shared" si="12"/>
        <v>0</v>
      </c>
      <c r="K41" s="103"/>
      <c r="L41" s="72">
        <f t="shared" si="13"/>
        <v>0</v>
      </c>
      <c r="M41" s="72">
        <f t="shared" si="3"/>
        <v>0</v>
      </c>
    </row>
    <row r="42" spans="1:13" s="105" customFormat="1" ht="19.899999999999999" customHeight="1">
      <c r="A42" s="106">
        <f>A41+0.1</f>
        <v>8.1</v>
      </c>
      <c r="B42" s="75"/>
      <c r="C42" s="76" t="s">
        <v>50</v>
      </c>
      <c r="D42" s="75" t="s">
        <v>13</v>
      </c>
      <c r="E42" s="107">
        <v>16.8</v>
      </c>
      <c r="F42" s="103">
        <f>E42*F41</f>
        <v>16.8</v>
      </c>
      <c r="G42" s="89"/>
      <c r="H42" s="71">
        <f t="shared" si="0"/>
        <v>0</v>
      </c>
      <c r="I42" s="103"/>
      <c r="J42" s="72">
        <f t="shared" si="12"/>
        <v>0</v>
      </c>
      <c r="K42" s="103"/>
      <c r="L42" s="72">
        <f t="shared" si="13"/>
        <v>0</v>
      </c>
      <c r="M42" s="72">
        <f t="shared" si="3"/>
        <v>0</v>
      </c>
    </row>
    <row r="43" spans="1:13" s="105" customFormat="1" ht="19.899999999999999" customHeight="1">
      <c r="A43" s="106">
        <f t="shared" ref="A43:A45" si="14">A42+0.1</f>
        <v>8.1999999999999993</v>
      </c>
      <c r="B43" s="75"/>
      <c r="C43" s="116" t="s">
        <v>560</v>
      </c>
      <c r="D43" s="117" t="s">
        <v>15</v>
      </c>
      <c r="E43" s="107">
        <v>0.05</v>
      </c>
      <c r="F43" s="118">
        <f>E43*F41</f>
        <v>0.05</v>
      </c>
      <c r="G43" s="89"/>
      <c r="H43" s="71">
        <f t="shared" si="0"/>
        <v>0</v>
      </c>
      <c r="I43" s="103"/>
      <c r="J43" s="72">
        <f t="shared" si="12"/>
        <v>0</v>
      </c>
      <c r="K43" s="103"/>
      <c r="L43" s="72">
        <f t="shared" si="13"/>
        <v>0</v>
      </c>
      <c r="M43" s="72">
        <f t="shared" si="3"/>
        <v>0</v>
      </c>
    </row>
    <row r="44" spans="1:13" s="105" customFormat="1" ht="19.899999999999999" customHeight="1">
      <c r="A44" s="106">
        <f t="shared" si="14"/>
        <v>8.2999999999999989</v>
      </c>
      <c r="B44" s="75"/>
      <c r="C44" s="119" t="s">
        <v>42</v>
      </c>
      <c r="D44" s="117" t="s">
        <v>15</v>
      </c>
      <c r="E44" s="107">
        <v>0.2</v>
      </c>
      <c r="F44" s="118">
        <f>E44*F41</f>
        <v>0.2</v>
      </c>
      <c r="G44" s="89"/>
      <c r="H44" s="71">
        <f t="shared" si="0"/>
        <v>0</v>
      </c>
      <c r="I44" s="103"/>
      <c r="J44" s="72">
        <f t="shared" si="12"/>
        <v>0</v>
      </c>
      <c r="K44" s="103"/>
      <c r="L44" s="72">
        <f t="shared" si="13"/>
        <v>0</v>
      </c>
      <c r="M44" s="72">
        <f t="shared" si="3"/>
        <v>0</v>
      </c>
    </row>
    <row r="45" spans="1:13" s="105" customFormat="1" ht="19.899999999999999" customHeight="1">
      <c r="A45" s="106">
        <f t="shared" si="14"/>
        <v>8.3999999999999986</v>
      </c>
      <c r="B45" s="90"/>
      <c r="C45" s="64" t="s">
        <v>579</v>
      </c>
      <c r="D45" s="63" t="s">
        <v>14</v>
      </c>
      <c r="E45" s="107">
        <v>1.07</v>
      </c>
      <c r="F45" s="118">
        <f>E45*F41</f>
        <v>1.07</v>
      </c>
      <c r="G45" s="78"/>
      <c r="H45" s="71">
        <f t="shared" si="0"/>
        <v>0</v>
      </c>
      <c r="I45" s="103"/>
      <c r="J45" s="72">
        <f t="shared" si="12"/>
        <v>0</v>
      </c>
      <c r="K45" s="103"/>
      <c r="L45" s="72">
        <f t="shared" si="13"/>
        <v>0</v>
      </c>
      <c r="M45" s="72">
        <f t="shared" si="3"/>
        <v>0</v>
      </c>
    </row>
    <row r="46" spans="1:13" ht="60" customHeight="1">
      <c r="A46" s="120" t="s">
        <v>128</v>
      </c>
      <c r="B46" s="120"/>
      <c r="C46" s="121" t="s">
        <v>561</v>
      </c>
      <c r="D46" s="120" t="s">
        <v>11</v>
      </c>
      <c r="E46" s="122"/>
      <c r="F46" s="123">
        <f>SUM(F49:F51)</f>
        <v>10</v>
      </c>
      <c r="G46" s="122"/>
      <c r="H46" s="71">
        <f t="shared" si="0"/>
        <v>0</v>
      </c>
      <c r="I46" s="78"/>
      <c r="J46" s="72">
        <f t="shared" si="12"/>
        <v>0</v>
      </c>
      <c r="K46" s="62"/>
      <c r="L46" s="72">
        <f t="shared" si="13"/>
        <v>0</v>
      </c>
      <c r="M46" s="72">
        <f t="shared" si="3"/>
        <v>0</v>
      </c>
    </row>
    <row r="47" spans="1:13" ht="19.899999999999999" customHeight="1">
      <c r="A47" s="106">
        <f>A46+0.1</f>
        <v>9.1</v>
      </c>
      <c r="B47" s="75"/>
      <c r="C47" s="76" t="s">
        <v>50</v>
      </c>
      <c r="D47" s="108" t="s">
        <v>13</v>
      </c>
      <c r="E47" s="109">
        <v>0.38900000000000001</v>
      </c>
      <c r="F47" s="71">
        <f>E47*F46</f>
        <v>3.89</v>
      </c>
      <c r="G47" s="109"/>
      <c r="H47" s="71">
        <f t="shared" si="0"/>
        <v>0</v>
      </c>
      <c r="I47" s="78"/>
      <c r="J47" s="72">
        <f t="shared" si="12"/>
        <v>0</v>
      </c>
      <c r="K47" s="62"/>
      <c r="L47" s="72">
        <f t="shared" si="13"/>
        <v>0</v>
      </c>
      <c r="M47" s="72">
        <f t="shared" si="3"/>
        <v>0</v>
      </c>
    </row>
    <row r="48" spans="1:13" ht="19.899999999999999" customHeight="1">
      <c r="A48" s="106">
        <f>A47+0.1</f>
        <v>9.1999999999999993</v>
      </c>
      <c r="B48" s="75"/>
      <c r="C48" s="97" t="s">
        <v>140</v>
      </c>
      <c r="D48" s="108" t="s">
        <v>14</v>
      </c>
      <c r="E48" s="109">
        <v>0.151</v>
      </c>
      <c r="F48" s="71">
        <f>E48*F46</f>
        <v>1.51</v>
      </c>
      <c r="G48" s="109"/>
      <c r="H48" s="71">
        <f t="shared" si="0"/>
        <v>0</v>
      </c>
      <c r="I48" s="78"/>
      <c r="J48" s="72">
        <f t="shared" si="12"/>
        <v>0</v>
      </c>
      <c r="K48" s="89"/>
      <c r="L48" s="72">
        <f t="shared" si="13"/>
        <v>0</v>
      </c>
      <c r="M48" s="72">
        <f t="shared" si="3"/>
        <v>0</v>
      </c>
    </row>
    <row r="49" spans="1:13" ht="19.899999999999999" customHeight="1">
      <c r="A49" s="106">
        <f t="shared" ref="A49:A52" si="15">A48+0.1</f>
        <v>9.2999999999999989</v>
      </c>
      <c r="B49" s="75"/>
      <c r="C49" s="124" t="s">
        <v>562</v>
      </c>
      <c r="D49" s="125" t="s">
        <v>11</v>
      </c>
      <c r="E49" s="109"/>
      <c r="F49" s="126">
        <v>1</v>
      </c>
      <c r="G49" s="109"/>
      <c r="H49" s="71">
        <f t="shared" si="0"/>
        <v>0</v>
      </c>
      <c r="I49" s="78"/>
      <c r="J49" s="72">
        <f t="shared" si="12"/>
        <v>0</v>
      </c>
      <c r="K49" s="62"/>
      <c r="L49" s="72">
        <f t="shared" si="13"/>
        <v>0</v>
      </c>
      <c r="M49" s="72">
        <f t="shared" si="3"/>
        <v>0</v>
      </c>
    </row>
    <row r="50" spans="1:13" ht="19.899999999999999" customHeight="1">
      <c r="A50" s="106">
        <f t="shared" si="15"/>
        <v>9.3999999999999986</v>
      </c>
      <c r="B50" s="75"/>
      <c r="C50" s="124" t="s">
        <v>563</v>
      </c>
      <c r="D50" s="125" t="s">
        <v>11</v>
      </c>
      <c r="E50" s="109"/>
      <c r="F50" s="126">
        <v>5</v>
      </c>
      <c r="G50" s="109"/>
      <c r="H50" s="71">
        <f t="shared" si="0"/>
        <v>0</v>
      </c>
      <c r="I50" s="78"/>
      <c r="J50" s="72">
        <f t="shared" si="12"/>
        <v>0</v>
      </c>
      <c r="K50" s="62"/>
      <c r="L50" s="72">
        <f t="shared" si="13"/>
        <v>0</v>
      </c>
      <c r="M50" s="72">
        <f t="shared" si="3"/>
        <v>0</v>
      </c>
    </row>
    <row r="51" spans="1:13" ht="19.899999999999999" customHeight="1">
      <c r="A51" s="106">
        <f t="shared" si="15"/>
        <v>9.4999999999999982</v>
      </c>
      <c r="B51" s="75"/>
      <c r="C51" s="124" t="s">
        <v>800</v>
      </c>
      <c r="D51" s="125" t="s">
        <v>11</v>
      </c>
      <c r="E51" s="109"/>
      <c r="F51" s="126">
        <v>4</v>
      </c>
      <c r="G51" s="109"/>
      <c r="H51" s="71">
        <f t="shared" si="0"/>
        <v>0</v>
      </c>
      <c r="I51" s="78"/>
      <c r="J51" s="72">
        <f t="shared" si="12"/>
        <v>0</v>
      </c>
      <c r="K51" s="62"/>
      <c r="L51" s="72">
        <f t="shared" si="13"/>
        <v>0</v>
      </c>
      <c r="M51" s="72">
        <f t="shared" si="3"/>
        <v>0</v>
      </c>
    </row>
    <row r="52" spans="1:13" ht="19.899999999999999" customHeight="1">
      <c r="A52" s="106">
        <f t="shared" si="15"/>
        <v>9.5999999999999979</v>
      </c>
      <c r="B52" s="90"/>
      <c r="C52" s="64" t="s">
        <v>579</v>
      </c>
      <c r="D52" s="63" t="s">
        <v>14</v>
      </c>
      <c r="E52" s="109">
        <v>2.4E-2</v>
      </c>
      <c r="F52" s="71">
        <f>E52*F46</f>
        <v>0.24</v>
      </c>
      <c r="G52" s="78"/>
      <c r="H52" s="71">
        <f t="shared" si="0"/>
        <v>0</v>
      </c>
      <c r="I52" s="78"/>
      <c r="J52" s="72">
        <f t="shared" si="12"/>
        <v>0</v>
      </c>
      <c r="K52" s="62"/>
      <c r="L52" s="72">
        <f t="shared" si="13"/>
        <v>0</v>
      </c>
      <c r="M52" s="72">
        <f t="shared" si="3"/>
        <v>0</v>
      </c>
    </row>
    <row r="53" spans="1:13" s="130" customFormat="1" ht="49.9" customHeight="1">
      <c r="A53" s="127" t="s">
        <v>129</v>
      </c>
      <c r="B53" s="127"/>
      <c r="C53" s="128" t="s">
        <v>222</v>
      </c>
      <c r="D53" s="127" t="s">
        <v>49</v>
      </c>
      <c r="E53" s="129"/>
      <c r="F53" s="129">
        <f>F56</f>
        <v>1</v>
      </c>
      <c r="G53" s="69"/>
      <c r="H53" s="71">
        <f t="shared" si="0"/>
        <v>0</v>
      </c>
      <c r="I53" s="69"/>
      <c r="J53" s="72">
        <f t="shared" ref="J53:J58" si="16">F53*I53</f>
        <v>0</v>
      </c>
      <c r="K53" s="69"/>
      <c r="L53" s="72">
        <f t="shared" ref="L53:L58" si="17">F53*K53</f>
        <v>0</v>
      </c>
      <c r="M53" s="72">
        <f t="shared" si="3"/>
        <v>0</v>
      </c>
    </row>
    <row r="54" spans="1:13" s="130" customFormat="1" ht="19.899999999999999" customHeight="1">
      <c r="A54" s="85">
        <f>A53+0.1</f>
        <v>10.1</v>
      </c>
      <c r="B54" s="75"/>
      <c r="C54" s="76" t="s">
        <v>50</v>
      </c>
      <c r="D54" s="131" t="s">
        <v>13</v>
      </c>
      <c r="E54" s="132">
        <v>1.51</v>
      </c>
      <c r="F54" s="132">
        <f>F53*E54</f>
        <v>1.51</v>
      </c>
      <c r="G54" s="62"/>
      <c r="H54" s="71">
        <f t="shared" si="0"/>
        <v>0</v>
      </c>
      <c r="I54" s="62"/>
      <c r="J54" s="72">
        <f t="shared" si="16"/>
        <v>0</v>
      </c>
      <c r="K54" s="62"/>
      <c r="L54" s="72">
        <f t="shared" si="17"/>
        <v>0</v>
      </c>
      <c r="M54" s="72">
        <f t="shared" si="3"/>
        <v>0</v>
      </c>
    </row>
    <row r="55" spans="1:13" s="130" customFormat="1" ht="19.899999999999999" customHeight="1">
      <c r="A55" s="85">
        <f t="shared" ref="A55:A58" si="18">A54+0.1</f>
        <v>10.199999999999999</v>
      </c>
      <c r="B55" s="75"/>
      <c r="C55" s="97" t="s">
        <v>140</v>
      </c>
      <c r="D55" s="131" t="s">
        <v>14</v>
      </c>
      <c r="E55" s="132">
        <v>0.13</v>
      </c>
      <c r="F55" s="132">
        <f>F53*E55</f>
        <v>0.13</v>
      </c>
      <c r="G55" s="62"/>
      <c r="H55" s="71">
        <f t="shared" si="0"/>
        <v>0</v>
      </c>
      <c r="I55" s="62"/>
      <c r="J55" s="72">
        <f t="shared" si="16"/>
        <v>0</v>
      </c>
      <c r="K55" s="89"/>
      <c r="L55" s="72">
        <f t="shared" si="17"/>
        <v>0</v>
      </c>
      <c r="M55" s="72">
        <f t="shared" si="3"/>
        <v>0</v>
      </c>
    </row>
    <row r="56" spans="1:13" s="130" customFormat="1" ht="19.899999999999999" customHeight="1">
      <c r="A56" s="85">
        <f t="shared" si="18"/>
        <v>10.299999999999999</v>
      </c>
      <c r="B56" s="131"/>
      <c r="C56" s="133" t="s">
        <v>223</v>
      </c>
      <c r="D56" s="134" t="s">
        <v>49</v>
      </c>
      <c r="E56" s="132"/>
      <c r="F56" s="132">
        <v>1</v>
      </c>
      <c r="G56" s="62"/>
      <c r="H56" s="71">
        <f t="shared" si="0"/>
        <v>0</v>
      </c>
      <c r="I56" s="62"/>
      <c r="J56" s="72">
        <f t="shared" si="16"/>
        <v>0</v>
      </c>
      <c r="K56" s="62"/>
      <c r="L56" s="72">
        <f t="shared" si="17"/>
        <v>0</v>
      </c>
      <c r="M56" s="72">
        <f t="shared" si="3"/>
        <v>0</v>
      </c>
    </row>
    <row r="57" spans="1:13" s="130" customFormat="1" ht="19.899999999999999" customHeight="1">
      <c r="A57" s="85">
        <f t="shared" si="18"/>
        <v>10.399999999999999</v>
      </c>
      <c r="B57" s="131"/>
      <c r="C57" s="133" t="s">
        <v>224</v>
      </c>
      <c r="D57" s="134" t="s">
        <v>21</v>
      </c>
      <c r="E57" s="132">
        <v>1.1000000000000001</v>
      </c>
      <c r="F57" s="132">
        <f>F53*E57</f>
        <v>1.1000000000000001</v>
      </c>
      <c r="G57" s="62"/>
      <c r="H57" s="71">
        <f t="shared" si="0"/>
        <v>0</v>
      </c>
      <c r="I57" s="62"/>
      <c r="J57" s="72">
        <f t="shared" si="16"/>
        <v>0</v>
      </c>
      <c r="K57" s="62"/>
      <c r="L57" s="72">
        <f t="shared" si="17"/>
        <v>0</v>
      </c>
      <c r="M57" s="72">
        <f t="shared" si="3"/>
        <v>0</v>
      </c>
    </row>
    <row r="58" spans="1:13" s="130" customFormat="1" ht="19.899999999999999" customHeight="1">
      <c r="A58" s="85">
        <f t="shared" si="18"/>
        <v>10.499999999999998</v>
      </c>
      <c r="B58" s="90"/>
      <c r="C58" s="64" t="s">
        <v>579</v>
      </c>
      <c r="D58" s="63" t="s">
        <v>14</v>
      </c>
      <c r="E58" s="132">
        <v>7.0000000000000007E-2</v>
      </c>
      <c r="F58" s="132">
        <f>F53*E58</f>
        <v>7.0000000000000007E-2</v>
      </c>
      <c r="G58" s="78"/>
      <c r="H58" s="71">
        <f t="shared" si="0"/>
        <v>0</v>
      </c>
      <c r="I58" s="62"/>
      <c r="J58" s="72">
        <f t="shared" si="16"/>
        <v>0</v>
      </c>
      <c r="K58" s="62"/>
      <c r="L58" s="72">
        <f t="shared" si="17"/>
        <v>0</v>
      </c>
      <c r="M58" s="72">
        <f t="shared" si="3"/>
        <v>0</v>
      </c>
    </row>
    <row r="59" spans="1:13" ht="19.899999999999999" customHeight="1">
      <c r="A59" s="66"/>
      <c r="B59" s="135"/>
      <c r="C59" s="68" t="s">
        <v>142</v>
      </c>
      <c r="D59" s="67" t="s">
        <v>14</v>
      </c>
      <c r="E59" s="69"/>
      <c r="F59" s="69"/>
      <c r="G59" s="69"/>
      <c r="H59" s="69">
        <f>SUM(H8:H58)</f>
        <v>0</v>
      </c>
      <c r="I59" s="136"/>
      <c r="J59" s="69">
        <f>SUM(J8:J58)</f>
        <v>0</v>
      </c>
      <c r="K59" s="136"/>
      <c r="L59" s="69">
        <f>SUM(L8:L58)</f>
        <v>0</v>
      </c>
      <c r="M59" s="69">
        <f>SUM(M8:M58)</f>
        <v>0</v>
      </c>
    </row>
    <row r="60" spans="1:13" ht="19.899999999999999" customHeight="1">
      <c r="A60" s="66"/>
      <c r="B60" s="63"/>
      <c r="C60" s="64" t="s">
        <v>149</v>
      </c>
      <c r="D60" s="137" t="s">
        <v>874</v>
      </c>
      <c r="E60" s="62"/>
      <c r="F60" s="62">
        <v>0</v>
      </c>
      <c r="G60" s="62"/>
      <c r="H60" s="86"/>
      <c r="I60" s="86"/>
      <c r="J60" s="86"/>
      <c r="K60" s="86"/>
      <c r="L60" s="86"/>
      <c r="M60" s="69">
        <f>H59*F60</f>
        <v>0</v>
      </c>
    </row>
    <row r="61" spans="1:13" ht="19.899999999999999" customHeight="1">
      <c r="A61" s="66"/>
      <c r="B61" s="63"/>
      <c r="C61" s="64" t="s">
        <v>143</v>
      </c>
      <c r="D61" s="63"/>
      <c r="E61" s="62"/>
      <c r="F61" s="62"/>
      <c r="G61" s="62"/>
      <c r="H61" s="86"/>
      <c r="I61" s="86"/>
      <c r="J61" s="86"/>
      <c r="K61" s="86"/>
      <c r="L61" s="86"/>
      <c r="M61" s="69">
        <f>M60+M59</f>
        <v>0</v>
      </c>
    </row>
    <row r="62" spans="1:13" ht="19.899999999999999" customHeight="1">
      <c r="A62" s="66"/>
      <c r="B62" s="63"/>
      <c r="C62" s="64" t="s">
        <v>144</v>
      </c>
      <c r="D62" s="137" t="s">
        <v>874</v>
      </c>
      <c r="E62" s="62"/>
      <c r="F62" s="62">
        <v>0</v>
      </c>
      <c r="G62" s="62"/>
      <c r="H62" s="86"/>
      <c r="I62" s="86"/>
      <c r="J62" s="86"/>
      <c r="K62" s="86"/>
      <c r="L62" s="86"/>
      <c r="M62" s="69">
        <f>M61*F62</f>
        <v>0</v>
      </c>
    </row>
    <row r="63" spans="1:13" ht="19.899999999999999" customHeight="1">
      <c r="A63" s="66"/>
      <c r="B63" s="63"/>
      <c r="C63" s="64" t="s">
        <v>39</v>
      </c>
      <c r="D63" s="63"/>
      <c r="E63" s="62"/>
      <c r="F63" s="62"/>
      <c r="G63" s="62"/>
      <c r="H63" s="86"/>
      <c r="I63" s="86"/>
      <c r="J63" s="86"/>
      <c r="K63" s="86"/>
      <c r="L63" s="86"/>
      <c r="M63" s="69">
        <f>SUM(M61:M62)</f>
        <v>0</v>
      </c>
    </row>
    <row r="64" spans="1:13" ht="19.899999999999999" customHeight="1">
      <c r="A64" s="66"/>
      <c r="B64" s="63"/>
      <c r="C64" s="64" t="s">
        <v>145</v>
      </c>
      <c r="D64" s="137" t="s">
        <v>874</v>
      </c>
      <c r="E64" s="62"/>
      <c r="F64" s="62">
        <v>0</v>
      </c>
      <c r="G64" s="62"/>
      <c r="H64" s="86"/>
      <c r="I64" s="86"/>
      <c r="J64" s="86"/>
      <c r="K64" s="86"/>
      <c r="L64" s="86"/>
      <c r="M64" s="69">
        <f>M63*F64</f>
        <v>0</v>
      </c>
    </row>
    <row r="65" spans="1:13" ht="19.899999999999999" customHeight="1">
      <c r="A65" s="66"/>
      <c r="B65" s="131"/>
      <c r="C65" s="64" t="s">
        <v>39</v>
      </c>
      <c r="D65" s="67"/>
      <c r="E65" s="62"/>
      <c r="F65" s="62"/>
      <c r="G65" s="62"/>
      <c r="H65" s="138"/>
      <c r="I65" s="86"/>
      <c r="J65" s="86"/>
      <c r="K65" s="86"/>
      <c r="L65" s="86"/>
      <c r="M65" s="69">
        <f>SUM(M63:M64)</f>
        <v>0</v>
      </c>
    </row>
    <row r="66" spans="1:13">
      <c r="A66" s="139"/>
      <c r="B66" s="139"/>
      <c r="C66" s="140"/>
      <c r="F66" s="141"/>
      <c r="H66" s="141"/>
      <c r="I66" s="141"/>
      <c r="L66" s="141"/>
      <c r="M66" s="141"/>
    </row>
    <row r="67" spans="1:13">
      <c r="A67" s="142"/>
      <c r="B67" s="56"/>
      <c r="C67" s="1564"/>
      <c r="D67" s="1564"/>
      <c r="E67" s="59"/>
      <c r="F67" s="1673"/>
      <c r="G67" s="1673"/>
      <c r="H67" s="1673"/>
      <c r="I67" s="141"/>
      <c r="L67" s="141"/>
      <c r="M67" s="141"/>
    </row>
  </sheetData>
  <protectedRanges>
    <protectedRange sqref="K8:K14 K32:K37 K39:K47 K49:K52 G59:M65 K24:K30 K16:K22 G8:G52 I8:I52 G58" name="Range1"/>
  </protectedRanges>
  <mergeCells count="14">
    <mergeCell ref="C67:D67"/>
    <mergeCell ref="F67:H67"/>
    <mergeCell ref="A5:A6"/>
    <mergeCell ref="B5:B6"/>
    <mergeCell ref="C5:C6"/>
    <mergeCell ref="D5:D6"/>
    <mergeCell ref="E5:F5"/>
    <mergeCell ref="A1:M1"/>
    <mergeCell ref="A2:M2"/>
    <mergeCell ref="A4:H4"/>
    <mergeCell ref="G5:H5"/>
    <mergeCell ref="I5:J5"/>
    <mergeCell ref="K5:L5"/>
    <mergeCell ref="M5:M6"/>
  </mergeCells>
  <pageMargins left="0.24" right="0.16" top="0.25" bottom="0.33" header="0.12" footer="0.12"/>
  <pageSetup paperSize="9" scale="7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A1:N104"/>
  <sheetViews>
    <sheetView zoomScale="70" zoomScaleNormal="70" zoomScaleSheetLayoutView="80" workbookViewId="0">
      <selection activeCell="K96" sqref="K96"/>
    </sheetView>
  </sheetViews>
  <sheetFormatPr defaultColWidth="8.85546875" defaultRowHeight="18.75"/>
  <cols>
    <col min="1" max="1" width="6.5703125" style="1220" customWidth="1"/>
    <col min="2" max="2" width="13.7109375" style="1220" customWidth="1"/>
    <col min="3" max="3" width="62.42578125" style="1220" customWidth="1"/>
    <col min="4" max="4" width="14.42578125" style="1220" customWidth="1"/>
    <col min="5" max="6" width="14" style="1220" customWidth="1"/>
    <col min="7" max="10" width="12.28515625" style="1220" customWidth="1"/>
    <col min="11" max="11" width="11.28515625" style="1220" customWidth="1"/>
    <col min="12" max="12" width="13.42578125" style="1220" customWidth="1"/>
    <col min="13" max="13" width="15.7109375" style="1220" customWidth="1"/>
    <col min="14" max="16384" width="8.85546875" style="1220"/>
  </cols>
  <sheetData>
    <row r="1" spans="1:14" s="56" customFormat="1" ht="27.6" customHeight="1">
      <c r="A1" s="1560" t="s">
        <v>611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  <c r="L1" s="1560"/>
      <c r="M1" s="1560"/>
    </row>
    <row r="2" spans="1:14" s="56" customFormat="1" ht="27.6" customHeight="1">
      <c r="A2" s="1564" t="s">
        <v>608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</row>
    <row r="3" spans="1:14" s="56" customFormat="1" ht="27.6" customHeight="1">
      <c r="A3" s="1564" t="s">
        <v>630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</row>
    <row r="4" spans="1:14" s="56" customFormat="1" ht="27.6" customHeight="1">
      <c r="A4" s="1564"/>
      <c r="B4" s="1564"/>
      <c r="C4" s="1564"/>
      <c r="D4" s="1564"/>
      <c r="E4" s="1203"/>
      <c r="F4" s="59"/>
      <c r="G4" s="1204"/>
      <c r="H4" s="1204"/>
      <c r="I4" s="1204"/>
      <c r="J4" s="1204"/>
      <c r="K4" s="1204"/>
      <c r="L4" s="1204"/>
      <c r="M4" s="1204"/>
    </row>
    <row r="5" spans="1:14" s="58" customFormat="1" ht="27.6" customHeight="1">
      <c r="A5" s="1565"/>
      <c r="B5" s="1565"/>
      <c r="C5" s="1566"/>
      <c r="D5" s="1565"/>
      <c r="E5" s="1565"/>
      <c r="F5" s="1565"/>
      <c r="G5" s="1565"/>
      <c r="H5" s="1565"/>
      <c r="I5" s="1204"/>
      <c r="J5" s="1204"/>
      <c r="K5" s="1204"/>
      <c r="L5" s="1204"/>
      <c r="M5" s="1204"/>
    </row>
    <row r="6" spans="1:14" s="73" customFormat="1" ht="40.5" customHeight="1">
      <c r="A6" s="1567" t="s">
        <v>153</v>
      </c>
      <c r="B6" s="1568" t="s">
        <v>2</v>
      </c>
      <c r="C6" s="1569" t="s">
        <v>3</v>
      </c>
      <c r="D6" s="1570" t="s">
        <v>4</v>
      </c>
      <c r="E6" s="1571" t="s">
        <v>5</v>
      </c>
      <c r="F6" s="1571"/>
      <c r="G6" s="1561" t="s">
        <v>6</v>
      </c>
      <c r="H6" s="1562"/>
      <c r="I6" s="1561" t="s">
        <v>66</v>
      </c>
      <c r="J6" s="1562"/>
      <c r="K6" s="1561" t="s">
        <v>72</v>
      </c>
      <c r="L6" s="1562"/>
      <c r="M6" s="1563" t="s">
        <v>67</v>
      </c>
    </row>
    <row r="7" spans="1:14" s="73" customFormat="1" ht="61.5" customHeight="1">
      <c r="A7" s="1567"/>
      <c r="B7" s="1568"/>
      <c r="C7" s="1569"/>
      <c r="D7" s="1570"/>
      <c r="E7" s="60" t="s">
        <v>7</v>
      </c>
      <c r="F7" s="60" t="s">
        <v>8</v>
      </c>
      <c r="G7" s="62" t="s">
        <v>9</v>
      </c>
      <c r="H7" s="62" t="s">
        <v>10</v>
      </c>
      <c r="I7" s="62" t="s">
        <v>9</v>
      </c>
      <c r="J7" s="62" t="s">
        <v>10</v>
      </c>
      <c r="K7" s="62" t="s">
        <v>9</v>
      </c>
      <c r="L7" s="62" t="s">
        <v>10</v>
      </c>
      <c r="M7" s="1563"/>
    </row>
    <row r="8" spans="1:14" s="73" customFormat="1">
      <c r="A8" s="338">
        <v>1</v>
      </c>
      <c r="B8" s="63">
        <v>2</v>
      </c>
      <c r="C8" s="184">
        <v>3</v>
      </c>
      <c r="D8" s="63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</row>
    <row r="9" spans="1:14" s="73" customFormat="1">
      <c r="A9" s="338"/>
      <c r="B9" s="1107"/>
      <c r="C9" s="337" t="s">
        <v>606</v>
      </c>
      <c r="D9" s="63"/>
      <c r="E9" s="61"/>
      <c r="F9" s="61"/>
      <c r="G9" s="80"/>
      <c r="H9" s="80"/>
      <c r="I9" s="80"/>
      <c r="J9" s="80"/>
      <c r="K9" s="80"/>
      <c r="L9" s="80"/>
      <c r="M9" s="80"/>
    </row>
    <row r="10" spans="1:14" s="73" customFormat="1" ht="60" customHeight="1">
      <c r="A10" s="236">
        <v>1</v>
      </c>
      <c r="B10" s="1105"/>
      <c r="C10" s="337" t="s">
        <v>607</v>
      </c>
      <c r="D10" s="67" t="s">
        <v>131</v>
      </c>
      <c r="E10" s="91"/>
      <c r="F10" s="91">
        <v>1.22</v>
      </c>
      <c r="G10" s="261"/>
      <c r="H10" s="80"/>
      <c r="I10" s="261"/>
      <c r="J10" s="80">
        <f t="shared" ref="J10:J21" si="0">F10*I10</f>
        <v>0</v>
      </c>
      <c r="K10" s="261"/>
      <c r="L10" s="80">
        <f t="shared" ref="L10:L21" si="1">F10*K10</f>
        <v>0</v>
      </c>
      <c r="M10" s="1332">
        <f t="shared" ref="M10:M21" si="2">H10+J10+L10</f>
        <v>0</v>
      </c>
      <c r="N10" s="239"/>
    </row>
    <row r="11" spans="1:14" s="73" customFormat="1" ht="19.899999999999999" customHeight="1">
      <c r="A11" s="492">
        <f>A10+0.1</f>
        <v>1.1000000000000001</v>
      </c>
      <c r="B11" s="1106"/>
      <c r="C11" s="336" t="s">
        <v>69</v>
      </c>
      <c r="D11" s="131" t="s">
        <v>13</v>
      </c>
      <c r="E11" s="267">
        <v>7.3</v>
      </c>
      <c r="F11" s="268">
        <f>F10*E11</f>
        <v>8.9059999999999988</v>
      </c>
      <c r="G11" s="1291"/>
      <c r="H11" s="80"/>
      <c r="I11" s="1291"/>
      <c r="J11" s="80">
        <f t="shared" si="0"/>
        <v>0</v>
      </c>
      <c r="K11" s="80"/>
      <c r="L11" s="80">
        <f t="shared" si="1"/>
        <v>0</v>
      </c>
      <c r="M11" s="1332">
        <f t="shared" si="2"/>
        <v>0</v>
      </c>
      <c r="N11" s="239"/>
    </row>
    <row r="12" spans="1:14" s="73" customFormat="1" ht="19.899999999999999" customHeight="1">
      <c r="A12" s="492">
        <f>A11+0.1</f>
        <v>1.2000000000000002</v>
      </c>
      <c r="B12" s="1106"/>
      <c r="C12" s="276" t="s">
        <v>117</v>
      </c>
      <c r="D12" s="80" t="s">
        <v>14</v>
      </c>
      <c r="E12" s="267">
        <v>2.9</v>
      </c>
      <c r="F12" s="268">
        <f>F10*E12</f>
        <v>3.5379999999999998</v>
      </c>
      <c r="G12" s="1291"/>
      <c r="H12" s="80"/>
      <c r="I12" s="1291"/>
      <c r="J12" s="80"/>
      <c r="K12" s="80"/>
      <c r="L12" s="80">
        <f t="shared" ref="L12:L17" si="3">F12*K12</f>
        <v>0</v>
      </c>
      <c r="M12" s="1332">
        <f t="shared" ref="M12:M17" si="4">H12+J12+L12</f>
        <v>0</v>
      </c>
      <c r="N12" s="239"/>
    </row>
    <row r="13" spans="1:14" s="73" customFormat="1" ht="60" customHeight="1">
      <c r="A13" s="236">
        <v>2</v>
      </c>
      <c r="B13" s="1105"/>
      <c r="C13" s="337" t="s">
        <v>631</v>
      </c>
      <c r="D13" s="67" t="s">
        <v>63</v>
      </c>
      <c r="E13" s="91"/>
      <c r="F13" s="91">
        <f>1.15*1.95</f>
        <v>2.2424999999999997</v>
      </c>
      <c r="G13" s="261"/>
      <c r="H13" s="80"/>
      <c r="I13" s="261"/>
      <c r="J13" s="80">
        <f t="shared" ref="J13:J14" si="5">F13*I13</f>
        <v>0</v>
      </c>
      <c r="K13" s="261"/>
      <c r="L13" s="80">
        <f t="shared" si="3"/>
        <v>0</v>
      </c>
      <c r="M13" s="1332">
        <f t="shared" si="4"/>
        <v>0</v>
      </c>
      <c r="N13" s="239"/>
    </row>
    <row r="14" spans="1:14" s="73" customFormat="1" ht="19.899999999999999" customHeight="1">
      <c r="A14" s="492">
        <f>A13+0.1</f>
        <v>2.1</v>
      </c>
      <c r="B14" s="1106"/>
      <c r="C14" s="336" t="s">
        <v>69</v>
      </c>
      <c r="D14" s="131" t="s">
        <v>13</v>
      </c>
      <c r="E14" s="267">
        <f>88.7/100</f>
        <v>0.88700000000000001</v>
      </c>
      <c r="F14" s="268">
        <f>F13*E14</f>
        <v>1.9890974999999997</v>
      </c>
      <c r="G14" s="1291"/>
      <c r="H14" s="80"/>
      <c r="I14" s="1291"/>
      <c r="J14" s="80">
        <f t="shared" si="5"/>
        <v>0</v>
      </c>
      <c r="K14" s="80"/>
      <c r="L14" s="80">
        <f t="shared" si="3"/>
        <v>0</v>
      </c>
      <c r="M14" s="1332">
        <f t="shared" si="4"/>
        <v>0</v>
      </c>
      <c r="N14" s="239"/>
    </row>
    <row r="15" spans="1:14" s="73" customFormat="1" ht="19.899999999999999" customHeight="1">
      <c r="A15" s="492">
        <f>A14+0.1</f>
        <v>2.2000000000000002</v>
      </c>
      <c r="B15" s="1106"/>
      <c r="C15" s="276" t="s">
        <v>117</v>
      </c>
      <c r="D15" s="80" t="s">
        <v>14</v>
      </c>
      <c r="E15" s="267">
        <f>9.84/100</f>
        <v>9.8400000000000001E-2</v>
      </c>
      <c r="F15" s="268">
        <f>F13*E15</f>
        <v>0.22066199999999997</v>
      </c>
      <c r="G15" s="1291"/>
      <c r="H15" s="80"/>
      <c r="I15" s="1291"/>
      <c r="J15" s="80"/>
      <c r="K15" s="80"/>
      <c r="L15" s="80">
        <f t="shared" ref="L15" si="6">F15*K15</f>
        <v>0</v>
      </c>
      <c r="M15" s="1332">
        <f t="shared" ref="M15" si="7">H15+J15+L15</f>
        <v>0</v>
      </c>
      <c r="N15" s="239"/>
    </row>
    <row r="16" spans="1:14" s="73" customFormat="1" ht="60" customHeight="1">
      <c r="A16" s="236">
        <v>3</v>
      </c>
      <c r="B16" s="1105"/>
      <c r="C16" s="337" t="s">
        <v>320</v>
      </c>
      <c r="D16" s="67" t="s">
        <v>43</v>
      </c>
      <c r="E16" s="91"/>
      <c r="F16" s="91">
        <v>20.6</v>
      </c>
      <c r="G16" s="261"/>
      <c r="H16" s="80"/>
      <c r="I16" s="261"/>
      <c r="J16" s="80">
        <f t="shared" ref="J16:J17" si="8">F16*I16</f>
        <v>0</v>
      </c>
      <c r="K16" s="261"/>
      <c r="L16" s="80">
        <f t="shared" si="3"/>
        <v>0</v>
      </c>
      <c r="M16" s="1332">
        <f t="shared" si="4"/>
        <v>0</v>
      </c>
      <c r="N16" s="239"/>
    </row>
    <row r="17" spans="1:14" s="73" customFormat="1" ht="19.899999999999999" customHeight="1">
      <c r="A17" s="492">
        <f>A16+0.1</f>
        <v>3.1</v>
      </c>
      <c r="B17" s="1106"/>
      <c r="C17" s="336" t="s">
        <v>69</v>
      </c>
      <c r="D17" s="131" t="s">
        <v>13</v>
      </c>
      <c r="E17" s="267">
        <f>51.5/100</f>
        <v>0.51500000000000001</v>
      </c>
      <c r="F17" s="268">
        <f>F16*E17</f>
        <v>10.609000000000002</v>
      </c>
      <c r="G17" s="1291"/>
      <c r="H17" s="80"/>
      <c r="I17" s="1291"/>
      <c r="J17" s="80">
        <f t="shared" si="8"/>
        <v>0</v>
      </c>
      <c r="K17" s="80"/>
      <c r="L17" s="80">
        <f t="shared" si="3"/>
        <v>0</v>
      </c>
      <c r="M17" s="1332">
        <f t="shared" si="4"/>
        <v>0</v>
      </c>
      <c r="N17" s="239"/>
    </row>
    <row r="18" spans="1:14" s="73" customFormat="1" ht="19.899999999999999" customHeight="1">
      <c r="A18" s="492">
        <f>A17+0.1</f>
        <v>3.2</v>
      </c>
      <c r="B18" s="1106"/>
      <c r="C18" s="276" t="s">
        <v>117</v>
      </c>
      <c r="D18" s="80" t="s">
        <v>14</v>
      </c>
      <c r="E18" s="267">
        <f>3.8/100</f>
        <v>3.7999999999999999E-2</v>
      </c>
      <c r="F18" s="268">
        <f>F16*E18</f>
        <v>0.78280000000000005</v>
      </c>
      <c r="G18" s="1291"/>
      <c r="H18" s="80"/>
      <c r="I18" s="1291"/>
      <c r="J18" s="80"/>
      <c r="K18" s="80"/>
      <c r="L18" s="80">
        <f t="shared" ref="L18" si="9">F18*K18</f>
        <v>0</v>
      </c>
      <c r="M18" s="1332">
        <f t="shared" ref="M18" si="10">H18+J18+L18</f>
        <v>0</v>
      </c>
      <c r="N18" s="239"/>
    </row>
    <row r="19" spans="1:14" s="73" customFormat="1" ht="60" customHeight="1">
      <c r="A19" s="236">
        <v>4</v>
      </c>
      <c r="B19" s="1105"/>
      <c r="C19" s="337" t="s">
        <v>315</v>
      </c>
      <c r="D19" s="67" t="s">
        <v>104</v>
      </c>
      <c r="E19" s="91"/>
      <c r="F19" s="69">
        <f>F10*0.04*2.75+F13*0.07*0.6+F16*0.015*2.4</f>
        <v>0.96998499999999988</v>
      </c>
      <c r="G19" s="261"/>
      <c r="H19" s="80">
        <f t="shared" ref="H19:H21" si="11">F19*G19</f>
        <v>0</v>
      </c>
      <c r="I19" s="261"/>
      <c r="J19" s="80">
        <f t="shared" si="0"/>
        <v>0</v>
      </c>
      <c r="K19" s="261"/>
      <c r="L19" s="80">
        <f t="shared" si="1"/>
        <v>0</v>
      </c>
      <c r="M19" s="1332">
        <f t="shared" si="2"/>
        <v>0</v>
      </c>
      <c r="N19" s="239"/>
    </row>
    <row r="20" spans="1:14" s="73" customFormat="1" ht="19.899999999999999" customHeight="1">
      <c r="A20" s="492">
        <f>A19+0.1</f>
        <v>4.0999999999999996</v>
      </c>
      <c r="B20" s="1106"/>
      <c r="C20" s="336" t="s">
        <v>69</v>
      </c>
      <c r="D20" s="131" t="s">
        <v>13</v>
      </c>
      <c r="E20" s="1122">
        <v>0.53</v>
      </c>
      <c r="F20" s="1123">
        <f>F19*E20</f>
        <v>0.51409204999999991</v>
      </c>
      <c r="G20" s="1333"/>
      <c r="H20" s="80">
        <f t="shared" si="11"/>
        <v>0</v>
      </c>
      <c r="I20" s="1333"/>
      <c r="J20" s="80">
        <f t="shared" si="0"/>
        <v>0</v>
      </c>
      <c r="K20" s="80"/>
      <c r="L20" s="80">
        <f t="shared" si="1"/>
        <v>0</v>
      </c>
      <c r="M20" s="1332">
        <f t="shared" si="2"/>
        <v>0</v>
      </c>
      <c r="N20" s="239"/>
    </row>
    <row r="21" spans="1:14" s="73" customFormat="1" ht="19.899999999999999" customHeight="1">
      <c r="A21" s="492">
        <f>A20+0.1</f>
        <v>4.1999999999999993</v>
      </c>
      <c r="B21" s="1107"/>
      <c r="C21" s="184" t="s">
        <v>158</v>
      </c>
      <c r="D21" s="63" t="s">
        <v>104</v>
      </c>
      <c r="E21" s="1124">
        <v>1</v>
      </c>
      <c r="F21" s="1123">
        <f>F19*E21</f>
        <v>0.96998499999999988</v>
      </c>
      <c r="G21" s="1333"/>
      <c r="H21" s="80">
        <f t="shared" si="11"/>
        <v>0</v>
      </c>
      <c r="I21" s="80"/>
      <c r="J21" s="80">
        <f t="shared" si="0"/>
        <v>0</v>
      </c>
      <c r="K21" s="1334"/>
      <c r="L21" s="80">
        <f t="shared" si="1"/>
        <v>0</v>
      </c>
      <c r="M21" s="1332">
        <f t="shared" si="2"/>
        <v>0</v>
      </c>
      <c r="N21" s="239"/>
    </row>
    <row r="22" spans="1:14" s="73" customFormat="1" ht="19.899999999999999" customHeight="1">
      <c r="A22" s="492"/>
      <c r="B22" s="1107"/>
      <c r="C22" s="184" t="s">
        <v>632</v>
      </c>
      <c r="D22" s="63"/>
      <c r="E22" s="1124"/>
      <c r="F22" s="1123"/>
      <c r="G22" s="1333"/>
      <c r="H22" s="80"/>
      <c r="I22" s="80"/>
      <c r="J22" s="80"/>
      <c r="K22" s="1334"/>
      <c r="L22" s="80"/>
      <c r="M22" s="1332"/>
      <c r="N22" s="239"/>
    </row>
    <row r="23" spans="1:14" s="73" customFormat="1" ht="19.899999999999999" customHeight="1">
      <c r="A23" s="492"/>
      <c r="B23" s="1107"/>
      <c r="C23" s="185" t="s">
        <v>633</v>
      </c>
      <c r="D23" s="63"/>
      <c r="E23" s="1124"/>
      <c r="F23" s="1123"/>
      <c r="G23" s="1333"/>
      <c r="H23" s="80"/>
      <c r="I23" s="80"/>
      <c r="J23" s="80"/>
      <c r="K23" s="1334"/>
      <c r="L23" s="80"/>
      <c r="M23" s="1332"/>
      <c r="N23" s="239"/>
    </row>
    <row r="24" spans="1:14" s="385" customFormat="1" ht="66.599999999999994" customHeight="1">
      <c r="A24" s="1205">
        <v>1</v>
      </c>
      <c r="B24" s="379"/>
      <c r="C24" s="378" t="s">
        <v>327</v>
      </c>
      <c r="D24" s="388" t="s">
        <v>43</v>
      </c>
      <c r="E24" s="361">
        <f>21/1.65/1.18</f>
        <v>10.785824345146381</v>
      </c>
      <c r="F24" s="362">
        <v>20.6</v>
      </c>
      <c r="G24" s="1335"/>
      <c r="H24" s="80">
        <f t="shared" ref="H24:H34" si="12">F24*G24</f>
        <v>0</v>
      </c>
      <c r="I24" s="1300"/>
      <c r="J24" s="80">
        <f t="shared" ref="J24:J34" si="13">F24*I24</f>
        <v>0</v>
      </c>
      <c r="K24" s="1336"/>
      <c r="L24" s="80">
        <f>F24*K24</f>
        <v>0</v>
      </c>
      <c r="M24" s="1332">
        <f>H24+J24+L24</f>
        <v>0</v>
      </c>
    </row>
    <row r="25" spans="1:14" s="386" customFormat="1" ht="20.100000000000001" customHeight="1">
      <c r="A25" s="367">
        <f>A24+0.1</f>
        <v>1.1000000000000001</v>
      </c>
      <c r="B25" s="63"/>
      <c r="C25" s="336" t="s">
        <v>23</v>
      </c>
      <c r="D25" s="131" t="s">
        <v>43</v>
      </c>
      <c r="E25" s="393">
        <v>1</v>
      </c>
      <c r="F25" s="382">
        <f>F24*E25</f>
        <v>20.6</v>
      </c>
      <c r="G25" s="1335"/>
      <c r="H25" s="80">
        <f t="shared" si="12"/>
        <v>0</v>
      </c>
      <c r="I25" s="1337"/>
      <c r="J25" s="80">
        <f t="shared" si="13"/>
        <v>0</v>
      </c>
      <c r="K25" s="1216"/>
      <c r="L25" s="80">
        <f>F25*K25</f>
        <v>0</v>
      </c>
      <c r="M25" s="1332">
        <f>H25+J25+L25</f>
        <v>0</v>
      </c>
    </row>
    <row r="26" spans="1:14" s="386" customFormat="1" ht="20.100000000000001" customHeight="1">
      <c r="A26" s="367">
        <f t="shared" ref="A26:A34" si="14">A25+0.1</f>
        <v>1.2000000000000002</v>
      </c>
      <c r="B26" s="63"/>
      <c r="C26" s="336" t="s">
        <v>51</v>
      </c>
      <c r="D26" s="80" t="s">
        <v>14</v>
      </c>
      <c r="E26" s="1206">
        <f>3.5/100</f>
        <v>3.5000000000000003E-2</v>
      </c>
      <c r="F26" s="361">
        <f>F24*E26</f>
        <v>0.72100000000000009</v>
      </c>
      <c r="G26" s="1335"/>
      <c r="H26" s="80">
        <f t="shared" si="12"/>
        <v>0</v>
      </c>
      <c r="I26" s="1300"/>
      <c r="J26" s="80">
        <f t="shared" si="13"/>
        <v>0</v>
      </c>
      <c r="K26" s="1291"/>
      <c r="L26" s="80">
        <f>F26*K26</f>
        <v>0</v>
      </c>
      <c r="M26" s="1332">
        <f>H26+J26+L26</f>
        <v>0</v>
      </c>
    </row>
    <row r="27" spans="1:14" s="386" customFormat="1" ht="20.100000000000001" customHeight="1">
      <c r="A27" s="367">
        <f t="shared" si="14"/>
        <v>1.3000000000000003</v>
      </c>
      <c r="B27" s="383"/>
      <c r="C27" s="371" t="s">
        <v>324</v>
      </c>
      <c r="D27" s="372" t="s">
        <v>11</v>
      </c>
      <c r="E27" s="361">
        <v>15</v>
      </c>
      <c r="F27" s="382">
        <f>F24*E27</f>
        <v>309</v>
      </c>
      <c r="G27" s="1338"/>
      <c r="H27" s="80">
        <f t="shared" si="12"/>
        <v>0</v>
      </c>
      <c r="I27" s="1300"/>
      <c r="J27" s="80">
        <f t="shared" si="13"/>
        <v>0</v>
      </c>
      <c r="K27" s="1216"/>
      <c r="L27" s="80">
        <f>F27*K27</f>
        <v>0</v>
      </c>
      <c r="M27" s="1332">
        <f>H27+J27+L27</f>
        <v>0</v>
      </c>
    </row>
    <row r="28" spans="1:14" s="386" customFormat="1" ht="20.100000000000001" customHeight="1">
      <c r="A28" s="367">
        <f t="shared" si="14"/>
        <v>1.4000000000000004</v>
      </c>
      <c r="B28" s="383"/>
      <c r="C28" s="371" t="s">
        <v>640</v>
      </c>
      <c r="D28" s="372" t="s">
        <v>43</v>
      </c>
      <c r="E28" s="361">
        <v>1.1200000000000001</v>
      </c>
      <c r="F28" s="382">
        <f>F24*E28</f>
        <v>23.072000000000003</v>
      </c>
      <c r="G28" s="1338"/>
      <c r="H28" s="80">
        <f t="shared" si="12"/>
        <v>0</v>
      </c>
      <c r="I28" s="1300"/>
      <c r="J28" s="80">
        <f t="shared" si="13"/>
        <v>0</v>
      </c>
      <c r="K28" s="1216"/>
      <c r="L28" s="80">
        <f t="shared" ref="L28:L34" si="15">F28*K28</f>
        <v>0</v>
      </c>
      <c r="M28" s="1332">
        <f t="shared" ref="M28:M34" si="16">H28+J28+L28</f>
        <v>0</v>
      </c>
    </row>
    <row r="29" spans="1:14" s="386" customFormat="1" ht="20.100000000000001" customHeight="1">
      <c r="A29" s="367">
        <f t="shared" si="14"/>
        <v>1.5000000000000004</v>
      </c>
      <c r="B29" s="383"/>
      <c r="C29" s="371" t="s">
        <v>325</v>
      </c>
      <c r="D29" s="372" t="s">
        <v>11</v>
      </c>
      <c r="E29" s="361" t="s">
        <v>20</v>
      </c>
      <c r="F29" s="382">
        <v>16</v>
      </c>
      <c r="G29" s="1338"/>
      <c r="H29" s="80">
        <f t="shared" si="12"/>
        <v>0</v>
      </c>
      <c r="I29" s="1300"/>
      <c r="J29" s="80">
        <f t="shared" si="13"/>
        <v>0</v>
      </c>
      <c r="K29" s="1216"/>
      <c r="L29" s="80">
        <f t="shared" si="15"/>
        <v>0</v>
      </c>
      <c r="M29" s="1332">
        <f t="shared" si="16"/>
        <v>0</v>
      </c>
    </row>
    <row r="30" spans="1:14" s="386" customFormat="1" ht="20.100000000000001" customHeight="1">
      <c r="A30" s="367">
        <f t="shared" si="14"/>
        <v>1.6000000000000005</v>
      </c>
      <c r="B30" s="1207"/>
      <c r="C30" s="371" t="s">
        <v>89</v>
      </c>
      <c r="D30" s="63" t="s">
        <v>61</v>
      </c>
      <c r="E30" s="1206">
        <f>1.19/100</f>
        <v>1.1899999999999999E-2</v>
      </c>
      <c r="F30" s="361">
        <f>F24*E30</f>
        <v>0.24514</v>
      </c>
      <c r="G30" s="1337"/>
      <c r="H30" s="80">
        <f t="shared" si="12"/>
        <v>0</v>
      </c>
      <c r="I30" s="1300"/>
      <c r="J30" s="80">
        <f t="shared" si="13"/>
        <v>0</v>
      </c>
      <c r="K30" s="1216"/>
      <c r="L30" s="80">
        <f t="shared" si="15"/>
        <v>0</v>
      </c>
      <c r="M30" s="1332">
        <f t="shared" si="16"/>
        <v>0</v>
      </c>
    </row>
    <row r="31" spans="1:14" s="366" customFormat="1" ht="20.100000000000001" customHeight="1">
      <c r="A31" s="367">
        <f t="shared" si="14"/>
        <v>1.7000000000000006</v>
      </c>
      <c r="B31" s="377"/>
      <c r="C31" s="371" t="s">
        <v>252</v>
      </c>
      <c r="D31" s="372" t="s">
        <v>16</v>
      </c>
      <c r="E31" s="1206">
        <f>0.03/100</f>
        <v>2.9999999999999997E-4</v>
      </c>
      <c r="F31" s="393">
        <f>F24*E31</f>
        <v>6.1799999999999997E-3</v>
      </c>
      <c r="G31" s="1338"/>
      <c r="H31" s="80">
        <f t="shared" si="12"/>
        <v>0</v>
      </c>
      <c r="I31" s="1300"/>
      <c r="J31" s="80">
        <f t="shared" si="13"/>
        <v>0</v>
      </c>
      <c r="K31" s="1216"/>
      <c r="L31" s="80">
        <f t="shared" si="15"/>
        <v>0</v>
      </c>
      <c r="M31" s="1332">
        <f t="shared" si="16"/>
        <v>0</v>
      </c>
    </row>
    <row r="32" spans="1:14" s="366" customFormat="1" ht="20.100000000000001" customHeight="1">
      <c r="A32" s="367">
        <f t="shared" si="14"/>
        <v>1.8000000000000007</v>
      </c>
      <c r="B32" s="383"/>
      <c r="C32" s="371" t="s">
        <v>90</v>
      </c>
      <c r="D32" s="372" t="s">
        <v>21</v>
      </c>
      <c r="E32" s="361">
        <v>0.15</v>
      </c>
      <c r="F32" s="361">
        <f>F24*E32</f>
        <v>3.0900000000000003</v>
      </c>
      <c r="G32" s="1338"/>
      <c r="H32" s="80">
        <f t="shared" si="12"/>
        <v>0</v>
      </c>
      <c r="I32" s="1300"/>
      <c r="J32" s="80">
        <f t="shared" si="13"/>
        <v>0</v>
      </c>
      <c r="K32" s="1216"/>
      <c r="L32" s="80">
        <f t="shared" si="15"/>
        <v>0</v>
      </c>
      <c r="M32" s="1332">
        <f t="shared" si="16"/>
        <v>0</v>
      </c>
    </row>
    <row r="33" spans="1:14" s="366" customFormat="1" ht="20.100000000000001" customHeight="1">
      <c r="A33" s="367">
        <f t="shared" si="14"/>
        <v>1.9000000000000008</v>
      </c>
      <c r="B33" s="383"/>
      <c r="C33" s="371" t="s">
        <v>326</v>
      </c>
      <c r="D33" s="372" t="s">
        <v>11</v>
      </c>
      <c r="E33" s="361">
        <v>15</v>
      </c>
      <c r="F33" s="1208">
        <f>F24*E33</f>
        <v>309</v>
      </c>
      <c r="G33" s="1338"/>
      <c r="H33" s="80">
        <f t="shared" si="12"/>
        <v>0</v>
      </c>
      <c r="I33" s="1300"/>
      <c r="J33" s="80">
        <f t="shared" si="13"/>
        <v>0</v>
      </c>
      <c r="K33" s="1216"/>
      <c r="L33" s="80">
        <f t="shared" si="15"/>
        <v>0</v>
      </c>
      <c r="M33" s="1332">
        <f t="shared" si="16"/>
        <v>0</v>
      </c>
    </row>
    <row r="34" spans="1:14" s="366" customFormat="1" ht="20.100000000000001" customHeight="1">
      <c r="A34" s="367">
        <f t="shared" si="14"/>
        <v>2.0000000000000009</v>
      </c>
      <c r="B34" s="377"/>
      <c r="C34" s="376" t="s">
        <v>119</v>
      </c>
      <c r="D34" s="377" t="s">
        <v>14</v>
      </c>
      <c r="E34" s="1206">
        <f>8.16/100</f>
        <v>8.1600000000000006E-2</v>
      </c>
      <c r="F34" s="361">
        <f>F24*E34</f>
        <v>1.6809600000000002</v>
      </c>
      <c r="G34" s="1216"/>
      <c r="H34" s="80">
        <f t="shared" si="12"/>
        <v>0</v>
      </c>
      <c r="I34" s="1300"/>
      <c r="J34" s="80">
        <f t="shared" si="13"/>
        <v>0</v>
      </c>
      <c r="K34" s="1216"/>
      <c r="L34" s="80">
        <f t="shared" si="15"/>
        <v>0</v>
      </c>
      <c r="M34" s="1332">
        <f t="shared" si="16"/>
        <v>0</v>
      </c>
    </row>
    <row r="35" spans="1:14" s="73" customFormat="1" ht="19.899999999999999" customHeight="1">
      <c r="A35" s="492"/>
      <c r="B35" s="1106"/>
      <c r="C35" s="275" t="s">
        <v>634</v>
      </c>
      <c r="D35" s="1125"/>
      <c r="E35" s="1126"/>
      <c r="F35" s="302"/>
      <c r="G35" s="1294"/>
      <c r="H35" s="80"/>
      <c r="I35" s="1294"/>
      <c r="J35" s="80"/>
      <c r="K35" s="1294"/>
      <c r="L35" s="80"/>
      <c r="M35" s="1332"/>
      <c r="N35" s="239"/>
    </row>
    <row r="36" spans="1:14" s="73" customFormat="1" ht="60" customHeight="1">
      <c r="A36" s="236">
        <v>1</v>
      </c>
      <c r="B36" s="1105"/>
      <c r="C36" s="337" t="s">
        <v>330</v>
      </c>
      <c r="D36" s="67" t="s">
        <v>15</v>
      </c>
      <c r="E36" s="91"/>
      <c r="F36" s="91">
        <v>3.198</v>
      </c>
      <c r="G36" s="1339"/>
      <c r="H36" s="1340">
        <f t="shared" ref="H36:H39" si="17">F36*G36</f>
        <v>0</v>
      </c>
      <c r="I36" s="1339"/>
      <c r="J36" s="1340">
        <f t="shared" ref="J36:J39" si="18">F36*I36</f>
        <v>0</v>
      </c>
      <c r="K36" s="1339"/>
      <c r="L36" s="1340">
        <f t="shared" ref="L36:L39" si="19">F36*K36</f>
        <v>0</v>
      </c>
      <c r="M36" s="1341">
        <f t="shared" ref="M36:M39" si="20">H36+J36+L36</f>
        <v>0</v>
      </c>
      <c r="N36" s="239"/>
    </row>
    <row r="37" spans="1:14" s="56" customFormat="1" ht="19.899999999999999" customHeight="1">
      <c r="A37" s="492">
        <f>A36+0.1</f>
        <v>1.1000000000000001</v>
      </c>
      <c r="B37" s="1106"/>
      <c r="C37" s="336" t="s">
        <v>69</v>
      </c>
      <c r="D37" s="131" t="s">
        <v>13</v>
      </c>
      <c r="E37" s="493">
        <v>2.06</v>
      </c>
      <c r="F37" s="62">
        <f>F36*E37</f>
        <v>6.5878800000000002</v>
      </c>
      <c r="G37" s="1340"/>
      <c r="H37" s="1340">
        <f t="shared" si="17"/>
        <v>0</v>
      </c>
      <c r="I37" s="1340"/>
      <c r="J37" s="1340">
        <f t="shared" si="18"/>
        <v>0</v>
      </c>
      <c r="K37" s="1340"/>
      <c r="L37" s="1340">
        <f t="shared" si="19"/>
        <v>0</v>
      </c>
      <c r="M37" s="1341">
        <f t="shared" si="20"/>
        <v>0</v>
      </c>
      <c r="N37" s="239"/>
    </row>
    <row r="38" spans="1:14" s="73" customFormat="1" ht="60" customHeight="1">
      <c r="A38" s="236">
        <v>2</v>
      </c>
      <c r="B38" s="1105"/>
      <c r="C38" s="337" t="s">
        <v>124</v>
      </c>
      <c r="D38" s="67" t="s">
        <v>16</v>
      </c>
      <c r="E38" s="91"/>
      <c r="F38" s="69">
        <f>F36*1.85</f>
        <v>5.9163000000000006</v>
      </c>
      <c r="G38" s="1339"/>
      <c r="H38" s="1340">
        <f t="shared" si="17"/>
        <v>0</v>
      </c>
      <c r="I38" s="1339"/>
      <c r="J38" s="1340">
        <f t="shared" si="18"/>
        <v>0</v>
      </c>
      <c r="K38" s="1339"/>
      <c r="L38" s="1340">
        <f t="shared" si="19"/>
        <v>0</v>
      </c>
      <c r="M38" s="1341">
        <f t="shared" si="20"/>
        <v>0</v>
      </c>
      <c r="N38" s="239"/>
    </row>
    <row r="39" spans="1:14" s="56" customFormat="1" ht="19.899999999999999" customHeight="1">
      <c r="A39" s="1209">
        <f>A38+0.1</f>
        <v>2.1</v>
      </c>
      <c r="B39" s="1107"/>
      <c r="C39" s="184" t="s">
        <v>331</v>
      </c>
      <c r="D39" s="63" t="s">
        <v>104</v>
      </c>
      <c r="E39" s="61">
        <v>1</v>
      </c>
      <c r="F39" s="61">
        <f>F38*E39</f>
        <v>5.9163000000000006</v>
      </c>
      <c r="G39" s="1340"/>
      <c r="H39" s="1340">
        <f t="shared" si="17"/>
        <v>0</v>
      </c>
      <c r="I39" s="1340"/>
      <c r="J39" s="1340">
        <f t="shared" si="18"/>
        <v>0</v>
      </c>
      <c r="K39" s="1342"/>
      <c r="L39" s="1340">
        <f t="shared" si="19"/>
        <v>0</v>
      </c>
      <c r="M39" s="1341">
        <f t="shared" si="20"/>
        <v>0</v>
      </c>
      <c r="N39" s="239"/>
    </row>
    <row r="40" spans="1:14" s="73" customFormat="1" ht="60" customHeight="1">
      <c r="A40" s="236">
        <v>3</v>
      </c>
      <c r="B40" s="1105"/>
      <c r="C40" s="337" t="s">
        <v>116</v>
      </c>
      <c r="D40" s="67" t="s">
        <v>61</v>
      </c>
      <c r="E40" s="91"/>
      <c r="F40" s="91">
        <f>12.3*0.1</f>
        <v>1.2300000000000002</v>
      </c>
      <c r="G40" s="261"/>
      <c r="H40" s="80">
        <f t="shared" ref="H40:H51" si="21">F40*G40</f>
        <v>0</v>
      </c>
      <c r="I40" s="261"/>
      <c r="J40" s="80">
        <f t="shared" ref="J40:J51" si="22">F40*I40</f>
        <v>0</v>
      </c>
      <c r="K40" s="261"/>
      <c r="L40" s="80">
        <f t="shared" ref="L40:L51" si="23">F40*K40</f>
        <v>0</v>
      </c>
      <c r="M40" s="1332">
        <f t="shared" ref="M40:M51" si="24">H40+J40+L40</f>
        <v>0</v>
      </c>
      <c r="N40" s="239"/>
    </row>
    <row r="41" spans="1:14" s="58" customFormat="1" ht="19.899999999999999" customHeight="1">
      <c r="A41" s="240">
        <f>A40+0.1</f>
        <v>3.1</v>
      </c>
      <c r="B41" s="1106"/>
      <c r="C41" s="336" t="s">
        <v>69</v>
      </c>
      <c r="D41" s="131" t="s">
        <v>13</v>
      </c>
      <c r="E41" s="132">
        <v>3.16</v>
      </c>
      <c r="F41" s="242">
        <f>E41*F40</f>
        <v>3.8868000000000009</v>
      </c>
      <c r="G41" s="1337"/>
      <c r="H41" s="80">
        <f t="shared" si="21"/>
        <v>0</v>
      </c>
      <c r="I41" s="80"/>
      <c r="J41" s="80">
        <f t="shared" si="22"/>
        <v>0</v>
      </c>
      <c r="K41" s="80"/>
      <c r="L41" s="80">
        <f t="shared" si="23"/>
        <v>0</v>
      </c>
      <c r="M41" s="1332">
        <f t="shared" si="24"/>
        <v>0</v>
      </c>
      <c r="N41" s="239"/>
    </row>
    <row r="42" spans="1:14" s="56" customFormat="1" ht="19.899999999999999" customHeight="1">
      <c r="A42" s="240">
        <f>A41+0.1</f>
        <v>3.2</v>
      </c>
      <c r="B42" s="63"/>
      <c r="C42" s="336" t="s">
        <v>59</v>
      </c>
      <c r="D42" s="63" t="s">
        <v>61</v>
      </c>
      <c r="E42" s="132">
        <v>1.25</v>
      </c>
      <c r="F42" s="62">
        <f>E42*F40</f>
        <v>1.5375000000000003</v>
      </c>
      <c r="G42" s="1343"/>
      <c r="H42" s="80">
        <f t="shared" si="21"/>
        <v>0</v>
      </c>
      <c r="I42" s="80"/>
      <c r="J42" s="80">
        <f t="shared" si="22"/>
        <v>0</v>
      </c>
      <c r="K42" s="80"/>
      <c r="L42" s="80">
        <f t="shared" si="23"/>
        <v>0</v>
      </c>
      <c r="M42" s="1332">
        <f t="shared" si="24"/>
        <v>0</v>
      </c>
      <c r="N42" s="239"/>
    </row>
    <row r="43" spans="1:14" s="56" customFormat="1" ht="19.899999999999999" customHeight="1">
      <c r="A43" s="240">
        <f>A42+0.1</f>
        <v>3.3000000000000003</v>
      </c>
      <c r="B43" s="1107"/>
      <c r="C43" s="276" t="s">
        <v>119</v>
      </c>
      <c r="D43" s="80" t="s">
        <v>1</v>
      </c>
      <c r="E43" s="93">
        <v>1E-3</v>
      </c>
      <c r="F43" s="93">
        <f>E43*F40</f>
        <v>1.2300000000000002E-3</v>
      </c>
      <c r="G43" s="108"/>
      <c r="H43" s="80">
        <f t="shared" si="21"/>
        <v>0</v>
      </c>
      <c r="I43" s="80"/>
      <c r="J43" s="80">
        <f t="shared" si="22"/>
        <v>0</v>
      </c>
      <c r="K43" s="80"/>
      <c r="L43" s="80">
        <f t="shared" si="23"/>
        <v>0</v>
      </c>
      <c r="M43" s="1332">
        <f t="shared" si="24"/>
        <v>0</v>
      </c>
      <c r="N43" s="239"/>
    </row>
    <row r="44" spans="1:14" s="73" customFormat="1" ht="60" customHeight="1">
      <c r="A44" s="236">
        <v>4</v>
      </c>
      <c r="B44" s="1105"/>
      <c r="C44" s="337" t="s">
        <v>321</v>
      </c>
      <c r="D44" s="67" t="s">
        <v>61</v>
      </c>
      <c r="E44" s="91"/>
      <c r="F44" s="91">
        <f>12.3*0.1</f>
        <v>1.2300000000000002</v>
      </c>
      <c r="G44" s="261"/>
      <c r="H44" s="80">
        <f t="shared" si="21"/>
        <v>0</v>
      </c>
      <c r="I44" s="261"/>
      <c r="J44" s="80">
        <f t="shared" si="22"/>
        <v>0</v>
      </c>
      <c r="K44" s="261"/>
      <c r="L44" s="80">
        <f t="shared" si="23"/>
        <v>0</v>
      </c>
      <c r="M44" s="1332">
        <f t="shared" si="24"/>
        <v>0</v>
      </c>
      <c r="N44" s="239"/>
    </row>
    <row r="45" spans="1:14" s="56" customFormat="1" ht="19.899999999999999" customHeight="1">
      <c r="A45" s="240">
        <f t="shared" ref="A45:A51" si="25">A44+0.1</f>
        <v>4.0999999999999996</v>
      </c>
      <c r="B45" s="1106"/>
      <c r="C45" s="336" t="s">
        <v>69</v>
      </c>
      <c r="D45" s="131" t="s">
        <v>13</v>
      </c>
      <c r="E45" s="61">
        <v>1.87</v>
      </c>
      <c r="F45" s="62">
        <f>F44*E45</f>
        <v>2.3001000000000005</v>
      </c>
      <c r="G45" s="1337"/>
      <c r="H45" s="80">
        <f t="shared" si="21"/>
        <v>0</v>
      </c>
      <c r="I45" s="80"/>
      <c r="J45" s="80">
        <f t="shared" si="22"/>
        <v>0</v>
      </c>
      <c r="K45" s="80"/>
      <c r="L45" s="80">
        <f t="shared" si="23"/>
        <v>0</v>
      </c>
      <c r="M45" s="1332">
        <f t="shared" si="24"/>
        <v>0</v>
      </c>
      <c r="N45" s="239"/>
    </row>
    <row r="46" spans="1:14" s="56" customFormat="1" ht="19.899999999999999" customHeight="1">
      <c r="A46" s="240">
        <f t="shared" si="25"/>
        <v>4.1999999999999993</v>
      </c>
      <c r="B46" s="1106"/>
      <c r="C46" s="276" t="s">
        <v>117</v>
      </c>
      <c r="D46" s="80" t="s">
        <v>14</v>
      </c>
      <c r="E46" s="61">
        <v>0.77</v>
      </c>
      <c r="F46" s="62">
        <f>F44*E46</f>
        <v>0.94710000000000016</v>
      </c>
      <c r="G46" s="80"/>
      <c r="H46" s="80">
        <f t="shared" si="21"/>
        <v>0</v>
      </c>
      <c r="I46" s="80"/>
      <c r="J46" s="80">
        <f t="shared" si="22"/>
        <v>0</v>
      </c>
      <c r="K46" s="1294"/>
      <c r="L46" s="80">
        <f t="shared" si="23"/>
        <v>0</v>
      </c>
      <c r="M46" s="1332">
        <f t="shared" si="24"/>
        <v>0</v>
      </c>
      <c r="N46" s="239"/>
    </row>
    <row r="47" spans="1:14" s="56" customFormat="1" ht="19.899999999999999" customHeight="1">
      <c r="A47" s="240">
        <f t="shared" si="25"/>
        <v>4.2999999999999989</v>
      </c>
      <c r="B47" s="131"/>
      <c r="C47" s="184" t="s">
        <v>74</v>
      </c>
      <c r="D47" s="63" t="s">
        <v>61</v>
      </c>
      <c r="E47" s="61">
        <v>1.0149999999999999</v>
      </c>
      <c r="F47" s="62">
        <f>E47*F44</f>
        <v>1.2484500000000001</v>
      </c>
      <c r="G47" s="1334"/>
      <c r="H47" s="80">
        <f t="shared" si="21"/>
        <v>0</v>
      </c>
      <c r="I47" s="80"/>
      <c r="J47" s="80">
        <f t="shared" si="22"/>
        <v>0</v>
      </c>
      <c r="K47" s="80"/>
      <c r="L47" s="80">
        <f t="shared" si="23"/>
        <v>0</v>
      </c>
      <c r="M47" s="1332">
        <f t="shared" si="24"/>
        <v>0</v>
      </c>
      <c r="N47" s="239"/>
    </row>
    <row r="48" spans="1:14" s="56" customFormat="1" ht="19.899999999999999" customHeight="1">
      <c r="A48" s="240">
        <f t="shared" si="25"/>
        <v>4.3999999999999986</v>
      </c>
      <c r="B48" s="131"/>
      <c r="C48" s="184" t="s">
        <v>635</v>
      </c>
      <c r="D48" s="63" t="s">
        <v>43</v>
      </c>
      <c r="E48" s="61">
        <v>10</v>
      </c>
      <c r="F48" s="93">
        <f>F44*E48</f>
        <v>12.300000000000002</v>
      </c>
      <c r="G48" s="1343"/>
      <c r="H48" s="80">
        <f t="shared" si="21"/>
        <v>0</v>
      </c>
      <c r="I48" s="80"/>
      <c r="J48" s="80">
        <f t="shared" si="22"/>
        <v>0</v>
      </c>
      <c r="K48" s="80"/>
      <c r="L48" s="80">
        <f t="shared" si="23"/>
        <v>0</v>
      </c>
      <c r="M48" s="1332">
        <f t="shared" si="24"/>
        <v>0</v>
      </c>
      <c r="N48" s="239"/>
    </row>
    <row r="49" spans="1:14" s="56" customFormat="1" ht="19.899999999999999" customHeight="1">
      <c r="A49" s="240">
        <f t="shared" si="25"/>
        <v>4.4999999999999982</v>
      </c>
      <c r="B49" s="131"/>
      <c r="C49" s="184" t="s">
        <v>81</v>
      </c>
      <c r="D49" s="63" t="s">
        <v>811</v>
      </c>
      <c r="E49" s="61">
        <f>7.54/100</f>
        <v>7.5399999999999995E-2</v>
      </c>
      <c r="F49" s="62">
        <f>E49*F44</f>
        <v>9.2742000000000005E-2</v>
      </c>
      <c r="G49" s="1344"/>
      <c r="H49" s="80">
        <f t="shared" si="21"/>
        <v>0</v>
      </c>
      <c r="I49" s="80"/>
      <c r="J49" s="80">
        <f t="shared" si="22"/>
        <v>0</v>
      </c>
      <c r="K49" s="80"/>
      <c r="L49" s="80">
        <f t="shared" si="23"/>
        <v>0</v>
      </c>
      <c r="M49" s="1332">
        <f t="shared" si="24"/>
        <v>0</v>
      </c>
      <c r="N49" s="239"/>
    </row>
    <row r="50" spans="1:14" s="304" customFormat="1" ht="19.899999999999999" customHeight="1">
      <c r="A50" s="240">
        <f t="shared" si="25"/>
        <v>4.5999999999999979</v>
      </c>
      <c r="B50" s="206"/>
      <c r="C50" s="184" t="s">
        <v>82</v>
      </c>
      <c r="D50" s="63" t="s">
        <v>61</v>
      </c>
      <c r="E50" s="61">
        <f>0.08/100</f>
        <v>8.0000000000000004E-4</v>
      </c>
      <c r="F50" s="62">
        <f>E50*F44</f>
        <v>9.8400000000000028E-4</v>
      </c>
      <c r="G50" s="1343"/>
      <c r="H50" s="80">
        <f t="shared" si="21"/>
        <v>0</v>
      </c>
      <c r="I50" s="80"/>
      <c r="J50" s="80">
        <f t="shared" si="22"/>
        <v>0</v>
      </c>
      <c r="K50" s="80"/>
      <c r="L50" s="80">
        <f t="shared" si="23"/>
        <v>0</v>
      </c>
      <c r="M50" s="1332">
        <f t="shared" si="24"/>
        <v>0</v>
      </c>
      <c r="N50" s="239"/>
    </row>
    <row r="51" spans="1:14" s="305" customFormat="1" ht="19.899999999999999" customHeight="1">
      <c r="A51" s="240">
        <f t="shared" si="25"/>
        <v>4.6999999999999975</v>
      </c>
      <c r="B51" s="1107"/>
      <c r="C51" s="276" t="s">
        <v>119</v>
      </c>
      <c r="D51" s="63" t="s">
        <v>14</v>
      </c>
      <c r="E51" s="61">
        <v>7.0000000000000007E-2</v>
      </c>
      <c r="F51" s="62">
        <f>E51*F44</f>
        <v>8.6100000000000024E-2</v>
      </c>
      <c r="G51" s="108"/>
      <c r="H51" s="80">
        <f t="shared" si="21"/>
        <v>0</v>
      </c>
      <c r="I51" s="80"/>
      <c r="J51" s="80">
        <f t="shared" si="22"/>
        <v>0</v>
      </c>
      <c r="K51" s="80"/>
      <c r="L51" s="80">
        <f t="shared" si="23"/>
        <v>0</v>
      </c>
      <c r="M51" s="1332">
        <f t="shared" si="24"/>
        <v>0</v>
      </c>
      <c r="N51" s="239"/>
    </row>
    <row r="52" spans="1:14" s="73" customFormat="1" ht="60" customHeight="1">
      <c r="A52" s="236">
        <v>5</v>
      </c>
      <c r="B52" s="1105"/>
      <c r="C52" s="275" t="s">
        <v>322</v>
      </c>
      <c r="D52" s="67" t="s">
        <v>813</v>
      </c>
      <c r="E52" s="91"/>
      <c r="F52" s="341">
        <v>12.3</v>
      </c>
      <c r="G52" s="261"/>
      <c r="H52" s="80">
        <f t="shared" ref="H52:H59" si="26">F52*G52</f>
        <v>0</v>
      </c>
      <c r="I52" s="261"/>
      <c r="J52" s="1289">
        <f t="shared" ref="J52:J59" si="27">F52*I52</f>
        <v>0</v>
      </c>
      <c r="K52" s="261"/>
      <c r="L52" s="1289">
        <f t="shared" ref="L52:L59" si="28">F52*K52</f>
        <v>0</v>
      </c>
      <c r="M52" s="1289">
        <f t="shared" ref="M52:M59" si="29">H52+J52+L52</f>
        <v>0</v>
      </c>
      <c r="N52" s="239"/>
    </row>
    <row r="53" spans="1:14" s="58" customFormat="1" ht="19.899999999999999" customHeight="1">
      <c r="A53" s="240">
        <f>A52+0.1</f>
        <v>5.0999999999999996</v>
      </c>
      <c r="B53" s="1106"/>
      <c r="C53" s="336" t="s">
        <v>69</v>
      </c>
      <c r="D53" s="131" t="s">
        <v>63</v>
      </c>
      <c r="E53" s="252">
        <v>1</v>
      </c>
      <c r="F53" s="268">
        <f>E53*F52</f>
        <v>12.3</v>
      </c>
      <c r="G53" s="1337"/>
      <c r="H53" s="80">
        <f t="shared" si="26"/>
        <v>0</v>
      </c>
      <c r="I53" s="80"/>
      <c r="J53" s="1289">
        <f t="shared" si="27"/>
        <v>0</v>
      </c>
      <c r="K53" s="80"/>
      <c r="L53" s="1289">
        <f t="shared" si="28"/>
        <v>0</v>
      </c>
      <c r="M53" s="1289">
        <f t="shared" si="29"/>
        <v>0</v>
      </c>
      <c r="N53" s="239"/>
    </row>
    <row r="54" spans="1:14" s="58" customFormat="1" ht="19.899999999999999" customHeight="1">
      <c r="A54" s="240">
        <f t="shared" ref="A54:A57" si="30">A53+0.1</f>
        <v>5.1999999999999993</v>
      </c>
      <c r="B54" s="1106"/>
      <c r="C54" s="276" t="s">
        <v>117</v>
      </c>
      <c r="D54" s="80" t="s">
        <v>14</v>
      </c>
      <c r="E54" s="271">
        <v>0.1</v>
      </c>
      <c r="F54" s="268">
        <f>E54*F52</f>
        <v>1.2300000000000002</v>
      </c>
      <c r="G54" s="80"/>
      <c r="H54" s="80">
        <f t="shared" si="26"/>
        <v>0</v>
      </c>
      <c r="I54" s="80"/>
      <c r="J54" s="1289">
        <f t="shared" si="27"/>
        <v>0</v>
      </c>
      <c r="K54" s="1294"/>
      <c r="L54" s="1289">
        <f t="shared" si="28"/>
        <v>0</v>
      </c>
      <c r="M54" s="1289">
        <f t="shared" si="29"/>
        <v>0</v>
      </c>
      <c r="N54" s="239"/>
    </row>
    <row r="55" spans="1:14" s="58" customFormat="1" ht="19.899999999999999" customHeight="1">
      <c r="A55" s="240">
        <f t="shared" si="30"/>
        <v>5.2999999999999989</v>
      </c>
      <c r="B55" s="131"/>
      <c r="C55" s="336" t="s">
        <v>323</v>
      </c>
      <c r="D55" s="80" t="s">
        <v>15</v>
      </c>
      <c r="E55" s="252">
        <v>0.1</v>
      </c>
      <c r="F55" s="268">
        <f>F52*E55</f>
        <v>1.2300000000000002</v>
      </c>
      <c r="G55" s="1345"/>
      <c r="H55" s="80">
        <f t="shared" si="26"/>
        <v>0</v>
      </c>
      <c r="I55" s="80"/>
      <c r="J55" s="1289">
        <f t="shared" si="27"/>
        <v>0</v>
      </c>
      <c r="K55" s="80"/>
      <c r="L55" s="1289">
        <f t="shared" si="28"/>
        <v>0</v>
      </c>
      <c r="M55" s="1289">
        <f t="shared" si="29"/>
        <v>0</v>
      </c>
      <c r="N55" s="239"/>
    </row>
    <row r="56" spans="1:14" s="58" customFormat="1" ht="19.899999999999999" customHeight="1">
      <c r="A56" s="240">
        <f t="shared" si="30"/>
        <v>5.3999999999999986</v>
      </c>
      <c r="B56" s="115"/>
      <c r="C56" s="336" t="s">
        <v>83</v>
      </c>
      <c r="D56" s="80" t="s">
        <v>21</v>
      </c>
      <c r="E56" s="268">
        <v>8</v>
      </c>
      <c r="F56" s="268">
        <f>E56*F52</f>
        <v>98.4</v>
      </c>
      <c r="G56" s="1345"/>
      <c r="H56" s="80">
        <f t="shared" si="26"/>
        <v>0</v>
      </c>
      <c r="I56" s="80"/>
      <c r="J56" s="1289">
        <f t="shared" si="27"/>
        <v>0</v>
      </c>
      <c r="K56" s="80"/>
      <c r="L56" s="1289">
        <f t="shared" si="28"/>
        <v>0</v>
      </c>
      <c r="M56" s="1289">
        <f t="shared" si="29"/>
        <v>0</v>
      </c>
      <c r="N56" s="239"/>
    </row>
    <row r="57" spans="1:14" s="58" customFormat="1" ht="19.899999999999999" customHeight="1">
      <c r="A57" s="240">
        <f t="shared" si="30"/>
        <v>5.4999999999999982</v>
      </c>
      <c r="B57" s="1107"/>
      <c r="C57" s="276" t="s">
        <v>119</v>
      </c>
      <c r="D57" s="131" t="s">
        <v>14</v>
      </c>
      <c r="E57" s="252">
        <v>0.44</v>
      </c>
      <c r="F57" s="268">
        <f>E57*F52</f>
        <v>5.4119999999999999</v>
      </c>
      <c r="G57" s="108"/>
      <c r="H57" s="80">
        <f t="shared" si="26"/>
        <v>0</v>
      </c>
      <c r="I57" s="80"/>
      <c r="J57" s="1289">
        <f t="shared" si="27"/>
        <v>0</v>
      </c>
      <c r="K57" s="80"/>
      <c r="L57" s="1289">
        <f t="shared" si="28"/>
        <v>0</v>
      </c>
      <c r="M57" s="1289">
        <f t="shared" si="29"/>
        <v>0</v>
      </c>
      <c r="N57" s="239"/>
    </row>
    <row r="58" spans="1:14" s="58" customFormat="1" ht="34.9" customHeight="1">
      <c r="A58" s="240"/>
      <c r="B58" s="1107"/>
      <c r="C58" s="275" t="s">
        <v>636</v>
      </c>
      <c r="D58" s="131"/>
      <c r="E58" s="252"/>
      <c r="F58" s="268"/>
      <c r="G58" s="108"/>
      <c r="H58" s="80"/>
      <c r="I58" s="80"/>
      <c r="J58" s="1289"/>
      <c r="K58" s="80"/>
      <c r="L58" s="1289"/>
      <c r="M58" s="1289"/>
      <c r="N58" s="239"/>
    </row>
    <row r="59" spans="1:14" s="73" customFormat="1" ht="60" customHeight="1">
      <c r="A59" s="236">
        <v>1</v>
      </c>
      <c r="B59" s="1105"/>
      <c r="C59" s="337" t="s">
        <v>637</v>
      </c>
      <c r="D59" s="67" t="s">
        <v>43</v>
      </c>
      <c r="E59" s="91">
        <f>380+133</f>
        <v>513</v>
      </c>
      <c r="F59" s="69">
        <f>1.15*1.95</f>
        <v>2.2424999999999997</v>
      </c>
      <c r="G59" s="1339"/>
      <c r="H59" s="1340">
        <f t="shared" si="26"/>
        <v>0</v>
      </c>
      <c r="I59" s="1339"/>
      <c r="J59" s="1340">
        <f t="shared" si="27"/>
        <v>0</v>
      </c>
      <c r="K59" s="1339"/>
      <c r="L59" s="1340">
        <f t="shared" si="28"/>
        <v>0</v>
      </c>
      <c r="M59" s="1341">
        <f t="shared" si="29"/>
        <v>0</v>
      </c>
      <c r="N59" s="239"/>
    </row>
    <row r="60" spans="1:14" s="56" customFormat="1" ht="19.899999999999999" customHeight="1">
      <c r="A60" s="240">
        <f>A59+0.1</f>
        <v>1.1000000000000001</v>
      </c>
      <c r="B60" s="1106"/>
      <c r="C60" s="336" t="s">
        <v>69</v>
      </c>
      <c r="D60" s="131" t="s">
        <v>11</v>
      </c>
      <c r="E60" s="252" t="s">
        <v>20</v>
      </c>
      <c r="F60" s="268">
        <f>F59/1.15/2.3</f>
        <v>0.84782608695652184</v>
      </c>
      <c r="G60" s="1337"/>
      <c r="H60" s="80">
        <f t="shared" ref="H60:H64" si="31">F60*G60</f>
        <v>0</v>
      </c>
      <c r="I60" s="80"/>
      <c r="J60" s="1289">
        <f t="shared" ref="J60:J64" si="32">F60*I60</f>
        <v>0</v>
      </c>
      <c r="K60" s="80"/>
      <c r="L60" s="1289">
        <f t="shared" ref="L60:L64" si="33">F60*K60</f>
        <v>0</v>
      </c>
      <c r="M60" s="1289">
        <f t="shared" ref="M60:M64" si="34">H60+J60+L60</f>
        <v>0</v>
      </c>
    </row>
    <row r="61" spans="1:14" s="56" customFormat="1" ht="19.899999999999999" customHeight="1">
      <c r="A61" s="240">
        <f t="shared" ref="A61:A64" si="35">A60+0.1</f>
        <v>1.2000000000000002</v>
      </c>
      <c r="B61" s="1106"/>
      <c r="C61" s="276" t="s">
        <v>117</v>
      </c>
      <c r="D61" s="80" t="s">
        <v>14</v>
      </c>
      <c r="E61" s="271">
        <v>0.35299999999999998</v>
      </c>
      <c r="F61" s="268">
        <f>E61*F59</f>
        <v>0.79160249999999988</v>
      </c>
      <c r="G61" s="80"/>
      <c r="H61" s="80">
        <f t="shared" si="31"/>
        <v>0</v>
      </c>
      <c r="I61" s="80"/>
      <c r="J61" s="1289">
        <f t="shared" si="32"/>
        <v>0</v>
      </c>
      <c r="K61" s="1294"/>
      <c r="L61" s="1289">
        <f t="shared" si="33"/>
        <v>0</v>
      </c>
      <c r="M61" s="1289">
        <f t="shared" si="34"/>
        <v>0</v>
      </c>
    </row>
    <row r="62" spans="1:14" s="56" customFormat="1" ht="43.5" customHeight="1">
      <c r="A62" s="240">
        <f t="shared" si="35"/>
        <v>1.3000000000000003</v>
      </c>
      <c r="B62" s="115"/>
      <c r="C62" s="336" t="s">
        <v>776</v>
      </c>
      <c r="D62" s="80" t="s">
        <v>43</v>
      </c>
      <c r="E62" s="252">
        <v>1</v>
      </c>
      <c r="F62" s="268">
        <f>F59*E62</f>
        <v>2.2424999999999997</v>
      </c>
      <c r="G62" s="1345"/>
      <c r="H62" s="80">
        <f t="shared" si="31"/>
        <v>0</v>
      </c>
      <c r="I62" s="80"/>
      <c r="J62" s="1289">
        <f t="shared" si="32"/>
        <v>0</v>
      </c>
      <c r="K62" s="80"/>
      <c r="L62" s="1289">
        <f t="shared" si="33"/>
        <v>0</v>
      </c>
      <c r="M62" s="1289">
        <f t="shared" si="34"/>
        <v>0</v>
      </c>
    </row>
    <row r="63" spans="1:14" s="56" customFormat="1" ht="21" customHeight="1">
      <c r="A63" s="240">
        <f t="shared" si="35"/>
        <v>1.4000000000000004</v>
      </c>
      <c r="B63" s="115"/>
      <c r="C63" s="336" t="s">
        <v>627</v>
      </c>
      <c r="D63" s="80" t="s">
        <v>11</v>
      </c>
      <c r="E63" s="252">
        <v>0.22</v>
      </c>
      <c r="F63" s="268">
        <f>E63*F59</f>
        <v>0.49334999999999996</v>
      </c>
      <c r="G63" s="1345"/>
      <c r="H63" s="80">
        <f t="shared" si="31"/>
        <v>0</v>
      </c>
      <c r="I63" s="80"/>
      <c r="J63" s="1289">
        <f t="shared" si="32"/>
        <v>0</v>
      </c>
      <c r="K63" s="80"/>
      <c r="L63" s="1289">
        <f t="shared" si="33"/>
        <v>0</v>
      </c>
      <c r="M63" s="1289">
        <f t="shared" si="34"/>
        <v>0</v>
      </c>
    </row>
    <row r="64" spans="1:14" s="56" customFormat="1" ht="19.899999999999999" customHeight="1">
      <c r="A64" s="240">
        <f t="shared" si="35"/>
        <v>1.5000000000000004</v>
      </c>
      <c r="B64" s="1107"/>
      <c r="C64" s="276" t="s">
        <v>119</v>
      </c>
      <c r="D64" s="131" t="s">
        <v>14</v>
      </c>
      <c r="E64" s="252">
        <v>0.27600000000000002</v>
      </c>
      <c r="F64" s="268">
        <f>E64*F59</f>
        <v>0.61892999999999998</v>
      </c>
      <c r="G64" s="108"/>
      <c r="H64" s="80">
        <f t="shared" si="31"/>
        <v>0</v>
      </c>
      <c r="I64" s="80"/>
      <c r="J64" s="1289">
        <f t="shared" si="32"/>
        <v>0</v>
      </c>
      <c r="K64" s="80"/>
      <c r="L64" s="1289">
        <f t="shared" si="33"/>
        <v>0</v>
      </c>
      <c r="M64" s="1289">
        <f t="shared" si="34"/>
        <v>0</v>
      </c>
    </row>
    <row r="65" spans="1:14" s="1108" customFormat="1" ht="50.1" customHeight="1">
      <c r="A65" s="1210">
        <f>A59+1</f>
        <v>2</v>
      </c>
      <c r="B65" s="127"/>
      <c r="C65" s="128" t="s">
        <v>775</v>
      </c>
      <c r="D65" s="127" t="s">
        <v>834</v>
      </c>
      <c r="E65" s="190"/>
      <c r="F65" s="150">
        <f>F59*2</f>
        <v>4.4849999999999994</v>
      </c>
      <c r="G65" s="261"/>
      <c r="H65" s="261"/>
      <c r="I65" s="80"/>
      <c r="J65" s="80">
        <f t="shared" ref="J65:J70" si="36">I65*F65</f>
        <v>0</v>
      </c>
      <c r="K65" s="1300"/>
      <c r="L65" s="80">
        <f t="shared" ref="L65:L70" si="37">K65*F65</f>
        <v>0</v>
      </c>
      <c r="M65" s="80">
        <f t="shared" ref="M65:M70" si="38">L65+J65+H65</f>
        <v>0</v>
      </c>
    </row>
    <row r="66" spans="1:14" s="58" customFormat="1" ht="19.5" customHeight="1">
      <c r="A66" s="248">
        <f>A65+0.1</f>
        <v>2.1</v>
      </c>
      <c r="B66" s="131"/>
      <c r="C66" s="191" t="s">
        <v>23</v>
      </c>
      <c r="D66" s="131" t="s">
        <v>13</v>
      </c>
      <c r="E66" s="156">
        <v>0.74099999999999999</v>
      </c>
      <c r="F66" s="186">
        <f>E66*F65</f>
        <v>3.3233849999999996</v>
      </c>
      <c r="G66" s="80"/>
      <c r="H66" s="80">
        <f t="shared" ref="H66:H70" si="39">F66*G66</f>
        <v>0</v>
      </c>
      <c r="I66" s="80"/>
      <c r="J66" s="80">
        <f t="shared" si="36"/>
        <v>0</v>
      </c>
      <c r="K66" s="80"/>
      <c r="L66" s="80">
        <f t="shared" si="37"/>
        <v>0</v>
      </c>
      <c r="M66" s="80">
        <f t="shared" si="38"/>
        <v>0</v>
      </c>
    </row>
    <row r="67" spans="1:14" s="58" customFormat="1" ht="19.5" customHeight="1">
      <c r="A67" s="248">
        <f t="shared" ref="A67:A70" si="40">A66+0.1</f>
        <v>2.2000000000000002</v>
      </c>
      <c r="B67" s="131"/>
      <c r="C67" s="191" t="s">
        <v>51</v>
      </c>
      <c r="D67" s="80" t="s">
        <v>14</v>
      </c>
      <c r="E67" s="1111">
        <v>1E-3</v>
      </c>
      <c r="F67" s="1111">
        <f>E67*F65</f>
        <v>4.4849999999999994E-3</v>
      </c>
      <c r="G67" s="80"/>
      <c r="H67" s="80">
        <f t="shared" si="39"/>
        <v>0</v>
      </c>
      <c r="I67" s="80"/>
      <c r="J67" s="80">
        <f t="shared" si="36"/>
        <v>0</v>
      </c>
      <c r="K67" s="80"/>
      <c r="L67" s="80">
        <f t="shared" si="37"/>
        <v>0</v>
      </c>
      <c r="M67" s="80">
        <f t="shared" si="38"/>
        <v>0</v>
      </c>
    </row>
    <row r="68" spans="1:14" s="58" customFormat="1" ht="39.75" customHeight="1">
      <c r="A68" s="248">
        <f t="shared" si="40"/>
        <v>2.3000000000000003</v>
      </c>
      <c r="B68" s="206"/>
      <c r="C68" s="64" t="s">
        <v>638</v>
      </c>
      <c r="D68" s="63" t="s">
        <v>21</v>
      </c>
      <c r="E68" s="156" t="s">
        <v>91</v>
      </c>
      <c r="F68" s="153">
        <f>F65*0.5</f>
        <v>2.2424999999999997</v>
      </c>
      <c r="G68" s="80"/>
      <c r="H68" s="80">
        <f t="shared" si="39"/>
        <v>0</v>
      </c>
      <c r="I68" s="80"/>
      <c r="J68" s="80">
        <f t="shared" si="36"/>
        <v>0</v>
      </c>
      <c r="K68" s="80"/>
      <c r="L68" s="80">
        <f t="shared" si="37"/>
        <v>0</v>
      </c>
      <c r="M68" s="80">
        <f t="shared" si="38"/>
        <v>0</v>
      </c>
    </row>
    <row r="69" spans="1:14" s="58" customFormat="1" ht="19.5" customHeight="1">
      <c r="A69" s="248">
        <f t="shared" si="40"/>
        <v>2.4000000000000004</v>
      </c>
      <c r="B69" s="206"/>
      <c r="C69" s="64" t="s">
        <v>332</v>
      </c>
      <c r="D69" s="80" t="s">
        <v>21</v>
      </c>
      <c r="E69" s="156">
        <v>0.82</v>
      </c>
      <c r="F69" s="186">
        <f>F65*E69</f>
        <v>3.6776999999999993</v>
      </c>
      <c r="G69" s="80"/>
      <c r="H69" s="80">
        <f t="shared" si="39"/>
        <v>0</v>
      </c>
      <c r="I69" s="80"/>
      <c r="J69" s="80">
        <f t="shared" si="36"/>
        <v>0</v>
      </c>
      <c r="K69" s="80"/>
      <c r="L69" s="80">
        <f t="shared" si="37"/>
        <v>0</v>
      </c>
      <c r="M69" s="80">
        <f t="shared" si="38"/>
        <v>0</v>
      </c>
    </row>
    <row r="70" spans="1:14" s="1108" customFormat="1" ht="19.5" customHeight="1">
      <c r="A70" s="248">
        <f t="shared" si="40"/>
        <v>2.5000000000000004</v>
      </c>
      <c r="B70" s="131"/>
      <c r="C70" s="64" t="s">
        <v>333</v>
      </c>
      <c r="D70" s="80" t="s">
        <v>1</v>
      </c>
      <c r="E70" s="1111">
        <v>1.7000000000000001E-2</v>
      </c>
      <c r="F70" s="156">
        <f>E70*F65</f>
        <v>7.6244999999999993E-2</v>
      </c>
      <c r="G70" s="80"/>
      <c r="H70" s="80">
        <f t="shared" si="39"/>
        <v>0</v>
      </c>
      <c r="I70" s="80"/>
      <c r="J70" s="80">
        <f t="shared" si="36"/>
        <v>0</v>
      </c>
      <c r="K70" s="1300"/>
      <c r="L70" s="80">
        <f t="shared" si="37"/>
        <v>0</v>
      </c>
      <c r="M70" s="80">
        <f t="shared" si="38"/>
        <v>0</v>
      </c>
    </row>
    <row r="71" spans="1:14" s="58" customFormat="1" ht="19.899999999999999" customHeight="1">
      <c r="A71" s="240"/>
      <c r="B71" s="1107"/>
      <c r="C71" s="275" t="s">
        <v>639</v>
      </c>
      <c r="D71" s="131"/>
      <c r="E71" s="252"/>
      <c r="F71" s="268"/>
      <c r="G71" s="108"/>
      <c r="H71" s="80"/>
      <c r="I71" s="80"/>
      <c r="J71" s="1289"/>
      <c r="K71" s="80"/>
      <c r="L71" s="1289"/>
      <c r="M71" s="1289"/>
      <c r="N71" s="239"/>
    </row>
    <row r="72" spans="1:14" s="73" customFormat="1" ht="66.75" customHeight="1">
      <c r="A72" s="236">
        <v>1</v>
      </c>
      <c r="B72" s="1105"/>
      <c r="C72" s="275" t="s">
        <v>777</v>
      </c>
      <c r="D72" s="67" t="s">
        <v>43</v>
      </c>
      <c r="E72" s="91"/>
      <c r="F72" s="91">
        <v>64.900000000000006</v>
      </c>
      <c r="G72" s="261"/>
      <c r="H72" s="80"/>
      <c r="I72" s="261"/>
      <c r="J72" s="80">
        <f t="shared" ref="J72:J82" si="41">F72*I72</f>
        <v>0</v>
      </c>
      <c r="K72" s="261"/>
      <c r="L72" s="80">
        <f t="shared" ref="L72:L83" si="42">F72*K72</f>
        <v>0</v>
      </c>
      <c r="M72" s="1332">
        <f t="shared" ref="M72:M83" si="43">H72+J72+L72</f>
        <v>0</v>
      </c>
      <c r="N72" s="239"/>
    </row>
    <row r="73" spans="1:14" s="73" customFormat="1" ht="19.899999999999999" customHeight="1">
      <c r="A73" s="492">
        <f>A72+0.1</f>
        <v>1.1000000000000001</v>
      </c>
      <c r="B73" s="1106"/>
      <c r="C73" s="336" t="s">
        <v>69</v>
      </c>
      <c r="D73" s="131" t="s">
        <v>13</v>
      </c>
      <c r="E73" s="267">
        <f>25.8/100</f>
        <v>0.25800000000000001</v>
      </c>
      <c r="F73" s="268">
        <f>F72*E73</f>
        <v>16.744200000000003</v>
      </c>
      <c r="G73" s="1291"/>
      <c r="H73" s="80"/>
      <c r="I73" s="1291"/>
      <c r="J73" s="80">
        <f t="shared" si="41"/>
        <v>0</v>
      </c>
      <c r="K73" s="80"/>
      <c r="L73" s="80">
        <f t="shared" si="42"/>
        <v>0</v>
      </c>
      <c r="M73" s="1332">
        <f t="shared" si="43"/>
        <v>0</v>
      </c>
      <c r="N73" s="239"/>
    </row>
    <row r="74" spans="1:14" s="73" customFormat="1" ht="19.899999999999999" customHeight="1">
      <c r="A74" s="492">
        <f>A73+0.1</f>
        <v>1.2000000000000002</v>
      </c>
      <c r="B74" s="1106"/>
      <c r="C74" s="276" t="s">
        <v>117</v>
      </c>
      <c r="D74" s="1125" t="s">
        <v>14</v>
      </c>
      <c r="E74" s="1126">
        <f>0.16/100</f>
        <v>1.6000000000000001E-3</v>
      </c>
      <c r="F74" s="302">
        <f>F72*E74</f>
        <v>0.10384000000000002</v>
      </c>
      <c r="G74" s="1294"/>
      <c r="H74" s="80"/>
      <c r="I74" s="1294"/>
      <c r="J74" s="80">
        <f t="shared" si="41"/>
        <v>0</v>
      </c>
      <c r="K74" s="1294"/>
      <c r="L74" s="80">
        <f t="shared" si="42"/>
        <v>0</v>
      </c>
      <c r="M74" s="1332">
        <f t="shared" si="43"/>
        <v>0</v>
      </c>
      <c r="N74" s="239"/>
    </row>
    <row r="75" spans="1:14" s="73" customFormat="1" ht="60" customHeight="1">
      <c r="A75" s="236">
        <v>2</v>
      </c>
      <c r="B75" s="1105"/>
      <c r="C75" s="337" t="s">
        <v>315</v>
      </c>
      <c r="D75" s="67" t="s">
        <v>104</v>
      </c>
      <c r="E75" s="91"/>
      <c r="F75" s="69">
        <f>F72*0.03*1.8</f>
        <v>3.5046000000000004</v>
      </c>
      <c r="G75" s="261"/>
      <c r="H75" s="80">
        <f t="shared" ref="H75:H83" si="44">F75*G75</f>
        <v>0</v>
      </c>
      <c r="I75" s="261"/>
      <c r="J75" s="80">
        <f t="shared" si="41"/>
        <v>0</v>
      </c>
      <c r="K75" s="261"/>
      <c r="L75" s="80">
        <f t="shared" si="42"/>
        <v>0</v>
      </c>
      <c r="M75" s="1332">
        <f t="shared" si="43"/>
        <v>0</v>
      </c>
      <c r="N75" s="239"/>
    </row>
    <row r="76" spans="1:14" s="73" customFormat="1" ht="19.899999999999999" customHeight="1">
      <c r="A76" s="492">
        <f>A75+0.1</f>
        <v>2.1</v>
      </c>
      <c r="B76" s="1106"/>
      <c r="C76" s="336" t="s">
        <v>69</v>
      </c>
      <c r="D76" s="131" t="s">
        <v>13</v>
      </c>
      <c r="E76" s="1122">
        <v>0.53</v>
      </c>
      <c r="F76" s="1123">
        <f>F75*E76</f>
        <v>1.8574380000000004</v>
      </c>
      <c r="G76" s="1333"/>
      <c r="H76" s="80">
        <f t="shared" si="44"/>
        <v>0</v>
      </c>
      <c r="I76" s="1333"/>
      <c r="J76" s="80">
        <f t="shared" si="41"/>
        <v>0</v>
      </c>
      <c r="K76" s="80"/>
      <c r="L76" s="80">
        <f t="shared" si="42"/>
        <v>0</v>
      </c>
      <c r="M76" s="1332">
        <f t="shared" si="43"/>
        <v>0</v>
      </c>
      <c r="N76" s="239"/>
    </row>
    <row r="77" spans="1:14" s="73" customFormat="1" ht="19.899999999999999" customHeight="1">
      <c r="A77" s="492">
        <f>A76+0.1</f>
        <v>2.2000000000000002</v>
      </c>
      <c r="B77" s="1107"/>
      <c r="C77" s="184" t="s">
        <v>158</v>
      </c>
      <c r="D77" s="63" t="s">
        <v>104</v>
      </c>
      <c r="E77" s="1124">
        <v>1</v>
      </c>
      <c r="F77" s="1123">
        <f>F75*E77</f>
        <v>3.5046000000000004</v>
      </c>
      <c r="G77" s="1333"/>
      <c r="H77" s="80">
        <f t="shared" si="44"/>
        <v>0</v>
      </c>
      <c r="I77" s="80"/>
      <c r="J77" s="80">
        <f t="shared" si="41"/>
        <v>0</v>
      </c>
      <c r="K77" s="1334"/>
      <c r="L77" s="80">
        <f t="shared" si="42"/>
        <v>0</v>
      </c>
      <c r="M77" s="1332">
        <f t="shared" si="43"/>
        <v>0</v>
      </c>
      <c r="N77" s="239"/>
    </row>
    <row r="78" spans="1:14" s="56" customFormat="1" ht="63" customHeight="1">
      <c r="A78" s="67">
        <v>3</v>
      </c>
      <c r="B78" s="67"/>
      <c r="C78" s="128" t="s">
        <v>335</v>
      </c>
      <c r="D78" s="67" t="s">
        <v>813</v>
      </c>
      <c r="E78" s="91"/>
      <c r="F78" s="69">
        <v>7.1</v>
      </c>
      <c r="G78" s="1339"/>
      <c r="H78" s="1340">
        <f t="shared" si="44"/>
        <v>0</v>
      </c>
      <c r="I78" s="1346"/>
      <c r="J78" s="1340">
        <f t="shared" si="41"/>
        <v>0</v>
      </c>
      <c r="K78" s="1339"/>
      <c r="L78" s="1340">
        <f t="shared" si="42"/>
        <v>0</v>
      </c>
      <c r="M78" s="1341">
        <f t="shared" si="43"/>
        <v>0</v>
      </c>
    </row>
    <row r="79" spans="1:14" s="386" customFormat="1" ht="20.100000000000001" customHeight="1">
      <c r="A79" s="1211">
        <f>A78+0.1</f>
        <v>3.1</v>
      </c>
      <c r="B79" s="63"/>
      <c r="C79" s="191" t="s">
        <v>23</v>
      </c>
      <c r="D79" s="377" t="s">
        <v>13</v>
      </c>
      <c r="E79" s="1212">
        <v>5.7</v>
      </c>
      <c r="F79" s="1213">
        <f>E79*F78</f>
        <v>40.47</v>
      </c>
      <c r="G79" s="1339"/>
      <c r="H79" s="1340">
        <f t="shared" si="44"/>
        <v>0</v>
      </c>
      <c r="I79" s="1347"/>
      <c r="J79" s="1340">
        <f t="shared" si="41"/>
        <v>0</v>
      </c>
      <c r="K79" s="1348"/>
      <c r="L79" s="1340">
        <f t="shared" si="42"/>
        <v>0</v>
      </c>
      <c r="M79" s="1341">
        <f t="shared" si="43"/>
        <v>0</v>
      </c>
    </row>
    <row r="80" spans="1:14" s="386" customFormat="1" ht="20.100000000000001" customHeight="1">
      <c r="A80" s="1211">
        <f t="shared" ref="A80:A83" si="45">A79+0.1</f>
        <v>3.2</v>
      </c>
      <c r="B80" s="63"/>
      <c r="C80" s="191" t="s">
        <v>51</v>
      </c>
      <c r="D80" s="80" t="s">
        <v>14</v>
      </c>
      <c r="E80" s="1214">
        <v>0.17</v>
      </c>
      <c r="F80" s="1213">
        <f>E80*F78</f>
        <v>1.2070000000000001</v>
      </c>
      <c r="G80" s="1339"/>
      <c r="H80" s="1340">
        <f t="shared" si="44"/>
        <v>0</v>
      </c>
      <c r="I80" s="1346"/>
      <c r="J80" s="1340">
        <f t="shared" si="41"/>
        <v>0</v>
      </c>
      <c r="K80" s="1349"/>
      <c r="L80" s="1340">
        <f t="shared" si="42"/>
        <v>0</v>
      </c>
      <c r="M80" s="1341">
        <f t="shared" si="43"/>
        <v>0</v>
      </c>
    </row>
    <row r="81" spans="1:14" s="386" customFormat="1" ht="25.9" customHeight="1">
      <c r="A81" s="1211">
        <f t="shared" si="45"/>
        <v>3.3000000000000003</v>
      </c>
      <c r="B81" s="125"/>
      <c r="C81" s="1215" t="s">
        <v>336</v>
      </c>
      <c r="D81" s="1216" t="s">
        <v>11</v>
      </c>
      <c r="E81" s="1212" t="s">
        <v>20</v>
      </c>
      <c r="F81" s="1213">
        <v>100</v>
      </c>
      <c r="G81" s="1340"/>
      <c r="H81" s="1340">
        <f t="shared" si="44"/>
        <v>0</v>
      </c>
      <c r="I81" s="1346"/>
      <c r="J81" s="1340"/>
      <c r="K81" s="1348"/>
      <c r="L81" s="1340">
        <f t="shared" si="42"/>
        <v>0</v>
      </c>
      <c r="M81" s="1341">
        <f t="shared" si="43"/>
        <v>0</v>
      </c>
    </row>
    <row r="82" spans="1:14" s="386" customFormat="1" ht="20.100000000000001" customHeight="1">
      <c r="A82" s="1211">
        <f t="shared" si="45"/>
        <v>3.4000000000000004</v>
      </c>
      <c r="B82" s="125"/>
      <c r="C82" s="407" t="s">
        <v>83</v>
      </c>
      <c r="D82" s="1216" t="s">
        <v>21</v>
      </c>
      <c r="E82" s="1212">
        <v>6</v>
      </c>
      <c r="F82" s="1213">
        <f>E82*F78</f>
        <v>42.599999999999994</v>
      </c>
      <c r="G82" s="1347"/>
      <c r="H82" s="1340">
        <f t="shared" si="44"/>
        <v>0</v>
      </c>
      <c r="I82" s="1346"/>
      <c r="J82" s="1340">
        <f t="shared" si="41"/>
        <v>0</v>
      </c>
      <c r="K82" s="1348"/>
      <c r="L82" s="1340">
        <f t="shared" si="42"/>
        <v>0</v>
      </c>
      <c r="M82" s="1341">
        <f t="shared" si="43"/>
        <v>0</v>
      </c>
    </row>
    <row r="83" spans="1:14" s="386" customFormat="1" ht="20.100000000000001" customHeight="1">
      <c r="A83" s="1211">
        <f t="shared" si="45"/>
        <v>3.5000000000000004</v>
      </c>
      <c r="B83" s="377"/>
      <c r="C83" s="407" t="s">
        <v>119</v>
      </c>
      <c r="D83" s="377" t="s">
        <v>14</v>
      </c>
      <c r="E83" s="1214">
        <v>0.09</v>
      </c>
      <c r="F83" s="1213">
        <f>E83*F78</f>
        <v>0.6389999999999999</v>
      </c>
      <c r="G83" s="1348"/>
      <c r="H83" s="1340">
        <f t="shared" si="44"/>
        <v>0</v>
      </c>
      <c r="I83" s="1346"/>
      <c r="J83" s="1350"/>
      <c r="K83" s="1348"/>
      <c r="L83" s="1340">
        <f t="shared" si="42"/>
        <v>0</v>
      </c>
      <c r="M83" s="1341">
        <f t="shared" si="43"/>
        <v>0</v>
      </c>
    </row>
    <row r="84" spans="1:14" s="386" customFormat="1" ht="78.599999999999994" customHeight="1">
      <c r="A84" s="120" t="s">
        <v>47</v>
      </c>
      <c r="B84" s="120"/>
      <c r="C84" s="1217" t="s">
        <v>778</v>
      </c>
      <c r="D84" s="161" t="s">
        <v>813</v>
      </c>
      <c r="E84" s="282"/>
      <c r="F84" s="283">
        <f>64.9-7.1</f>
        <v>57.800000000000004</v>
      </c>
      <c r="G84" s="1351"/>
      <c r="H84" s="108">
        <f t="shared" ref="H84:H88" si="46">F84*G84</f>
        <v>0</v>
      </c>
      <c r="I84" s="1356"/>
      <c r="J84" s="1352">
        <f t="shared" ref="J84:J88" si="47">F84*I84</f>
        <v>0</v>
      </c>
      <c r="K84" s="1356"/>
      <c r="L84" s="1352">
        <f t="shared" ref="L84:L88" si="48">F84*K84</f>
        <v>0</v>
      </c>
      <c r="M84" s="1352">
        <f t="shared" ref="M84:M88" si="49">H84+J84+L84</f>
        <v>0</v>
      </c>
    </row>
    <row r="85" spans="1:14" s="386" customFormat="1" ht="20.100000000000001" customHeight="1">
      <c r="A85" s="106">
        <f>A84+0.1</f>
        <v>4.0999999999999996</v>
      </c>
      <c r="B85" s="75"/>
      <c r="C85" s="76" t="s">
        <v>69</v>
      </c>
      <c r="D85" s="75" t="s">
        <v>13</v>
      </c>
      <c r="E85" s="287">
        <v>0.93</v>
      </c>
      <c r="F85" s="288">
        <f>E85*F84</f>
        <v>53.754000000000005</v>
      </c>
      <c r="G85" s="108"/>
      <c r="H85" s="108">
        <f t="shared" si="46"/>
        <v>0</v>
      </c>
      <c r="I85" s="1352"/>
      <c r="J85" s="1352">
        <f t="shared" si="47"/>
        <v>0</v>
      </c>
      <c r="K85" s="1352"/>
      <c r="L85" s="1352">
        <f t="shared" si="48"/>
        <v>0</v>
      </c>
      <c r="M85" s="1352">
        <f t="shared" si="49"/>
        <v>0</v>
      </c>
    </row>
    <row r="86" spans="1:14" s="386" customFormat="1" ht="20.100000000000001" customHeight="1">
      <c r="A86" s="106">
        <f>A85+0.1</f>
        <v>4.1999999999999993</v>
      </c>
      <c r="B86" s="75"/>
      <c r="C86" s="76" t="s">
        <v>117</v>
      </c>
      <c r="D86" s="108" t="s">
        <v>14</v>
      </c>
      <c r="E86" s="287">
        <v>2.5999999999999999E-2</v>
      </c>
      <c r="F86" s="290">
        <f>E86*F84</f>
        <v>1.5028000000000001</v>
      </c>
      <c r="G86" s="108"/>
      <c r="H86" s="108">
        <f t="shared" si="46"/>
        <v>0</v>
      </c>
      <c r="I86" s="1352"/>
      <c r="J86" s="1352">
        <f t="shared" si="47"/>
        <v>0</v>
      </c>
      <c r="K86" s="108"/>
      <c r="L86" s="1352">
        <f t="shared" si="48"/>
        <v>0</v>
      </c>
      <c r="M86" s="1352">
        <f t="shared" si="49"/>
        <v>0</v>
      </c>
    </row>
    <row r="87" spans="1:14" s="386" customFormat="1" ht="20.100000000000001" customHeight="1">
      <c r="A87" s="106">
        <f>A86+0.1</f>
        <v>4.2999999999999989</v>
      </c>
      <c r="B87" s="75"/>
      <c r="C87" s="76" t="s">
        <v>101</v>
      </c>
      <c r="D87" s="108" t="s">
        <v>62</v>
      </c>
      <c r="E87" s="287">
        <v>2.4E-2</v>
      </c>
      <c r="F87" s="290">
        <f>E87*F84</f>
        <v>1.3872000000000002</v>
      </c>
      <c r="G87" s="1353"/>
      <c r="H87" s="108">
        <f t="shared" si="46"/>
        <v>0</v>
      </c>
      <c r="I87" s="1352"/>
      <c r="J87" s="1352">
        <f t="shared" si="47"/>
        <v>0</v>
      </c>
      <c r="K87" s="1352"/>
      <c r="L87" s="1352">
        <f t="shared" si="48"/>
        <v>0</v>
      </c>
      <c r="M87" s="1352">
        <f t="shared" si="49"/>
        <v>0</v>
      </c>
    </row>
    <row r="88" spans="1:14" s="386" customFormat="1" ht="20.100000000000001" customHeight="1">
      <c r="A88" s="106">
        <f>A87+0.1</f>
        <v>4.3999999999999986</v>
      </c>
      <c r="B88" s="115"/>
      <c r="C88" s="76" t="s">
        <v>628</v>
      </c>
      <c r="D88" s="115" t="s">
        <v>15</v>
      </c>
      <c r="E88" s="315">
        <v>2.5499999999999998E-2</v>
      </c>
      <c r="F88" s="288">
        <f>E88*F84</f>
        <v>1.4739</v>
      </c>
      <c r="G88" s="1353"/>
      <c r="H88" s="108">
        <f t="shared" si="46"/>
        <v>0</v>
      </c>
      <c r="I88" s="1352"/>
      <c r="J88" s="1352">
        <f t="shared" si="47"/>
        <v>0</v>
      </c>
      <c r="K88" s="1352"/>
      <c r="L88" s="1352">
        <f t="shared" si="48"/>
        <v>0</v>
      </c>
      <c r="M88" s="1352">
        <f t="shared" si="49"/>
        <v>0</v>
      </c>
    </row>
    <row r="89" spans="1:14" s="73" customFormat="1" ht="60" customHeight="1">
      <c r="A89" s="236">
        <v>5</v>
      </c>
      <c r="B89" s="1105"/>
      <c r="C89" s="337" t="s">
        <v>125</v>
      </c>
      <c r="D89" s="67" t="s">
        <v>813</v>
      </c>
      <c r="E89" s="91"/>
      <c r="F89" s="91">
        <v>80</v>
      </c>
      <c r="G89" s="1339"/>
      <c r="H89" s="1340">
        <f t="shared" ref="H89:H94" si="50">F89*G89</f>
        <v>0</v>
      </c>
      <c r="I89" s="1339"/>
      <c r="J89" s="1340">
        <f t="shared" ref="J89:J94" si="51">F89*I89</f>
        <v>0</v>
      </c>
      <c r="K89" s="1339"/>
      <c r="L89" s="1340">
        <f t="shared" ref="L89:L94" si="52">F89*K89</f>
        <v>0</v>
      </c>
      <c r="M89" s="1341">
        <f t="shared" ref="M89:M94" si="53">H89+J89+L89</f>
        <v>0</v>
      </c>
      <c r="N89" s="239"/>
    </row>
    <row r="90" spans="1:14" s="305" customFormat="1" ht="19.899999999999999" customHeight="1">
      <c r="A90" s="492">
        <f t="shared" ref="A90:A94" si="54">A89+0.1</f>
        <v>5.0999999999999996</v>
      </c>
      <c r="B90" s="1106"/>
      <c r="C90" s="336" t="s">
        <v>69</v>
      </c>
      <c r="D90" s="131" t="s">
        <v>13</v>
      </c>
      <c r="E90" s="339">
        <v>0.45800000000000002</v>
      </c>
      <c r="F90" s="268">
        <f>E90*F89</f>
        <v>36.64</v>
      </c>
      <c r="G90" s="1354"/>
      <c r="H90" s="1340">
        <f t="shared" si="50"/>
        <v>0</v>
      </c>
      <c r="I90" s="1340"/>
      <c r="J90" s="1340">
        <f t="shared" si="51"/>
        <v>0</v>
      </c>
      <c r="K90" s="1340"/>
      <c r="L90" s="1340">
        <f t="shared" si="52"/>
        <v>0</v>
      </c>
      <c r="M90" s="1341">
        <f t="shared" si="53"/>
        <v>0</v>
      </c>
      <c r="N90" s="239"/>
    </row>
    <row r="91" spans="1:14" s="305" customFormat="1" ht="19.899999999999999" customHeight="1">
      <c r="A91" s="492">
        <f t="shared" si="54"/>
        <v>5.1999999999999993</v>
      </c>
      <c r="B91" s="1106"/>
      <c r="C91" s="276" t="s">
        <v>117</v>
      </c>
      <c r="D91" s="80" t="s">
        <v>14</v>
      </c>
      <c r="E91" s="271">
        <v>2.3E-3</v>
      </c>
      <c r="F91" s="339">
        <f>E91*F89</f>
        <v>0.184</v>
      </c>
      <c r="G91" s="1340"/>
      <c r="H91" s="1340">
        <f t="shared" si="50"/>
        <v>0</v>
      </c>
      <c r="I91" s="1340"/>
      <c r="J91" s="1340">
        <f t="shared" si="51"/>
        <v>0</v>
      </c>
      <c r="K91" s="1355"/>
      <c r="L91" s="1340">
        <f t="shared" si="52"/>
        <v>0</v>
      </c>
      <c r="M91" s="1341">
        <f t="shared" si="53"/>
        <v>0</v>
      </c>
      <c r="N91" s="239"/>
    </row>
    <row r="92" spans="1:14" s="304" customFormat="1" ht="19.899999999999999" customHeight="1">
      <c r="A92" s="492">
        <f t="shared" si="54"/>
        <v>5.2999999999999989</v>
      </c>
      <c r="B92" s="131"/>
      <c r="C92" s="336" t="s">
        <v>103</v>
      </c>
      <c r="D92" s="80" t="s">
        <v>104</v>
      </c>
      <c r="E92" s="1218">
        <v>3.6999999999999999E-4</v>
      </c>
      <c r="F92" s="271">
        <f>E92*F89</f>
        <v>2.9600000000000001E-2</v>
      </c>
      <c r="G92" s="1349"/>
      <c r="H92" s="1340">
        <f t="shared" si="50"/>
        <v>0</v>
      </c>
      <c r="I92" s="1340"/>
      <c r="J92" s="1340">
        <f t="shared" si="51"/>
        <v>0</v>
      </c>
      <c r="K92" s="1340"/>
      <c r="L92" s="1340">
        <f t="shared" si="52"/>
        <v>0</v>
      </c>
      <c r="M92" s="1341">
        <f t="shared" si="53"/>
        <v>0</v>
      </c>
      <c r="N92" s="239"/>
    </row>
    <row r="93" spans="1:14" s="305" customFormat="1" ht="19.899999999999999" customHeight="1">
      <c r="A93" s="492">
        <f t="shared" si="54"/>
        <v>5.3999999999999986</v>
      </c>
      <c r="B93" s="131"/>
      <c r="C93" s="336" t="s">
        <v>105</v>
      </c>
      <c r="D93" s="63" t="s">
        <v>61</v>
      </c>
      <c r="E93" s="1219">
        <v>9.0000000000000006E-5</v>
      </c>
      <c r="F93" s="271">
        <f>E93*F89</f>
        <v>7.2000000000000007E-3</v>
      </c>
      <c r="G93" s="1349"/>
      <c r="H93" s="1340">
        <f t="shared" si="50"/>
        <v>0</v>
      </c>
      <c r="I93" s="1340"/>
      <c r="J93" s="1340">
        <f t="shared" si="51"/>
        <v>0</v>
      </c>
      <c r="K93" s="1340"/>
      <c r="L93" s="1340">
        <f t="shared" si="52"/>
        <v>0</v>
      </c>
      <c r="M93" s="1341">
        <f t="shared" si="53"/>
        <v>0</v>
      </c>
      <c r="N93" s="239"/>
    </row>
    <row r="94" spans="1:14" s="305" customFormat="1" ht="19.899999999999999" customHeight="1">
      <c r="A94" s="492">
        <f t="shared" si="54"/>
        <v>5.4999999999999982</v>
      </c>
      <c r="B94" s="206"/>
      <c r="C94" s="336" t="s">
        <v>106</v>
      </c>
      <c r="D94" s="131" t="s">
        <v>811</v>
      </c>
      <c r="E94" s="339">
        <v>3.4000000000000002E-2</v>
      </c>
      <c r="F94" s="252">
        <f>E94*F89</f>
        <v>2.72</v>
      </c>
      <c r="G94" s="1349"/>
      <c r="H94" s="1340">
        <f t="shared" si="50"/>
        <v>0</v>
      </c>
      <c r="I94" s="1340"/>
      <c r="J94" s="1340">
        <f t="shared" si="51"/>
        <v>0</v>
      </c>
      <c r="K94" s="1340"/>
      <c r="L94" s="1340">
        <f t="shared" si="52"/>
        <v>0</v>
      </c>
      <c r="M94" s="1341">
        <f t="shared" si="53"/>
        <v>0</v>
      </c>
      <c r="N94" s="239"/>
    </row>
    <row r="95" spans="1:14" ht="19.899999999999999" customHeight="1">
      <c r="A95" s="120"/>
      <c r="B95" s="75"/>
      <c r="C95" s="275" t="s">
        <v>191</v>
      </c>
      <c r="D95" s="120" t="s">
        <v>1</v>
      </c>
      <c r="E95" s="282"/>
      <c r="F95" s="61"/>
      <c r="G95" s="80"/>
      <c r="H95" s="261">
        <f>SUM(H10:H94)</f>
        <v>0</v>
      </c>
      <c r="I95" s="80"/>
      <c r="J95" s="261">
        <f>SUM(J10:J94)</f>
        <v>0</v>
      </c>
      <c r="K95" s="80"/>
      <c r="L95" s="261">
        <f>SUM(L10:L94)</f>
        <v>0</v>
      </c>
      <c r="M95" s="261">
        <f>SUM(M10:M94)</f>
        <v>0</v>
      </c>
    </row>
    <row r="96" spans="1:14" ht="19.899999999999999" customHeight="1">
      <c r="A96" s="120"/>
      <c r="B96" s="75"/>
      <c r="C96" s="64" t="s">
        <v>247</v>
      </c>
      <c r="D96" s="62" t="s">
        <v>874</v>
      </c>
      <c r="E96" s="61"/>
      <c r="F96" s="1283"/>
      <c r="G96" s="80"/>
      <c r="H96" s="80"/>
      <c r="I96" s="80"/>
      <c r="J96" s="1289"/>
      <c r="K96" s="1289"/>
      <c r="L96" s="1289"/>
      <c r="M96" s="1289">
        <f>H95*F96</f>
        <v>0</v>
      </c>
    </row>
    <row r="97" spans="1:13" ht="19.899999999999999" customHeight="1">
      <c r="A97" s="120"/>
      <c r="B97" s="75"/>
      <c r="C97" s="64" t="s">
        <v>39</v>
      </c>
      <c r="D97" s="62"/>
      <c r="E97" s="61"/>
      <c r="F97" s="1283"/>
      <c r="G97" s="80"/>
      <c r="H97" s="80"/>
      <c r="I97" s="80"/>
      <c r="J97" s="1289"/>
      <c r="K97" s="1289"/>
      <c r="L97" s="1289"/>
      <c r="M97" s="1289">
        <f>M96+M95</f>
        <v>0</v>
      </c>
    </row>
    <row r="98" spans="1:13" ht="19.899999999999999" customHeight="1">
      <c r="A98" s="120"/>
      <c r="B98" s="75"/>
      <c r="C98" s="276" t="s">
        <v>193</v>
      </c>
      <c r="D98" s="866" t="s">
        <v>874</v>
      </c>
      <c r="E98" s="287"/>
      <c r="F98" s="1283"/>
      <c r="G98" s="80"/>
      <c r="H98" s="1289"/>
      <c r="I98" s="80"/>
      <c r="J98" s="80"/>
      <c r="K98" s="80"/>
      <c r="L98" s="80"/>
      <c r="M98" s="1289">
        <f>M97*F98</f>
        <v>0</v>
      </c>
    </row>
    <row r="99" spans="1:13" ht="19.899999999999999" customHeight="1">
      <c r="A99" s="120"/>
      <c r="B99" s="75"/>
      <c r="C99" s="276" t="s">
        <v>29</v>
      </c>
      <c r="D99" s="91"/>
      <c r="E99" s="287"/>
      <c r="F99" s="1283"/>
      <c r="G99" s="261"/>
      <c r="H99" s="1300"/>
      <c r="I99" s="80"/>
      <c r="J99" s="80"/>
      <c r="K99" s="80"/>
      <c r="L99" s="80"/>
      <c r="M99" s="1300">
        <f>M98+M97</f>
        <v>0</v>
      </c>
    </row>
    <row r="100" spans="1:13" ht="19.899999999999999" customHeight="1">
      <c r="A100" s="120"/>
      <c r="B100" s="120"/>
      <c r="C100" s="276" t="s">
        <v>30</v>
      </c>
      <c r="D100" s="866" t="s">
        <v>874</v>
      </c>
      <c r="E100" s="287"/>
      <c r="F100" s="1283"/>
      <c r="G100" s="80"/>
      <c r="H100" s="1289"/>
      <c r="I100" s="80"/>
      <c r="J100" s="80"/>
      <c r="K100" s="80"/>
      <c r="L100" s="80"/>
      <c r="M100" s="1289">
        <f>M99*F100</f>
        <v>0</v>
      </c>
    </row>
    <row r="101" spans="1:13" ht="19.899999999999999" customHeight="1">
      <c r="A101" s="75"/>
      <c r="B101" s="120"/>
      <c r="C101" s="275" t="s">
        <v>31</v>
      </c>
      <c r="D101" s="120"/>
      <c r="E101" s="287"/>
      <c r="F101" s="867"/>
      <c r="G101" s="261"/>
      <c r="H101" s="1300"/>
      <c r="I101" s="80"/>
      <c r="J101" s="80"/>
      <c r="K101" s="80"/>
      <c r="L101" s="80"/>
      <c r="M101" s="1300">
        <f>SUM(M99:M100)</f>
        <v>0</v>
      </c>
    </row>
    <row r="102" spans="1:13">
      <c r="A102" s="139"/>
      <c r="B102" s="496"/>
      <c r="C102" s="868"/>
      <c r="D102" s="868"/>
      <c r="E102" s="868"/>
      <c r="F102" s="868"/>
      <c r="G102" s="868"/>
      <c r="H102" s="868"/>
      <c r="I102" s="496"/>
      <c r="J102" s="496"/>
      <c r="K102" s="496"/>
      <c r="L102" s="496"/>
      <c r="M102" s="496"/>
    </row>
    <row r="103" spans="1:13">
      <c r="A103" s="139"/>
      <c r="B103" s="496"/>
      <c r="C103" s="496"/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</row>
    <row r="104" spans="1:13">
      <c r="A104" s="869"/>
      <c r="B104" s="870"/>
      <c r="C104" s="871"/>
      <c r="D104" s="869"/>
      <c r="E104" s="872"/>
      <c r="F104" s="873"/>
      <c r="G104" s="873"/>
      <c r="H104" s="1112"/>
      <c r="I104" s="496"/>
      <c r="J104" s="496"/>
      <c r="K104" s="496"/>
      <c r="L104" s="496"/>
      <c r="M104" s="496"/>
    </row>
  </sheetData>
  <mergeCells count="14">
    <mergeCell ref="A1:M1"/>
    <mergeCell ref="I6:J6"/>
    <mergeCell ref="K6:L6"/>
    <mergeCell ref="M6:M7"/>
    <mergeCell ref="A4:D4"/>
    <mergeCell ref="A5:H5"/>
    <mergeCell ref="A6:A7"/>
    <mergeCell ref="B6:B7"/>
    <mergeCell ref="C6:C7"/>
    <mergeCell ref="D6:D7"/>
    <mergeCell ref="E6:F6"/>
    <mergeCell ref="G6:H6"/>
    <mergeCell ref="A3:M3"/>
    <mergeCell ref="A2:M2"/>
  </mergeCells>
  <pageMargins left="0.15" right="0.12" top="0.13" bottom="0.12" header="0.12" footer="0.12"/>
  <pageSetup paperSize="9" scale="63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A20"/>
  <sheetViews>
    <sheetView tabSelected="1" topLeftCell="A16" workbookViewId="0">
      <selection activeCell="C26" sqref="C26"/>
    </sheetView>
  </sheetViews>
  <sheetFormatPr defaultColWidth="9.140625" defaultRowHeight="15"/>
  <cols>
    <col min="1" max="1" width="4.7109375" style="1255" customWidth="1"/>
    <col min="2" max="2" width="14.85546875" style="1255" hidden="1" customWidth="1"/>
    <col min="3" max="3" width="87" style="1255" customWidth="1"/>
    <col min="4" max="12" width="3.7109375" style="1255" customWidth="1"/>
    <col min="13" max="13" width="4" style="1255" customWidth="1"/>
    <col min="14" max="27" width="3.7109375" style="1255" customWidth="1"/>
    <col min="28" max="41" width="2.85546875" style="1255" hidden="1" customWidth="1"/>
    <col min="42" max="53" width="2.5703125" style="1255" hidden="1" customWidth="1"/>
    <col min="54" max="16384" width="9.140625" style="1255"/>
  </cols>
  <sheetData>
    <row r="1" spans="1:53">
      <c r="A1" s="1674" t="s">
        <v>337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4"/>
      <c r="Y1" s="1674"/>
      <c r="Z1" s="1674"/>
      <c r="AA1" s="1674"/>
      <c r="AB1" s="1674"/>
      <c r="AC1" s="1674"/>
      <c r="AD1" s="1674"/>
      <c r="AE1" s="1674"/>
      <c r="AF1" s="1674"/>
      <c r="AG1" s="1674"/>
      <c r="AH1" s="1674"/>
      <c r="AI1" s="1674"/>
      <c r="AJ1" s="1674"/>
      <c r="AK1" s="1674"/>
      <c r="AL1" s="1674"/>
      <c r="AM1" s="1674"/>
      <c r="AN1" s="1674"/>
      <c r="AO1" s="1674"/>
      <c r="AP1" s="1674"/>
      <c r="AQ1" s="1674"/>
      <c r="AR1" s="1674"/>
      <c r="AS1" s="1674"/>
      <c r="AT1" s="1674"/>
      <c r="AU1" s="1674"/>
      <c r="AV1" s="1674"/>
      <c r="AW1" s="1674"/>
      <c r="AX1" s="1674"/>
      <c r="AY1" s="1674"/>
      <c r="AZ1" s="1674"/>
      <c r="BA1" s="1674"/>
    </row>
    <row r="2" spans="1:53">
      <c r="A2" s="1675" t="s">
        <v>835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  <c r="N2" s="1675"/>
      <c r="O2" s="1675"/>
      <c r="P2" s="1675"/>
      <c r="Q2" s="1675"/>
      <c r="R2" s="1675"/>
      <c r="S2" s="1675"/>
      <c r="T2" s="1675"/>
      <c r="U2" s="1675"/>
      <c r="V2" s="1675"/>
      <c r="W2" s="1675"/>
      <c r="X2" s="1675"/>
      <c r="Y2" s="1675"/>
      <c r="Z2" s="1675"/>
      <c r="AA2" s="1675"/>
      <c r="AB2" s="1675"/>
      <c r="AC2" s="1675"/>
      <c r="AD2" s="1675"/>
      <c r="AE2" s="1675"/>
      <c r="AF2" s="1675"/>
      <c r="AG2" s="1675"/>
      <c r="AH2" s="1675"/>
      <c r="AI2" s="1675"/>
      <c r="AJ2" s="1675"/>
      <c r="AK2" s="1675"/>
      <c r="AL2" s="1675"/>
      <c r="AM2" s="1675"/>
      <c r="AN2" s="1675"/>
      <c r="AO2" s="1675"/>
      <c r="AP2" s="1675"/>
      <c r="AQ2" s="1675"/>
      <c r="AR2" s="1675"/>
      <c r="AS2" s="1675"/>
      <c r="AT2" s="1675"/>
      <c r="AU2" s="1675"/>
      <c r="AV2" s="1675"/>
      <c r="AW2" s="1675"/>
      <c r="AX2" s="1675"/>
      <c r="AY2" s="1675"/>
      <c r="AZ2" s="1675"/>
      <c r="BA2" s="1675"/>
    </row>
    <row r="3" spans="1:53" ht="15.75" thickBot="1">
      <c r="A3" s="1676" t="s">
        <v>836</v>
      </c>
      <c r="B3" s="1676" t="s">
        <v>837</v>
      </c>
      <c r="C3" s="1676" t="s">
        <v>838</v>
      </c>
      <c r="D3" s="1681" t="s">
        <v>839</v>
      </c>
      <c r="E3" s="1682"/>
      <c r="F3" s="1682"/>
      <c r="G3" s="1682"/>
      <c r="H3" s="1682"/>
      <c r="I3" s="1682"/>
      <c r="J3" s="1682"/>
      <c r="K3" s="1682"/>
      <c r="L3" s="1682"/>
      <c r="M3" s="1682"/>
      <c r="N3" s="1682"/>
      <c r="O3" s="1682"/>
      <c r="P3" s="1682"/>
      <c r="Q3" s="1682"/>
      <c r="R3" s="1682"/>
      <c r="S3" s="1682"/>
      <c r="T3" s="1682"/>
      <c r="U3" s="1682"/>
      <c r="V3" s="1682"/>
      <c r="W3" s="1682"/>
      <c r="X3" s="1682"/>
      <c r="Y3" s="1682"/>
      <c r="Z3" s="1682"/>
      <c r="AA3" s="1682"/>
      <c r="AB3" s="1683"/>
      <c r="AC3" s="1683"/>
      <c r="AD3" s="1683"/>
      <c r="AE3" s="1683"/>
      <c r="AF3" s="1683"/>
      <c r="AG3" s="1683"/>
      <c r="AH3" s="1683"/>
      <c r="AI3" s="1683"/>
      <c r="AJ3" s="1683"/>
      <c r="AK3" s="1683"/>
      <c r="AL3" s="1683"/>
      <c r="AM3" s="1683"/>
      <c r="AN3" s="1683"/>
      <c r="AO3" s="1683"/>
      <c r="AP3" s="1683"/>
      <c r="AQ3" s="1683"/>
      <c r="AR3" s="1683"/>
      <c r="AS3" s="1683"/>
      <c r="AT3" s="1683"/>
      <c r="AU3" s="1683"/>
      <c r="AV3" s="1683"/>
      <c r="AW3" s="1683"/>
      <c r="AX3" s="1683"/>
      <c r="AY3" s="1683"/>
      <c r="AZ3" s="1683"/>
      <c r="BA3" s="1684"/>
    </row>
    <row r="4" spans="1:53" ht="19.149999999999999" customHeight="1">
      <c r="A4" s="1677"/>
      <c r="B4" s="1678"/>
      <c r="C4" s="1679"/>
      <c r="D4" s="1685" t="s">
        <v>840</v>
      </c>
      <c r="E4" s="1686"/>
      <c r="F4" s="1687"/>
      <c r="G4" s="1685" t="s">
        <v>840</v>
      </c>
      <c r="H4" s="1686"/>
      <c r="I4" s="1687"/>
      <c r="J4" s="1685" t="s">
        <v>840</v>
      </c>
      <c r="K4" s="1686"/>
      <c r="L4" s="1687"/>
      <c r="M4" s="1685" t="s">
        <v>840</v>
      </c>
      <c r="N4" s="1686"/>
      <c r="O4" s="1687"/>
      <c r="P4" s="1685" t="s">
        <v>840</v>
      </c>
      <c r="Q4" s="1686"/>
      <c r="R4" s="1687"/>
      <c r="S4" s="1685" t="s">
        <v>840</v>
      </c>
      <c r="T4" s="1686"/>
      <c r="U4" s="1687"/>
      <c r="V4" s="1685" t="s">
        <v>840</v>
      </c>
      <c r="W4" s="1686"/>
      <c r="X4" s="1687"/>
      <c r="Y4" s="1685" t="s">
        <v>840</v>
      </c>
      <c r="Z4" s="1686"/>
      <c r="AA4" s="1687"/>
      <c r="AB4" s="1694" t="s">
        <v>841</v>
      </c>
      <c r="AC4" s="1689"/>
      <c r="AD4" s="1688" t="s">
        <v>842</v>
      </c>
      <c r="AE4" s="1689"/>
      <c r="AF4" s="1688" t="s">
        <v>843</v>
      </c>
      <c r="AG4" s="1689"/>
      <c r="AH4" s="1688" t="s">
        <v>844</v>
      </c>
      <c r="AI4" s="1689"/>
      <c r="AJ4" s="1688" t="s">
        <v>845</v>
      </c>
      <c r="AK4" s="1689"/>
      <c r="AL4" s="1688" t="s">
        <v>846</v>
      </c>
      <c r="AM4" s="1689"/>
      <c r="AN4" s="1688" t="s">
        <v>847</v>
      </c>
      <c r="AO4" s="1689"/>
      <c r="AP4" s="1688" t="s">
        <v>848</v>
      </c>
      <c r="AQ4" s="1689"/>
      <c r="AR4" s="1688" t="s">
        <v>849</v>
      </c>
      <c r="AS4" s="1689"/>
      <c r="AT4" s="1688" t="s">
        <v>850</v>
      </c>
      <c r="AU4" s="1689"/>
      <c r="AV4" s="1688" t="s">
        <v>851</v>
      </c>
      <c r="AW4" s="1689"/>
      <c r="AX4" s="1688" t="s">
        <v>852</v>
      </c>
      <c r="AY4" s="1689"/>
      <c r="AZ4" s="1688" t="s">
        <v>853</v>
      </c>
      <c r="BA4" s="1689"/>
    </row>
    <row r="5" spans="1:53" ht="40.5">
      <c r="A5" s="1678"/>
      <c r="B5" s="1256"/>
      <c r="C5" s="1680"/>
      <c r="D5" s="1257" t="s">
        <v>854</v>
      </c>
      <c r="E5" s="1258" t="s">
        <v>854</v>
      </c>
      <c r="F5" s="1259" t="s">
        <v>854</v>
      </c>
      <c r="G5" s="1257" t="s">
        <v>854</v>
      </c>
      <c r="H5" s="1258" t="s">
        <v>854</v>
      </c>
      <c r="I5" s="1259" t="s">
        <v>854</v>
      </c>
      <c r="J5" s="1257" t="s">
        <v>854</v>
      </c>
      <c r="K5" s="1258" t="s">
        <v>854</v>
      </c>
      <c r="L5" s="1259" t="s">
        <v>854</v>
      </c>
      <c r="M5" s="1257" t="s">
        <v>854</v>
      </c>
      <c r="N5" s="1258" t="s">
        <v>854</v>
      </c>
      <c r="O5" s="1259" t="s">
        <v>854</v>
      </c>
      <c r="P5" s="1257" t="s">
        <v>854</v>
      </c>
      <c r="Q5" s="1258" t="s">
        <v>854</v>
      </c>
      <c r="R5" s="1259" t="s">
        <v>854</v>
      </c>
      <c r="S5" s="1257" t="s">
        <v>854</v>
      </c>
      <c r="T5" s="1258" t="s">
        <v>854</v>
      </c>
      <c r="U5" s="1259" t="s">
        <v>854</v>
      </c>
      <c r="V5" s="1257" t="s">
        <v>854</v>
      </c>
      <c r="W5" s="1258" t="s">
        <v>854</v>
      </c>
      <c r="X5" s="1259" t="s">
        <v>854</v>
      </c>
      <c r="Y5" s="1257" t="s">
        <v>854</v>
      </c>
      <c r="Z5" s="1258" t="s">
        <v>854</v>
      </c>
      <c r="AA5" s="1259" t="s">
        <v>854</v>
      </c>
      <c r="AB5" s="1260" t="s">
        <v>854</v>
      </c>
      <c r="AC5" s="1258" t="s">
        <v>854</v>
      </c>
      <c r="AD5" s="1258" t="s">
        <v>854</v>
      </c>
      <c r="AE5" s="1258" t="s">
        <v>854</v>
      </c>
      <c r="AF5" s="1258" t="s">
        <v>854</v>
      </c>
      <c r="AG5" s="1258" t="s">
        <v>854</v>
      </c>
      <c r="AH5" s="1258" t="s">
        <v>854</v>
      </c>
      <c r="AI5" s="1258" t="s">
        <v>854</v>
      </c>
      <c r="AJ5" s="1258" t="s">
        <v>854</v>
      </c>
      <c r="AK5" s="1258" t="s">
        <v>854</v>
      </c>
      <c r="AL5" s="1258" t="s">
        <v>854</v>
      </c>
      <c r="AM5" s="1258" t="s">
        <v>854</v>
      </c>
      <c r="AN5" s="1258" t="s">
        <v>854</v>
      </c>
      <c r="AO5" s="1258" t="s">
        <v>854</v>
      </c>
      <c r="AP5" s="1258" t="s">
        <v>854</v>
      </c>
      <c r="AQ5" s="1258" t="s">
        <v>854</v>
      </c>
      <c r="AR5" s="1258" t="s">
        <v>854</v>
      </c>
      <c r="AS5" s="1258" t="s">
        <v>854</v>
      </c>
      <c r="AT5" s="1258" t="s">
        <v>854</v>
      </c>
      <c r="AU5" s="1258" t="s">
        <v>854</v>
      </c>
      <c r="AV5" s="1258" t="s">
        <v>854</v>
      </c>
      <c r="AW5" s="1258" t="s">
        <v>854</v>
      </c>
      <c r="AX5" s="1258" t="s">
        <v>854</v>
      </c>
      <c r="AY5" s="1258" t="s">
        <v>854</v>
      </c>
      <c r="AZ5" s="1258" t="s">
        <v>854</v>
      </c>
      <c r="BA5" s="1258" t="s">
        <v>854</v>
      </c>
    </row>
    <row r="6" spans="1:53" ht="34.5" customHeight="1">
      <c r="A6" s="1261">
        <v>1</v>
      </c>
      <c r="B6" s="1262" t="s">
        <v>855</v>
      </c>
      <c r="C6" s="1263" t="s">
        <v>856</v>
      </c>
      <c r="D6" s="1264"/>
      <c r="E6" s="1265"/>
      <c r="F6" s="1266"/>
      <c r="G6" s="1267"/>
      <c r="H6" s="1256"/>
      <c r="I6" s="1266"/>
      <c r="J6" s="1267"/>
      <c r="K6" s="1256"/>
      <c r="L6" s="1266"/>
      <c r="M6" s="1267"/>
      <c r="N6" s="1256"/>
      <c r="O6" s="1266"/>
      <c r="P6" s="1267"/>
      <c r="Q6" s="1256"/>
      <c r="R6" s="1266"/>
      <c r="S6" s="1267"/>
      <c r="T6" s="1256"/>
      <c r="U6" s="1266"/>
      <c r="V6" s="1267"/>
      <c r="W6" s="1256"/>
      <c r="X6" s="1266"/>
      <c r="Y6" s="1267"/>
      <c r="Z6" s="1256"/>
      <c r="AA6" s="1266"/>
      <c r="AB6" s="1268"/>
      <c r="AC6" s="1256"/>
      <c r="AD6" s="1256"/>
      <c r="AE6" s="1256"/>
      <c r="AF6" s="1256"/>
      <c r="AG6" s="1256"/>
      <c r="AH6" s="1256"/>
      <c r="AI6" s="1256"/>
      <c r="AJ6" s="1256"/>
      <c r="AK6" s="1256"/>
      <c r="AL6" s="1256"/>
      <c r="AM6" s="1256"/>
      <c r="AN6" s="1256"/>
      <c r="AO6" s="1256"/>
      <c r="AP6" s="1256"/>
      <c r="AQ6" s="1256"/>
      <c r="AR6" s="1256"/>
      <c r="AS6" s="1256"/>
      <c r="AT6" s="1256"/>
      <c r="AU6" s="1256"/>
      <c r="AV6" s="1256"/>
      <c r="AW6" s="1256"/>
      <c r="AX6" s="1256"/>
      <c r="AY6" s="1256"/>
      <c r="AZ6" s="1256"/>
      <c r="BA6" s="1256"/>
    </row>
    <row r="7" spans="1:53" ht="24" customHeight="1">
      <c r="A7" s="1261">
        <v>2</v>
      </c>
      <c r="B7" s="1690" t="s">
        <v>857</v>
      </c>
      <c r="C7" s="1269" t="s">
        <v>447</v>
      </c>
      <c r="D7" s="1267"/>
      <c r="E7" s="1256"/>
      <c r="F7" s="1270"/>
      <c r="G7" s="1264"/>
      <c r="H7" s="1265"/>
      <c r="I7" s="1266"/>
      <c r="J7" s="1267"/>
      <c r="K7" s="1256"/>
      <c r="L7" s="1266"/>
      <c r="M7" s="1267"/>
      <c r="N7" s="1256"/>
      <c r="O7" s="1266"/>
      <c r="P7" s="1267"/>
      <c r="Q7" s="1256"/>
      <c r="R7" s="1266"/>
      <c r="S7" s="1267"/>
      <c r="T7" s="1256"/>
      <c r="U7" s="1266"/>
      <c r="V7" s="1267"/>
      <c r="W7" s="1256"/>
      <c r="X7" s="1266"/>
      <c r="Y7" s="1267"/>
      <c r="Z7" s="1256"/>
      <c r="AA7" s="1266"/>
      <c r="AB7" s="1268"/>
      <c r="AC7" s="1256"/>
      <c r="AD7" s="1256"/>
      <c r="AE7" s="1256"/>
      <c r="AF7" s="1256"/>
      <c r="AG7" s="1256"/>
      <c r="AH7" s="1256"/>
      <c r="AI7" s="1256"/>
      <c r="AJ7" s="1256"/>
      <c r="AK7" s="1256"/>
      <c r="AL7" s="1256"/>
      <c r="AM7" s="1256"/>
      <c r="AN7" s="1256"/>
      <c r="AO7" s="1256"/>
      <c r="AP7" s="1256"/>
      <c r="AQ7" s="1256"/>
      <c r="AR7" s="1256"/>
      <c r="AS7" s="1256"/>
      <c r="AT7" s="1256"/>
      <c r="AU7" s="1256"/>
      <c r="AV7" s="1256"/>
      <c r="AW7" s="1256"/>
      <c r="AX7" s="1256"/>
      <c r="AY7" s="1256"/>
      <c r="AZ7" s="1256"/>
      <c r="BA7" s="1256"/>
    </row>
    <row r="8" spans="1:53" ht="24" customHeight="1">
      <c r="A8" s="1261">
        <v>3</v>
      </c>
      <c r="B8" s="1691"/>
      <c r="C8" s="1269" t="s">
        <v>480</v>
      </c>
      <c r="D8" s="1267"/>
      <c r="E8" s="1256"/>
      <c r="F8" s="1270"/>
      <c r="G8" s="1264"/>
      <c r="H8" s="1265"/>
      <c r="I8" s="1266"/>
      <c r="J8" s="1267"/>
      <c r="K8" s="1256"/>
      <c r="L8" s="1266"/>
      <c r="M8" s="1267"/>
      <c r="N8" s="1256"/>
      <c r="O8" s="1266"/>
      <c r="P8" s="1267"/>
      <c r="Q8" s="1256"/>
      <c r="R8" s="1266"/>
      <c r="S8" s="1267"/>
      <c r="T8" s="1256"/>
      <c r="U8" s="1266"/>
      <c r="V8" s="1267"/>
      <c r="W8" s="1256"/>
      <c r="X8" s="1266"/>
      <c r="Y8" s="1267"/>
      <c r="Z8" s="1256"/>
      <c r="AA8" s="1266"/>
      <c r="AB8" s="1268"/>
      <c r="AC8" s="1256"/>
      <c r="AD8" s="1256"/>
      <c r="AE8" s="1256"/>
      <c r="AF8" s="1256"/>
      <c r="AG8" s="1256"/>
      <c r="AH8" s="1256"/>
      <c r="AI8" s="1256"/>
      <c r="AJ8" s="1256"/>
      <c r="AK8" s="1256"/>
      <c r="AL8" s="1256"/>
      <c r="AM8" s="1256"/>
      <c r="AN8" s="1256"/>
      <c r="AO8" s="1256"/>
      <c r="AP8" s="1256"/>
      <c r="AQ8" s="1256"/>
      <c r="AR8" s="1256"/>
      <c r="AS8" s="1256"/>
      <c r="AT8" s="1256"/>
      <c r="AU8" s="1256"/>
      <c r="AV8" s="1256"/>
      <c r="AW8" s="1256"/>
      <c r="AX8" s="1256"/>
      <c r="AY8" s="1256"/>
      <c r="AZ8" s="1256"/>
      <c r="BA8" s="1256"/>
    </row>
    <row r="9" spans="1:53" ht="24" customHeight="1">
      <c r="A9" s="1261">
        <v>4</v>
      </c>
      <c r="B9" s="1690" t="s">
        <v>858</v>
      </c>
      <c r="C9" s="1269" t="s">
        <v>609</v>
      </c>
      <c r="D9" s="1267"/>
      <c r="E9" s="1256"/>
      <c r="F9" s="1266"/>
      <c r="G9" s="1267"/>
      <c r="H9" s="1256"/>
      <c r="I9" s="1270"/>
      <c r="J9" s="1264"/>
      <c r="K9" s="1265"/>
      <c r="L9" s="1266"/>
      <c r="M9" s="1267"/>
      <c r="N9" s="1256"/>
      <c r="O9" s="1266"/>
      <c r="P9" s="1267"/>
      <c r="Q9" s="1256"/>
      <c r="R9" s="1266"/>
      <c r="S9" s="1267"/>
      <c r="T9" s="1256"/>
      <c r="U9" s="1266"/>
      <c r="V9" s="1267"/>
      <c r="W9" s="1256"/>
      <c r="X9" s="1266"/>
      <c r="Y9" s="1267"/>
      <c r="Z9" s="1256"/>
      <c r="AA9" s="1266"/>
      <c r="AB9" s="1268"/>
      <c r="AC9" s="1256"/>
      <c r="AD9" s="1256"/>
      <c r="AE9" s="1256"/>
      <c r="AF9" s="1256"/>
      <c r="AG9" s="1256"/>
      <c r="AH9" s="1256"/>
      <c r="AI9" s="1256"/>
      <c r="AJ9" s="1256"/>
      <c r="AK9" s="1256"/>
      <c r="AL9" s="1256"/>
      <c r="AM9" s="1256"/>
      <c r="AN9" s="1256"/>
      <c r="AO9" s="1256"/>
      <c r="AP9" s="1256"/>
      <c r="AQ9" s="1256"/>
      <c r="AR9" s="1256"/>
      <c r="AS9" s="1256"/>
      <c r="AT9" s="1256"/>
      <c r="AU9" s="1256"/>
      <c r="AV9" s="1256"/>
      <c r="AW9" s="1256"/>
      <c r="AX9" s="1256"/>
      <c r="AY9" s="1256"/>
      <c r="AZ9" s="1256"/>
      <c r="BA9" s="1256"/>
    </row>
    <row r="10" spans="1:53" ht="24" customHeight="1">
      <c r="A10" s="1261">
        <v>5</v>
      </c>
      <c r="B10" s="1691"/>
      <c r="C10" s="1269" t="s">
        <v>446</v>
      </c>
      <c r="D10" s="1267"/>
      <c r="E10" s="1256"/>
      <c r="F10" s="1266"/>
      <c r="G10" s="1267"/>
      <c r="H10" s="1256"/>
      <c r="I10" s="1270"/>
      <c r="J10" s="1264"/>
      <c r="K10" s="1265"/>
      <c r="L10" s="1266"/>
      <c r="M10" s="1267"/>
      <c r="N10" s="1256"/>
      <c r="O10" s="1266"/>
      <c r="P10" s="1267"/>
      <c r="Q10" s="1256"/>
      <c r="R10" s="1266"/>
      <c r="S10" s="1267"/>
      <c r="T10" s="1256"/>
      <c r="U10" s="1266"/>
      <c r="V10" s="1267"/>
      <c r="W10" s="1256"/>
      <c r="X10" s="1266"/>
      <c r="Y10" s="1267"/>
      <c r="Z10" s="1256"/>
      <c r="AA10" s="1266"/>
      <c r="AB10" s="1268"/>
      <c r="AC10" s="1256"/>
      <c r="AD10" s="1256"/>
      <c r="AE10" s="1256"/>
      <c r="AF10" s="1256"/>
      <c r="AG10" s="1256"/>
      <c r="AH10" s="1256"/>
      <c r="AI10" s="1256"/>
      <c r="AJ10" s="1256"/>
      <c r="AK10" s="1256"/>
      <c r="AL10" s="1256"/>
      <c r="AM10" s="1256"/>
      <c r="AN10" s="1256"/>
      <c r="AO10" s="1256"/>
      <c r="AP10" s="1256"/>
      <c r="AQ10" s="1256"/>
      <c r="AR10" s="1256"/>
      <c r="AS10" s="1256"/>
      <c r="AT10" s="1256"/>
      <c r="AU10" s="1256"/>
      <c r="AV10" s="1256"/>
      <c r="AW10" s="1256"/>
      <c r="AX10" s="1256"/>
      <c r="AY10" s="1256"/>
      <c r="AZ10" s="1256"/>
      <c r="BA10" s="1256"/>
    </row>
    <row r="11" spans="1:53" ht="24" customHeight="1">
      <c r="A11" s="1261">
        <v>6</v>
      </c>
      <c r="B11" s="1690" t="s">
        <v>859</v>
      </c>
      <c r="C11" s="1263" t="s">
        <v>860</v>
      </c>
      <c r="D11" s="1267"/>
      <c r="E11" s="1256"/>
      <c r="F11" s="1266"/>
      <c r="G11" s="1264"/>
      <c r="H11" s="1265"/>
      <c r="I11" s="1270"/>
      <c r="J11" s="1264"/>
      <c r="K11" s="1265"/>
      <c r="L11" s="1270"/>
      <c r="M11" s="1264"/>
      <c r="N11" s="1265"/>
      <c r="O11" s="1270"/>
      <c r="P11" s="1264"/>
      <c r="Q11" s="1265"/>
      <c r="R11" s="1270"/>
      <c r="S11" s="1267"/>
      <c r="T11" s="1256"/>
      <c r="U11" s="1266"/>
      <c r="V11" s="1267"/>
      <c r="W11" s="1256"/>
      <c r="X11" s="1266"/>
      <c r="Y11" s="1267"/>
      <c r="Z11" s="1256"/>
      <c r="AA11" s="1266"/>
      <c r="AB11" s="1268"/>
      <c r="AC11" s="1256"/>
      <c r="AD11" s="1256"/>
      <c r="AE11" s="1256"/>
      <c r="AF11" s="1256"/>
      <c r="AG11" s="1256"/>
      <c r="AH11" s="1256"/>
      <c r="AI11" s="1256"/>
      <c r="AJ11" s="1256"/>
      <c r="AK11" s="1256"/>
      <c r="AL11" s="1256"/>
      <c r="AM11" s="1256"/>
      <c r="AN11" s="1256"/>
      <c r="AO11" s="1256"/>
      <c r="AP11" s="1256"/>
      <c r="AQ11" s="1256"/>
      <c r="AR11" s="1256"/>
      <c r="AS11" s="1256"/>
      <c r="AT11" s="1256"/>
      <c r="AU11" s="1256"/>
      <c r="AV11" s="1256"/>
      <c r="AW11" s="1256"/>
      <c r="AX11" s="1256"/>
      <c r="AY11" s="1256"/>
      <c r="AZ11" s="1256"/>
      <c r="BA11" s="1256"/>
    </row>
    <row r="12" spans="1:53" ht="24" customHeight="1">
      <c r="A12" s="1261">
        <v>7</v>
      </c>
      <c r="B12" s="1692"/>
      <c r="C12" s="1263" t="s">
        <v>861</v>
      </c>
      <c r="D12" s="1267"/>
      <c r="E12" s="1256"/>
      <c r="F12" s="1266"/>
      <c r="G12" s="1267"/>
      <c r="H12" s="1256"/>
      <c r="I12" s="1266"/>
      <c r="J12" s="1264"/>
      <c r="K12" s="1265"/>
      <c r="L12" s="1270"/>
      <c r="M12" s="1264"/>
      <c r="N12" s="1265"/>
      <c r="O12" s="1270"/>
      <c r="P12" s="1264"/>
      <c r="Q12" s="1265"/>
      <c r="R12" s="1270"/>
      <c r="S12" s="1267"/>
      <c r="T12" s="1256"/>
      <c r="U12" s="1266"/>
      <c r="V12" s="1267"/>
      <c r="W12" s="1256"/>
      <c r="X12" s="1266"/>
      <c r="Y12" s="1267"/>
      <c r="Z12" s="1256"/>
      <c r="AA12" s="1266"/>
      <c r="AB12" s="1268"/>
      <c r="AC12" s="1256"/>
      <c r="AD12" s="1256"/>
      <c r="AE12" s="1256"/>
      <c r="AF12" s="1256"/>
      <c r="AG12" s="1256"/>
      <c r="AH12" s="1256"/>
      <c r="AI12" s="1256"/>
      <c r="AJ12" s="1256"/>
      <c r="AK12" s="1256"/>
      <c r="AL12" s="1256"/>
      <c r="AM12" s="1256"/>
      <c r="AN12" s="1256"/>
      <c r="AO12" s="1256"/>
      <c r="AP12" s="1256"/>
      <c r="AQ12" s="1256"/>
      <c r="AR12" s="1256"/>
      <c r="AS12" s="1256"/>
      <c r="AT12" s="1256"/>
      <c r="AU12" s="1256"/>
      <c r="AV12" s="1256"/>
      <c r="AW12" s="1256"/>
      <c r="AX12" s="1256"/>
      <c r="AY12" s="1256"/>
      <c r="AZ12" s="1256"/>
      <c r="BA12" s="1256"/>
    </row>
    <row r="13" spans="1:53" ht="24" customHeight="1">
      <c r="A13" s="1261">
        <v>8</v>
      </c>
      <c r="B13" s="1692"/>
      <c r="C13" s="1263" t="s">
        <v>862</v>
      </c>
      <c r="D13" s="1267"/>
      <c r="E13" s="1256"/>
      <c r="F13" s="1266"/>
      <c r="G13" s="1267"/>
      <c r="H13" s="1256"/>
      <c r="I13" s="1266"/>
      <c r="J13" s="1267"/>
      <c r="K13" s="1256"/>
      <c r="L13" s="1266"/>
      <c r="M13" s="1267"/>
      <c r="N13" s="1256"/>
      <c r="O13" s="1270"/>
      <c r="P13" s="1264"/>
      <c r="Q13" s="1265"/>
      <c r="R13" s="1270"/>
      <c r="S13" s="1267"/>
      <c r="T13" s="1256"/>
      <c r="U13" s="1266"/>
      <c r="V13" s="1267"/>
      <c r="W13" s="1256"/>
      <c r="X13" s="1266"/>
      <c r="Y13" s="1267"/>
      <c r="Z13" s="1256"/>
      <c r="AA13" s="1266"/>
      <c r="AB13" s="1268"/>
      <c r="AC13" s="1256"/>
      <c r="AD13" s="1256"/>
      <c r="AE13" s="1256"/>
      <c r="AF13" s="1256"/>
      <c r="AG13" s="1256"/>
      <c r="AH13" s="1256"/>
      <c r="AI13" s="1256"/>
      <c r="AJ13" s="1256"/>
      <c r="AK13" s="1256"/>
      <c r="AL13" s="1256"/>
      <c r="AM13" s="1256"/>
      <c r="AN13" s="1256"/>
      <c r="AO13" s="1256"/>
      <c r="AP13" s="1256"/>
      <c r="AQ13" s="1256"/>
      <c r="AR13" s="1256"/>
      <c r="AS13" s="1256"/>
      <c r="AT13" s="1256"/>
      <c r="AU13" s="1256"/>
      <c r="AV13" s="1256"/>
      <c r="AW13" s="1256"/>
      <c r="AX13" s="1256"/>
      <c r="AY13" s="1256"/>
      <c r="AZ13" s="1256"/>
      <c r="BA13" s="1256"/>
    </row>
    <row r="14" spans="1:53" ht="24" customHeight="1">
      <c r="A14" s="1261">
        <v>9</v>
      </c>
      <c r="B14" s="1692"/>
      <c r="C14" s="1269" t="s">
        <v>863</v>
      </c>
      <c r="D14" s="1267"/>
      <c r="E14" s="1256"/>
      <c r="F14" s="1266"/>
      <c r="G14" s="1267"/>
      <c r="H14" s="1256"/>
      <c r="I14" s="1266"/>
      <c r="J14" s="1267"/>
      <c r="K14" s="1256"/>
      <c r="L14" s="1266"/>
      <c r="M14" s="1267"/>
      <c r="N14" s="1256"/>
      <c r="O14" s="1270"/>
      <c r="P14" s="1264"/>
      <c r="Q14" s="1265"/>
      <c r="R14" s="1270"/>
      <c r="S14" s="1264"/>
      <c r="T14" s="1265"/>
      <c r="U14" s="1266"/>
      <c r="V14" s="1267"/>
      <c r="W14" s="1256"/>
      <c r="X14" s="1266"/>
      <c r="Y14" s="1267"/>
      <c r="Z14" s="1256"/>
      <c r="AA14" s="1266"/>
      <c r="AB14" s="1268"/>
      <c r="AC14" s="1256"/>
      <c r="AD14" s="1256"/>
      <c r="AE14" s="1256"/>
      <c r="AF14" s="1256"/>
      <c r="AG14" s="1256"/>
      <c r="AH14" s="1256"/>
      <c r="AI14" s="1256"/>
      <c r="AJ14" s="1256"/>
      <c r="AK14" s="1256"/>
      <c r="AL14" s="1256"/>
      <c r="AM14" s="1256"/>
      <c r="AN14" s="1256"/>
      <c r="AO14" s="1256"/>
      <c r="AP14" s="1256"/>
      <c r="AQ14" s="1256"/>
      <c r="AR14" s="1256"/>
      <c r="AS14" s="1256"/>
      <c r="AT14" s="1256"/>
      <c r="AU14" s="1256"/>
      <c r="AV14" s="1256"/>
      <c r="AW14" s="1256"/>
      <c r="AX14" s="1256"/>
      <c r="AY14" s="1256"/>
      <c r="AZ14" s="1256"/>
      <c r="BA14" s="1256"/>
    </row>
    <row r="15" spans="1:53" ht="36" customHeight="1">
      <c r="A15" s="1261">
        <v>10</v>
      </c>
      <c r="B15" s="1692"/>
      <c r="C15" s="1269" t="s">
        <v>864</v>
      </c>
      <c r="D15" s="1267"/>
      <c r="E15" s="1256"/>
      <c r="F15" s="1266"/>
      <c r="G15" s="1267"/>
      <c r="H15" s="1256"/>
      <c r="I15" s="1266"/>
      <c r="J15" s="1267"/>
      <c r="K15" s="1256"/>
      <c r="L15" s="1266"/>
      <c r="M15" s="1267"/>
      <c r="N15" s="1256"/>
      <c r="O15" s="1266"/>
      <c r="P15" s="1267"/>
      <c r="Q15" s="1265"/>
      <c r="R15" s="1270"/>
      <c r="S15" s="1264"/>
      <c r="T15" s="1265"/>
      <c r="U15" s="1270"/>
      <c r="V15" s="1264"/>
      <c r="W15" s="1265"/>
      <c r="X15" s="1270"/>
      <c r="Y15" s="1264"/>
      <c r="Z15" s="1256"/>
      <c r="AA15" s="1266"/>
      <c r="AB15" s="1268"/>
      <c r="AC15" s="1256"/>
      <c r="AD15" s="1256"/>
      <c r="AE15" s="1256"/>
      <c r="AF15" s="1256"/>
      <c r="AG15" s="1256"/>
      <c r="AH15" s="1256"/>
      <c r="AI15" s="1256"/>
      <c r="AJ15" s="1256"/>
      <c r="AK15" s="1256"/>
      <c r="AL15" s="1256"/>
      <c r="AM15" s="1256"/>
      <c r="AN15" s="1256"/>
      <c r="AO15" s="1256"/>
      <c r="AP15" s="1256"/>
      <c r="AQ15" s="1256"/>
      <c r="AR15" s="1256"/>
      <c r="AS15" s="1256"/>
      <c r="AT15" s="1256"/>
      <c r="AU15" s="1256"/>
      <c r="AV15" s="1256"/>
      <c r="AW15" s="1256"/>
      <c r="AX15" s="1256"/>
      <c r="AY15" s="1256"/>
      <c r="AZ15" s="1256"/>
      <c r="BA15" s="1256"/>
    </row>
    <row r="16" spans="1:53" ht="34.5" customHeight="1">
      <c r="A16" s="1261">
        <v>11</v>
      </c>
      <c r="B16" s="1692"/>
      <c r="C16" s="1263" t="s">
        <v>865</v>
      </c>
      <c r="D16" s="1267"/>
      <c r="E16" s="1256"/>
      <c r="F16" s="1266"/>
      <c r="G16" s="1267"/>
      <c r="H16" s="1256"/>
      <c r="I16" s="1266"/>
      <c r="J16" s="1267"/>
      <c r="K16" s="1256"/>
      <c r="L16" s="1266"/>
      <c r="M16" s="1267"/>
      <c r="N16" s="1256"/>
      <c r="O16" s="1266"/>
      <c r="P16" s="1267"/>
      <c r="Q16" s="1256"/>
      <c r="R16" s="1266"/>
      <c r="S16" s="1267"/>
      <c r="T16" s="1265"/>
      <c r="U16" s="1270"/>
      <c r="V16" s="1264"/>
      <c r="W16" s="1265"/>
      <c r="X16" s="1270"/>
      <c r="Y16" s="1264"/>
      <c r="Z16" s="1265"/>
      <c r="AA16" s="1266"/>
      <c r="AB16" s="1271"/>
      <c r="AC16" s="1272"/>
      <c r="AD16" s="1256"/>
      <c r="AE16" s="1256"/>
      <c r="AF16" s="1256"/>
      <c r="AG16" s="1256"/>
      <c r="AH16" s="1256"/>
      <c r="AI16" s="1256"/>
      <c r="AJ16" s="1256"/>
      <c r="AK16" s="1256"/>
      <c r="AL16" s="1256"/>
      <c r="AM16" s="1256"/>
      <c r="AN16" s="1256"/>
      <c r="AO16" s="1256"/>
      <c r="AP16" s="1256"/>
      <c r="AQ16" s="1256"/>
      <c r="AR16" s="1256"/>
      <c r="AS16" s="1256"/>
      <c r="AT16" s="1256"/>
      <c r="AU16" s="1256"/>
      <c r="AV16" s="1256"/>
      <c r="AW16" s="1256"/>
      <c r="AX16" s="1256"/>
      <c r="AY16" s="1256"/>
      <c r="AZ16" s="1256"/>
      <c r="BA16" s="1256"/>
    </row>
    <row r="17" spans="1:53" ht="24" customHeight="1">
      <c r="A17" s="1261">
        <v>12</v>
      </c>
      <c r="B17" s="1692"/>
      <c r="C17" s="1263" t="s">
        <v>866</v>
      </c>
      <c r="D17" s="1267"/>
      <c r="E17" s="1256"/>
      <c r="F17" s="1266"/>
      <c r="G17" s="1267"/>
      <c r="H17" s="1256"/>
      <c r="I17" s="1266"/>
      <c r="J17" s="1267"/>
      <c r="K17" s="1256"/>
      <c r="L17" s="1266"/>
      <c r="M17" s="1267"/>
      <c r="N17" s="1256"/>
      <c r="O17" s="1266"/>
      <c r="P17" s="1267"/>
      <c r="Q17" s="1256"/>
      <c r="R17" s="1266"/>
      <c r="S17" s="1267"/>
      <c r="T17" s="1256"/>
      <c r="U17" s="1266"/>
      <c r="V17" s="1267"/>
      <c r="W17" s="1256"/>
      <c r="X17" s="1266"/>
      <c r="Y17" s="1264"/>
      <c r="Z17" s="1265"/>
      <c r="AA17" s="1266"/>
      <c r="AB17" s="1271"/>
      <c r="AC17" s="1272"/>
      <c r="AD17" s="1272"/>
      <c r="AE17" s="1272"/>
      <c r="AF17" s="1256"/>
      <c r="AG17" s="1256"/>
      <c r="AH17" s="1256"/>
      <c r="AI17" s="1256"/>
      <c r="AJ17" s="1256"/>
      <c r="AK17" s="1256"/>
      <c r="AL17" s="1256"/>
      <c r="AM17" s="1256"/>
      <c r="AN17" s="1256"/>
      <c r="AO17" s="1256"/>
      <c r="AP17" s="1256"/>
      <c r="AQ17" s="1256"/>
      <c r="AR17" s="1256"/>
      <c r="AS17" s="1256"/>
      <c r="AT17" s="1256"/>
      <c r="AU17" s="1256"/>
      <c r="AV17" s="1256"/>
      <c r="AW17" s="1256"/>
      <c r="AX17" s="1256"/>
      <c r="AY17" s="1256"/>
      <c r="AZ17" s="1256"/>
      <c r="BA17" s="1256"/>
    </row>
    <row r="18" spans="1:53" ht="24" customHeight="1" thickBot="1">
      <c r="A18" s="1261">
        <v>13</v>
      </c>
      <c r="B18" s="1691"/>
      <c r="C18" s="1263" t="s">
        <v>867</v>
      </c>
      <c r="D18" s="1273"/>
      <c r="E18" s="1274"/>
      <c r="F18" s="1275"/>
      <c r="G18" s="1273"/>
      <c r="H18" s="1274"/>
      <c r="I18" s="1275"/>
      <c r="J18" s="1273"/>
      <c r="K18" s="1274"/>
      <c r="L18" s="1275"/>
      <c r="M18" s="1273"/>
      <c r="N18" s="1274"/>
      <c r="O18" s="1275"/>
      <c r="P18" s="1273"/>
      <c r="Q18" s="1274"/>
      <c r="R18" s="1275"/>
      <c r="S18" s="1273"/>
      <c r="T18" s="1274"/>
      <c r="U18" s="1275"/>
      <c r="V18" s="1273"/>
      <c r="W18" s="1274"/>
      <c r="X18" s="1275"/>
      <c r="Y18" s="1276"/>
      <c r="Z18" s="1277"/>
      <c r="AA18" s="1278"/>
      <c r="AB18" s="1268"/>
      <c r="AC18" s="1256"/>
      <c r="AD18" s="1256"/>
      <c r="AE18" s="1256"/>
      <c r="AF18" s="1256"/>
      <c r="AG18" s="1256"/>
      <c r="AH18" s="1256"/>
      <c r="AI18" s="1256"/>
      <c r="AJ18" s="1256"/>
      <c r="AK18" s="1256"/>
      <c r="AL18" s="1256"/>
      <c r="AM18" s="1256"/>
      <c r="AN18" s="1256"/>
      <c r="AO18" s="1256"/>
      <c r="AP18" s="1256"/>
      <c r="AQ18" s="1256"/>
      <c r="AR18" s="1256"/>
      <c r="AS18" s="1256"/>
      <c r="AT18" s="1256"/>
      <c r="AU18" s="1256"/>
      <c r="AV18" s="1256"/>
      <c r="AW18" s="1256"/>
      <c r="AX18" s="1256"/>
      <c r="AY18" s="1256"/>
      <c r="AZ18" s="1256"/>
      <c r="BA18" s="1256"/>
    </row>
    <row r="19" spans="1:53" ht="13.15" customHeight="1"/>
    <row r="20" spans="1:53" ht="154.5" customHeight="1">
      <c r="C20" s="1693"/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3"/>
      <c r="AF20" s="1693"/>
      <c r="AG20" s="1693"/>
    </row>
  </sheetData>
  <mergeCells count="31">
    <mergeCell ref="B9:B10"/>
    <mergeCell ref="B11:B18"/>
    <mergeCell ref="C20:AG20"/>
    <mergeCell ref="AR4:AS4"/>
    <mergeCell ref="AT4:AU4"/>
    <mergeCell ref="B7:B8"/>
    <mergeCell ref="AF4:AG4"/>
    <mergeCell ref="AH4:AI4"/>
    <mergeCell ref="AJ4:AK4"/>
    <mergeCell ref="AL4:AM4"/>
    <mergeCell ref="P4:R4"/>
    <mergeCell ref="S4:U4"/>
    <mergeCell ref="V4:X4"/>
    <mergeCell ref="Y4:AA4"/>
    <mergeCell ref="AB4:AC4"/>
    <mergeCell ref="AD4:AE4"/>
    <mergeCell ref="A1:BA1"/>
    <mergeCell ref="A2:BA2"/>
    <mergeCell ref="A3:A5"/>
    <mergeCell ref="B3:B4"/>
    <mergeCell ref="C3:C5"/>
    <mergeCell ref="D3:BA3"/>
    <mergeCell ref="D4:F4"/>
    <mergeCell ref="G4:I4"/>
    <mergeCell ref="J4:L4"/>
    <mergeCell ref="M4:O4"/>
    <mergeCell ref="AV4:AW4"/>
    <mergeCell ref="AX4:AY4"/>
    <mergeCell ref="AZ4:BA4"/>
    <mergeCell ref="AN4:AO4"/>
    <mergeCell ref="AP4:AQ4"/>
  </mergeCells>
  <pageMargins left="0.17" right="0.1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4.9989318521683403E-2"/>
  </sheetPr>
  <dimension ref="A1:M90"/>
  <sheetViews>
    <sheetView zoomScale="70" zoomScaleNormal="70" zoomScaleSheetLayoutView="70" workbookViewId="0">
      <selection activeCell="M18" sqref="M18"/>
    </sheetView>
  </sheetViews>
  <sheetFormatPr defaultColWidth="8.85546875" defaultRowHeight="17.25"/>
  <cols>
    <col min="1" max="1" width="7.42578125" style="1190" customWidth="1"/>
    <col min="2" max="2" width="12" style="1190" customWidth="1"/>
    <col min="3" max="3" width="63.7109375" style="1190" customWidth="1"/>
    <col min="4" max="4" width="14.28515625" style="1190" customWidth="1"/>
    <col min="5" max="8" width="12.28515625" style="1190" customWidth="1"/>
    <col min="9" max="9" width="8.85546875" style="1190" customWidth="1"/>
    <col min="10" max="10" width="10" style="1190" customWidth="1"/>
    <col min="11" max="11" width="9.85546875" style="1190" customWidth="1"/>
    <col min="12" max="12" width="10.85546875" style="1190" customWidth="1"/>
    <col min="13" max="13" width="12.28515625" style="1190" customWidth="1"/>
    <col min="14" max="16384" width="8.85546875" style="1190"/>
  </cols>
  <sheetData>
    <row r="1" spans="1:13" s="740" customFormat="1">
      <c r="A1" s="1575" t="s">
        <v>610</v>
      </c>
      <c r="B1" s="1575"/>
      <c r="C1" s="1575"/>
      <c r="D1" s="1575"/>
      <c r="E1" s="1575"/>
      <c r="F1" s="1575"/>
      <c r="G1" s="1575"/>
      <c r="H1" s="1575"/>
      <c r="I1" s="1128"/>
      <c r="J1" s="1128"/>
      <c r="K1" s="1128"/>
      <c r="L1" s="1128"/>
      <c r="M1" s="1128"/>
    </row>
    <row r="2" spans="1:13" s="740" customFormat="1" ht="30.6" customHeight="1">
      <c r="A2" s="1576" t="s">
        <v>338</v>
      </c>
      <c r="B2" s="1576"/>
      <c r="C2" s="1576"/>
      <c r="D2" s="1576"/>
      <c r="E2" s="1576"/>
      <c r="F2" s="1576"/>
      <c r="G2" s="1576"/>
      <c r="H2" s="1576"/>
      <c r="I2" s="1128"/>
      <c r="J2" s="1128"/>
      <c r="K2" s="1128"/>
      <c r="L2" s="1128"/>
      <c r="M2" s="1128"/>
    </row>
    <row r="3" spans="1:13" s="740" customFormat="1">
      <c r="A3" s="1576"/>
      <c r="B3" s="1576"/>
      <c r="C3" s="1576"/>
      <c r="D3" s="1576"/>
      <c r="E3" s="1129"/>
      <c r="F3" s="1130"/>
      <c r="G3" s="1128"/>
      <c r="H3" s="1128"/>
      <c r="I3" s="1128"/>
      <c r="J3" s="1128"/>
      <c r="K3" s="1128"/>
      <c r="L3" s="1128"/>
      <c r="M3" s="1128"/>
    </row>
    <row r="4" spans="1:13" s="688" customFormat="1">
      <c r="A4" s="1577"/>
      <c r="B4" s="1577"/>
      <c r="C4" s="1578"/>
      <c r="D4" s="1577"/>
      <c r="E4" s="1577"/>
      <c r="F4" s="1577"/>
      <c r="G4" s="1577"/>
      <c r="H4" s="1577"/>
      <c r="I4" s="1128"/>
      <c r="J4" s="1128"/>
      <c r="K4" s="1128"/>
      <c r="L4" s="1128"/>
      <c r="M4" s="1128"/>
    </row>
    <row r="5" spans="1:13" s="710" customFormat="1" ht="40.5" customHeight="1">
      <c r="A5" s="1579" t="s">
        <v>153</v>
      </c>
      <c r="B5" s="1580" t="s">
        <v>2</v>
      </c>
      <c r="C5" s="1581" t="s">
        <v>3</v>
      </c>
      <c r="D5" s="1582" t="s">
        <v>4</v>
      </c>
      <c r="E5" s="1583" t="s">
        <v>5</v>
      </c>
      <c r="F5" s="1583"/>
      <c r="G5" s="1572" t="s">
        <v>6</v>
      </c>
      <c r="H5" s="1573"/>
      <c r="I5" s="1572" t="s">
        <v>66</v>
      </c>
      <c r="J5" s="1573"/>
      <c r="K5" s="1572" t="s">
        <v>72</v>
      </c>
      <c r="L5" s="1573"/>
      <c r="M5" s="1574" t="s">
        <v>67</v>
      </c>
    </row>
    <row r="6" spans="1:13" s="710" customFormat="1" ht="45" customHeight="1">
      <c r="A6" s="1579"/>
      <c r="B6" s="1580"/>
      <c r="C6" s="1581"/>
      <c r="D6" s="1582"/>
      <c r="E6" s="689" t="s">
        <v>7</v>
      </c>
      <c r="F6" s="689" t="s">
        <v>8</v>
      </c>
      <c r="G6" s="691" t="s">
        <v>9</v>
      </c>
      <c r="H6" s="691" t="s">
        <v>10</v>
      </c>
      <c r="I6" s="691" t="s">
        <v>9</v>
      </c>
      <c r="J6" s="691" t="s">
        <v>10</v>
      </c>
      <c r="K6" s="691" t="s">
        <v>9</v>
      </c>
      <c r="L6" s="691" t="s">
        <v>10</v>
      </c>
      <c r="M6" s="1574"/>
    </row>
    <row r="7" spans="1:13" s="710" customFormat="1">
      <c r="A7" s="1131">
        <v>1</v>
      </c>
      <c r="B7" s="693">
        <v>2</v>
      </c>
      <c r="C7" s="739">
        <v>3</v>
      </c>
      <c r="D7" s="693">
        <v>4</v>
      </c>
      <c r="E7" s="692">
        <v>5</v>
      </c>
      <c r="F7" s="692">
        <v>6</v>
      </c>
      <c r="G7" s="692">
        <v>7</v>
      </c>
      <c r="H7" s="692">
        <v>8</v>
      </c>
      <c r="I7" s="692">
        <v>9</v>
      </c>
      <c r="J7" s="692">
        <v>10</v>
      </c>
      <c r="K7" s="692">
        <v>11</v>
      </c>
      <c r="L7" s="692">
        <v>12</v>
      </c>
      <c r="M7" s="692">
        <v>13</v>
      </c>
    </row>
    <row r="8" spans="1:13" s="710" customFormat="1">
      <c r="A8" s="1131"/>
      <c r="B8" s="693"/>
      <c r="C8" s="739" t="s">
        <v>645</v>
      </c>
      <c r="D8" s="693"/>
      <c r="E8" s="692"/>
      <c r="F8" s="692"/>
      <c r="G8" s="692"/>
      <c r="H8" s="692"/>
      <c r="I8" s="692"/>
      <c r="J8" s="692"/>
      <c r="K8" s="692"/>
      <c r="L8" s="692"/>
      <c r="M8" s="692"/>
    </row>
    <row r="9" spans="1:13" s="830" customFormat="1" ht="75" customHeight="1">
      <c r="A9" s="838">
        <v>1</v>
      </c>
      <c r="B9" s="1132"/>
      <c r="C9" s="1133" t="s">
        <v>493</v>
      </c>
      <c r="D9" s="730" t="s">
        <v>61</v>
      </c>
      <c r="E9" s="1134"/>
      <c r="F9" s="1135">
        <v>0.9</v>
      </c>
      <c r="G9" s="1308"/>
      <c r="H9" s="703">
        <f t="shared" ref="H9:H34" si="0">F9*G9</f>
        <v>0</v>
      </c>
      <c r="I9" s="1330"/>
      <c r="J9" s="1309">
        <f t="shared" ref="J9:J34" si="1">F9*I9</f>
        <v>0</v>
      </c>
      <c r="K9" s="1175"/>
      <c r="L9" s="742">
        <f t="shared" ref="L9:L34" si="2">F9*K9</f>
        <v>0</v>
      </c>
      <c r="M9" s="1310">
        <f t="shared" ref="M9:M34" si="3">H9+J9+L9</f>
        <v>0</v>
      </c>
    </row>
    <row r="10" spans="1:13" s="830" customFormat="1" ht="20.100000000000001" customHeight="1">
      <c r="A10" s="831">
        <f t="shared" ref="A10:A17" si="4">A9+0.1</f>
        <v>1.1000000000000001</v>
      </c>
      <c r="B10" s="693"/>
      <c r="C10" s="1137" t="s">
        <v>23</v>
      </c>
      <c r="D10" s="735" t="s">
        <v>13</v>
      </c>
      <c r="E10" s="1134">
        <f>23.8</f>
        <v>23.8</v>
      </c>
      <c r="F10" s="1134">
        <f>F9*E10</f>
        <v>21.42</v>
      </c>
      <c r="G10" s="1311"/>
      <c r="H10" s="703">
        <f t="shared" si="0"/>
        <v>0</v>
      </c>
      <c r="I10" s="1312"/>
      <c r="J10" s="1309">
        <f t="shared" si="1"/>
        <v>0</v>
      </c>
      <c r="K10" s="1175"/>
      <c r="L10" s="742">
        <f t="shared" si="2"/>
        <v>0</v>
      </c>
      <c r="M10" s="1310">
        <f t="shared" si="3"/>
        <v>0</v>
      </c>
    </row>
    <row r="11" spans="1:13" s="830" customFormat="1" ht="20.100000000000001" customHeight="1">
      <c r="A11" s="831">
        <f t="shared" si="4"/>
        <v>1.2000000000000002</v>
      </c>
      <c r="B11" s="693"/>
      <c r="C11" s="1137" t="s">
        <v>51</v>
      </c>
      <c r="D11" s="742" t="s">
        <v>14</v>
      </c>
      <c r="E11" s="1134">
        <f>2.1</f>
        <v>2.1</v>
      </c>
      <c r="F11" s="1134">
        <f>F9*E11</f>
        <v>1.8900000000000001</v>
      </c>
      <c r="G11" s="1311"/>
      <c r="H11" s="703">
        <f t="shared" si="0"/>
        <v>0</v>
      </c>
      <c r="I11" s="1330"/>
      <c r="J11" s="1309">
        <f t="shared" si="1"/>
        <v>0</v>
      </c>
      <c r="K11" s="1313"/>
      <c r="L11" s="742">
        <f t="shared" si="2"/>
        <v>0</v>
      </c>
      <c r="M11" s="1310">
        <f t="shared" si="3"/>
        <v>0</v>
      </c>
    </row>
    <row r="12" spans="1:13" s="830" customFormat="1" ht="20.100000000000001" customHeight="1">
      <c r="A12" s="831">
        <f t="shared" si="4"/>
        <v>1.3000000000000003</v>
      </c>
      <c r="B12" s="1139"/>
      <c r="C12" s="1140" t="s">
        <v>494</v>
      </c>
      <c r="D12" s="693" t="s">
        <v>61</v>
      </c>
      <c r="E12" s="1134">
        <v>1.05</v>
      </c>
      <c r="F12" s="1134">
        <f>F9*E12</f>
        <v>0.94500000000000006</v>
      </c>
      <c r="G12" s="1312"/>
      <c r="H12" s="703">
        <f t="shared" si="0"/>
        <v>0</v>
      </c>
      <c r="I12" s="1330"/>
      <c r="J12" s="1309">
        <f t="shared" si="1"/>
        <v>0</v>
      </c>
      <c r="K12" s="1175"/>
      <c r="L12" s="742">
        <f t="shared" si="2"/>
        <v>0</v>
      </c>
      <c r="M12" s="1310">
        <f t="shared" si="3"/>
        <v>0</v>
      </c>
    </row>
    <row r="13" spans="1:13" s="830" customFormat="1" ht="20.100000000000001" customHeight="1">
      <c r="A13" s="831">
        <f t="shared" si="4"/>
        <v>1.4000000000000004</v>
      </c>
      <c r="B13" s="1141"/>
      <c r="C13" s="1140" t="s">
        <v>495</v>
      </c>
      <c r="D13" s="847" t="s">
        <v>21</v>
      </c>
      <c r="E13" s="1134">
        <v>1.96</v>
      </c>
      <c r="F13" s="1134">
        <f>F9*E13</f>
        <v>1.764</v>
      </c>
      <c r="G13" s="1308"/>
      <c r="H13" s="703">
        <f t="shared" si="0"/>
        <v>0</v>
      </c>
      <c r="I13" s="1330"/>
      <c r="J13" s="1309">
        <f t="shared" si="1"/>
        <v>0</v>
      </c>
      <c r="K13" s="1175"/>
      <c r="L13" s="742">
        <f t="shared" si="2"/>
        <v>0</v>
      </c>
      <c r="M13" s="1310">
        <f t="shared" si="3"/>
        <v>0</v>
      </c>
    </row>
    <row r="14" spans="1:13" s="830" customFormat="1" ht="20.100000000000001" customHeight="1">
      <c r="A14" s="831">
        <f t="shared" si="4"/>
        <v>1.5000000000000004</v>
      </c>
      <c r="B14" s="1141"/>
      <c r="C14" s="1140" t="s">
        <v>496</v>
      </c>
      <c r="D14" s="847" t="s">
        <v>43</v>
      </c>
      <c r="E14" s="1134">
        <v>3.38</v>
      </c>
      <c r="F14" s="1134">
        <f>F9*E14</f>
        <v>3.0419999999999998</v>
      </c>
      <c r="G14" s="1308"/>
      <c r="H14" s="703">
        <f t="shared" si="0"/>
        <v>0</v>
      </c>
      <c r="I14" s="1330"/>
      <c r="J14" s="1309">
        <f t="shared" si="1"/>
        <v>0</v>
      </c>
      <c r="K14" s="1175"/>
      <c r="L14" s="742">
        <f t="shared" si="2"/>
        <v>0</v>
      </c>
      <c r="M14" s="1310">
        <f t="shared" si="3"/>
        <v>0</v>
      </c>
    </row>
    <row r="15" spans="1:13" s="830" customFormat="1" ht="20.100000000000001" customHeight="1">
      <c r="A15" s="831">
        <f t="shared" si="4"/>
        <v>1.6000000000000005</v>
      </c>
      <c r="B15" s="1139"/>
      <c r="C15" s="1140" t="s">
        <v>497</v>
      </c>
      <c r="D15" s="847" t="s">
        <v>21</v>
      </c>
      <c r="E15" s="1134">
        <v>4.38</v>
      </c>
      <c r="F15" s="1134">
        <f>F9*E15</f>
        <v>3.9420000000000002</v>
      </c>
      <c r="G15" s="1308"/>
      <c r="H15" s="703">
        <f t="shared" si="0"/>
        <v>0</v>
      </c>
      <c r="I15" s="1330"/>
      <c r="J15" s="1309">
        <f t="shared" si="1"/>
        <v>0</v>
      </c>
      <c r="K15" s="1175"/>
      <c r="L15" s="742">
        <f t="shared" si="2"/>
        <v>0</v>
      </c>
      <c r="M15" s="1310">
        <f t="shared" si="3"/>
        <v>0</v>
      </c>
    </row>
    <row r="16" spans="1:13" s="830" customFormat="1" ht="20.100000000000001" customHeight="1">
      <c r="A16" s="831">
        <f t="shared" si="4"/>
        <v>1.7000000000000006</v>
      </c>
      <c r="B16" s="1141"/>
      <c r="C16" s="1140" t="s">
        <v>88</v>
      </c>
      <c r="D16" s="847" t="s">
        <v>21</v>
      </c>
      <c r="E16" s="1134">
        <v>7.2</v>
      </c>
      <c r="F16" s="1134">
        <f>F9*E16</f>
        <v>6.48</v>
      </c>
      <c r="G16" s="1175"/>
      <c r="H16" s="703">
        <f t="shared" si="0"/>
        <v>0</v>
      </c>
      <c r="I16" s="1330"/>
      <c r="J16" s="1309">
        <f t="shared" si="1"/>
        <v>0</v>
      </c>
      <c r="K16" s="1175"/>
      <c r="L16" s="742">
        <f t="shared" si="2"/>
        <v>0</v>
      </c>
      <c r="M16" s="1310">
        <f t="shared" si="3"/>
        <v>0</v>
      </c>
    </row>
    <row r="17" spans="1:13" s="830" customFormat="1" ht="20.100000000000001" customHeight="1">
      <c r="A17" s="831">
        <f t="shared" si="4"/>
        <v>1.8000000000000007</v>
      </c>
      <c r="B17" s="852"/>
      <c r="C17" s="1142" t="s">
        <v>119</v>
      </c>
      <c r="D17" s="852" t="s">
        <v>14</v>
      </c>
      <c r="E17" s="1134">
        <v>3.44</v>
      </c>
      <c r="F17" s="1134">
        <f>F9*E17</f>
        <v>3.0960000000000001</v>
      </c>
      <c r="G17" s="1175"/>
      <c r="H17" s="703">
        <f t="shared" si="0"/>
        <v>0</v>
      </c>
      <c r="I17" s="1330"/>
      <c r="J17" s="1309">
        <f t="shared" si="1"/>
        <v>0</v>
      </c>
      <c r="K17" s="1175"/>
      <c r="L17" s="742">
        <f t="shared" si="2"/>
        <v>0</v>
      </c>
      <c r="M17" s="1310">
        <f t="shared" si="3"/>
        <v>0</v>
      </c>
    </row>
    <row r="18" spans="1:13" s="830" customFormat="1" ht="50.1" customHeight="1">
      <c r="A18" s="838">
        <f>A9+1</f>
        <v>2</v>
      </c>
      <c r="B18" s="1132"/>
      <c r="C18" s="1143" t="s">
        <v>498</v>
      </c>
      <c r="D18" s="1132" t="s">
        <v>43</v>
      </c>
      <c r="E18" s="1144"/>
      <c r="F18" s="843">
        <v>35.4</v>
      </c>
      <c r="G18" s="1311"/>
      <c r="H18" s="703">
        <f t="shared" si="0"/>
        <v>0</v>
      </c>
      <c r="I18" s="1330"/>
      <c r="J18" s="1309">
        <f t="shared" si="1"/>
        <v>0</v>
      </c>
      <c r="K18" s="1175"/>
      <c r="L18" s="742">
        <f t="shared" si="2"/>
        <v>0</v>
      </c>
      <c r="M18" s="1310">
        <f t="shared" si="3"/>
        <v>0</v>
      </c>
    </row>
    <row r="19" spans="1:13" s="830" customFormat="1" ht="20.100000000000001" customHeight="1">
      <c r="A19" s="831">
        <f>A18+0.1</f>
        <v>2.1</v>
      </c>
      <c r="B19" s="693"/>
      <c r="C19" s="1137" t="s">
        <v>23</v>
      </c>
      <c r="D19" s="735" t="s">
        <v>13</v>
      </c>
      <c r="E19" s="1136">
        <f>4.24/100</f>
        <v>4.24E-2</v>
      </c>
      <c r="F19" s="1136">
        <f>F18*E19</f>
        <v>1.5009599999999998</v>
      </c>
      <c r="G19" s="1311"/>
      <c r="H19" s="703">
        <f t="shared" si="0"/>
        <v>0</v>
      </c>
      <c r="I19" s="1312"/>
      <c r="J19" s="1309">
        <f t="shared" si="1"/>
        <v>0</v>
      </c>
      <c r="K19" s="1175"/>
      <c r="L19" s="742">
        <f t="shared" si="2"/>
        <v>0</v>
      </c>
      <c r="M19" s="1310">
        <f t="shared" si="3"/>
        <v>0</v>
      </c>
    </row>
    <row r="20" spans="1:13" s="830" customFormat="1" ht="20.100000000000001" customHeight="1">
      <c r="A20" s="831">
        <f>A19+0.1</f>
        <v>2.2000000000000002</v>
      </c>
      <c r="B20" s="693"/>
      <c r="C20" s="1137" t="s">
        <v>51</v>
      </c>
      <c r="D20" s="742" t="s">
        <v>14</v>
      </c>
      <c r="E20" s="1134">
        <f>0.21/100</f>
        <v>2.0999999999999999E-3</v>
      </c>
      <c r="F20" s="1134">
        <f>F18*E20</f>
        <v>7.4339999999999989E-2</v>
      </c>
      <c r="G20" s="1311"/>
      <c r="H20" s="703">
        <f t="shared" si="0"/>
        <v>0</v>
      </c>
      <c r="I20" s="1330"/>
      <c r="J20" s="1309">
        <f t="shared" si="1"/>
        <v>0</v>
      </c>
      <c r="K20" s="1313"/>
      <c r="L20" s="742">
        <f t="shared" si="2"/>
        <v>0</v>
      </c>
      <c r="M20" s="1310">
        <f t="shared" si="3"/>
        <v>0</v>
      </c>
    </row>
    <row r="21" spans="1:13" s="1145" customFormat="1" ht="20.100000000000001" customHeight="1">
      <c r="A21" s="831">
        <f>A20+0.1</f>
        <v>2.3000000000000003</v>
      </c>
      <c r="B21" s="1141"/>
      <c r="C21" s="1140" t="s">
        <v>499</v>
      </c>
      <c r="D21" s="1141" t="s">
        <v>21</v>
      </c>
      <c r="E21" s="1134">
        <v>1.5</v>
      </c>
      <c r="F21" s="1134">
        <f>F18*E21</f>
        <v>53.099999999999994</v>
      </c>
      <c r="G21" s="1308"/>
      <c r="H21" s="703">
        <f t="shared" si="0"/>
        <v>0</v>
      </c>
      <c r="I21" s="1330"/>
      <c r="J21" s="1309">
        <f t="shared" si="1"/>
        <v>0</v>
      </c>
      <c r="K21" s="1314"/>
      <c r="L21" s="742">
        <f t="shared" si="2"/>
        <v>0</v>
      </c>
      <c r="M21" s="1310">
        <f t="shared" si="3"/>
        <v>0</v>
      </c>
    </row>
    <row r="22" spans="1:13" s="1146" customFormat="1" ht="50.1" customHeight="1">
      <c r="A22" s="1132">
        <f>A18+1</f>
        <v>3</v>
      </c>
      <c r="B22" s="1132"/>
      <c r="C22" s="1143" t="s">
        <v>500</v>
      </c>
      <c r="D22" s="1132" t="s">
        <v>43</v>
      </c>
      <c r="E22" s="1144"/>
      <c r="F22" s="843">
        <v>35.4</v>
      </c>
      <c r="G22" s="1311"/>
      <c r="H22" s="703">
        <f t="shared" si="0"/>
        <v>0</v>
      </c>
      <c r="I22" s="1330"/>
      <c r="J22" s="1309">
        <f t="shared" si="1"/>
        <v>0</v>
      </c>
      <c r="K22" s="1175"/>
      <c r="L22" s="742">
        <f t="shared" si="2"/>
        <v>0</v>
      </c>
      <c r="M22" s="1310">
        <f t="shared" si="3"/>
        <v>0</v>
      </c>
    </row>
    <row r="23" spans="1:13" s="1146" customFormat="1" ht="20.100000000000001" customHeight="1">
      <c r="A23" s="831">
        <f>A22+0.1</f>
        <v>3.1</v>
      </c>
      <c r="B23" s="693"/>
      <c r="C23" s="1137" t="s">
        <v>23</v>
      </c>
      <c r="D23" s="735" t="s">
        <v>13</v>
      </c>
      <c r="E23" s="1136">
        <f>3.03/100</f>
        <v>3.0299999999999997E-2</v>
      </c>
      <c r="F23" s="1136">
        <f>F22*E23</f>
        <v>1.0726199999999999</v>
      </c>
      <c r="G23" s="1311"/>
      <c r="H23" s="703">
        <f t="shared" si="0"/>
        <v>0</v>
      </c>
      <c r="I23" s="1312"/>
      <c r="J23" s="1309">
        <f t="shared" si="1"/>
        <v>0</v>
      </c>
      <c r="K23" s="1175"/>
      <c r="L23" s="742">
        <f t="shared" si="2"/>
        <v>0</v>
      </c>
      <c r="M23" s="1310">
        <f t="shared" si="3"/>
        <v>0</v>
      </c>
    </row>
    <row r="24" spans="1:13" s="1146" customFormat="1" ht="20.100000000000001" customHeight="1">
      <c r="A24" s="831">
        <f>A23+0.1</f>
        <v>3.2</v>
      </c>
      <c r="B24" s="693"/>
      <c r="C24" s="1137" t="s">
        <v>51</v>
      </c>
      <c r="D24" s="742" t="s">
        <v>14</v>
      </c>
      <c r="E24" s="1136">
        <f>0.41/100</f>
        <v>4.0999999999999995E-3</v>
      </c>
      <c r="F24" s="1136">
        <f>F22*E24</f>
        <v>0.14513999999999996</v>
      </c>
      <c r="G24" s="1311"/>
      <c r="H24" s="703">
        <f t="shared" si="0"/>
        <v>0</v>
      </c>
      <c r="I24" s="1330"/>
      <c r="J24" s="1309">
        <f t="shared" si="1"/>
        <v>0</v>
      </c>
      <c r="K24" s="1313"/>
      <c r="L24" s="742">
        <f t="shared" si="2"/>
        <v>0</v>
      </c>
      <c r="M24" s="1310">
        <f t="shared" si="3"/>
        <v>0</v>
      </c>
    </row>
    <row r="25" spans="1:13" s="1146" customFormat="1" ht="20.100000000000001" customHeight="1">
      <c r="A25" s="831">
        <f>A24+0.1</f>
        <v>3.3000000000000003</v>
      </c>
      <c r="B25" s="1141"/>
      <c r="C25" s="1140" t="s">
        <v>501</v>
      </c>
      <c r="D25" s="1141" t="s">
        <v>21</v>
      </c>
      <c r="E25" s="1147">
        <f>32.4/100</f>
        <v>0.32400000000000001</v>
      </c>
      <c r="F25" s="1136">
        <f>E25*F22</f>
        <v>11.4696</v>
      </c>
      <c r="G25" s="1308"/>
      <c r="H25" s="703">
        <f t="shared" si="0"/>
        <v>0</v>
      </c>
      <c r="I25" s="1330"/>
      <c r="J25" s="1309">
        <f t="shared" si="1"/>
        <v>0</v>
      </c>
      <c r="K25" s="1175"/>
      <c r="L25" s="742">
        <f t="shared" si="2"/>
        <v>0</v>
      </c>
      <c r="M25" s="1310">
        <f t="shared" si="3"/>
        <v>0</v>
      </c>
    </row>
    <row r="26" spans="1:13" s="1145" customFormat="1" ht="63.75" customHeight="1">
      <c r="A26" s="1132">
        <v>4</v>
      </c>
      <c r="B26" s="1132"/>
      <c r="C26" s="1143" t="s">
        <v>642</v>
      </c>
      <c r="D26" s="841" t="s">
        <v>43</v>
      </c>
      <c r="E26" s="842"/>
      <c r="F26" s="843">
        <v>37.200000000000003</v>
      </c>
      <c r="G26" s="841"/>
      <c r="H26" s="703">
        <f t="shared" si="0"/>
        <v>0</v>
      </c>
      <c r="I26" s="1331"/>
      <c r="J26" s="1309">
        <f t="shared" si="1"/>
        <v>0</v>
      </c>
      <c r="K26" s="1315"/>
      <c r="L26" s="742">
        <f t="shared" si="2"/>
        <v>0</v>
      </c>
      <c r="M26" s="1310">
        <f t="shared" si="3"/>
        <v>0</v>
      </c>
    </row>
    <row r="27" spans="1:13" s="1146" customFormat="1" ht="20.100000000000001" customHeight="1">
      <c r="A27" s="831">
        <f t="shared" ref="A27:A34" si="5">A26+0.1</f>
        <v>4.0999999999999996</v>
      </c>
      <c r="B27" s="693"/>
      <c r="C27" s="1137" t="s">
        <v>23</v>
      </c>
      <c r="D27" s="735" t="s">
        <v>13</v>
      </c>
      <c r="E27" s="1148">
        <f>43.9/100</f>
        <v>0.439</v>
      </c>
      <c r="F27" s="1136">
        <f>F26*E27</f>
        <v>16.3308</v>
      </c>
      <c r="G27" s="841"/>
      <c r="H27" s="703">
        <f t="shared" si="0"/>
        <v>0</v>
      </c>
      <c r="I27" s="1312"/>
      <c r="J27" s="1309">
        <f t="shared" si="1"/>
        <v>0</v>
      </c>
      <c r="K27" s="1149"/>
      <c r="L27" s="742">
        <f t="shared" si="2"/>
        <v>0</v>
      </c>
      <c r="M27" s="1310">
        <f t="shared" si="3"/>
        <v>0</v>
      </c>
    </row>
    <row r="28" spans="1:13" s="1146" customFormat="1" ht="20.100000000000001" customHeight="1">
      <c r="A28" s="831">
        <f t="shared" si="5"/>
        <v>4.1999999999999993</v>
      </c>
      <c r="B28" s="693"/>
      <c r="C28" s="1137" t="s">
        <v>51</v>
      </c>
      <c r="D28" s="742" t="s">
        <v>14</v>
      </c>
      <c r="E28" s="1150">
        <f>3.5/100</f>
        <v>3.5000000000000003E-2</v>
      </c>
      <c r="F28" s="842">
        <f>F26*E28</f>
        <v>1.3020000000000003</v>
      </c>
      <c r="G28" s="841"/>
      <c r="H28" s="703">
        <f t="shared" si="0"/>
        <v>0</v>
      </c>
      <c r="I28" s="1331"/>
      <c r="J28" s="1309">
        <f t="shared" si="1"/>
        <v>0</v>
      </c>
      <c r="K28" s="1313"/>
      <c r="L28" s="742">
        <f t="shared" si="2"/>
        <v>0</v>
      </c>
      <c r="M28" s="1310">
        <f t="shared" si="3"/>
        <v>0</v>
      </c>
    </row>
    <row r="29" spans="1:13" s="1146" customFormat="1" ht="20.100000000000001" customHeight="1">
      <c r="A29" s="831">
        <f t="shared" si="5"/>
        <v>4.2999999999999989</v>
      </c>
      <c r="B29" s="1141"/>
      <c r="C29" s="1140" t="s">
        <v>641</v>
      </c>
      <c r="D29" s="847" t="s">
        <v>43</v>
      </c>
      <c r="E29" s="842">
        <v>1.1200000000000001</v>
      </c>
      <c r="F29" s="844">
        <f>F26*E29</f>
        <v>41.664000000000009</v>
      </c>
      <c r="G29" s="847"/>
      <c r="H29" s="703">
        <f t="shared" si="0"/>
        <v>0</v>
      </c>
      <c r="I29" s="1331"/>
      <c r="J29" s="1309">
        <f t="shared" si="1"/>
        <v>0</v>
      </c>
      <c r="K29" s="1149"/>
      <c r="L29" s="742">
        <f t="shared" si="2"/>
        <v>0</v>
      </c>
      <c r="M29" s="1310">
        <f t="shared" si="3"/>
        <v>0</v>
      </c>
    </row>
    <row r="30" spans="1:13" s="1146" customFormat="1" ht="20.100000000000001" customHeight="1">
      <c r="A30" s="831">
        <f t="shared" si="5"/>
        <v>4.3999999999999986</v>
      </c>
      <c r="B30" s="1139"/>
      <c r="C30" s="1140" t="s">
        <v>89</v>
      </c>
      <c r="D30" s="693" t="s">
        <v>61</v>
      </c>
      <c r="E30" s="1150">
        <f>1.19/100</f>
        <v>1.1899999999999999E-2</v>
      </c>
      <c r="F30" s="842">
        <f>F26*E30</f>
        <v>0.44268000000000002</v>
      </c>
      <c r="G30" s="1312"/>
      <c r="H30" s="703">
        <f t="shared" si="0"/>
        <v>0</v>
      </c>
      <c r="I30" s="1331"/>
      <c r="J30" s="1309">
        <f t="shared" si="1"/>
        <v>0</v>
      </c>
      <c r="K30" s="1149"/>
      <c r="L30" s="742">
        <f t="shared" si="2"/>
        <v>0</v>
      </c>
      <c r="M30" s="1310">
        <f t="shared" si="3"/>
        <v>0</v>
      </c>
    </row>
    <row r="31" spans="1:13" s="830" customFormat="1" ht="20.100000000000001" customHeight="1">
      <c r="A31" s="831">
        <f t="shared" si="5"/>
        <v>4.4999999999999982</v>
      </c>
      <c r="B31" s="852"/>
      <c r="C31" s="1140" t="s">
        <v>252</v>
      </c>
      <c r="D31" s="847" t="s">
        <v>16</v>
      </c>
      <c r="E31" s="1150">
        <f>0.03/100</f>
        <v>2.9999999999999997E-4</v>
      </c>
      <c r="F31" s="853">
        <f>F26*E31</f>
        <v>1.116E-2</v>
      </c>
      <c r="G31" s="831"/>
      <c r="H31" s="703">
        <f t="shared" si="0"/>
        <v>0</v>
      </c>
      <c r="I31" s="1331"/>
      <c r="J31" s="1309">
        <f t="shared" si="1"/>
        <v>0</v>
      </c>
      <c r="K31" s="1149"/>
      <c r="L31" s="742">
        <f t="shared" si="2"/>
        <v>0</v>
      </c>
      <c r="M31" s="1310">
        <f t="shared" si="3"/>
        <v>0</v>
      </c>
    </row>
    <row r="32" spans="1:13" s="830" customFormat="1" ht="20.100000000000001" customHeight="1">
      <c r="A32" s="831">
        <f t="shared" si="5"/>
        <v>4.5999999999999979</v>
      </c>
      <c r="B32" s="1141"/>
      <c r="C32" s="1140" t="s">
        <v>90</v>
      </c>
      <c r="D32" s="847" t="s">
        <v>21</v>
      </c>
      <c r="E32" s="842">
        <v>0.15</v>
      </c>
      <c r="F32" s="842">
        <f>F26*E32</f>
        <v>5.58</v>
      </c>
      <c r="G32" s="1308"/>
      <c r="H32" s="703">
        <f t="shared" si="0"/>
        <v>0</v>
      </c>
      <c r="I32" s="1331"/>
      <c r="J32" s="1309">
        <f t="shared" si="1"/>
        <v>0</v>
      </c>
      <c r="K32" s="1149"/>
      <c r="L32" s="742">
        <f t="shared" si="2"/>
        <v>0</v>
      </c>
      <c r="M32" s="1310">
        <f t="shared" si="3"/>
        <v>0</v>
      </c>
    </row>
    <row r="33" spans="1:13" s="830" customFormat="1" ht="20.100000000000001" customHeight="1">
      <c r="A33" s="831">
        <f t="shared" si="5"/>
        <v>4.6999999999999975</v>
      </c>
      <c r="B33" s="1141"/>
      <c r="C33" s="1140" t="s">
        <v>492</v>
      </c>
      <c r="D33" s="847" t="s">
        <v>11</v>
      </c>
      <c r="E33" s="842">
        <v>6</v>
      </c>
      <c r="F33" s="849">
        <f>F26*E33</f>
        <v>223.20000000000002</v>
      </c>
      <c r="G33" s="847"/>
      <c r="H33" s="703">
        <f t="shared" si="0"/>
        <v>0</v>
      </c>
      <c r="I33" s="1331"/>
      <c r="J33" s="1309">
        <f t="shared" si="1"/>
        <v>0</v>
      </c>
      <c r="K33" s="1149"/>
      <c r="L33" s="742">
        <f t="shared" si="2"/>
        <v>0</v>
      </c>
      <c r="M33" s="1310">
        <f t="shared" si="3"/>
        <v>0</v>
      </c>
    </row>
    <row r="34" spans="1:13" s="830" customFormat="1" ht="20.100000000000001" customHeight="1">
      <c r="A34" s="831">
        <f t="shared" si="5"/>
        <v>4.7999999999999972</v>
      </c>
      <c r="B34" s="852"/>
      <c r="C34" s="1142" t="s">
        <v>119</v>
      </c>
      <c r="D34" s="852" t="s">
        <v>14</v>
      </c>
      <c r="E34" s="1150">
        <f>8.16/100</f>
        <v>8.1600000000000006E-2</v>
      </c>
      <c r="F34" s="842">
        <f>F26*E34</f>
        <v>3.0355200000000004</v>
      </c>
      <c r="G34" s="1316"/>
      <c r="H34" s="703">
        <f t="shared" si="0"/>
        <v>0</v>
      </c>
      <c r="I34" s="1331"/>
      <c r="J34" s="1309">
        <f t="shared" si="1"/>
        <v>0</v>
      </c>
      <c r="K34" s="1149"/>
      <c r="L34" s="742">
        <f t="shared" si="2"/>
        <v>0</v>
      </c>
      <c r="M34" s="1310">
        <f t="shared" si="3"/>
        <v>0</v>
      </c>
    </row>
    <row r="35" spans="1:13" s="830" customFormat="1" ht="50.1" customHeight="1">
      <c r="A35" s="838">
        <v>5</v>
      </c>
      <c r="B35" s="1132"/>
      <c r="C35" s="1143" t="s">
        <v>328</v>
      </c>
      <c r="D35" s="841" t="s">
        <v>43</v>
      </c>
      <c r="E35" s="1134"/>
      <c r="F35" s="1135">
        <v>4.95</v>
      </c>
      <c r="G35" s="1311"/>
      <c r="H35" s="742">
        <f t="shared" ref="H35:H54" si="6">F35*G35</f>
        <v>0</v>
      </c>
      <c r="I35" s="1330"/>
      <c r="J35" s="742">
        <f t="shared" ref="J35:J54" si="7">F35*I35</f>
        <v>0</v>
      </c>
      <c r="K35" s="1175"/>
      <c r="L35" s="742">
        <f t="shared" ref="L35:L54" si="8">F35*K35</f>
        <v>0</v>
      </c>
      <c r="M35" s="1317">
        <f t="shared" ref="M35:M54" si="9">H35+J35+L35</f>
        <v>0</v>
      </c>
    </row>
    <row r="36" spans="1:13" s="830" customFormat="1" ht="20.100000000000001" customHeight="1">
      <c r="A36" s="831">
        <f t="shared" ref="A36:A42" si="10">A35+0.1</f>
        <v>5.0999999999999996</v>
      </c>
      <c r="B36" s="693"/>
      <c r="C36" s="1137" t="s">
        <v>23</v>
      </c>
      <c r="D36" s="735" t="s">
        <v>13</v>
      </c>
      <c r="E36" s="1134">
        <v>0.83</v>
      </c>
      <c r="F36" s="1136">
        <f>F35*E36</f>
        <v>4.1085000000000003</v>
      </c>
      <c r="G36" s="1311"/>
      <c r="H36" s="742">
        <f t="shared" si="6"/>
        <v>0</v>
      </c>
      <c r="I36" s="1312"/>
      <c r="J36" s="742">
        <f t="shared" si="7"/>
        <v>0</v>
      </c>
      <c r="K36" s="1175"/>
      <c r="L36" s="742">
        <f t="shared" si="8"/>
        <v>0</v>
      </c>
      <c r="M36" s="1317">
        <f t="shared" si="9"/>
        <v>0</v>
      </c>
    </row>
    <row r="37" spans="1:13" s="830" customFormat="1" ht="20.100000000000001" customHeight="1">
      <c r="A37" s="831">
        <f t="shared" si="10"/>
        <v>5.1999999999999993</v>
      </c>
      <c r="B37" s="693"/>
      <c r="C37" s="1137" t="s">
        <v>51</v>
      </c>
      <c r="D37" s="742" t="s">
        <v>14</v>
      </c>
      <c r="E37" s="1134">
        <v>4.1000000000000003E-3</v>
      </c>
      <c r="F37" s="1134">
        <f>F35*E37</f>
        <v>2.0295000000000004E-2</v>
      </c>
      <c r="G37" s="1311"/>
      <c r="H37" s="742">
        <f t="shared" si="6"/>
        <v>0</v>
      </c>
      <c r="I37" s="1330"/>
      <c r="J37" s="742">
        <f t="shared" si="7"/>
        <v>0</v>
      </c>
      <c r="K37" s="1313"/>
      <c r="L37" s="742">
        <f t="shared" si="8"/>
        <v>0</v>
      </c>
      <c r="M37" s="1317">
        <f t="shared" si="9"/>
        <v>0</v>
      </c>
    </row>
    <row r="38" spans="1:13" s="830" customFormat="1" ht="20.100000000000001" customHeight="1">
      <c r="A38" s="831">
        <f t="shared" si="10"/>
        <v>5.2999999999999989</v>
      </c>
      <c r="B38" s="1141"/>
      <c r="C38" s="1140" t="s">
        <v>329</v>
      </c>
      <c r="D38" s="847" t="s">
        <v>43</v>
      </c>
      <c r="E38" s="1134">
        <v>1.28</v>
      </c>
      <c r="F38" s="1136">
        <f>F35*E38</f>
        <v>6.3360000000000003</v>
      </c>
      <c r="G38" s="1308"/>
      <c r="H38" s="742">
        <f t="shared" si="6"/>
        <v>0</v>
      </c>
      <c r="I38" s="1330"/>
      <c r="J38" s="742">
        <f t="shared" si="7"/>
        <v>0</v>
      </c>
      <c r="K38" s="1175"/>
      <c r="L38" s="742">
        <f t="shared" si="8"/>
        <v>0</v>
      </c>
      <c r="M38" s="1317">
        <f t="shared" si="9"/>
        <v>0</v>
      </c>
    </row>
    <row r="39" spans="1:13" s="830" customFormat="1" ht="20.100000000000001" customHeight="1">
      <c r="A39" s="831">
        <f t="shared" si="10"/>
        <v>5.3999999999999986</v>
      </c>
      <c r="B39" s="1139"/>
      <c r="C39" s="1140" t="s">
        <v>89</v>
      </c>
      <c r="D39" s="693" t="s">
        <v>61</v>
      </c>
      <c r="E39" s="1134">
        <v>0.03</v>
      </c>
      <c r="F39" s="1134">
        <f>F35*E39</f>
        <v>0.14849999999999999</v>
      </c>
      <c r="G39" s="1312"/>
      <c r="H39" s="742">
        <f t="shared" si="6"/>
        <v>0</v>
      </c>
      <c r="I39" s="1330"/>
      <c r="J39" s="742">
        <f t="shared" si="7"/>
        <v>0</v>
      </c>
      <c r="K39" s="1175"/>
      <c r="L39" s="742">
        <f t="shared" si="8"/>
        <v>0</v>
      </c>
      <c r="M39" s="1317">
        <f t="shared" si="9"/>
        <v>0</v>
      </c>
    </row>
    <row r="40" spans="1:13" s="830" customFormat="1" ht="20.100000000000001" customHeight="1">
      <c r="A40" s="831">
        <f t="shared" si="10"/>
        <v>5.4999999999999982</v>
      </c>
      <c r="B40" s="1141"/>
      <c r="C40" s="1140" t="s">
        <v>92</v>
      </c>
      <c r="D40" s="847" t="s">
        <v>11</v>
      </c>
      <c r="E40" s="1134">
        <v>6</v>
      </c>
      <c r="F40" s="1151">
        <f>F35*E40</f>
        <v>29.700000000000003</v>
      </c>
      <c r="G40" s="1308"/>
      <c r="H40" s="742">
        <f t="shared" si="6"/>
        <v>0</v>
      </c>
      <c r="I40" s="1330"/>
      <c r="J40" s="742">
        <f t="shared" si="7"/>
        <v>0</v>
      </c>
      <c r="K40" s="1175"/>
      <c r="L40" s="742">
        <f t="shared" si="8"/>
        <v>0</v>
      </c>
      <c r="M40" s="1317">
        <f t="shared" si="9"/>
        <v>0</v>
      </c>
    </row>
    <row r="41" spans="1:13" s="830" customFormat="1" ht="20.100000000000001" customHeight="1">
      <c r="A41" s="831">
        <f t="shared" si="10"/>
        <v>5.5999999999999979</v>
      </c>
      <c r="B41" s="1141"/>
      <c r="C41" s="1140" t="s">
        <v>88</v>
      </c>
      <c r="D41" s="847" t="s">
        <v>21</v>
      </c>
      <c r="E41" s="1134">
        <v>7.0000000000000007E-2</v>
      </c>
      <c r="F41" s="1134">
        <f>F35*E41</f>
        <v>0.34650000000000003</v>
      </c>
      <c r="G41" s="1175"/>
      <c r="H41" s="742">
        <f t="shared" si="6"/>
        <v>0</v>
      </c>
      <c r="I41" s="1330"/>
      <c r="J41" s="742">
        <f t="shared" si="7"/>
        <v>0</v>
      </c>
      <c r="K41" s="1175"/>
      <c r="L41" s="742">
        <f t="shared" si="8"/>
        <v>0</v>
      </c>
      <c r="M41" s="1317">
        <f t="shared" si="9"/>
        <v>0</v>
      </c>
    </row>
    <row r="42" spans="1:13" s="830" customFormat="1" ht="20.100000000000001" customHeight="1">
      <c r="A42" s="831">
        <f t="shared" si="10"/>
        <v>5.6999999999999975</v>
      </c>
      <c r="B42" s="852"/>
      <c r="C42" s="1142" t="s">
        <v>119</v>
      </c>
      <c r="D42" s="852" t="s">
        <v>14</v>
      </c>
      <c r="E42" s="1148">
        <v>7.8E-2</v>
      </c>
      <c r="F42" s="1134">
        <f>F35*E42</f>
        <v>0.3861</v>
      </c>
      <c r="G42" s="1175"/>
      <c r="H42" s="742">
        <f t="shared" si="6"/>
        <v>0</v>
      </c>
      <c r="I42" s="1330"/>
      <c r="J42" s="742">
        <f t="shared" si="7"/>
        <v>0</v>
      </c>
      <c r="K42" s="1175"/>
      <c r="L42" s="742">
        <f t="shared" si="8"/>
        <v>0</v>
      </c>
      <c r="M42" s="1317">
        <f t="shared" si="9"/>
        <v>0</v>
      </c>
    </row>
    <row r="43" spans="1:13" s="710" customFormat="1" ht="60" customHeight="1">
      <c r="A43" s="727">
        <v>6</v>
      </c>
      <c r="B43" s="1152"/>
      <c r="C43" s="1153" t="s">
        <v>113</v>
      </c>
      <c r="D43" s="730" t="s">
        <v>177</v>
      </c>
      <c r="E43" s="1154"/>
      <c r="F43" s="1155">
        <v>9.15</v>
      </c>
      <c r="G43" s="1318"/>
      <c r="H43" s="742">
        <f t="shared" si="6"/>
        <v>0</v>
      </c>
      <c r="I43" s="1318"/>
      <c r="J43" s="742">
        <f t="shared" si="7"/>
        <v>0</v>
      </c>
      <c r="K43" s="1318"/>
      <c r="L43" s="742">
        <f t="shared" si="8"/>
        <v>0</v>
      </c>
      <c r="M43" s="1317">
        <f t="shared" si="9"/>
        <v>0</v>
      </c>
    </row>
    <row r="44" spans="1:13" s="740" customFormat="1" ht="19.899999999999999" customHeight="1">
      <c r="A44" s="1156">
        <f>A43+0.1</f>
        <v>6.1</v>
      </c>
      <c r="B44" s="1157"/>
      <c r="C44" s="1137" t="s">
        <v>69</v>
      </c>
      <c r="D44" s="847" t="s">
        <v>13</v>
      </c>
      <c r="E44" s="1158">
        <f>28.6/100</f>
        <v>0.28600000000000003</v>
      </c>
      <c r="F44" s="1158">
        <f>E44*F43</f>
        <v>2.6169000000000002</v>
      </c>
      <c r="G44" s="1312"/>
      <c r="H44" s="742">
        <f t="shared" si="6"/>
        <v>0</v>
      </c>
      <c r="I44" s="742"/>
      <c r="J44" s="742">
        <f t="shared" si="7"/>
        <v>0</v>
      </c>
      <c r="K44" s="742"/>
      <c r="L44" s="742">
        <f t="shared" si="8"/>
        <v>0</v>
      </c>
      <c r="M44" s="1317">
        <f t="shared" si="9"/>
        <v>0</v>
      </c>
    </row>
    <row r="45" spans="1:13" s="740" customFormat="1" ht="19.899999999999999" customHeight="1">
      <c r="A45" s="1156">
        <f>A44+0.1</f>
        <v>6.1999999999999993</v>
      </c>
      <c r="B45" s="1157"/>
      <c r="C45" s="1159" t="s">
        <v>117</v>
      </c>
      <c r="D45" s="1141" t="s">
        <v>14</v>
      </c>
      <c r="E45" s="1160">
        <f>0.41/100</f>
        <v>4.0999999999999995E-3</v>
      </c>
      <c r="F45" s="1158">
        <f>F43*E45</f>
        <v>3.7515E-2</v>
      </c>
      <c r="G45" s="742"/>
      <c r="H45" s="742">
        <f t="shared" si="6"/>
        <v>0</v>
      </c>
      <c r="I45" s="742"/>
      <c r="J45" s="742">
        <f t="shared" si="7"/>
        <v>0</v>
      </c>
      <c r="K45" s="1319"/>
      <c r="L45" s="742">
        <f t="shared" si="8"/>
        <v>0</v>
      </c>
      <c r="M45" s="1317">
        <f t="shared" si="9"/>
        <v>0</v>
      </c>
    </row>
    <row r="46" spans="1:13" s="740" customFormat="1" ht="19.899999999999999" customHeight="1">
      <c r="A46" s="1156">
        <f>A45+0.1</f>
        <v>6.2999999999999989</v>
      </c>
      <c r="B46" s="735"/>
      <c r="C46" s="1140" t="s">
        <v>94</v>
      </c>
      <c r="D46" s="1161" t="s">
        <v>49</v>
      </c>
      <c r="E46" s="1158"/>
      <c r="F46" s="1158">
        <f>F43*3</f>
        <v>27.450000000000003</v>
      </c>
      <c r="G46" s="1320"/>
      <c r="H46" s="742">
        <f t="shared" si="6"/>
        <v>0</v>
      </c>
      <c r="I46" s="742"/>
      <c r="J46" s="742">
        <f t="shared" si="7"/>
        <v>0</v>
      </c>
      <c r="K46" s="742"/>
      <c r="L46" s="742">
        <f t="shared" si="8"/>
        <v>0</v>
      </c>
      <c r="M46" s="1317">
        <f t="shared" si="9"/>
        <v>0</v>
      </c>
    </row>
    <row r="47" spans="1:13" s="740" customFormat="1" ht="19.899999999999999" customHeight="1">
      <c r="A47" s="1156">
        <f>A46+0.1</f>
        <v>6.3999999999999986</v>
      </c>
      <c r="B47" s="735"/>
      <c r="C47" s="1162" t="s">
        <v>95</v>
      </c>
      <c r="D47" s="1161" t="s">
        <v>55</v>
      </c>
      <c r="E47" s="1158">
        <v>1</v>
      </c>
      <c r="F47" s="1158">
        <f>E47*F43</f>
        <v>9.15</v>
      </c>
      <c r="G47" s="1321"/>
      <c r="H47" s="742">
        <f t="shared" si="6"/>
        <v>0</v>
      </c>
      <c r="I47" s="742"/>
      <c r="J47" s="742">
        <f t="shared" si="7"/>
        <v>0</v>
      </c>
      <c r="K47" s="742"/>
      <c r="L47" s="742">
        <f t="shared" si="8"/>
        <v>0</v>
      </c>
      <c r="M47" s="1317">
        <f t="shared" si="9"/>
        <v>0</v>
      </c>
    </row>
    <row r="48" spans="1:13" s="710" customFormat="1" ht="60" customHeight="1">
      <c r="A48" s="727">
        <v>8</v>
      </c>
      <c r="B48" s="1152"/>
      <c r="C48" s="1153" t="s">
        <v>112</v>
      </c>
      <c r="D48" s="730" t="s">
        <v>177</v>
      </c>
      <c r="E48" s="1154"/>
      <c r="F48" s="1155">
        <v>8</v>
      </c>
      <c r="G48" s="1318"/>
      <c r="H48" s="742">
        <f t="shared" si="6"/>
        <v>0</v>
      </c>
      <c r="I48" s="1318"/>
      <c r="J48" s="742">
        <f t="shared" si="7"/>
        <v>0</v>
      </c>
      <c r="K48" s="1318"/>
      <c r="L48" s="742">
        <f t="shared" si="8"/>
        <v>0</v>
      </c>
      <c r="M48" s="1317">
        <f t="shared" si="9"/>
        <v>0</v>
      </c>
    </row>
    <row r="49" spans="1:13" s="740" customFormat="1" ht="19.899999999999999" customHeight="1">
      <c r="A49" s="1163">
        <f t="shared" ref="A49:A54" si="11">A48+0.1</f>
        <v>8.1</v>
      </c>
      <c r="B49" s="1157"/>
      <c r="C49" s="1137" t="s">
        <v>69</v>
      </c>
      <c r="D49" s="847" t="s">
        <v>13</v>
      </c>
      <c r="E49" s="1136">
        <f>28.6/100</f>
        <v>0.28600000000000003</v>
      </c>
      <c r="F49" s="1136">
        <f>F48*E49</f>
        <v>2.2880000000000003</v>
      </c>
      <c r="G49" s="1312"/>
      <c r="H49" s="742">
        <f t="shared" si="6"/>
        <v>0</v>
      </c>
      <c r="I49" s="742"/>
      <c r="J49" s="742">
        <f t="shared" si="7"/>
        <v>0</v>
      </c>
      <c r="K49" s="742"/>
      <c r="L49" s="742">
        <f t="shared" si="8"/>
        <v>0</v>
      </c>
      <c r="M49" s="1317">
        <f t="shared" si="9"/>
        <v>0</v>
      </c>
    </row>
    <row r="50" spans="1:13" s="740" customFormat="1" ht="19.899999999999999" customHeight="1">
      <c r="A50" s="1163">
        <f t="shared" si="11"/>
        <v>8.1999999999999993</v>
      </c>
      <c r="B50" s="1157"/>
      <c r="C50" s="1159" t="s">
        <v>117</v>
      </c>
      <c r="D50" s="1141" t="s">
        <v>14</v>
      </c>
      <c r="E50" s="1160">
        <f>0.41/100</f>
        <v>4.0999999999999995E-3</v>
      </c>
      <c r="F50" s="1164">
        <f>F48*E50</f>
        <v>3.2799999999999996E-2</v>
      </c>
      <c r="G50" s="742"/>
      <c r="H50" s="742">
        <f t="shared" si="6"/>
        <v>0</v>
      </c>
      <c r="I50" s="742"/>
      <c r="J50" s="742">
        <f t="shared" si="7"/>
        <v>0</v>
      </c>
      <c r="K50" s="1319"/>
      <c r="L50" s="742">
        <f t="shared" si="8"/>
        <v>0</v>
      </c>
      <c r="M50" s="1317">
        <f t="shared" si="9"/>
        <v>0</v>
      </c>
    </row>
    <row r="51" spans="1:13" s="740" customFormat="1" ht="19.899999999999999" customHeight="1">
      <c r="A51" s="1163">
        <f t="shared" si="11"/>
        <v>8.2999999999999989</v>
      </c>
      <c r="B51" s="735"/>
      <c r="C51" s="1140" t="s">
        <v>94</v>
      </c>
      <c r="D51" s="1141" t="s">
        <v>49</v>
      </c>
      <c r="E51" s="1136"/>
      <c r="F51" s="1136">
        <f>F48*1</f>
        <v>8</v>
      </c>
      <c r="G51" s="1308"/>
      <c r="H51" s="742">
        <f t="shared" si="6"/>
        <v>0</v>
      </c>
      <c r="I51" s="742"/>
      <c r="J51" s="742">
        <f t="shared" si="7"/>
        <v>0</v>
      </c>
      <c r="K51" s="742"/>
      <c r="L51" s="742">
        <f t="shared" si="8"/>
        <v>0</v>
      </c>
      <c r="M51" s="1317">
        <f t="shared" si="9"/>
        <v>0</v>
      </c>
    </row>
    <row r="52" spans="1:13" s="740" customFormat="1" ht="19.899999999999999" customHeight="1">
      <c r="A52" s="1163">
        <f t="shared" si="11"/>
        <v>8.3999999999999986</v>
      </c>
      <c r="B52" s="735"/>
      <c r="C52" s="1140" t="s">
        <v>114</v>
      </c>
      <c r="D52" s="1141" t="s">
        <v>55</v>
      </c>
      <c r="E52" s="1158">
        <v>1</v>
      </c>
      <c r="F52" s="1136">
        <f>E52*F48</f>
        <v>8</v>
      </c>
      <c r="G52" s="1308"/>
      <c r="H52" s="742">
        <f t="shared" si="6"/>
        <v>0</v>
      </c>
      <c r="I52" s="742"/>
      <c r="J52" s="742">
        <f t="shared" si="7"/>
        <v>0</v>
      </c>
      <c r="K52" s="742"/>
      <c r="L52" s="742">
        <f t="shared" si="8"/>
        <v>0</v>
      </c>
      <c r="M52" s="1317">
        <f t="shared" si="9"/>
        <v>0</v>
      </c>
    </row>
    <row r="53" spans="1:13" s="740" customFormat="1" ht="19.899999999999999" customHeight="1">
      <c r="A53" s="1163">
        <f t="shared" si="11"/>
        <v>8.4999999999999982</v>
      </c>
      <c r="B53" s="735"/>
      <c r="C53" s="1140" t="s">
        <v>115</v>
      </c>
      <c r="D53" s="1141" t="s">
        <v>49</v>
      </c>
      <c r="E53" s="1136" t="s">
        <v>91</v>
      </c>
      <c r="F53" s="1136">
        <v>2</v>
      </c>
      <c r="G53" s="1308"/>
      <c r="H53" s="742">
        <f t="shared" si="6"/>
        <v>0</v>
      </c>
      <c r="I53" s="742"/>
      <c r="J53" s="742">
        <f t="shared" si="7"/>
        <v>0</v>
      </c>
      <c r="K53" s="742"/>
      <c r="L53" s="742">
        <f t="shared" si="8"/>
        <v>0</v>
      </c>
      <c r="M53" s="1317">
        <f t="shared" si="9"/>
        <v>0</v>
      </c>
    </row>
    <row r="54" spans="1:13" s="740" customFormat="1" ht="19.899999999999999" customHeight="1">
      <c r="A54" s="1163">
        <f t="shared" si="11"/>
        <v>8.5999999999999979</v>
      </c>
      <c r="B54" s="735"/>
      <c r="C54" s="1140" t="s">
        <v>96</v>
      </c>
      <c r="D54" s="1141" t="s">
        <v>49</v>
      </c>
      <c r="E54" s="1136" t="s">
        <v>91</v>
      </c>
      <c r="F54" s="1136">
        <f>F53*3</f>
        <v>6</v>
      </c>
      <c r="G54" s="1308"/>
      <c r="H54" s="742">
        <f t="shared" si="6"/>
        <v>0</v>
      </c>
      <c r="I54" s="742"/>
      <c r="J54" s="742">
        <f t="shared" si="7"/>
        <v>0</v>
      </c>
      <c r="K54" s="742"/>
      <c r="L54" s="742">
        <f t="shared" si="8"/>
        <v>0</v>
      </c>
      <c r="M54" s="1317">
        <f t="shared" si="9"/>
        <v>0</v>
      </c>
    </row>
    <row r="55" spans="1:13" s="688" customFormat="1" ht="19.899999999999999" customHeight="1">
      <c r="A55" s="732"/>
      <c r="B55" s="1165"/>
      <c r="C55" s="1166" t="s">
        <v>646</v>
      </c>
      <c r="D55" s="735"/>
      <c r="E55" s="1138"/>
      <c r="F55" s="1167"/>
      <c r="G55" s="703"/>
      <c r="H55" s="693"/>
      <c r="I55" s="693"/>
      <c r="J55" s="1322"/>
      <c r="K55" s="693"/>
      <c r="L55" s="1323"/>
      <c r="M55" s="1322"/>
    </row>
    <row r="56" spans="1:13" s="710" customFormat="1" ht="60" customHeight="1">
      <c r="A56" s="727">
        <v>1</v>
      </c>
      <c r="B56" s="1152"/>
      <c r="C56" s="1153" t="s">
        <v>643</v>
      </c>
      <c r="D56" s="730" t="s">
        <v>107</v>
      </c>
      <c r="E56" s="1154"/>
      <c r="F56" s="1154">
        <v>105</v>
      </c>
      <c r="G56" s="1318"/>
      <c r="H56" s="742">
        <f t="shared" ref="H56:H62" si="12">F56*G56</f>
        <v>0</v>
      </c>
      <c r="I56" s="1318"/>
      <c r="J56" s="742">
        <f t="shared" ref="J56:J62" si="13">F56*I56</f>
        <v>0</v>
      </c>
      <c r="K56" s="1318"/>
      <c r="L56" s="742">
        <f t="shared" ref="L56:L62" si="14">F56*K56</f>
        <v>0</v>
      </c>
      <c r="M56" s="1317">
        <f t="shared" ref="M56:M62" si="15">H56+J56+L56</f>
        <v>0</v>
      </c>
    </row>
    <row r="57" spans="1:13" s="800" customFormat="1" ht="19.899999999999999" customHeight="1">
      <c r="A57" s="1168">
        <f>A56+0.1</f>
        <v>1.1000000000000001</v>
      </c>
      <c r="B57" s="1157"/>
      <c r="C57" s="1137" t="s">
        <v>69</v>
      </c>
      <c r="D57" s="1169" t="s">
        <v>13</v>
      </c>
      <c r="E57" s="1170">
        <v>1.36</v>
      </c>
      <c r="F57" s="1170">
        <f>F56*E57</f>
        <v>142.80000000000001</v>
      </c>
      <c r="G57" s="1324"/>
      <c r="H57" s="742">
        <f t="shared" si="12"/>
        <v>0</v>
      </c>
      <c r="I57" s="1324"/>
      <c r="J57" s="742">
        <f t="shared" si="13"/>
        <v>0</v>
      </c>
      <c r="K57" s="1324"/>
      <c r="L57" s="742">
        <f t="shared" si="14"/>
        <v>0</v>
      </c>
      <c r="M57" s="1317">
        <f t="shared" si="15"/>
        <v>0</v>
      </c>
    </row>
    <row r="58" spans="1:13" s="800" customFormat="1" ht="19.899999999999999" customHeight="1">
      <c r="A58" s="1168">
        <f t="shared" ref="A58:A62" si="16">A57+0.1</f>
        <v>1.2000000000000002</v>
      </c>
      <c r="B58" s="1157"/>
      <c r="C58" s="1159" t="s">
        <v>117</v>
      </c>
      <c r="D58" s="1169" t="s">
        <v>14</v>
      </c>
      <c r="E58" s="1171">
        <v>4.0800000000000003E-2</v>
      </c>
      <c r="F58" s="1172">
        <f>F56*E58</f>
        <v>4.2840000000000007</v>
      </c>
      <c r="G58" s="1324"/>
      <c r="H58" s="742">
        <f t="shared" si="12"/>
        <v>0</v>
      </c>
      <c r="I58" s="1324"/>
      <c r="J58" s="742">
        <f t="shared" si="13"/>
        <v>0</v>
      </c>
      <c r="K58" s="1319"/>
      <c r="L58" s="742">
        <f t="shared" si="14"/>
        <v>0</v>
      </c>
      <c r="M58" s="1317">
        <f t="shared" si="15"/>
        <v>0</v>
      </c>
    </row>
    <row r="59" spans="1:13" s="800" customFormat="1" ht="37.15" customHeight="1">
      <c r="A59" s="1168">
        <f t="shared" si="16"/>
        <v>1.3000000000000003</v>
      </c>
      <c r="B59" s="735"/>
      <c r="C59" s="1173" t="s">
        <v>644</v>
      </c>
      <c r="D59" s="1169" t="s">
        <v>107</v>
      </c>
      <c r="E59" s="1174">
        <v>1</v>
      </c>
      <c r="F59" s="1170">
        <f>F56*E59</f>
        <v>105</v>
      </c>
      <c r="G59" s="1324"/>
      <c r="H59" s="742">
        <f t="shared" si="12"/>
        <v>0</v>
      </c>
      <c r="I59" s="1324"/>
      <c r="J59" s="742">
        <f t="shared" si="13"/>
        <v>0</v>
      </c>
      <c r="K59" s="1324"/>
      <c r="L59" s="742">
        <f t="shared" si="14"/>
        <v>0</v>
      </c>
      <c r="M59" s="1317">
        <f t="shared" si="15"/>
        <v>0</v>
      </c>
    </row>
    <row r="60" spans="1:13" s="800" customFormat="1" ht="19.899999999999999" customHeight="1">
      <c r="A60" s="1168">
        <f t="shared" si="16"/>
        <v>1.4000000000000004</v>
      </c>
      <c r="B60" s="1149"/>
      <c r="C60" s="1173" t="s">
        <v>108</v>
      </c>
      <c r="D60" s="1175" t="s">
        <v>21</v>
      </c>
      <c r="E60" s="1172">
        <v>6.8000000000000005E-2</v>
      </c>
      <c r="F60" s="1170">
        <f>F56*E60</f>
        <v>7.1400000000000006</v>
      </c>
      <c r="G60" s="1175"/>
      <c r="H60" s="742">
        <f t="shared" si="12"/>
        <v>0</v>
      </c>
      <c r="I60" s="1324"/>
      <c r="J60" s="742">
        <f t="shared" si="13"/>
        <v>0</v>
      </c>
      <c r="K60" s="1324"/>
      <c r="L60" s="742">
        <f t="shared" si="14"/>
        <v>0</v>
      </c>
      <c r="M60" s="1317">
        <f t="shared" si="15"/>
        <v>0</v>
      </c>
    </row>
    <row r="61" spans="1:13" s="800" customFormat="1" ht="19.899999999999999" customHeight="1">
      <c r="A61" s="1168">
        <f t="shared" si="16"/>
        <v>1.5000000000000004</v>
      </c>
      <c r="B61" s="1139"/>
      <c r="C61" s="1173" t="s">
        <v>109</v>
      </c>
      <c r="D61" s="1169" t="s">
        <v>21</v>
      </c>
      <c r="E61" s="1172">
        <v>0.126</v>
      </c>
      <c r="F61" s="1170">
        <f>F56*E61</f>
        <v>13.23</v>
      </c>
      <c r="G61" s="1175"/>
      <c r="H61" s="742">
        <f t="shared" si="12"/>
        <v>0</v>
      </c>
      <c r="I61" s="1324"/>
      <c r="J61" s="742">
        <f t="shared" si="13"/>
        <v>0</v>
      </c>
      <c r="K61" s="1324"/>
      <c r="L61" s="742">
        <f t="shared" si="14"/>
        <v>0</v>
      </c>
      <c r="M61" s="1317">
        <f t="shared" si="15"/>
        <v>0</v>
      </c>
    </row>
    <row r="62" spans="1:13" s="800" customFormat="1" ht="19.899999999999999" customHeight="1">
      <c r="A62" s="1168">
        <f t="shared" si="16"/>
        <v>1.6000000000000005</v>
      </c>
      <c r="B62" s="1165"/>
      <c r="C62" s="1159" t="s">
        <v>119</v>
      </c>
      <c r="D62" s="1169" t="s">
        <v>14</v>
      </c>
      <c r="E62" s="1171">
        <v>5.3400000000000003E-2</v>
      </c>
      <c r="F62" s="1170">
        <f>F56*E62</f>
        <v>5.6070000000000002</v>
      </c>
      <c r="G62" s="1325"/>
      <c r="H62" s="742">
        <f t="shared" si="12"/>
        <v>0</v>
      </c>
      <c r="I62" s="742"/>
      <c r="J62" s="742">
        <f t="shared" si="13"/>
        <v>0</v>
      </c>
      <c r="K62" s="1324"/>
      <c r="L62" s="742">
        <f t="shared" si="14"/>
        <v>0</v>
      </c>
      <c r="M62" s="1317">
        <f t="shared" si="15"/>
        <v>0</v>
      </c>
    </row>
    <row r="63" spans="1:13" s="710" customFormat="1" ht="42" customHeight="1">
      <c r="A63" s="727">
        <v>2</v>
      </c>
      <c r="B63" s="1152"/>
      <c r="C63" s="1153" t="s">
        <v>125</v>
      </c>
      <c r="D63" s="730" t="s">
        <v>824</v>
      </c>
      <c r="E63" s="1154"/>
      <c r="F63" s="1154">
        <f>(28.5+2)*4.1</f>
        <v>125.04999999999998</v>
      </c>
      <c r="G63" s="1318"/>
      <c r="H63" s="742">
        <f t="shared" ref="H63:H68" si="17">F63*G63</f>
        <v>0</v>
      </c>
      <c r="I63" s="1318"/>
      <c r="J63" s="742">
        <f t="shared" ref="J63:J68" si="18">F63*I63</f>
        <v>0</v>
      </c>
      <c r="K63" s="1318"/>
      <c r="L63" s="742">
        <f t="shared" ref="L63:L68" si="19">F63*K63</f>
        <v>0</v>
      </c>
      <c r="M63" s="1317">
        <f t="shared" ref="M63:M68" si="20">H63+J63+L63</f>
        <v>0</v>
      </c>
    </row>
    <row r="64" spans="1:13" s="800" customFormat="1" ht="19.899999999999999" customHeight="1">
      <c r="A64" s="1168">
        <f t="shared" ref="A64:A68" si="21">A63+0.1</f>
        <v>2.1</v>
      </c>
      <c r="B64" s="1157"/>
      <c r="C64" s="1137" t="s">
        <v>69</v>
      </c>
      <c r="D64" s="735" t="s">
        <v>13</v>
      </c>
      <c r="E64" s="1176">
        <v>0.45800000000000002</v>
      </c>
      <c r="F64" s="1167">
        <f>E64*F63</f>
        <v>57.272899999999993</v>
      </c>
      <c r="G64" s="1312"/>
      <c r="H64" s="742">
        <f t="shared" si="17"/>
        <v>0</v>
      </c>
      <c r="I64" s="742"/>
      <c r="J64" s="742">
        <f t="shared" si="18"/>
        <v>0</v>
      </c>
      <c r="K64" s="742"/>
      <c r="L64" s="742">
        <f t="shared" si="19"/>
        <v>0</v>
      </c>
      <c r="M64" s="1317">
        <f t="shared" si="20"/>
        <v>0</v>
      </c>
    </row>
    <row r="65" spans="1:13" s="800" customFormat="1" ht="19.899999999999999" customHeight="1">
      <c r="A65" s="1168">
        <f t="shared" si="21"/>
        <v>2.2000000000000002</v>
      </c>
      <c r="B65" s="1157"/>
      <c r="C65" s="1159" t="s">
        <v>117</v>
      </c>
      <c r="D65" s="742" t="s">
        <v>14</v>
      </c>
      <c r="E65" s="1177">
        <v>2.3E-3</v>
      </c>
      <c r="F65" s="1176">
        <f>E65*F63</f>
        <v>0.28761499999999995</v>
      </c>
      <c r="G65" s="742"/>
      <c r="H65" s="742">
        <f t="shared" si="17"/>
        <v>0</v>
      </c>
      <c r="I65" s="742"/>
      <c r="J65" s="742">
        <f t="shared" si="18"/>
        <v>0</v>
      </c>
      <c r="K65" s="1319"/>
      <c r="L65" s="742">
        <f t="shared" si="19"/>
        <v>0</v>
      </c>
      <c r="M65" s="1317">
        <f t="shared" si="20"/>
        <v>0</v>
      </c>
    </row>
    <row r="66" spans="1:13" s="799" customFormat="1" ht="19.899999999999999" customHeight="1">
      <c r="A66" s="1168">
        <f t="shared" si="21"/>
        <v>2.3000000000000003</v>
      </c>
      <c r="B66" s="735"/>
      <c r="C66" s="1137" t="s">
        <v>103</v>
      </c>
      <c r="D66" s="742" t="s">
        <v>104</v>
      </c>
      <c r="E66" s="1178">
        <v>3.6999999999999999E-4</v>
      </c>
      <c r="F66" s="1177">
        <f>E66*F63</f>
        <v>4.626849999999999E-2</v>
      </c>
      <c r="G66" s="1313"/>
      <c r="H66" s="742">
        <f t="shared" si="17"/>
        <v>0</v>
      </c>
      <c r="I66" s="742"/>
      <c r="J66" s="742">
        <f t="shared" si="18"/>
        <v>0</v>
      </c>
      <c r="K66" s="742"/>
      <c r="L66" s="742">
        <f t="shared" si="19"/>
        <v>0</v>
      </c>
      <c r="M66" s="1317">
        <f t="shared" si="20"/>
        <v>0</v>
      </c>
    </row>
    <row r="67" spans="1:13" s="800" customFormat="1" ht="19.899999999999999" customHeight="1">
      <c r="A67" s="1168">
        <f t="shared" si="21"/>
        <v>2.4000000000000004</v>
      </c>
      <c r="B67" s="735"/>
      <c r="C67" s="1137" t="s">
        <v>105</v>
      </c>
      <c r="D67" s="693" t="s">
        <v>61</v>
      </c>
      <c r="E67" s="1179">
        <v>9.0000000000000006E-5</v>
      </c>
      <c r="F67" s="1177">
        <f>E67*F63</f>
        <v>1.1254499999999999E-2</v>
      </c>
      <c r="G67" s="1313"/>
      <c r="H67" s="742">
        <f t="shared" si="17"/>
        <v>0</v>
      </c>
      <c r="I67" s="742"/>
      <c r="J67" s="742">
        <f t="shared" si="18"/>
        <v>0</v>
      </c>
      <c r="K67" s="742"/>
      <c r="L67" s="742">
        <f t="shared" si="19"/>
        <v>0</v>
      </c>
      <c r="M67" s="1317">
        <f t="shared" si="20"/>
        <v>0</v>
      </c>
    </row>
    <row r="68" spans="1:13" s="800" customFormat="1" ht="19.899999999999999" customHeight="1">
      <c r="A68" s="1168">
        <f t="shared" si="21"/>
        <v>2.5000000000000004</v>
      </c>
      <c r="B68" s="1180"/>
      <c r="C68" s="1137" t="s">
        <v>106</v>
      </c>
      <c r="D68" s="735" t="s">
        <v>822</v>
      </c>
      <c r="E68" s="1176">
        <v>3.4000000000000002E-2</v>
      </c>
      <c r="F68" s="1138">
        <f>E68*F63</f>
        <v>4.2516999999999996</v>
      </c>
      <c r="G68" s="1313"/>
      <c r="H68" s="742">
        <f t="shared" si="17"/>
        <v>0</v>
      </c>
      <c r="I68" s="742"/>
      <c r="J68" s="742">
        <f t="shared" si="18"/>
        <v>0</v>
      </c>
      <c r="K68" s="742"/>
      <c r="L68" s="742">
        <f t="shared" si="19"/>
        <v>0</v>
      </c>
      <c r="M68" s="1317">
        <f t="shared" si="20"/>
        <v>0</v>
      </c>
    </row>
    <row r="69" spans="1:13" s="800" customFormat="1" ht="36" customHeight="1">
      <c r="A69" s="1168"/>
      <c r="B69" s="1165"/>
      <c r="C69" s="1166" t="s">
        <v>654</v>
      </c>
      <c r="D69" s="1181"/>
      <c r="E69" s="1182"/>
      <c r="F69" s="1183"/>
      <c r="G69" s="1325"/>
      <c r="H69" s="742"/>
      <c r="I69" s="742"/>
      <c r="J69" s="742"/>
      <c r="K69" s="1326"/>
      <c r="L69" s="742"/>
      <c r="M69" s="1317"/>
    </row>
    <row r="70" spans="1:13" s="710" customFormat="1" ht="60" customHeight="1">
      <c r="A70" s="727">
        <v>1</v>
      </c>
      <c r="B70" s="1152"/>
      <c r="C70" s="1153" t="s">
        <v>22</v>
      </c>
      <c r="D70" s="730" t="s">
        <v>824</v>
      </c>
      <c r="E70" s="1154">
        <f>10*0.4</f>
        <v>4</v>
      </c>
      <c r="F70" s="1154">
        <f>3.8+4</f>
        <v>7.8</v>
      </c>
      <c r="G70" s="1318"/>
      <c r="H70" s="742">
        <f t="shared" ref="H70:H80" si="22">F70*G70</f>
        <v>0</v>
      </c>
      <c r="I70" s="1318"/>
      <c r="J70" s="742">
        <f t="shared" ref="J70:J80" si="23">F70*I70</f>
        <v>0</v>
      </c>
      <c r="K70" s="1318"/>
      <c r="L70" s="742">
        <f t="shared" ref="L70:L80" si="24">F70*K70</f>
        <v>0</v>
      </c>
      <c r="M70" s="1317">
        <f t="shared" ref="M70:M80" si="25">H70+J70+L70</f>
        <v>0</v>
      </c>
    </row>
    <row r="71" spans="1:13" s="800" customFormat="1" ht="19.899999999999999" customHeight="1">
      <c r="A71" s="1184">
        <f>A70+0.1</f>
        <v>1.1000000000000001</v>
      </c>
      <c r="B71" s="1157"/>
      <c r="C71" s="1137" t="s">
        <v>69</v>
      </c>
      <c r="D71" s="735" t="s">
        <v>13</v>
      </c>
      <c r="E71" s="1185">
        <v>3.1E-2</v>
      </c>
      <c r="F71" s="1186">
        <f>E71*F70</f>
        <v>0.24179999999999999</v>
      </c>
      <c r="G71" s="1312"/>
      <c r="H71" s="742">
        <f t="shared" si="22"/>
        <v>0</v>
      </c>
      <c r="I71" s="742"/>
      <c r="J71" s="742">
        <f t="shared" si="23"/>
        <v>0</v>
      </c>
      <c r="K71" s="742"/>
      <c r="L71" s="742">
        <f t="shared" si="24"/>
        <v>0</v>
      </c>
      <c r="M71" s="1317">
        <f t="shared" si="25"/>
        <v>0</v>
      </c>
    </row>
    <row r="72" spans="1:13" s="800" customFormat="1" ht="19.899999999999999" customHeight="1">
      <c r="A72" s="1184">
        <f>A71+0.1</f>
        <v>1.2000000000000002</v>
      </c>
      <c r="B72" s="1157"/>
      <c r="C72" s="1159" t="s">
        <v>117</v>
      </c>
      <c r="D72" s="742" t="s">
        <v>14</v>
      </c>
      <c r="E72" s="1185">
        <v>2E-3</v>
      </c>
      <c r="F72" s="1187">
        <f>E72*F70</f>
        <v>1.5599999999999999E-2</v>
      </c>
      <c r="G72" s="742"/>
      <c r="H72" s="742">
        <f t="shared" si="22"/>
        <v>0</v>
      </c>
      <c r="I72" s="742"/>
      <c r="J72" s="742">
        <f t="shared" si="23"/>
        <v>0</v>
      </c>
      <c r="K72" s="1319"/>
      <c r="L72" s="742">
        <f t="shared" si="24"/>
        <v>0</v>
      </c>
      <c r="M72" s="1317">
        <f t="shared" si="25"/>
        <v>0</v>
      </c>
    </row>
    <row r="73" spans="1:13" s="799" customFormat="1" ht="19.899999999999999" customHeight="1">
      <c r="A73" s="1184">
        <f>A72+0.1</f>
        <v>1.3000000000000003</v>
      </c>
      <c r="B73" s="1149"/>
      <c r="C73" s="739" t="s">
        <v>24</v>
      </c>
      <c r="D73" s="742" t="s">
        <v>21</v>
      </c>
      <c r="E73" s="1188">
        <v>0.15</v>
      </c>
      <c r="F73" s="1186">
        <f>E73*F70</f>
        <v>1.17</v>
      </c>
      <c r="G73" s="1175"/>
      <c r="H73" s="742">
        <f t="shared" si="22"/>
        <v>0</v>
      </c>
      <c r="I73" s="742"/>
      <c r="J73" s="742">
        <f t="shared" si="23"/>
        <v>0</v>
      </c>
      <c r="K73" s="742"/>
      <c r="L73" s="742">
        <f t="shared" si="24"/>
        <v>0</v>
      </c>
      <c r="M73" s="1317">
        <f t="shared" si="25"/>
        <v>0</v>
      </c>
    </row>
    <row r="74" spans="1:13" s="688" customFormat="1" ht="19.899999999999999" customHeight="1">
      <c r="A74" s="1184">
        <f>A73+0.1</f>
        <v>1.4000000000000004</v>
      </c>
      <c r="B74" s="735"/>
      <c r="C74" s="739" t="s">
        <v>25</v>
      </c>
      <c r="D74" s="742" t="s">
        <v>21</v>
      </c>
      <c r="E74" s="1185">
        <v>1.4999999999999999E-2</v>
      </c>
      <c r="F74" s="1186">
        <f>F70*E74</f>
        <v>0.11699999999999999</v>
      </c>
      <c r="G74" s="1325"/>
      <c r="H74" s="742">
        <f t="shared" si="22"/>
        <v>0</v>
      </c>
      <c r="I74" s="742"/>
      <c r="J74" s="742">
        <f t="shared" si="23"/>
        <v>0</v>
      </c>
      <c r="K74" s="742"/>
      <c r="L74" s="742">
        <f t="shared" si="24"/>
        <v>0</v>
      </c>
      <c r="M74" s="1317">
        <f t="shared" si="25"/>
        <v>0</v>
      </c>
    </row>
    <row r="75" spans="1:13" s="710" customFormat="1" ht="60" customHeight="1">
      <c r="A75" s="727">
        <v>2</v>
      </c>
      <c r="B75" s="1152"/>
      <c r="C75" s="1153" t="s">
        <v>26</v>
      </c>
      <c r="D75" s="730" t="s">
        <v>824</v>
      </c>
      <c r="E75" s="1154"/>
      <c r="F75" s="1154">
        <f>3.8+4</f>
        <v>7.8</v>
      </c>
      <c r="G75" s="1318"/>
      <c r="H75" s="742">
        <f t="shared" si="22"/>
        <v>0</v>
      </c>
      <c r="I75" s="1318"/>
      <c r="J75" s="742">
        <f t="shared" si="23"/>
        <v>0</v>
      </c>
      <c r="K75" s="1318"/>
      <c r="L75" s="742">
        <f t="shared" si="24"/>
        <v>0</v>
      </c>
      <c r="M75" s="1317">
        <f t="shared" si="25"/>
        <v>0</v>
      </c>
    </row>
    <row r="76" spans="1:13" s="688" customFormat="1" ht="19.899999999999999" customHeight="1">
      <c r="A76" s="1168">
        <f>A75+0.1</f>
        <v>2.1</v>
      </c>
      <c r="B76" s="1157"/>
      <c r="C76" s="1137" t="s">
        <v>69</v>
      </c>
      <c r="D76" s="735" t="s">
        <v>13</v>
      </c>
      <c r="E76" s="1185">
        <v>0.68</v>
      </c>
      <c r="F76" s="1186">
        <f>E76*F75</f>
        <v>5.3040000000000003</v>
      </c>
      <c r="G76" s="1312"/>
      <c r="H76" s="742">
        <f t="shared" si="22"/>
        <v>0</v>
      </c>
      <c r="I76" s="742"/>
      <c r="J76" s="742">
        <f t="shared" si="23"/>
        <v>0</v>
      </c>
      <c r="K76" s="742"/>
      <c r="L76" s="742">
        <f t="shared" si="24"/>
        <v>0</v>
      </c>
      <c r="M76" s="1317">
        <f t="shared" si="25"/>
        <v>0</v>
      </c>
    </row>
    <row r="77" spans="1:13" s="688" customFormat="1" ht="19.899999999999999" customHeight="1">
      <c r="A77" s="1168">
        <f>A76+0.1</f>
        <v>2.2000000000000002</v>
      </c>
      <c r="B77" s="1157"/>
      <c r="C77" s="1159" t="s">
        <v>117</v>
      </c>
      <c r="D77" s="742" t="s">
        <v>14</v>
      </c>
      <c r="E77" s="1187">
        <v>2.9999999999999997E-4</v>
      </c>
      <c r="F77" s="1187">
        <f>E77*F75</f>
        <v>2.3399999999999996E-3</v>
      </c>
      <c r="G77" s="742"/>
      <c r="H77" s="742">
        <f t="shared" si="22"/>
        <v>0</v>
      </c>
      <c r="I77" s="742"/>
      <c r="J77" s="742">
        <f t="shared" si="23"/>
        <v>0</v>
      </c>
      <c r="K77" s="1319"/>
      <c r="L77" s="742">
        <f t="shared" si="24"/>
        <v>0</v>
      </c>
      <c r="M77" s="1317">
        <f t="shared" si="25"/>
        <v>0</v>
      </c>
    </row>
    <row r="78" spans="1:13" s="799" customFormat="1" ht="19.899999999999999" customHeight="1">
      <c r="A78" s="1168">
        <f>A77+0.1</f>
        <v>2.3000000000000003</v>
      </c>
      <c r="B78" s="1149"/>
      <c r="C78" s="739" t="s">
        <v>27</v>
      </c>
      <c r="D78" s="742" t="s">
        <v>21</v>
      </c>
      <c r="E78" s="1185">
        <v>0.246</v>
      </c>
      <c r="F78" s="1186">
        <f>E78*F75</f>
        <v>1.9187999999999998</v>
      </c>
      <c r="G78" s="1325"/>
      <c r="H78" s="742">
        <f t="shared" si="22"/>
        <v>0</v>
      </c>
      <c r="I78" s="742"/>
      <c r="J78" s="742">
        <f t="shared" si="23"/>
        <v>0</v>
      </c>
      <c r="K78" s="742"/>
      <c r="L78" s="742">
        <f t="shared" si="24"/>
        <v>0</v>
      </c>
      <c r="M78" s="1317">
        <f t="shared" si="25"/>
        <v>0</v>
      </c>
    </row>
    <row r="79" spans="1:13" s="688" customFormat="1" ht="19.899999999999999" customHeight="1">
      <c r="A79" s="1168">
        <f>A78+0.1</f>
        <v>2.4000000000000004</v>
      </c>
      <c r="B79" s="1149"/>
      <c r="C79" s="739" t="s">
        <v>28</v>
      </c>
      <c r="D79" s="742" t="s">
        <v>21</v>
      </c>
      <c r="E79" s="1185">
        <f>2.7/100</f>
        <v>2.7000000000000003E-2</v>
      </c>
      <c r="F79" s="1186">
        <f>F75*E79</f>
        <v>0.21060000000000001</v>
      </c>
      <c r="G79" s="1175"/>
      <c r="H79" s="742">
        <f t="shared" si="22"/>
        <v>0</v>
      </c>
      <c r="I79" s="742"/>
      <c r="J79" s="742">
        <f t="shared" si="23"/>
        <v>0</v>
      </c>
      <c r="K79" s="742"/>
      <c r="L79" s="742">
        <f t="shared" si="24"/>
        <v>0</v>
      </c>
      <c r="M79" s="1317">
        <f t="shared" si="25"/>
        <v>0</v>
      </c>
    </row>
    <row r="80" spans="1:13" s="688" customFormat="1" ht="19.899999999999999" customHeight="1">
      <c r="A80" s="1168">
        <f>A79+0.1</f>
        <v>2.5000000000000004</v>
      </c>
      <c r="B80" s="1165"/>
      <c r="C80" s="1159" t="s">
        <v>119</v>
      </c>
      <c r="D80" s="742" t="s">
        <v>1</v>
      </c>
      <c r="E80" s="1187">
        <v>1.9E-3</v>
      </c>
      <c r="F80" s="1185">
        <f>E80*F75</f>
        <v>1.482E-2</v>
      </c>
      <c r="G80" s="1325"/>
      <c r="H80" s="742">
        <f t="shared" si="22"/>
        <v>0</v>
      </c>
      <c r="I80" s="742"/>
      <c r="J80" s="742">
        <f t="shared" si="23"/>
        <v>0</v>
      </c>
      <c r="K80" s="1318"/>
      <c r="L80" s="742">
        <f t="shared" si="24"/>
        <v>0</v>
      </c>
      <c r="M80" s="1317">
        <f t="shared" si="25"/>
        <v>0</v>
      </c>
    </row>
    <row r="81" spans="1:13" ht="19.899999999999999" customHeight="1">
      <c r="A81" s="783"/>
      <c r="B81" s="700"/>
      <c r="C81" s="1166" t="s">
        <v>191</v>
      </c>
      <c r="D81" s="783" t="s">
        <v>1</v>
      </c>
      <c r="E81" s="1189"/>
      <c r="F81" s="692"/>
      <c r="G81" s="742"/>
      <c r="H81" s="1327">
        <f>SUM(H9:H80)</f>
        <v>0</v>
      </c>
      <c r="I81" s="1168"/>
      <c r="J81" s="1327">
        <f>SUM(J9:J80)</f>
        <v>0</v>
      </c>
      <c r="K81" s="1168"/>
      <c r="L81" s="1327">
        <f>SUM(L9:L80)</f>
        <v>0</v>
      </c>
      <c r="M81" s="1327">
        <f>SUM(M9:M80)</f>
        <v>0</v>
      </c>
    </row>
    <row r="82" spans="1:13" ht="19.899999999999999" customHeight="1">
      <c r="A82" s="783"/>
      <c r="B82" s="700"/>
      <c r="C82" s="1191" t="s">
        <v>247</v>
      </c>
      <c r="D82" s="1192" t="s">
        <v>874</v>
      </c>
      <c r="E82" s="692"/>
      <c r="F82" s="696">
        <v>0</v>
      </c>
      <c r="G82" s="742"/>
      <c r="H82" s="1168"/>
      <c r="I82" s="1168"/>
      <c r="J82" s="1328"/>
      <c r="K82" s="1328"/>
      <c r="L82" s="1328"/>
      <c r="M82" s="1328">
        <f>H81*F82</f>
        <v>0</v>
      </c>
    </row>
    <row r="83" spans="1:13" ht="19.899999999999999" customHeight="1">
      <c r="A83" s="783"/>
      <c r="B83" s="700"/>
      <c r="C83" s="1191" t="s">
        <v>39</v>
      </c>
      <c r="D83" s="693"/>
      <c r="E83" s="692"/>
      <c r="F83" s="691"/>
      <c r="G83" s="742"/>
      <c r="H83" s="1168"/>
      <c r="I83" s="1168"/>
      <c r="J83" s="1328"/>
      <c r="K83" s="1328"/>
      <c r="L83" s="1328"/>
      <c r="M83" s="1328">
        <f>M82+M81</f>
        <v>0</v>
      </c>
    </row>
    <row r="84" spans="1:13" ht="19.899999999999999" customHeight="1">
      <c r="A84" s="783"/>
      <c r="B84" s="700"/>
      <c r="C84" s="1159" t="s">
        <v>193</v>
      </c>
      <c r="D84" s="700" t="s">
        <v>874</v>
      </c>
      <c r="E84" s="856"/>
      <c r="F84" s="1284">
        <v>0</v>
      </c>
      <c r="G84" s="693"/>
      <c r="H84" s="1328"/>
      <c r="I84" s="1168"/>
      <c r="J84" s="1168"/>
      <c r="K84" s="1168"/>
      <c r="L84" s="1168"/>
      <c r="M84" s="1328">
        <f>M83*F84</f>
        <v>0</v>
      </c>
    </row>
    <row r="85" spans="1:13" ht="19.899999999999999" customHeight="1">
      <c r="A85" s="783"/>
      <c r="B85" s="700"/>
      <c r="C85" s="1159" t="s">
        <v>29</v>
      </c>
      <c r="D85" s="700"/>
      <c r="E85" s="856"/>
      <c r="F85" s="1285"/>
      <c r="G85" s="730"/>
      <c r="H85" s="1329"/>
      <c r="I85" s="1168"/>
      <c r="J85" s="1168"/>
      <c r="K85" s="1168"/>
      <c r="L85" s="1168"/>
      <c r="M85" s="1329">
        <f>M84+M83</f>
        <v>0</v>
      </c>
    </row>
    <row r="86" spans="1:13" ht="19.899999999999999" customHeight="1">
      <c r="A86" s="783"/>
      <c r="B86" s="783"/>
      <c r="C86" s="1159" t="s">
        <v>30</v>
      </c>
      <c r="D86" s="700" t="s">
        <v>874</v>
      </c>
      <c r="E86" s="856"/>
      <c r="F86" s="1284">
        <v>0</v>
      </c>
      <c r="G86" s="693"/>
      <c r="H86" s="1328"/>
      <c r="I86" s="1168"/>
      <c r="J86" s="1168"/>
      <c r="K86" s="1168"/>
      <c r="L86" s="1168"/>
      <c r="M86" s="1328">
        <f>M85*F86</f>
        <v>0</v>
      </c>
    </row>
    <row r="87" spans="1:13" ht="19.899999999999999" customHeight="1">
      <c r="A87" s="700"/>
      <c r="B87" s="783"/>
      <c r="C87" s="1166" t="s">
        <v>31</v>
      </c>
      <c r="D87" s="783"/>
      <c r="E87" s="856"/>
      <c r="F87" s="1193"/>
      <c r="G87" s="730"/>
      <c r="H87" s="1329"/>
      <c r="I87" s="1168"/>
      <c r="J87" s="1168"/>
      <c r="K87" s="1168"/>
      <c r="L87" s="1168"/>
      <c r="M87" s="1329">
        <f>SUM(M85:M86)</f>
        <v>0</v>
      </c>
    </row>
    <row r="88" spans="1:13">
      <c r="A88" s="1194"/>
      <c r="B88" s="1195"/>
      <c r="C88" s="1196"/>
      <c r="D88" s="1196"/>
      <c r="E88" s="1196"/>
      <c r="F88" s="1196"/>
      <c r="G88" s="1196"/>
      <c r="H88" s="1196"/>
      <c r="I88" s="1195"/>
      <c r="J88" s="1195"/>
      <c r="K88" s="1195"/>
      <c r="L88" s="1195"/>
      <c r="M88" s="1195"/>
    </row>
    <row r="89" spans="1:13">
      <c r="A89" s="1194"/>
      <c r="B89" s="1195"/>
      <c r="C89" s="1195"/>
      <c r="D89" s="1195"/>
      <c r="E89" s="1195"/>
      <c r="F89" s="1195"/>
      <c r="G89" s="1195"/>
      <c r="H89" s="1195"/>
      <c r="I89" s="1195"/>
      <c r="J89" s="1195"/>
      <c r="K89" s="1195"/>
      <c r="L89" s="1195"/>
      <c r="M89" s="1195"/>
    </row>
    <row r="90" spans="1:13">
      <c r="A90" s="1197"/>
      <c r="B90" s="1198"/>
      <c r="C90" s="1199"/>
      <c r="D90" s="1197"/>
      <c r="E90" s="1200"/>
      <c r="F90" s="1201"/>
      <c r="G90" s="1201"/>
      <c r="H90" s="1202"/>
      <c r="I90" s="1195"/>
      <c r="J90" s="1195"/>
      <c r="K90" s="1195"/>
      <c r="L90" s="1195"/>
      <c r="M90" s="1195"/>
    </row>
  </sheetData>
  <mergeCells count="13">
    <mergeCell ref="I5:J5"/>
    <mergeCell ref="K5:L5"/>
    <mergeCell ref="M5:M6"/>
    <mergeCell ref="A1:H1"/>
    <mergeCell ref="A2:H2"/>
    <mergeCell ref="A3:D3"/>
    <mergeCell ref="A4:H4"/>
    <mergeCell ref="A5:A6"/>
    <mergeCell ref="B5:B6"/>
    <mergeCell ref="C5:C6"/>
    <mergeCell ref="D5:D6"/>
    <mergeCell ref="E5:F5"/>
    <mergeCell ref="G5:H5"/>
  </mergeCells>
  <pageMargins left="0.16" right="0.12" top="0.12" bottom="0.12" header="0.12" footer="0.12"/>
  <pageSetup paperSize="9" scale="68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4.9989318521683403E-2"/>
  </sheetPr>
  <dimension ref="A1:M33"/>
  <sheetViews>
    <sheetView zoomScale="70" zoomScaleNormal="70" workbookViewId="0">
      <selection activeCell="J13" sqref="J13"/>
    </sheetView>
  </sheetViews>
  <sheetFormatPr defaultColWidth="9.140625" defaultRowHeight="18.75"/>
  <cols>
    <col min="1" max="1" width="5.85546875" style="139" customWidth="1"/>
    <col min="2" max="2" width="11.5703125" style="496" customWidth="1"/>
    <col min="3" max="3" width="61" style="496" customWidth="1"/>
    <col min="4" max="4" width="14.28515625" style="496" customWidth="1"/>
    <col min="5" max="5" width="12.28515625" style="496" customWidth="1"/>
    <col min="6" max="6" width="13.5703125" style="496" customWidth="1"/>
    <col min="7" max="7" width="12.28515625" style="864" customWidth="1"/>
    <col min="8" max="8" width="14.7109375" style="864" customWidth="1"/>
    <col min="9" max="9" width="11.85546875" style="864" customWidth="1"/>
    <col min="10" max="10" width="14" style="864" customWidth="1"/>
    <col min="11" max="11" width="11.42578125" style="864" customWidth="1"/>
    <col min="12" max="12" width="9.28515625" style="864" customWidth="1"/>
    <col min="13" max="13" width="14.7109375" style="864" customWidth="1"/>
    <col min="14" max="249" width="9.140625" style="496"/>
    <col min="250" max="250" width="5.85546875" style="496" customWidth="1"/>
    <col min="251" max="251" width="11.42578125" style="496" customWidth="1"/>
    <col min="252" max="252" width="41.42578125" style="496" customWidth="1"/>
    <col min="253" max="262" width="11.7109375" style="496" customWidth="1"/>
    <col min="263" max="505" width="9.140625" style="496"/>
    <col min="506" max="506" width="5.85546875" style="496" customWidth="1"/>
    <col min="507" max="507" width="11.42578125" style="496" customWidth="1"/>
    <col min="508" max="508" width="41.42578125" style="496" customWidth="1"/>
    <col min="509" max="518" width="11.7109375" style="496" customWidth="1"/>
    <col min="519" max="761" width="9.140625" style="496"/>
    <col min="762" max="762" width="5.85546875" style="496" customWidth="1"/>
    <col min="763" max="763" width="11.42578125" style="496" customWidth="1"/>
    <col min="764" max="764" width="41.42578125" style="496" customWidth="1"/>
    <col min="765" max="774" width="11.7109375" style="496" customWidth="1"/>
    <col min="775" max="1017" width="9.140625" style="496"/>
    <col min="1018" max="1018" width="5.85546875" style="496" customWidth="1"/>
    <col min="1019" max="1019" width="11.42578125" style="496" customWidth="1"/>
    <col min="1020" max="1020" width="41.42578125" style="496" customWidth="1"/>
    <col min="1021" max="1030" width="11.7109375" style="496" customWidth="1"/>
    <col min="1031" max="1273" width="9.140625" style="496"/>
    <col min="1274" max="1274" width="5.85546875" style="496" customWidth="1"/>
    <col min="1275" max="1275" width="11.42578125" style="496" customWidth="1"/>
    <col min="1276" max="1276" width="41.42578125" style="496" customWidth="1"/>
    <col min="1277" max="1286" width="11.7109375" style="496" customWidth="1"/>
    <col min="1287" max="1529" width="9.140625" style="496"/>
    <col min="1530" max="1530" width="5.85546875" style="496" customWidth="1"/>
    <col min="1531" max="1531" width="11.42578125" style="496" customWidth="1"/>
    <col min="1532" max="1532" width="41.42578125" style="496" customWidth="1"/>
    <col min="1533" max="1542" width="11.7109375" style="496" customWidth="1"/>
    <col min="1543" max="1785" width="9.140625" style="496"/>
    <col min="1786" max="1786" width="5.85546875" style="496" customWidth="1"/>
    <col min="1787" max="1787" width="11.42578125" style="496" customWidth="1"/>
    <col min="1788" max="1788" width="41.42578125" style="496" customWidth="1"/>
    <col min="1789" max="1798" width="11.7109375" style="496" customWidth="1"/>
    <col min="1799" max="2041" width="9.140625" style="496"/>
    <col min="2042" max="2042" width="5.85546875" style="496" customWidth="1"/>
    <col min="2043" max="2043" width="11.42578125" style="496" customWidth="1"/>
    <col min="2044" max="2044" width="41.42578125" style="496" customWidth="1"/>
    <col min="2045" max="2054" width="11.7109375" style="496" customWidth="1"/>
    <col min="2055" max="2297" width="9.140625" style="496"/>
    <col min="2298" max="2298" width="5.85546875" style="496" customWidth="1"/>
    <col min="2299" max="2299" width="11.42578125" style="496" customWidth="1"/>
    <col min="2300" max="2300" width="41.42578125" style="496" customWidth="1"/>
    <col min="2301" max="2310" width="11.7109375" style="496" customWidth="1"/>
    <col min="2311" max="2553" width="9.140625" style="496"/>
    <col min="2554" max="2554" width="5.85546875" style="496" customWidth="1"/>
    <col min="2555" max="2555" width="11.42578125" style="496" customWidth="1"/>
    <col min="2556" max="2556" width="41.42578125" style="496" customWidth="1"/>
    <col min="2557" max="2566" width="11.7109375" style="496" customWidth="1"/>
    <col min="2567" max="2809" width="9.140625" style="496"/>
    <col min="2810" max="2810" width="5.85546875" style="496" customWidth="1"/>
    <col min="2811" max="2811" width="11.42578125" style="496" customWidth="1"/>
    <col min="2812" max="2812" width="41.42578125" style="496" customWidth="1"/>
    <col min="2813" max="2822" width="11.7109375" style="496" customWidth="1"/>
    <col min="2823" max="3065" width="9.140625" style="496"/>
    <col min="3066" max="3066" width="5.85546875" style="496" customWidth="1"/>
    <col min="3067" max="3067" width="11.42578125" style="496" customWidth="1"/>
    <col min="3068" max="3068" width="41.42578125" style="496" customWidth="1"/>
    <col min="3069" max="3078" width="11.7109375" style="496" customWidth="1"/>
    <col min="3079" max="3321" width="9.140625" style="496"/>
    <col min="3322" max="3322" width="5.85546875" style="496" customWidth="1"/>
    <col min="3323" max="3323" width="11.42578125" style="496" customWidth="1"/>
    <col min="3324" max="3324" width="41.42578125" style="496" customWidth="1"/>
    <col min="3325" max="3334" width="11.7109375" style="496" customWidth="1"/>
    <col min="3335" max="3577" width="9.140625" style="496"/>
    <col min="3578" max="3578" width="5.85546875" style="496" customWidth="1"/>
    <col min="3579" max="3579" width="11.42578125" style="496" customWidth="1"/>
    <col min="3580" max="3580" width="41.42578125" style="496" customWidth="1"/>
    <col min="3581" max="3590" width="11.7109375" style="496" customWidth="1"/>
    <col min="3591" max="3833" width="9.140625" style="496"/>
    <col min="3834" max="3834" width="5.85546875" style="496" customWidth="1"/>
    <col min="3835" max="3835" width="11.42578125" style="496" customWidth="1"/>
    <col min="3836" max="3836" width="41.42578125" style="496" customWidth="1"/>
    <col min="3837" max="3846" width="11.7109375" style="496" customWidth="1"/>
    <col min="3847" max="4089" width="9.140625" style="496"/>
    <col min="4090" max="4090" width="5.85546875" style="496" customWidth="1"/>
    <col min="4091" max="4091" width="11.42578125" style="496" customWidth="1"/>
    <col min="4092" max="4092" width="41.42578125" style="496" customWidth="1"/>
    <col min="4093" max="4102" width="11.7109375" style="496" customWidth="1"/>
    <col min="4103" max="4345" width="9.140625" style="496"/>
    <col min="4346" max="4346" width="5.85546875" style="496" customWidth="1"/>
    <col min="4347" max="4347" width="11.42578125" style="496" customWidth="1"/>
    <col min="4348" max="4348" width="41.42578125" style="496" customWidth="1"/>
    <col min="4349" max="4358" width="11.7109375" style="496" customWidth="1"/>
    <col min="4359" max="4601" width="9.140625" style="496"/>
    <col min="4602" max="4602" width="5.85546875" style="496" customWidth="1"/>
    <col min="4603" max="4603" width="11.42578125" style="496" customWidth="1"/>
    <col min="4604" max="4604" width="41.42578125" style="496" customWidth="1"/>
    <col min="4605" max="4614" width="11.7109375" style="496" customWidth="1"/>
    <col min="4615" max="4857" width="9.140625" style="496"/>
    <col min="4858" max="4858" width="5.85546875" style="496" customWidth="1"/>
    <col min="4859" max="4859" width="11.42578125" style="496" customWidth="1"/>
    <col min="4860" max="4860" width="41.42578125" style="496" customWidth="1"/>
    <col min="4861" max="4870" width="11.7109375" style="496" customWidth="1"/>
    <col min="4871" max="5113" width="9.140625" style="496"/>
    <col min="5114" max="5114" width="5.85546875" style="496" customWidth="1"/>
    <col min="5115" max="5115" width="11.42578125" style="496" customWidth="1"/>
    <col min="5116" max="5116" width="41.42578125" style="496" customWidth="1"/>
    <col min="5117" max="5126" width="11.7109375" style="496" customWidth="1"/>
    <col min="5127" max="5369" width="9.140625" style="496"/>
    <col min="5370" max="5370" width="5.85546875" style="496" customWidth="1"/>
    <col min="5371" max="5371" width="11.42578125" style="496" customWidth="1"/>
    <col min="5372" max="5372" width="41.42578125" style="496" customWidth="1"/>
    <col min="5373" max="5382" width="11.7109375" style="496" customWidth="1"/>
    <col min="5383" max="5625" width="9.140625" style="496"/>
    <col min="5626" max="5626" width="5.85546875" style="496" customWidth="1"/>
    <col min="5627" max="5627" width="11.42578125" style="496" customWidth="1"/>
    <col min="5628" max="5628" width="41.42578125" style="496" customWidth="1"/>
    <col min="5629" max="5638" width="11.7109375" style="496" customWidth="1"/>
    <col min="5639" max="5881" width="9.140625" style="496"/>
    <col min="5882" max="5882" width="5.85546875" style="496" customWidth="1"/>
    <col min="5883" max="5883" width="11.42578125" style="496" customWidth="1"/>
    <col min="5884" max="5884" width="41.42578125" style="496" customWidth="1"/>
    <col min="5885" max="5894" width="11.7109375" style="496" customWidth="1"/>
    <col min="5895" max="6137" width="9.140625" style="496"/>
    <col min="6138" max="6138" width="5.85546875" style="496" customWidth="1"/>
    <col min="6139" max="6139" width="11.42578125" style="496" customWidth="1"/>
    <col min="6140" max="6140" width="41.42578125" style="496" customWidth="1"/>
    <col min="6141" max="6150" width="11.7109375" style="496" customWidth="1"/>
    <col min="6151" max="6393" width="9.140625" style="496"/>
    <col min="6394" max="6394" width="5.85546875" style="496" customWidth="1"/>
    <col min="6395" max="6395" width="11.42578125" style="496" customWidth="1"/>
    <col min="6396" max="6396" width="41.42578125" style="496" customWidth="1"/>
    <col min="6397" max="6406" width="11.7109375" style="496" customWidth="1"/>
    <col min="6407" max="6649" width="9.140625" style="496"/>
    <col min="6650" max="6650" width="5.85546875" style="496" customWidth="1"/>
    <col min="6651" max="6651" width="11.42578125" style="496" customWidth="1"/>
    <col min="6652" max="6652" width="41.42578125" style="496" customWidth="1"/>
    <col min="6653" max="6662" width="11.7109375" style="496" customWidth="1"/>
    <col min="6663" max="6905" width="9.140625" style="496"/>
    <col min="6906" max="6906" width="5.85546875" style="496" customWidth="1"/>
    <col min="6907" max="6907" width="11.42578125" style="496" customWidth="1"/>
    <col min="6908" max="6908" width="41.42578125" style="496" customWidth="1"/>
    <col min="6909" max="6918" width="11.7109375" style="496" customWidth="1"/>
    <col min="6919" max="7161" width="9.140625" style="496"/>
    <col min="7162" max="7162" width="5.85546875" style="496" customWidth="1"/>
    <col min="7163" max="7163" width="11.42578125" style="496" customWidth="1"/>
    <col min="7164" max="7164" width="41.42578125" style="496" customWidth="1"/>
    <col min="7165" max="7174" width="11.7109375" style="496" customWidth="1"/>
    <col min="7175" max="7417" width="9.140625" style="496"/>
    <col min="7418" max="7418" width="5.85546875" style="496" customWidth="1"/>
    <col min="7419" max="7419" width="11.42578125" style="496" customWidth="1"/>
    <col min="7420" max="7420" width="41.42578125" style="496" customWidth="1"/>
    <col min="7421" max="7430" width="11.7109375" style="496" customWidth="1"/>
    <col min="7431" max="7673" width="9.140625" style="496"/>
    <col min="7674" max="7674" width="5.85546875" style="496" customWidth="1"/>
    <col min="7675" max="7675" width="11.42578125" style="496" customWidth="1"/>
    <col min="7676" max="7676" width="41.42578125" style="496" customWidth="1"/>
    <col min="7677" max="7686" width="11.7109375" style="496" customWidth="1"/>
    <col min="7687" max="7929" width="9.140625" style="496"/>
    <col min="7930" max="7930" width="5.85546875" style="496" customWidth="1"/>
    <col min="7931" max="7931" width="11.42578125" style="496" customWidth="1"/>
    <col min="7932" max="7932" width="41.42578125" style="496" customWidth="1"/>
    <col min="7933" max="7942" width="11.7109375" style="496" customWidth="1"/>
    <col min="7943" max="8185" width="9.140625" style="496"/>
    <col min="8186" max="8186" width="5.85546875" style="496" customWidth="1"/>
    <col min="8187" max="8187" width="11.42578125" style="496" customWidth="1"/>
    <col min="8188" max="8188" width="41.42578125" style="496" customWidth="1"/>
    <col min="8189" max="8198" width="11.7109375" style="496" customWidth="1"/>
    <col min="8199" max="8441" width="9.140625" style="496"/>
    <col min="8442" max="8442" width="5.85546875" style="496" customWidth="1"/>
    <col min="8443" max="8443" width="11.42578125" style="496" customWidth="1"/>
    <col min="8444" max="8444" width="41.42578125" style="496" customWidth="1"/>
    <col min="8445" max="8454" width="11.7109375" style="496" customWidth="1"/>
    <col min="8455" max="8697" width="9.140625" style="496"/>
    <col min="8698" max="8698" width="5.85546875" style="496" customWidth="1"/>
    <col min="8699" max="8699" width="11.42578125" style="496" customWidth="1"/>
    <col min="8700" max="8700" width="41.42578125" style="496" customWidth="1"/>
    <col min="8701" max="8710" width="11.7109375" style="496" customWidth="1"/>
    <col min="8711" max="8953" width="9.140625" style="496"/>
    <col min="8954" max="8954" width="5.85546875" style="496" customWidth="1"/>
    <col min="8955" max="8955" width="11.42578125" style="496" customWidth="1"/>
    <col min="8956" max="8956" width="41.42578125" style="496" customWidth="1"/>
    <col min="8957" max="8966" width="11.7109375" style="496" customWidth="1"/>
    <col min="8967" max="9209" width="9.140625" style="496"/>
    <col min="9210" max="9210" width="5.85546875" style="496" customWidth="1"/>
    <col min="9211" max="9211" width="11.42578125" style="496" customWidth="1"/>
    <col min="9212" max="9212" width="41.42578125" style="496" customWidth="1"/>
    <col min="9213" max="9222" width="11.7109375" style="496" customWidth="1"/>
    <col min="9223" max="9465" width="9.140625" style="496"/>
    <col min="9466" max="9466" width="5.85546875" style="496" customWidth="1"/>
    <col min="9467" max="9467" width="11.42578125" style="496" customWidth="1"/>
    <col min="9468" max="9468" width="41.42578125" style="496" customWidth="1"/>
    <col min="9469" max="9478" width="11.7109375" style="496" customWidth="1"/>
    <col min="9479" max="9721" width="9.140625" style="496"/>
    <col min="9722" max="9722" width="5.85546875" style="496" customWidth="1"/>
    <col min="9723" max="9723" width="11.42578125" style="496" customWidth="1"/>
    <col min="9724" max="9724" width="41.42578125" style="496" customWidth="1"/>
    <col min="9725" max="9734" width="11.7109375" style="496" customWidth="1"/>
    <col min="9735" max="9977" width="9.140625" style="496"/>
    <col min="9978" max="9978" width="5.85546875" style="496" customWidth="1"/>
    <col min="9979" max="9979" width="11.42578125" style="496" customWidth="1"/>
    <col min="9980" max="9980" width="41.42578125" style="496" customWidth="1"/>
    <col min="9981" max="9990" width="11.7109375" style="496" customWidth="1"/>
    <col min="9991" max="10233" width="9.140625" style="496"/>
    <col min="10234" max="10234" width="5.85546875" style="496" customWidth="1"/>
    <col min="10235" max="10235" width="11.42578125" style="496" customWidth="1"/>
    <col min="10236" max="10236" width="41.42578125" style="496" customWidth="1"/>
    <col min="10237" max="10246" width="11.7109375" style="496" customWidth="1"/>
    <col min="10247" max="10489" width="9.140625" style="496"/>
    <col min="10490" max="10490" width="5.85546875" style="496" customWidth="1"/>
    <col min="10491" max="10491" width="11.42578125" style="496" customWidth="1"/>
    <col min="10492" max="10492" width="41.42578125" style="496" customWidth="1"/>
    <col min="10493" max="10502" width="11.7109375" style="496" customWidth="1"/>
    <col min="10503" max="10745" width="9.140625" style="496"/>
    <col min="10746" max="10746" width="5.85546875" style="496" customWidth="1"/>
    <col min="10747" max="10747" width="11.42578125" style="496" customWidth="1"/>
    <col min="10748" max="10748" width="41.42578125" style="496" customWidth="1"/>
    <col min="10749" max="10758" width="11.7109375" style="496" customWidth="1"/>
    <col min="10759" max="11001" width="9.140625" style="496"/>
    <col min="11002" max="11002" width="5.85546875" style="496" customWidth="1"/>
    <col min="11003" max="11003" width="11.42578125" style="496" customWidth="1"/>
    <col min="11004" max="11004" width="41.42578125" style="496" customWidth="1"/>
    <col min="11005" max="11014" width="11.7109375" style="496" customWidth="1"/>
    <col min="11015" max="11257" width="9.140625" style="496"/>
    <col min="11258" max="11258" width="5.85546875" style="496" customWidth="1"/>
    <col min="11259" max="11259" width="11.42578125" style="496" customWidth="1"/>
    <col min="11260" max="11260" width="41.42578125" style="496" customWidth="1"/>
    <col min="11261" max="11270" width="11.7109375" style="496" customWidth="1"/>
    <col min="11271" max="11513" width="9.140625" style="496"/>
    <col min="11514" max="11514" width="5.85546875" style="496" customWidth="1"/>
    <col min="11515" max="11515" width="11.42578125" style="496" customWidth="1"/>
    <col min="11516" max="11516" width="41.42578125" style="496" customWidth="1"/>
    <col min="11517" max="11526" width="11.7109375" style="496" customWidth="1"/>
    <col min="11527" max="11769" width="9.140625" style="496"/>
    <col min="11770" max="11770" width="5.85546875" style="496" customWidth="1"/>
    <col min="11771" max="11771" width="11.42578125" style="496" customWidth="1"/>
    <col min="11772" max="11772" width="41.42578125" style="496" customWidth="1"/>
    <col min="11773" max="11782" width="11.7109375" style="496" customWidth="1"/>
    <col min="11783" max="12025" width="9.140625" style="496"/>
    <col min="12026" max="12026" width="5.85546875" style="496" customWidth="1"/>
    <col min="12027" max="12027" width="11.42578125" style="496" customWidth="1"/>
    <col min="12028" max="12028" width="41.42578125" style="496" customWidth="1"/>
    <col min="12029" max="12038" width="11.7109375" style="496" customWidth="1"/>
    <col min="12039" max="12281" width="9.140625" style="496"/>
    <col min="12282" max="12282" width="5.85546875" style="496" customWidth="1"/>
    <col min="12283" max="12283" width="11.42578125" style="496" customWidth="1"/>
    <col min="12284" max="12284" width="41.42578125" style="496" customWidth="1"/>
    <col min="12285" max="12294" width="11.7109375" style="496" customWidth="1"/>
    <col min="12295" max="12537" width="9.140625" style="496"/>
    <col min="12538" max="12538" width="5.85546875" style="496" customWidth="1"/>
    <col min="12539" max="12539" width="11.42578125" style="496" customWidth="1"/>
    <col min="12540" max="12540" width="41.42578125" style="496" customWidth="1"/>
    <col min="12541" max="12550" width="11.7109375" style="496" customWidth="1"/>
    <col min="12551" max="12793" width="9.140625" style="496"/>
    <col min="12794" max="12794" width="5.85546875" style="496" customWidth="1"/>
    <col min="12795" max="12795" width="11.42578125" style="496" customWidth="1"/>
    <col min="12796" max="12796" width="41.42578125" style="496" customWidth="1"/>
    <col min="12797" max="12806" width="11.7109375" style="496" customWidth="1"/>
    <col min="12807" max="13049" width="9.140625" style="496"/>
    <col min="13050" max="13050" width="5.85546875" style="496" customWidth="1"/>
    <col min="13051" max="13051" width="11.42578125" style="496" customWidth="1"/>
    <col min="13052" max="13052" width="41.42578125" style="496" customWidth="1"/>
    <col min="13053" max="13062" width="11.7109375" style="496" customWidth="1"/>
    <col min="13063" max="13305" width="9.140625" style="496"/>
    <col min="13306" max="13306" width="5.85546875" style="496" customWidth="1"/>
    <col min="13307" max="13307" width="11.42578125" style="496" customWidth="1"/>
    <col min="13308" max="13308" width="41.42578125" style="496" customWidth="1"/>
    <col min="13309" max="13318" width="11.7109375" style="496" customWidth="1"/>
    <col min="13319" max="13561" width="9.140625" style="496"/>
    <col min="13562" max="13562" width="5.85546875" style="496" customWidth="1"/>
    <col min="13563" max="13563" width="11.42578125" style="496" customWidth="1"/>
    <col min="13564" max="13564" width="41.42578125" style="496" customWidth="1"/>
    <col min="13565" max="13574" width="11.7109375" style="496" customWidth="1"/>
    <col min="13575" max="13817" width="9.140625" style="496"/>
    <col min="13818" max="13818" width="5.85546875" style="496" customWidth="1"/>
    <col min="13819" max="13819" width="11.42578125" style="496" customWidth="1"/>
    <col min="13820" max="13820" width="41.42578125" style="496" customWidth="1"/>
    <col min="13821" max="13830" width="11.7109375" style="496" customWidth="1"/>
    <col min="13831" max="14073" width="9.140625" style="496"/>
    <col min="14074" max="14074" width="5.85546875" style="496" customWidth="1"/>
    <col min="14075" max="14075" width="11.42578125" style="496" customWidth="1"/>
    <col min="14076" max="14076" width="41.42578125" style="496" customWidth="1"/>
    <col min="14077" max="14086" width="11.7109375" style="496" customWidth="1"/>
    <col min="14087" max="14329" width="9.140625" style="496"/>
    <col min="14330" max="14330" width="5.85546875" style="496" customWidth="1"/>
    <col min="14331" max="14331" width="11.42578125" style="496" customWidth="1"/>
    <col min="14332" max="14332" width="41.42578125" style="496" customWidth="1"/>
    <col min="14333" max="14342" width="11.7109375" style="496" customWidth="1"/>
    <col min="14343" max="14585" width="9.140625" style="496"/>
    <col min="14586" max="14586" width="5.85546875" style="496" customWidth="1"/>
    <col min="14587" max="14587" width="11.42578125" style="496" customWidth="1"/>
    <col min="14588" max="14588" width="41.42578125" style="496" customWidth="1"/>
    <col min="14589" max="14598" width="11.7109375" style="496" customWidth="1"/>
    <col min="14599" max="14841" width="9.140625" style="496"/>
    <col min="14842" max="14842" width="5.85546875" style="496" customWidth="1"/>
    <col min="14843" max="14843" width="11.42578125" style="496" customWidth="1"/>
    <col min="14844" max="14844" width="41.42578125" style="496" customWidth="1"/>
    <col min="14845" max="14854" width="11.7109375" style="496" customWidth="1"/>
    <col min="14855" max="15097" width="9.140625" style="496"/>
    <col min="15098" max="15098" width="5.85546875" style="496" customWidth="1"/>
    <col min="15099" max="15099" width="11.42578125" style="496" customWidth="1"/>
    <col min="15100" max="15100" width="41.42578125" style="496" customWidth="1"/>
    <col min="15101" max="15110" width="11.7109375" style="496" customWidth="1"/>
    <col min="15111" max="15353" width="9.140625" style="496"/>
    <col min="15354" max="15354" width="5.85546875" style="496" customWidth="1"/>
    <col min="15355" max="15355" width="11.42578125" style="496" customWidth="1"/>
    <col min="15356" max="15356" width="41.42578125" style="496" customWidth="1"/>
    <col min="15357" max="15366" width="11.7109375" style="496" customWidth="1"/>
    <col min="15367" max="15609" width="9.140625" style="496"/>
    <col min="15610" max="15610" width="5.85546875" style="496" customWidth="1"/>
    <col min="15611" max="15611" width="11.42578125" style="496" customWidth="1"/>
    <col min="15612" max="15612" width="41.42578125" style="496" customWidth="1"/>
    <col min="15613" max="15622" width="11.7109375" style="496" customWidth="1"/>
    <col min="15623" max="15865" width="9.140625" style="496"/>
    <col min="15866" max="15866" width="5.85546875" style="496" customWidth="1"/>
    <col min="15867" max="15867" width="11.42578125" style="496" customWidth="1"/>
    <col min="15868" max="15868" width="41.42578125" style="496" customWidth="1"/>
    <col min="15869" max="15878" width="11.7109375" style="496" customWidth="1"/>
    <col min="15879" max="16121" width="9.140625" style="496"/>
    <col min="16122" max="16122" width="5.85546875" style="496" customWidth="1"/>
    <col min="16123" max="16123" width="11.42578125" style="496" customWidth="1"/>
    <col min="16124" max="16124" width="41.42578125" style="496" customWidth="1"/>
    <col min="16125" max="16134" width="11.7109375" style="496" customWidth="1"/>
    <col min="16135" max="16384" width="9.140625" style="496"/>
  </cols>
  <sheetData>
    <row r="1" spans="1:13" ht="26.25" customHeight="1">
      <c r="A1" s="1587" t="s">
        <v>652</v>
      </c>
      <c r="B1" s="1587"/>
      <c r="C1" s="1587"/>
      <c r="D1" s="1587"/>
      <c r="E1" s="1587"/>
      <c r="F1" s="1587"/>
      <c r="G1" s="1587"/>
      <c r="H1" s="1587"/>
    </row>
    <row r="2" spans="1:13" ht="36.6" customHeight="1">
      <c r="A2" s="1564" t="s">
        <v>700</v>
      </c>
      <c r="B2" s="1564"/>
      <c r="C2" s="1564"/>
      <c r="D2" s="1564"/>
      <c r="E2" s="1564"/>
      <c r="F2" s="1564"/>
      <c r="G2" s="1564"/>
      <c r="H2" s="1564"/>
      <c r="I2" s="1564"/>
      <c r="J2" s="1564"/>
    </row>
    <row r="3" spans="1:13" ht="26.25" customHeight="1">
      <c r="A3" s="1588" t="s">
        <v>0</v>
      </c>
      <c r="B3" s="1588"/>
      <c r="C3" s="1588"/>
      <c r="D3" s="1588"/>
      <c r="E3" s="498">
        <f>M29</f>
        <v>0</v>
      </c>
      <c r="F3" s="496" t="s">
        <v>1</v>
      </c>
    </row>
    <row r="4" spans="1:13" ht="26.25" customHeight="1">
      <c r="A4" s="1589"/>
      <c r="B4" s="1589"/>
      <c r="C4" s="1589"/>
      <c r="D4" s="1589"/>
      <c r="E4" s="1589"/>
      <c r="F4" s="1589"/>
      <c r="G4" s="1589"/>
      <c r="H4" s="1589"/>
    </row>
    <row r="5" spans="1:13" ht="30" customHeight="1">
      <c r="A5" s="1590"/>
      <c r="B5" s="1568" t="s">
        <v>2</v>
      </c>
      <c r="C5" s="1569" t="s">
        <v>3</v>
      </c>
      <c r="D5" s="1570" t="s">
        <v>4</v>
      </c>
      <c r="E5" s="1590" t="s">
        <v>5</v>
      </c>
      <c r="F5" s="1590"/>
      <c r="G5" s="1584" t="s">
        <v>6</v>
      </c>
      <c r="H5" s="1584"/>
      <c r="I5" s="1584" t="s">
        <v>66</v>
      </c>
      <c r="J5" s="1584"/>
      <c r="K5" s="1584" t="s">
        <v>72</v>
      </c>
      <c r="L5" s="1584"/>
      <c r="M5" s="1585" t="s">
        <v>67</v>
      </c>
    </row>
    <row r="6" spans="1:13" ht="72" customHeight="1">
      <c r="A6" s="1590"/>
      <c r="B6" s="1568"/>
      <c r="C6" s="1569"/>
      <c r="D6" s="1570"/>
      <c r="E6" s="147" t="s">
        <v>7</v>
      </c>
      <c r="F6" s="147" t="s">
        <v>8</v>
      </c>
      <c r="G6" s="865" t="s">
        <v>9</v>
      </c>
      <c r="H6" s="865" t="s">
        <v>10</v>
      </c>
      <c r="I6" s="865" t="s">
        <v>9</v>
      </c>
      <c r="J6" s="865" t="s">
        <v>10</v>
      </c>
      <c r="K6" s="865" t="s">
        <v>9</v>
      </c>
      <c r="L6" s="865" t="s">
        <v>10</v>
      </c>
      <c r="M6" s="1585"/>
    </row>
    <row r="7" spans="1:13">
      <c r="A7" s="499">
        <v>1</v>
      </c>
      <c r="B7" s="499">
        <v>2</v>
      </c>
      <c r="C7" s="501">
        <v>3</v>
      </c>
      <c r="D7" s="499">
        <v>4</v>
      </c>
      <c r="E7" s="499">
        <v>5</v>
      </c>
      <c r="F7" s="499">
        <v>6</v>
      </c>
      <c r="G7" s="499">
        <v>7</v>
      </c>
      <c r="H7" s="499">
        <v>8</v>
      </c>
      <c r="I7" s="499">
        <v>9</v>
      </c>
      <c r="J7" s="499">
        <v>10</v>
      </c>
      <c r="K7" s="499">
        <v>11</v>
      </c>
      <c r="L7" s="499">
        <v>12</v>
      </c>
      <c r="M7" s="499">
        <v>13</v>
      </c>
    </row>
    <row r="8" spans="1:13" s="73" customFormat="1" ht="27.6" customHeight="1">
      <c r="A8" s="338"/>
      <c r="B8" s="1107"/>
      <c r="C8" s="337" t="s">
        <v>703</v>
      </c>
      <c r="D8" s="63"/>
      <c r="E8" s="61"/>
      <c r="F8" s="61"/>
      <c r="G8" s="1302"/>
      <c r="H8" s="1302">
        <f t="shared" ref="H8:H22" si="0">F8*G8</f>
        <v>0</v>
      </c>
      <c r="I8" s="1302"/>
      <c r="J8" s="1303">
        <f t="shared" ref="J8:J22" si="1">F8*I8</f>
        <v>0</v>
      </c>
      <c r="K8" s="1302"/>
      <c r="L8" s="1303">
        <f t="shared" ref="L8:L22" si="2">F8*K8</f>
        <v>0</v>
      </c>
      <c r="M8" s="1303">
        <f t="shared" ref="M8:M22" si="3">H8+J8+L8</f>
        <v>0</v>
      </c>
    </row>
    <row r="9" spans="1:13" s="56" customFormat="1" ht="56.45" customHeight="1">
      <c r="A9" s="236">
        <v>1</v>
      </c>
      <c r="B9" s="1105"/>
      <c r="C9" s="337" t="s">
        <v>314</v>
      </c>
      <c r="D9" s="67" t="s">
        <v>43</v>
      </c>
      <c r="E9" s="91"/>
      <c r="F9" s="91">
        <v>142.86000000000001</v>
      </c>
      <c r="G9" s="1304"/>
      <c r="H9" s="1302">
        <f t="shared" si="0"/>
        <v>0</v>
      </c>
      <c r="I9" s="1304"/>
      <c r="J9" s="1303">
        <f t="shared" si="1"/>
        <v>0</v>
      </c>
      <c r="K9" s="1304"/>
      <c r="L9" s="1303">
        <f t="shared" si="2"/>
        <v>0</v>
      </c>
      <c r="M9" s="1303">
        <f t="shared" si="3"/>
        <v>0</v>
      </c>
    </row>
    <row r="10" spans="1:13" s="73" customFormat="1" ht="22.9" customHeight="1">
      <c r="A10" s="492">
        <f>A9+0.1</f>
        <v>1.1000000000000001</v>
      </c>
      <c r="B10" s="1106"/>
      <c r="C10" s="336" t="s">
        <v>12</v>
      </c>
      <c r="D10" s="131" t="s">
        <v>13</v>
      </c>
      <c r="E10" s="267">
        <v>0.56000000000000005</v>
      </c>
      <c r="F10" s="268">
        <f>F9*E10</f>
        <v>80.00160000000001</v>
      </c>
      <c r="G10" s="1305"/>
      <c r="H10" s="1302">
        <f t="shared" si="0"/>
        <v>0</v>
      </c>
      <c r="I10" s="1302"/>
      <c r="J10" s="1303">
        <f t="shared" si="1"/>
        <v>0</v>
      </c>
      <c r="K10" s="1302"/>
      <c r="L10" s="1303">
        <f t="shared" si="2"/>
        <v>0</v>
      </c>
      <c r="M10" s="1303">
        <f t="shared" si="3"/>
        <v>0</v>
      </c>
    </row>
    <row r="11" spans="1:13" s="56" customFormat="1" ht="50.25" customHeight="1">
      <c r="A11" s="236">
        <v>2</v>
      </c>
      <c r="B11" s="1105"/>
      <c r="C11" s="337" t="s">
        <v>315</v>
      </c>
      <c r="D11" s="67" t="s">
        <v>104</v>
      </c>
      <c r="E11" s="91"/>
      <c r="F11" s="69">
        <f>F9*0.04*2.75</f>
        <v>15.714600000000001</v>
      </c>
      <c r="G11" s="1304"/>
      <c r="H11" s="1302">
        <f t="shared" si="0"/>
        <v>0</v>
      </c>
      <c r="I11" s="1304"/>
      <c r="J11" s="1303">
        <f t="shared" si="1"/>
        <v>0</v>
      </c>
      <c r="K11" s="1304"/>
      <c r="L11" s="1303">
        <f t="shared" si="2"/>
        <v>0</v>
      </c>
      <c r="M11" s="1303">
        <f t="shared" si="3"/>
        <v>0</v>
      </c>
    </row>
    <row r="12" spans="1:13" s="73" customFormat="1" ht="23.45" customHeight="1">
      <c r="A12" s="492">
        <v>2.1</v>
      </c>
      <c r="B12" s="1106"/>
      <c r="C12" s="336" t="s">
        <v>12</v>
      </c>
      <c r="D12" s="131" t="s">
        <v>13</v>
      </c>
      <c r="E12" s="1122">
        <v>0.53</v>
      </c>
      <c r="F12" s="1123">
        <f>F11*E12</f>
        <v>8.3287380000000013</v>
      </c>
      <c r="G12" s="1302"/>
      <c r="H12" s="1302">
        <f t="shared" si="0"/>
        <v>0</v>
      </c>
      <c r="I12" s="1302"/>
      <c r="J12" s="1303">
        <f t="shared" si="1"/>
        <v>0</v>
      </c>
      <c r="K12" s="1302"/>
      <c r="L12" s="1303">
        <f t="shared" si="2"/>
        <v>0</v>
      </c>
      <c r="M12" s="1303">
        <f t="shared" si="3"/>
        <v>0</v>
      </c>
    </row>
    <row r="13" spans="1:13" s="58" customFormat="1" ht="23.45" customHeight="1">
      <c r="A13" s="492">
        <v>2.2000000000000002</v>
      </c>
      <c r="B13" s="1107"/>
      <c r="C13" s="184" t="s">
        <v>158</v>
      </c>
      <c r="D13" s="63" t="s">
        <v>104</v>
      </c>
      <c r="E13" s="1124">
        <v>1</v>
      </c>
      <c r="F13" s="1123">
        <f>F11*E13</f>
        <v>15.714600000000001</v>
      </c>
      <c r="G13" s="1302"/>
      <c r="H13" s="1302">
        <f t="shared" si="0"/>
        <v>0</v>
      </c>
      <c r="I13" s="1302"/>
      <c r="J13" s="1303">
        <f t="shared" si="1"/>
        <v>0</v>
      </c>
      <c r="K13" s="1302"/>
      <c r="L13" s="1303">
        <f t="shared" si="2"/>
        <v>0</v>
      </c>
      <c r="M13" s="1303">
        <f t="shared" si="3"/>
        <v>0</v>
      </c>
    </row>
    <row r="14" spans="1:13" s="56" customFormat="1" ht="19.899999999999999" customHeight="1">
      <c r="A14" s="492"/>
      <c r="B14" s="1106"/>
      <c r="C14" s="275" t="s">
        <v>704</v>
      </c>
      <c r="D14" s="1125"/>
      <c r="E14" s="1126"/>
      <c r="F14" s="302"/>
      <c r="G14" s="1302"/>
      <c r="H14" s="1302">
        <f t="shared" si="0"/>
        <v>0</v>
      </c>
      <c r="I14" s="1302"/>
      <c r="J14" s="1303">
        <f t="shared" si="1"/>
        <v>0</v>
      </c>
      <c r="K14" s="1302"/>
      <c r="L14" s="1303">
        <f t="shared" si="2"/>
        <v>0</v>
      </c>
      <c r="M14" s="1303">
        <f t="shared" si="3"/>
        <v>0</v>
      </c>
    </row>
    <row r="15" spans="1:13" s="56" customFormat="1" ht="66.599999999999994" customHeight="1">
      <c r="A15" s="236">
        <v>1</v>
      </c>
      <c r="B15" s="1105"/>
      <c r="C15" s="337" t="s">
        <v>316</v>
      </c>
      <c r="D15" s="67" t="s">
        <v>813</v>
      </c>
      <c r="E15" s="1127"/>
      <c r="F15" s="341">
        <f>F18+F19</f>
        <v>142.86000000000001</v>
      </c>
      <c r="G15" s="1304"/>
      <c r="H15" s="1302">
        <f t="shared" si="0"/>
        <v>0</v>
      </c>
      <c r="I15" s="1304"/>
      <c r="J15" s="1303">
        <f t="shared" si="1"/>
        <v>0</v>
      </c>
      <c r="K15" s="1304"/>
      <c r="L15" s="1303">
        <f t="shared" si="2"/>
        <v>0</v>
      </c>
      <c r="M15" s="1303">
        <f t="shared" si="3"/>
        <v>0</v>
      </c>
    </row>
    <row r="16" spans="1:13" s="73" customFormat="1" ht="25.15" customHeight="1">
      <c r="A16" s="240">
        <f>A15+0.1</f>
        <v>1.1000000000000001</v>
      </c>
      <c r="B16" s="1106"/>
      <c r="C16" s="336" t="s">
        <v>12</v>
      </c>
      <c r="D16" s="131" t="s">
        <v>13</v>
      </c>
      <c r="E16" s="252">
        <v>10.199999999999999</v>
      </c>
      <c r="F16" s="268">
        <f>E16*F15</f>
        <v>1457.172</v>
      </c>
      <c r="G16" s="1302"/>
      <c r="H16" s="1302">
        <f t="shared" si="0"/>
        <v>0</v>
      </c>
      <c r="I16" s="1302"/>
      <c r="J16" s="1303">
        <f t="shared" si="1"/>
        <v>0</v>
      </c>
      <c r="K16" s="1302"/>
      <c r="L16" s="1303">
        <f t="shared" si="2"/>
        <v>0</v>
      </c>
      <c r="M16" s="1303">
        <f t="shared" si="3"/>
        <v>0</v>
      </c>
    </row>
    <row r="17" spans="1:13" s="56" customFormat="1" ht="25.15" customHeight="1">
      <c r="A17" s="240">
        <f t="shared" ref="A17:A22" si="4">A16+0.1</f>
        <v>1.2000000000000002</v>
      </c>
      <c r="B17" s="1106"/>
      <c r="C17" s="276" t="s">
        <v>117</v>
      </c>
      <c r="D17" s="80" t="s">
        <v>14</v>
      </c>
      <c r="E17" s="271">
        <v>0.05</v>
      </c>
      <c r="F17" s="268">
        <f>E17*F15</f>
        <v>7.1430000000000007</v>
      </c>
      <c r="G17" s="1302"/>
      <c r="H17" s="1302">
        <f t="shared" si="0"/>
        <v>0</v>
      </c>
      <c r="I17" s="1302"/>
      <c r="J17" s="1303">
        <f t="shared" si="1"/>
        <v>0</v>
      </c>
      <c r="K17" s="1302"/>
      <c r="L17" s="1303">
        <f t="shared" si="2"/>
        <v>0</v>
      </c>
      <c r="M17" s="1303">
        <f t="shared" si="3"/>
        <v>0</v>
      </c>
    </row>
    <row r="18" spans="1:13" s="56" customFormat="1" ht="25.15" customHeight="1">
      <c r="A18" s="240">
        <f t="shared" si="4"/>
        <v>1.3000000000000003</v>
      </c>
      <c r="B18" s="131"/>
      <c r="C18" s="336" t="s">
        <v>317</v>
      </c>
      <c r="D18" s="80" t="s">
        <v>814</v>
      </c>
      <c r="E18" s="252">
        <v>1</v>
      </c>
      <c r="F18" s="268">
        <f>37.63</f>
        <v>37.630000000000003</v>
      </c>
      <c r="G18" s="1306"/>
      <c r="H18" s="1302">
        <f t="shared" si="0"/>
        <v>0</v>
      </c>
      <c r="I18" s="1302"/>
      <c r="J18" s="1303">
        <f t="shared" si="1"/>
        <v>0</v>
      </c>
      <c r="K18" s="1302"/>
      <c r="L18" s="1303">
        <f t="shared" si="2"/>
        <v>0</v>
      </c>
      <c r="M18" s="1303">
        <f t="shared" si="3"/>
        <v>0</v>
      </c>
    </row>
    <row r="19" spans="1:13" s="56" customFormat="1" ht="19.899999999999999" customHeight="1">
      <c r="A19" s="240">
        <f t="shared" si="4"/>
        <v>1.4000000000000004</v>
      </c>
      <c r="B19" s="131"/>
      <c r="C19" s="336" t="s">
        <v>318</v>
      </c>
      <c r="D19" s="80" t="s">
        <v>814</v>
      </c>
      <c r="E19" s="252">
        <v>1</v>
      </c>
      <c r="F19" s="268">
        <f>105.23</f>
        <v>105.23</v>
      </c>
      <c r="G19" s="1306"/>
      <c r="H19" s="1302">
        <f t="shared" si="0"/>
        <v>0</v>
      </c>
      <c r="I19" s="1302"/>
      <c r="J19" s="1303">
        <f t="shared" si="1"/>
        <v>0</v>
      </c>
      <c r="K19" s="1302"/>
      <c r="L19" s="1303">
        <f t="shared" si="2"/>
        <v>0</v>
      </c>
      <c r="M19" s="1303">
        <f t="shared" si="3"/>
        <v>0</v>
      </c>
    </row>
    <row r="20" spans="1:13" s="56" customFormat="1" ht="19.899999999999999" customHeight="1">
      <c r="A20" s="240">
        <f t="shared" si="4"/>
        <v>1.5000000000000004</v>
      </c>
      <c r="B20" s="131"/>
      <c r="C20" s="336" t="s">
        <v>319</v>
      </c>
      <c r="D20" s="80" t="s">
        <v>104</v>
      </c>
      <c r="E20" s="339">
        <v>3.0000000000000001E-3</v>
      </c>
      <c r="F20" s="268">
        <f>F15*E20</f>
        <v>0.42858000000000007</v>
      </c>
      <c r="G20" s="1306"/>
      <c r="H20" s="1302">
        <f t="shared" si="0"/>
        <v>0</v>
      </c>
      <c r="I20" s="1302"/>
      <c r="J20" s="1303">
        <f t="shared" si="1"/>
        <v>0</v>
      </c>
      <c r="K20" s="1302"/>
      <c r="L20" s="1303">
        <f t="shared" si="2"/>
        <v>0</v>
      </c>
      <c r="M20" s="1303">
        <f t="shared" si="3"/>
        <v>0</v>
      </c>
    </row>
    <row r="21" spans="1:13" s="56" customFormat="1" ht="19.899999999999999" customHeight="1">
      <c r="A21" s="240">
        <f t="shared" si="4"/>
        <v>1.6000000000000005</v>
      </c>
      <c r="B21" s="115"/>
      <c r="C21" s="336" t="s">
        <v>83</v>
      </c>
      <c r="D21" s="80" t="s">
        <v>21</v>
      </c>
      <c r="E21" s="268">
        <v>8</v>
      </c>
      <c r="F21" s="268">
        <f>E21*F15</f>
        <v>1142.8800000000001</v>
      </c>
      <c r="G21" s="1306"/>
      <c r="H21" s="1302">
        <f t="shared" si="0"/>
        <v>0</v>
      </c>
      <c r="I21" s="1302"/>
      <c r="J21" s="1303">
        <f t="shared" si="1"/>
        <v>0</v>
      </c>
      <c r="K21" s="1302"/>
      <c r="L21" s="1303">
        <f t="shared" si="2"/>
        <v>0</v>
      </c>
      <c r="M21" s="1303">
        <f t="shared" si="3"/>
        <v>0</v>
      </c>
    </row>
    <row r="22" spans="1:13" s="304" customFormat="1" ht="19.899999999999999" customHeight="1">
      <c r="A22" s="240">
        <f t="shared" si="4"/>
        <v>1.7000000000000006</v>
      </c>
      <c r="B22" s="1107"/>
      <c r="C22" s="276" t="s">
        <v>119</v>
      </c>
      <c r="D22" s="131" t="s">
        <v>14</v>
      </c>
      <c r="E22" s="252">
        <v>0.44</v>
      </c>
      <c r="F22" s="268">
        <f>E22*F15</f>
        <v>62.858400000000003</v>
      </c>
      <c r="G22" s="1302"/>
      <c r="H22" s="1302">
        <f t="shared" si="0"/>
        <v>0</v>
      </c>
      <c r="I22" s="1302"/>
      <c r="J22" s="1303">
        <f t="shared" si="1"/>
        <v>0</v>
      </c>
      <c r="K22" s="1302"/>
      <c r="L22" s="1303">
        <f t="shared" si="2"/>
        <v>0</v>
      </c>
      <c r="M22" s="1303">
        <f t="shared" si="3"/>
        <v>0</v>
      </c>
    </row>
    <row r="23" spans="1:13" ht="21.6" customHeight="1">
      <c r="A23" s="120"/>
      <c r="B23" s="75"/>
      <c r="C23" s="275" t="s">
        <v>191</v>
      </c>
      <c r="D23" s="120" t="s">
        <v>1</v>
      </c>
      <c r="E23" s="282"/>
      <c r="F23" s="61"/>
      <c r="G23" s="1302"/>
      <c r="H23" s="1304">
        <f>SUM(H8:H22)</f>
        <v>0</v>
      </c>
      <c r="I23" s="1302"/>
      <c r="J23" s="1304">
        <f>SUM(J8:J22)</f>
        <v>0</v>
      </c>
      <c r="K23" s="1302"/>
      <c r="L23" s="1304">
        <f>SUM(L8:L22)</f>
        <v>0</v>
      </c>
      <c r="M23" s="1304">
        <f>SUM(M8:M22)</f>
        <v>0</v>
      </c>
    </row>
    <row r="24" spans="1:13" ht="21.6" customHeight="1">
      <c r="A24" s="120"/>
      <c r="B24" s="75"/>
      <c r="C24" s="64" t="s">
        <v>247</v>
      </c>
      <c r="D24" s="137" t="s">
        <v>874</v>
      </c>
      <c r="E24" s="61"/>
      <c r="F24" s="493">
        <v>0</v>
      </c>
      <c r="G24" s="1302"/>
      <c r="H24" s="1302"/>
      <c r="I24" s="1302"/>
      <c r="J24" s="1303"/>
      <c r="K24" s="1303"/>
      <c r="L24" s="1303"/>
      <c r="M24" s="1303">
        <f>H23*F24</f>
        <v>0</v>
      </c>
    </row>
    <row r="25" spans="1:13" ht="21.6" customHeight="1">
      <c r="A25" s="120"/>
      <c r="B25" s="75"/>
      <c r="C25" s="64" t="s">
        <v>39</v>
      </c>
      <c r="D25" s="63"/>
      <c r="E25" s="61"/>
      <c r="F25" s="493"/>
      <c r="G25" s="1302"/>
      <c r="H25" s="1302"/>
      <c r="I25" s="1302"/>
      <c r="J25" s="1303"/>
      <c r="K25" s="1303"/>
      <c r="L25" s="1303"/>
      <c r="M25" s="1303">
        <f>M24+M23</f>
        <v>0</v>
      </c>
    </row>
    <row r="26" spans="1:13" ht="21.6" customHeight="1">
      <c r="A26" s="120"/>
      <c r="B26" s="75"/>
      <c r="C26" s="276" t="s">
        <v>193</v>
      </c>
      <c r="D26" s="75" t="s">
        <v>874</v>
      </c>
      <c r="E26" s="287"/>
      <c r="F26" s="493">
        <v>0</v>
      </c>
      <c r="G26" s="1302"/>
      <c r="H26" s="1303"/>
      <c r="I26" s="1302"/>
      <c r="J26" s="1302"/>
      <c r="K26" s="1302"/>
      <c r="L26" s="1302"/>
      <c r="M26" s="1303">
        <f>M25*F26</f>
        <v>0</v>
      </c>
    </row>
    <row r="27" spans="1:13" ht="21.6" customHeight="1">
      <c r="A27" s="120"/>
      <c r="B27" s="75"/>
      <c r="C27" s="276" t="s">
        <v>29</v>
      </c>
      <c r="D27" s="75"/>
      <c r="E27" s="287"/>
      <c r="F27" s="1286"/>
      <c r="G27" s="1304"/>
      <c r="H27" s="1307"/>
      <c r="I27" s="1302"/>
      <c r="J27" s="1302"/>
      <c r="K27" s="1302"/>
      <c r="L27" s="1302"/>
      <c r="M27" s="1307">
        <f>M26+M25</f>
        <v>0</v>
      </c>
    </row>
    <row r="28" spans="1:13" ht="21.6" customHeight="1">
      <c r="A28" s="120"/>
      <c r="B28" s="120"/>
      <c r="C28" s="276" t="s">
        <v>30</v>
      </c>
      <c r="D28" s="75" t="s">
        <v>874</v>
      </c>
      <c r="E28" s="287"/>
      <c r="F28" s="493">
        <v>0</v>
      </c>
      <c r="G28" s="1302"/>
      <c r="H28" s="1303"/>
      <c r="I28" s="1302"/>
      <c r="J28" s="1302"/>
      <c r="K28" s="1302"/>
      <c r="L28" s="1302"/>
      <c r="M28" s="1303">
        <f>M27*F28</f>
        <v>0</v>
      </c>
    </row>
    <row r="29" spans="1:13" ht="21.6" customHeight="1">
      <c r="A29" s="75"/>
      <c r="B29" s="120"/>
      <c r="C29" s="275" t="s">
        <v>31</v>
      </c>
      <c r="D29" s="120"/>
      <c r="E29" s="287"/>
      <c r="F29" s="867"/>
      <c r="G29" s="1304"/>
      <c r="H29" s="1307"/>
      <c r="I29" s="1302"/>
      <c r="J29" s="1302"/>
      <c r="K29" s="1302"/>
      <c r="L29" s="1302"/>
      <c r="M29" s="1307">
        <f>SUM(M27:M28)</f>
        <v>0</v>
      </c>
    </row>
    <row r="33" spans="3:8" ht="15" customHeight="1">
      <c r="C33" s="1586"/>
      <c r="D33" s="1586"/>
      <c r="E33" s="1586"/>
      <c r="F33" s="1586"/>
      <c r="G33" s="1586"/>
      <c r="H33" s="1586"/>
    </row>
  </sheetData>
  <mergeCells count="14">
    <mergeCell ref="K5:L5"/>
    <mergeCell ref="M5:M6"/>
    <mergeCell ref="C33:H33"/>
    <mergeCell ref="A1:H1"/>
    <mergeCell ref="A2:J2"/>
    <mergeCell ref="A3:D3"/>
    <mergeCell ref="A4:H4"/>
    <mergeCell ref="A5:A6"/>
    <mergeCell ref="B5:B6"/>
    <mergeCell ref="C5:C6"/>
    <mergeCell ref="D5:D6"/>
    <mergeCell ref="E5:F5"/>
    <mergeCell ref="G5:H5"/>
    <mergeCell ref="I5:J5"/>
  </mergeCells>
  <pageMargins left="0.16" right="0.12" top="0.75" bottom="0.75" header="0.12" footer="0.3"/>
  <pageSetup paperSize="9" scale="65" orientation="landscape" horizontalDpi="4294967295" verticalDpi="4294967295" r:id="rId1"/>
  <rowBreaks count="1" manualBreakCount="1">
    <brk id="1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</sheetPr>
  <dimension ref="A1:M301"/>
  <sheetViews>
    <sheetView zoomScale="70" zoomScaleNormal="70" zoomScaleSheetLayoutView="50" workbookViewId="0">
      <selection activeCell="L12" sqref="L12"/>
    </sheetView>
  </sheetViews>
  <sheetFormatPr defaultColWidth="9.140625" defaultRowHeight="18.75"/>
  <cols>
    <col min="1" max="1" width="9" style="139" customWidth="1"/>
    <col min="2" max="2" width="11.140625" style="1113" customWidth="1"/>
    <col min="3" max="3" width="56.28515625" style="496" customWidth="1"/>
    <col min="4" max="4" width="14.7109375" style="496" customWidth="1"/>
    <col min="5" max="5" width="17.5703125" style="496" customWidth="1"/>
    <col min="6" max="6" width="16" style="496" customWidth="1"/>
    <col min="7" max="7" width="15.7109375" style="1113" customWidth="1"/>
    <col min="8" max="8" width="14.5703125" style="496" customWidth="1"/>
    <col min="9" max="9" width="9.85546875" style="496" customWidth="1"/>
    <col min="10" max="10" width="14.42578125" style="496" customWidth="1"/>
    <col min="11" max="11" width="11.28515625" style="496" customWidth="1"/>
    <col min="12" max="13" width="16.7109375" style="496" customWidth="1"/>
    <col min="14" max="229" width="9.140625" style="496"/>
    <col min="230" max="230" width="5.85546875" style="496" customWidth="1"/>
    <col min="231" max="231" width="11.42578125" style="496" customWidth="1"/>
    <col min="232" max="232" width="41.42578125" style="496" customWidth="1"/>
    <col min="233" max="242" width="11.7109375" style="496" customWidth="1"/>
    <col min="243" max="485" width="9.140625" style="496"/>
    <col min="486" max="486" width="5.85546875" style="496" customWidth="1"/>
    <col min="487" max="487" width="11.42578125" style="496" customWidth="1"/>
    <col min="488" max="488" width="41.42578125" style="496" customWidth="1"/>
    <col min="489" max="498" width="11.7109375" style="496" customWidth="1"/>
    <col min="499" max="741" width="9.140625" style="496"/>
    <col min="742" max="742" width="5.85546875" style="496" customWidth="1"/>
    <col min="743" max="743" width="11.42578125" style="496" customWidth="1"/>
    <col min="744" max="744" width="41.42578125" style="496" customWidth="1"/>
    <col min="745" max="754" width="11.7109375" style="496" customWidth="1"/>
    <col min="755" max="997" width="9.140625" style="496"/>
    <col min="998" max="998" width="5.85546875" style="496" customWidth="1"/>
    <col min="999" max="999" width="11.42578125" style="496" customWidth="1"/>
    <col min="1000" max="1000" width="41.42578125" style="496" customWidth="1"/>
    <col min="1001" max="1010" width="11.7109375" style="496" customWidth="1"/>
    <col min="1011" max="1253" width="9.140625" style="496"/>
    <col min="1254" max="1254" width="5.85546875" style="496" customWidth="1"/>
    <col min="1255" max="1255" width="11.42578125" style="496" customWidth="1"/>
    <col min="1256" max="1256" width="41.42578125" style="496" customWidth="1"/>
    <col min="1257" max="1266" width="11.7109375" style="496" customWidth="1"/>
    <col min="1267" max="1509" width="9.140625" style="496"/>
    <col min="1510" max="1510" width="5.85546875" style="496" customWidth="1"/>
    <col min="1511" max="1511" width="11.42578125" style="496" customWidth="1"/>
    <col min="1512" max="1512" width="41.42578125" style="496" customWidth="1"/>
    <col min="1513" max="1522" width="11.7109375" style="496" customWidth="1"/>
    <col min="1523" max="1765" width="9.140625" style="496"/>
    <col min="1766" max="1766" width="5.85546875" style="496" customWidth="1"/>
    <col min="1767" max="1767" width="11.42578125" style="496" customWidth="1"/>
    <col min="1768" max="1768" width="41.42578125" style="496" customWidth="1"/>
    <col min="1769" max="1778" width="11.7109375" style="496" customWidth="1"/>
    <col min="1779" max="2021" width="9.140625" style="496"/>
    <col min="2022" max="2022" width="5.85546875" style="496" customWidth="1"/>
    <col min="2023" max="2023" width="11.42578125" style="496" customWidth="1"/>
    <col min="2024" max="2024" width="41.42578125" style="496" customWidth="1"/>
    <col min="2025" max="2034" width="11.7109375" style="496" customWidth="1"/>
    <col min="2035" max="2277" width="9.140625" style="496"/>
    <col min="2278" max="2278" width="5.85546875" style="496" customWidth="1"/>
    <col min="2279" max="2279" width="11.42578125" style="496" customWidth="1"/>
    <col min="2280" max="2280" width="41.42578125" style="496" customWidth="1"/>
    <col min="2281" max="2290" width="11.7109375" style="496" customWidth="1"/>
    <col min="2291" max="2533" width="9.140625" style="496"/>
    <col min="2534" max="2534" width="5.85546875" style="496" customWidth="1"/>
    <col min="2535" max="2535" width="11.42578125" style="496" customWidth="1"/>
    <col min="2536" max="2536" width="41.42578125" style="496" customWidth="1"/>
    <col min="2537" max="2546" width="11.7109375" style="496" customWidth="1"/>
    <col min="2547" max="2789" width="9.140625" style="496"/>
    <col min="2790" max="2790" width="5.85546875" style="496" customWidth="1"/>
    <col min="2791" max="2791" width="11.42578125" style="496" customWidth="1"/>
    <col min="2792" max="2792" width="41.42578125" style="496" customWidth="1"/>
    <col min="2793" max="2802" width="11.7109375" style="496" customWidth="1"/>
    <col min="2803" max="3045" width="9.140625" style="496"/>
    <col min="3046" max="3046" width="5.85546875" style="496" customWidth="1"/>
    <col min="3047" max="3047" width="11.42578125" style="496" customWidth="1"/>
    <col min="3048" max="3048" width="41.42578125" style="496" customWidth="1"/>
    <col min="3049" max="3058" width="11.7109375" style="496" customWidth="1"/>
    <col min="3059" max="3301" width="9.140625" style="496"/>
    <col min="3302" max="3302" width="5.85546875" style="496" customWidth="1"/>
    <col min="3303" max="3303" width="11.42578125" style="496" customWidth="1"/>
    <col min="3304" max="3304" width="41.42578125" style="496" customWidth="1"/>
    <col min="3305" max="3314" width="11.7109375" style="496" customWidth="1"/>
    <col min="3315" max="3557" width="9.140625" style="496"/>
    <col min="3558" max="3558" width="5.85546875" style="496" customWidth="1"/>
    <col min="3559" max="3559" width="11.42578125" style="496" customWidth="1"/>
    <col min="3560" max="3560" width="41.42578125" style="496" customWidth="1"/>
    <col min="3561" max="3570" width="11.7109375" style="496" customWidth="1"/>
    <col min="3571" max="3813" width="9.140625" style="496"/>
    <col min="3814" max="3814" width="5.85546875" style="496" customWidth="1"/>
    <col min="3815" max="3815" width="11.42578125" style="496" customWidth="1"/>
    <col min="3816" max="3816" width="41.42578125" style="496" customWidth="1"/>
    <col min="3817" max="3826" width="11.7109375" style="496" customWidth="1"/>
    <col min="3827" max="4069" width="9.140625" style="496"/>
    <col min="4070" max="4070" width="5.85546875" style="496" customWidth="1"/>
    <col min="4071" max="4071" width="11.42578125" style="496" customWidth="1"/>
    <col min="4072" max="4072" width="41.42578125" style="496" customWidth="1"/>
    <col min="4073" max="4082" width="11.7109375" style="496" customWidth="1"/>
    <col min="4083" max="4325" width="9.140625" style="496"/>
    <col min="4326" max="4326" width="5.85546875" style="496" customWidth="1"/>
    <col min="4327" max="4327" width="11.42578125" style="496" customWidth="1"/>
    <col min="4328" max="4328" width="41.42578125" style="496" customWidth="1"/>
    <col min="4329" max="4338" width="11.7109375" style="496" customWidth="1"/>
    <col min="4339" max="4581" width="9.140625" style="496"/>
    <col min="4582" max="4582" width="5.85546875" style="496" customWidth="1"/>
    <col min="4583" max="4583" width="11.42578125" style="496" customWidth="1"/>
    <col min="4584" max="4584" width="41.42578125" style="496" customWidth="1"/>
    <col min="4585" max="4594" width="11.7109375" style="496" customWidth="1"/>
    <col min="4595" max="4837" width="9.140625" style="496"/>
    <col min="4838" max="4838" width="5.85546875" style="496" customWidth="1"/>
    <col min="4839" max="4839" width="11.42578125" style="496" customWidth="1"/>
    <col min="4840" max="4840" width="41.42578125" style="496" customWidth="1"/>
    <col min="4841" max="4850" width="11.7109375" style="496" customWidth="1"/>
    <col min="4851" max="5093" width="9.140625" style="496"/>
    <col min="5094" max="5094" width="5.85546875" style="496" customWidth="1"/>
    <col min="5095" max="5095" width="11.42578125" style="496" customWidth="1"/>
    <col min="5096" max="5096" width="41.42578125" style="496" customWidth="1"/>
    <col min="5097" max="5106" width="11.7109375" style="496" customWidth="1"/>
    <col min="5107" max="5349" width="9.140625" style="496"/>
    <col min="5350" max="5350" width="5.85546875" style="496" customWidth="1"/>
    <col min="5351" max="5351" width="11.42578125" style="496" customWidth="1"/>
    <col min="5352" max="5352" width="41.42578125" style="496" customWidth="1"/>
    <col min="5353" max="5362" width="11.7109375" style="496" customWidth="1"/>
    <col min="5363" max="5605" width="9.140625" style="496"/>
    <col min="5606" max="5606" width="5.85546875" style="496" customWidth="1"/>
    <col min="5607" max="5607" width="11.42578125" style="496" customWidth="1"/>
    <col min="5608" max="5608" width="41.42578125" style="496" customWidth="1"/>
    <col min="5609" max="5618" width="11.7109375" style="496" customWidth="1"/>
    <col min="5619" max="5861" width="9.140625" style="496"/>
    <col min="5862" max="5862" width="5.85546875" style="496" customWidth="1"/>
    <col min="5863" max="5863" width="11.42578125" style="496" customWidth="1"/>
    <col min="5864" max="5864" width="41.42578125" style="496" customWidth="1"/>
    <col min="5865" max="5874" width="11.7109375" style="496" customWidth="1"/>
    <col min="5875" max="6117" width="9.140625" style="496"/>
    <col min="6118" max="6118" width="5.85546875" style="496" customWidth="1"/>
    <col min="6119" max="6119" width="11.42578125" style="496" customWidth="1"/>
    <col min="6120" max="6120" width="41.42578125" style="496" customWidth="1"/>
    <col min="6121" max="6130" width="11.7109375" style="496" customWidth="1"/>
    <col min="6131" max="6373" width="9.140625" style="496"/>
    <col min="6374" max="6374" width="5.85546875" style="496" customWidth="1"/>
    <col min="6375" max="6375" width="11.42578125" style="496" customWidth="1"/>
    <col min="6376" max="6376" width="41.42578125" style="496" customWidth="1"/>
    <col min="6377" max="6386" width="11.7109375" style="496" customWidth="1"/>
    <col min="6387" max="6629" width="9.140625" style="496"/>
    <col min="6630" max="6630" width="5.85546875" style="496" customWidth="1"/>
    <col min="6631" max="6631" width="11.42578125" style="496" customWidth="1"/>
    <col min="6632" max="6632" width="41.42578125" style="496" customWidth="1"/>
    <col min="6633" max="6642" width="11.7109375" style="496" customWidth="1"/>
    <col min="6643" max="6885" width="9.140625" style="496"/>
    <col min="6886" max="6886" width="5.85546875" style="496" customWidth="1"/>
    <col min="6887" max="6887" width="11.42578125" style="496" customWidth="1"/>
    <col min="6888" max="6888" width="41.42578125" style="496" customWidth="1"/>
    <col min="6889" max="6898" width="11.7109375" style="496" customWidth="1"/>
    <col min="6899" max="7141" width="9.140625" style="496"/>
    <col min="7142" max="7142" width="5.85546875" style="496" customWidth="1"/>
    <col min="7143" max="7143" width="11.42578125" style="496" customWidth="1"/>
    <col min="7144" max="7144" width="41.42578125" style="496" customWidth="1"/>
    <col min="7145" max="7154" width="11.7109375" style="496" customWidth="1"/>
    <col min="7155" max="7397" width="9.140625" style="496"/>
    <col min="7398" max="7398" width="5.85546875" style="496" customWidth="1"/>
    <col min="7399" max="7399" width="11.42578125" style="496" customWidth="1"/>
    <col min="7400" max="7400" width="41.42578125" style="496" customWidth="1"/>
    <col min="7401" max="7410" width="11.7109375" style="496" customWidth="1"/>
    <col min="7411" max="7653" width="9.140625" style="496"/>
    <col min="7654" max="7654" width="5.85546875" style="496" customWidth="1"/>
    <col min="7655" max="7655" width="11.42578125" style="496" customWidth="1"/>
    <col min="7656" max="7656" width="41.42578125" style="496" customWidth="1"/>
    <col min="7657" max="7666" width="11.7109375" style="496" customWidth="1"/>
    <col min="7667" max="7909" width="9.140625" style="496"/>
    <col min="7910" max="7910" width="5.85546875" style="496" customWidth="1"/>
    <col min="7911" max="7911" width="11.42578125" style="496" customWidth="1"/>
    <col min="7912" max="7912" width="41.42578125" style="496" customWidth="1"/>
    <col min="7913" max="7922" width="11.7109375" style="496" customWidth="1"/>
    <col min="7923" max="8165" width="9.140625" style="496"/>
    <col min="8166" max="8166" width="5.85546875" style="496" customWidth="1"/>
    <col min="8167" max="8167" width="11.42578125" style="496" customWidth="1"/>
    <col min="8168" max="8168" width="41.42578125" style="496" customWidth="1"/>
    <col min="8169" max="8178" width="11.7109375" style="496" customWidth="1"/>
    <col min="8179" max="8421" width="9.140625" style="496"/>
    <col min="8422" max="8422" width="5.85546875" style="496" customWidth="1"/>
    <col min="8423" max="8423" width="11.42578125" style="496" customWidth="1"/>
    <col min="8424" max="8424" width="41.42578125" style="496" customWidth="1"/>
    <col min="8425" max="8434" width="11.7109375" style="496" customWidth="1"/>
    <col min="8435" max="8677" width="9.140625" style="496"/>
    <col min="8678" max="8678" width="5.85546875" style="496" customWidth="1"/>
    <col min="8679" max="8679" width="11.42578125" style="496" customWidth="1"/>
    <col min="8680" max="8680" width="41.42578125" style="496" customWidth="1"/>
    <col min="8681" max="8690" width="11.7109375" style="496" customWidth="1"/>
    <col min="8691" max="8933" width="9.140625" style="496"/>
    <col min="8934" max="8934" width="5.85546875" style="496" customWidth="1"/>
    <col min="8935" max="8935" width="11.42578125" style="496" customWidth="1"/>
    <col min="8936" max="8936" width="41.42578125" style="496" customWidth="1"/>
    <col min="8937" max="8946" width="11.7109375" style="496" customWidth="1"/>
    <col min="8947" max="9189" width="9.140625" style="496"/>
    <col min="9190" max="9190" width="5.85546875" style="496" customWidth="1"/>
    <col min="9191" max="9191" width="11.42578125" style="496" customWidth="1"/>
    <col min="9192" max="9192" width="41.42578125" style="496" customWidth="1"/>
    <col min="9193" max="9202" width="11.7109375" style="496" customWidth="1"/>
    <col min="9203" max="9445" width="9.140625" style="496"/>
    <col min="9446" max="9446" width="5.85546875" style="496" customWidth="1"/>
    <col min="9447" max="9447" width="11.42578125" style="496" customWidth="1"/>
    <col min="9448" max="9448" width="41.42578125" style="496" customWidth="1"/>
    <col min="9449" max="9458" width="11.7109375" style="496" customWidth="1"/>
    <col min="9459" max="9701" width="9.140625" style="496"/>
    <col min="9702" max="9702" width="5.85546875" style="496" customWidth="1"/>
    <col min="9703" max="9703" width="11.42578125" style="496" customWidth="1"/>
    <col min="9704" max="9704" width="41.42578125" style="496" customWidth="1"/>
    <col min="9705" max="9714" width="11.7109375" style="496" customWidth="1"/>
    <col min="9715" max="9957" width="9.140625" style="496"/>
    <col min="9958" max="9958" width="5.85546875" style="496" customWidth="1"/>
    <col min="9959" max="9959" width="11.42578125" style="496" customWidth="1"/>
    <col min="9960" max="9960" width="41.42578125" style="496" customWidth="1"/>
    <col min="9961" max="9970" width="11.7109375" style="496" customWidth="1"/>
    <col min="9971" max="10213" width="9.140625" style="496"/>
    <col min="10214" max="10214" width="5.85546875" style="496" customWidth="1"/>
    <col min="10215" max="10215" width="11.42578125" style="496" customWidth="1"/>
    <col min="10216" max="10216" width="41.42578125" style="496" customWidth="1"/>
    <col min="10217" max="10226" width="11.7109375" style="496" customWidth="1"/>
    <col min="10227" max="10469" width="9.140625" style="496"/>
    <col min="10470" max="10470" width="5.85546875" style="496" customWidth="1"/>
    <col min="10471" max="10471" width="11.42578125" style="496" customWidth="1"/>
    <col min="10472" max="10472" width="41.42578125" style="496" customWidth="1"/>
    <col min="10473" max="10482" width="11.7109375" style="496" customWidth="1"/>
    <col min="10483" max="10725" width="9.140625" style="496"/>
    <col min="10726" max="10726" width="5.85546875" style="496" customWidth="1"/>
    <col min="10727" max="10727" width="11.42578125" style="496" customWidth="1"/>
    <col min="10728" max="10728" width="41.42578125" style="496" customWidth="1"/>
    <col min="10729" max="10738" width="11.7109375" style="496" customWidth="1"/>
    <col min="10739" max="10981" width="9.140625" style="496"/>
    <col min="10982" max="10982" width="5.85546875" style="496" customWidth="1"/>
    <col min="10983" max="10983" width="11.42578125" style="496" customWidth="1"/>
    <col min="10984" max="10984" width="41.42578125" style="496" customWidth="1"/>
    <col min="10985" max="10994" width="11.7109375" style="496" customWidth="1"/>
    <col min="10995" max="11237" width="9.140625" style="496"/>
    <col min="11238" max="11238" width="5.85546875" style="496" customWidth="1"/>
    <col min="11239" max="11239" width="11.42578125" style="496" customWidth="1"/>
    <col min="11240" max="11240" width="41.42578125" style="496" customWidth="1"/>
    <col min="11241" max="11250" width="11.7109375" style="496" customWidth="1"/>
    <col min="11251" max="11493" width="9.140625" style="496"/>
    <col min="11494" max="11494" width="5.85546875" style="496" customWidth="1"/>
    <col min="11495" max="11495" width="11.42578125" style="496" customWidth="1"/>
    <col min="11496" max="11496" width="41.42578125" style="496" customWidth="1"/>
    <col min="11497" max="11506" width="11.7109375" style="496" customWidth="1"/>
    <col min="11507" max="11749" width="9.140625" style="496"/>
    <col min="11750" max="11750" width="5.85546875" style="496" customWidth="1"/>
    <col min="11751" max="11751" width="11.42578125" style="496" customWidth="1"/>
    <col min="11752" max="11752" width="41.42578125" style="496" customWidth="1"/>
    <col min="11753" max="11762" width="11.7109375" style="496" customWidth="1"/>
    <col min="11763" max="12005" width="9.140625" style="496"/>
    <col min="12006" max="12006" width="5.85546875" style="496" customWidth="1"/>
    <col min="12007" max="12007" width="11.42578125" style="496" customWidth="1"/>
    <col min="12008" max="12008" width="41.42578125" style="496" customWidth="1"/>
    <col min="12009" max="12018" width="11.7109375" style="496" customWidth="1"/>
    <col min="12019" max="12261" width="9.140625" style="496"/>
    <col min="12262" max="12262" width="5.85546875" style="496" customWidth="1"/>
    <col min="12263" max="12263" width="11.42578125" style="496" customWidth="1"/>
    <col min="12264" max="12264" width="41.42578125" style="496" customWidth="1"/>
    <col min="12265" max="12274" width="11.7109375" style="496" customWidth="1"/>
    <col min="12275" max="12517" width="9.140625" style="496"/>
    <col min="12518" max="12518" width="5.85546875" style="496" customWidth="1"/>
    <col min="12519" max="12519" width="11.42578125" style="496" customWidth="1"/>
    <col min="12520" max="12520" width="41.42578125" style="496" customWidth="1"/>
    <col min="12521" max="12530" width="11.7109375" style="496" customWidth="1"/>
    <col min="12531" max="12773" width="9.140625" style="496"/>
    <col min="12774" max="12774" width="5.85546875" style="496" customWidth="1"/>
    <col min="12775" max="12775" width="11.42578125" style="496" customWidth="1"/>
    <col min="12776" max="12776" width="41.42578125" style="496" customWidth="1"/>
    <col min="12777" max="12786" width="11.7109375" style="496" customWidth="1"/>
    <col min="12787" max="13029" width="9.140625" style="496"/>
    <col min="13030" max="13030" width="5.85546875" style="496" customWidth="1"/>
    <col min="13031" max="13031" width="11.42578125" style="496" customWidth="1"/>
    <col min="13032" max="13032" width="41.42578125" style="496" customWidth="1"/>
    <col min="13033" max="13042" width="11.7109375" style="496" customWidth="1"/>
    <col min="13043" max="13285" width="9.140625" style="496"/>
    <col min="13286" max="13286" width="5.85546875" style="496" customWidth="1"/>
    <col min="13287" max="13287" width="11.42578125" style="496" customWidth="1"/>
    <col min="13288" max="13288" width="41.42578125" style="496" customWidth="1"/>
    <col min="13289" max="13298" width="11.7109375" style="496" customWidth="1"/>
    <col min="13299" max="13541" width="9.140625" style="496"/>
    <col min="13542" max="13542" width="5.85546875" style="496" customWidth="1"/>
    <col min="13543" max="13543" width="11.42578125" style="496" customWidth="1"/>
    <col min="13544" max="13544" width="41.42578125" style="496" customWidth="1"/>
    <col min="13545" max="13554" width="11.7109375" style="496" customWidth="1"/>
    <col min="13555" max="13797" width="9.140625" style="496"/>
    <col min="13798" max="13798" width="5.85546875" style="496" customWidth="1"/>
    <col min="13799" max="13799" width="11.42578125" style="496" customWidth="1"/>
    <col min="13800" max="13800" width="41.42578125" style="496" customWidth="1"/>
    <col min="13801" max="13810" width="11.7109375" style="496" customWidth="1"/>
    <col min="13811" max="14053" width="9.140625" style="496"/>
    <col min="14054" max="14054" width="5.85546875" style="496" customWidth="1"/>
    <col min="14055" max="14055" width="11.42578125" style="496" customWidth="1"/>
    <col min="14056" max="14056" width="41.42578125" style="496" customWidth="1"/>
    <col min="14057" max="14066" width="11.7109375" style="496" customWidth="1"/>
    <col min="14067" max="14309" width="9.140625" style="496"/>
    <col min="14310" max="14310" width="5.85546875" style="496" customWidth="1"/>
    <col min="14311" max="14311" width="11.42578125" style="496" customWidth="1"/>
    <col min="14312" max="14312" width="41.42578125" style="496" customWidth="1"/>
    <col min="14313" max="14322" width="11.7109375" style="496" customWidth="1"/>
    <col min="14323" max="14565" width="9.140625" style="496"/>
    <col min="14566" max="14566" width="5.85546875" style="496" customWidth="1"/>
    <col min="14567" max="14567" width="11.42578125" style="496" customWidth="1"/>
    <col min="14568" max="14568" width="41.42578125" style="496" customWidth="1"/>
    <col min="14569" max="14578" width="11.7109375" style="496" customWidth="1"/>
    <col min="14579" max="14821" width="9.140625" style="496"/>
    <col min="14822" max="14822" width="5.85546875" style="496" customWidth="1"/>
    <col min="14823" max="14823" width="11.42578125" style="496" customWidth="1"/>
    <col min="14824" max="14824" width="41.42578125" style="496" customWidth="1"/>
    <col min="14825" max="14834" width="11.7109375" style="496" customWidth="1"/>
    <col min="14835" max="15077" width="9.140625" style="496"/>
    <col min="15078" max="15078" width="5.85546875" style="496" customWidth="1"/>
    <col min="15079" max="15079" width="11.42578125" style="496" customWidth="1"/>
    <col min="15080" max="15080" width="41.42578125" style="496" customWidth="1"/>
    <col min="15081" max="15090" width="11.7109375" style="496" customWidth="1"/>
    <col min="15091" max="15333" width="9.140625" style="496"/>
    <col min="15334" max="15334" width="5.85546875" style="496" customWidth="1"/>
    <col min="15335" max="15335" width="11.42578125" style="496" customWidth="1"/>
    <col min="15336" max="15336" width="41.42578125" style="496" customWidth="1"/>
    <col min="15337" max="15346" width="11.7109375" style="496" customWidth="1"/>
    <col min="15347" max="15589" width="9.140625" style="496"/>
    <col min="15590" max="15590" width="5.85546875" style="496" customWidth="1"/>
    <col min="15591" max="15591" width="11.42578125" style="496" customWidth="1"/>
    <col min="15592" max="15592" width="41.42578125" style="496" customWidth="1"/>
    <col min="15593" max="15602" width="11.7109375" style="496" customWidth="1"/>
    <col min="15603" max="15845" width="9.140625" style="496"/>
    <col min="15846" max="15846" width="5.85546875" style="496" customWidth="1"/>
    <col min="15847" max="15847" width="11.42578125" style="496" customWidth="1"/>
    <col min="15848" max="15848" width="41.42578125" style="496" customWidth="1"/>
    <col min="15849" max="15858" width="11.7109375" style="496" customWidth="1"/>
    <col min="15859" max="16101" width="9.140625" style="496"/>
    <col min="16102" max="16102" width="5.85546875" style="496" customWidth="1"/>
    <col min="16103" max="16103" width="11.42578125" style="496" customWidth="1"/>
    <col min="16104" max="16104" width="41.42578125" style="496" customWidth="1"/>
    <col min="16105" max="16114" width="11.7109375" style="496" customWidth="1"/>
    <col min="16115" max="16384" width="9.140625" style="496"/>
  </cols>
  <sheetData>
    <row r="1" spans="1:13" ht="26.25" customHeight="1">
      <c r="A1" s="1587" t="s">
        <v>465</v>
      </c>
      <c r="B1" s="1587"/>
      <c r="C1" s="1587"/>
      <c r="D1" s="1587"/>
      <c r="E1" s="1587"/>
      <c r="F1" s="1587"/>
      <c r="G1" s="1587"/>
      <c r="H1" s="1587"/>
    </row>
    <row r="2" spans="1:13" ht="42" customHeight="1">
      <c r="A2" s="1564" t="s">
        <v>474</v>
      </c>
      <c r="B2" s="1564"/>
      <c r="C2" s="1564"/>
      <c r="D2" s="1564"/>
      <c r="E2" s="1564"/>
      <c r="F2" s="1564"/>
      <c r="G2" s="1564"/>
      <c r="H2" s="1564"/>
      <c r="I2" s="1564"/>
      <c r="J2" s="1564"/>
    </row>
    <row r="3" spans="1:13" ht="26.25" customHeight="1">
      <c r="A3" s="1588" t="s">
        <v>0</v>
      </c>
      <c r="B3" s="1588"/>
      <c r="C3" s="1588"/>
      <c r="D3" s="1588"/>
      <c r="E3" s="498">
        <f>M292</f>
        <v>0</v>
      </c>
      <c r="F3" s="496" t="s">
        <v>1</v>
      </c>
    </row>
    <row r="4" spans="1:13" ht="26.25" customHeight="1">
      <c r="A4" s="1589"/>
      <c r="B4" s="1589"/>
      <c r="C4" s="1589"/>
      <c r="D4" s="1589"/>
      <c r="E4" s="1589"/>
      <c r="F4" s="1589"/>
      <c r="G4" s="1589"/>
      <c r="H4" s="1589"/>
    </row>
    <row r="5" spans="1:13" ht="30" customHeight="1">
      <c r="A5" s="1590"/>
      <c r="B5" s="1592" t="s">
        <v>2</v>
      </c>
      <c r="C5" s="1569" t="s">
        <v>3</v>
      </c>
      <c r="D5" s="1570" t="s">
        <v>4</v>
      </c>
      <c r="E5" s="1590" t="s">
        <v>5</v>
      </c>
      <c r="F5" s="1590"/>
      <c r="G5" s="1590" t="s">
        <v>6</v>
      </c>
      <c r="H5" s="1590"/>
      <c r="I5" s="1590" t="s">
        <v>66</v>
      </c>
      <c r="J5" s="1590"/>
      <c r="K5" s="1590" t="s">
        <v>72</v>
      </c>
      <c r="L5" s="1590"/>
      <c r="M5" s="1591" t="s">
        <v>67</v>
      </c>
    </row>
    <row r="6" spans="1:13" ht="72" customHeight="1">
      <c r="A6" s="1590"/>
      <c r="B6" s="1592"/>
      <c r="C6" s="1569"/>
      <c r="D6" s="1570"/>
      <c r="E6" s="147" t="s">
        <v>7</v>
      </c>
      <c r="F6" s="147" t="s">
        <v>8</v>
      </c>
      <c r="G6" s="1114" t="s">
        <v>9</v>
      </c>
      <c r="H6" s="500" t="s">
        <v>10</v>
      </c>
      <c r="I6" s="499" t="s">
        <v>9</v>
      </c>
      <c r="J6" s="500" t="s">
        <v>10</v>
      </c>
      <c r="K6" s="499" t="s">
        <v>9</v>
      </c>
      <c r="L6" s="500" t="s">
        <v>10</v>
      </c>
      <c r="M6" s="1591"/>
    </row>
    <row r="7" spans="1:13">
      <c r="A7" s="499">
        <v>1</v>
      </c>
      <c r="B7" s="1114">
        <v>2</v>
      </c>
      <c r="C7" s="501">
        <v>3</v>
      </c>
      <c r="D7" s="499">
        <v>4</v>
      </c>
      <c r="E7" s="499">
        <v>5</v>
      </c>
      <c r="F7" s="499">
        <v>6</v>
      </c>
      <c r="G7" s="1114">
        <v>7</v>
      </c>
      <c r="H7" s="502">
        <v>8</v>
      </c>
      <c r="I7" s="499">
        <v>9</v>
      </c>
      <c r="J7" s="502">
        <v>10</v>
      </c>
      <c r="K7" s="499">
        <v>11</v>
      </c>
      <c r="L7" s="502">
        <v>12</v>
      </c>
      <c r="M7" s="502">
        <v>13</v>
      </c>
    </row>
    <row r="8" spans="1:13" ht="51" customHeight="1">
      <c r="A8" s="127"/>
      <c r="B8" s="260"/>
      <c r="C8" s="337" t="s">
        <v>684</v>
      </c>
      <c r="D8" s="127"/>
      <c r="E8" s="127"/>
      <c r="F8" s="127"/>
      <c r="G8" s="1287"/>
      <c r="H8" s="80">
        <f t="shared" ref="H8:H30" si="0">F8*G8</f>
        <v>0</v>
      </c>
      <c r="I8" s="1289"/>
      <c r="J8" s="1289">
        <f t="shared" ref="J8:J31" si="1">F8*I8</f>
        <v>0</v>
      </c>
      <c r="K8" s="1289"/>
      <c r="L8" s="1289"/>
      <c r="M8" s="1289">
        <f t="shared" ref="M8" si="2">H8+J8+L8</f>
        <v>0</v>
      </c>
    </row>
    <row r="9" spans="1:13" ht="80.45" customHeight="1">
      <c r="A9" s="200" t="s">
        <v>44</v>
      </c>
      <c r="B9" s="260"/>
      <c r="C9" s="68" t="s">
        <v>682</v>
      </c>
      <c r="D9" s="127" t="s">
        <v>809</v>
      </c>
      <c r="E9" s="129"/>
      <c r="F9" s="69">
        <f>39*0.7</f>
        <v>27.299999999999997</v>
      </c>
      <c r="G9" s="1287"/>
      <c r="H9" s="261"/>
      <c r="I9" s="1289"/>
      <c r="J9" s="1289"/>
      <c r="K9" s="1289"/>
      <c r="L9" s="1289"/>
      <c r="M9" s="1289"/>
    </row>
    <row r="10" spans="1:13" ht="30.6" customHeight="1">
      <c r="A10" s="248">
        <f>A9+0.1</f>
        <v>1.1000000000000001</v>
      </c>
      <c r="B10" s="249"/>
      <c r="C10" s="191" t="s">
        <v>268</v>
      </c>
      <c r="D10" s="131" t="s">
        <v>13</v>
      </c>
      <c r="E10" s="132">
        <v>3.5499999999999997E-2</v>
      </c>
      <c r="F10" s="242">
        <f>E10*F9</f>
        <v>0.96914999999999984</v>
      </c>
      <c r="G10" s="1290"/>
      <c r="H10" s="80">
        <f>F10*G10</f>
        <v>0</v>
      </c>
      <c r="I10" s="80"/>
      <c r="J10" s="1289">
        <f t="shared" ref="J10:J19" si="3">F10*I10</f>
        <v>0</v>
      </c>
      <c r="K10" s="80"/>
      <c r="L10" s="1289">
        <f>F10*K10</f>
        <v>0</v>
      </c>
      <c r="M10" s="1289">
        <f>H10+J10+L10</f>
        <v>0</v>
      </c>
    </row>
    <row r="11" spans="1:13" ht="30.6" customHeight="1">
      <c r="A11" s="248">
        <f>A10+0.1</f>
        <v>1.2000000000000002</v>
      </c>
      <c r="B11" s="249"/>
      <c r="C11" s="191" t="s">
        <v>816</v>
      </c>
      <c r="D11" s="131" t="s">
        <v>156</v>
      </c>
      <c r="E11" s="258">
        <v>7.9500000000000001E-2</v>
      </c>
      <c r="F11" s="242">
        <f>E11*F9</f>
        <v>2.17035</v>
      </c>
      <c r="G11" s="1290"/>
      <c r="H11" s="80">
        <f t="shared" ref="H11:H19" si="4">F11*G11</f>
        <v>0</v>
      </c>
      <c r="I11" s="1289"/>
      <c r="J11" s="1289">
        <f t="shared" si="3"/>
        <v>0</v>
      </c>
      <c r="K11" s="80"/>
      <c r="L11" s="1289">
        <f t="shared" ref="L11:L19" si="5">F11*K11</f>
        <v>0</v>
      </c>
      <c r="M11" s="1289">
        <f t="shared" ref="M11:M74" si="6">H11+J11+L11</f>
        <v>0</v>
      </c>
    </row>
    <row r="12" spans="1:13" ht="30.6" customHeight="1">
      <c r="A12" s="248">
        <f>A11+0.1</f>
        <v>1.3000000000000003</v>
      </c>
      <c r="B12" s="249"/>
      <c r="C12" s="191" t="s">
        <v>117</v>
      </c>
      <c r="D12" s="131" t="s">
        <v>14</v>
      </c>
      <c r="E12" s="1102">
        <v>4.2599999999999999E-3</v>
      </c>
      <c r="F12" s="93">
        <f>E12*F9</f>
        <v>0.11629799999999998</v>
      </c>
      <c r="G12" s="1290"/>
      <c r="H12" s="80">
        <f t="shared" si="4"/>
        <v>0</v>
      </c>
      <c r="I12" s="80"/>
      <c r="J12" s="1289">
        <f t="shared" si="3"/>
        <v>0</v>
      </c>
      <c r="K12" s="80"/>
      <c r="L12" s="1289">
        <f t="shared" si="5"/>
        <v>0</v>
      </c>
      <c r="M12" s="1289">
        <f t="shared" si="6"/>
        <v>0</v>
      </c>
    </row>
    <row r="13" spans="1:13" ht="69.75" customHeight="1">
      <c r="A13" s="81">
        <v>2</v>
      </c>
      <c r="B13" s="1118"/>
      <c r="C13" s="68" t="s">
        <v>17</v>
      </c>
      <c r="D13" s="200" t="s">
        <v>809</v>
      </c>
      <c r="E13" s="62"/>
      <c r="F13" s="69">
        <f>39*0.3</f>
        <v>11.7</v>
      </c>
      <c r="G13" s="1290"/>
      <c r="H13" s="80">
        <f t="shared" si="4"/>
        <v>0</v>
      </c>
      <c r="I13" s="1289"/>
      <c r="J13" s="1289">
        <f t="shared" si="3"/>
        <v>0</v>
      </c>
      <c r="K13" s="1291"/>
      <c r="L13" s="1289">
        <f t="shared" si="5"/>
        <v>0</v>
      </c>
      <c r="M13" s="1289">
        <f t="shared" si="6"/>
        <v>0</v>
      </c>
    </row>
    <row r="14" spans="1:13" ht="18.75" customHeight="1">
      <c r="A14" s="248">
        <f>A13+0.1</f>
        <v>2.1</v>
      </c>
      <c r="B14" s="211"/>
      <c r="C14" s="191" t="s">
        <v>12</v>
      </c>
      <c r="D14" s="131" t="s">
        <v>13</v>
      </c>
      <c r="E14" s="61">
        <v>2.06</v>
      </c>
      <c r="F14" s="62">
        <f>F13*E14</f>
        <v>24.102</v>
      </c>
      <c r="G14" s="1290"/>
      <c r="H14" s="80">
        <f t="shared" si="4"/>
        <v>0</v>
      </c>
      <c r="I14" s="80"/>
      <c r="J14" s="1289">
        <f t="shared" si="3"/>
        <v>0</v>
      </c>
      <c r="K14" s="1289"/>
      <c r="L14" s="1289">
        <f t="shared" si="5"/>
        <v>0</v>
      </c>
      <c r="M14" s="1289">
        <f t="shared" si="6"/>
        <v>0</v>
      </c>
    </row>
    <row r="15" spans="1:13" ht="57.75" customHeight="1">
      <c r="A15" s="1103">
        <v>3</v>
      </c>
      <c r="B15" s="1119"/>
      <c r="C15" s="68" t="s">
        <v>157</v>
      </c>
      <c r="D15" s="67" t="s">
        <v>16</v>
      </c>
      <c r="E15" s="91"/>
      <c r="F15" s="1104">
        <f>F13*1.85+F9*1.85</f>
        <v>72.149999999999991</v>
      </c>
      <c r="G15" s="1287"/>
      <c r="H15" s="80">
        <f t="shared" si="4"/>
        <v>0</v>
      </c>
      <c r="I15" s="80"/>
      <c r="J15" s="1289">
        <f t="shared" si="3"/>
        <v>0</v>
      </c>
      <c r="K15" s="80"/>
      <c r="L15" s="1289">
        <f t="shared" si="5"/>
        <v>0</v>
      </c>
      <c r="M15" s="1289">
        <f t="shared" si="6"/>
        <v>0</v>
      </c>
    </row>
    <row r="16" spans="1:13" ht="20.100000000000001" customHeight="1">
      <c r="A16" s="248">
        <f>A15+0.1</f>
        <v>3.1</v>
      </c>
      <c r="B16" s="211"/>
      <c r="C16" s="191" t="s">
        <v>269</v>
      </c>
      <c r="D16" s="63" t="s">
        <v>16</v>
      </c>
      <c r="E16" s="62">
        <v>1</v>
      </c>
      <c r="F16" s="61">
        <f>E16*F15</f>
        <v>72.149999999999991</v>
      </c>
      <c r="G16" s="1290"/>
      <c r="H16" s="80">
        <f t="shared" si="4"/>
        <v>0</v>
      </c>
      <c r="I16" s="1289"/>
      <c r="J16" s="1289">
        <f t="shared" si="3"/>
        <v>0</v>
      </c>
      <c r="K16" s="1291"/>
      <c r="L16" s="1289">
        <f t="shared" si="5"/>
        <v>0</v>
      </c>
      <c r="M16" s="1289">
        <f t="shared" si="6"/>
        <v>0</v>
      </c>
    </row>
    <row r="17" spans="1:13" s="56" customFormat="1" ht="46.5" customHeight="1">
      <c r="A17" s="81">
        <v>4</v>
      </c>
      <c r="B17" s="1119"/>
      <c r="C17" s="337" t="s">
        <v>683</v>
      </c>
      <c r="D17" s="261" t="s">
        <v>812</v>
      </c>
      <c r="E17" s="91"/>
      <c r="F17" s="69">
        <f>F27*0.7</f>
        <v>16.009</v>
      </c>
      <c r="G17" s="1287"/>
      <c r="H17" s="80">
        <f t="shared" si="4"/>
        <v>0</v>
      </c>
      <c r="I17" s="1289"/>
      <c r="J17" s="1289">
        <f t="shared" si="3"/>
        <v>0</v>
      </c>
      <c r="K17" s="80"/>
      <c r="L17" s="1289">
        <f t="shared" si="5"/>
        <v>0</v>
      </c>
      <c r="M17" s="1289">
        <f t="shared" si="6"/>
        <v>0</v>
      </c>
    </row>
    <row r="18" spans="1:13" ht="22.5" customHeight="1">
      <c r="A18" s="248">
        <f>A17+0.1</f>
        <v>4.0999999999999996</v>
      </c>
      <c r="B18" s="249"/>
      <c r="C18" s="336" t="s">
        <v>12</v>
      </c>
      <c r="D18" s="131" t="s">
        <v>13</v>
      </c>
      <c r="E18" s="132">
        <v>3.52</v>
      </c>
      <c r="F18" s="242">
        <f>E18*F17</f>
        <v>56.351680000000002</v>
      </c>
      <c r="G18" s="1290"/>
      <c r="H18" s="80">
        <f t="shared" si="4"/>
        <v>0</v>
      </c>
      <c r="I18" s="1289"/>
      <c r="J18" s="1289">
        <f t="shared" si="3"/>
        <v>0</v>
      </c>
      <c r="K18" s="1289"/>
      <c r="L18" s="1289">
        <f t="shared" si="5"/>
        <v>0</v>
      </c>
      <c r="M18" s="1289">
        <f t="shared" si="6"/>
        <v>0</v>
      </c>
    </row>
    <row r="19" spans="1:13" ht="22.5" customHeight="1">
      <c r="A19" s="248">
        <f>A18+0.1</f>
        <v>4.1999999999999993</v>
      </c>
      <c r="B19" s="249"/>
      <c r="C19" s="336" t="s">
        <v>117</v>
      </c>
      <c r="D19" s="80" t="s">
        <v>14</v>
      </c>
      <c r="E19" s="61">
        <v>1.06</v>
      </c>
      <c r="F19" s="62">
        <f>F17*E19</f>
        <v>16.969540000000002</v>
      </c>
      <c r="G19" s="1292"/>
      <c r="H19" s="80">
        <f t="shared" si="4"/>
        <v>0</v>
      </c>
      <c r="I19" s="1289"/>
      <c r="J19" s="1289">
        <f t="shared" si="3"/>
        <v>0</v>
      </c>
      <c r="K19" s="1291"/>
      <c r="L19" s="1289">
        <f t="shared" si="5"/>
        <v>0</v>
      </c>
      <c r="M19" s="1289">
        <f t="shared" si="6"/>
        <v>0</v>
      </c>
    </row>
    <row r="20" spans="1:13" ht="22.5" customHeight="1">
      <c r="A20" s="248">
        <f>A19+0.1</f>
        <v>4.2999999999999989</v>
      </c>
      <c r="B20" s="1120"/>
      <c r="C20" s="336" t="s">
        <v>218</v>
      </c>
      <c r="D20" s="63" t="s">
        <v>810</v>
      </c>
      <c r="E20" s="132">
        <f>0.18+0.09+0.97</f>
        <v>1.24</v>
      </c>
      <c r="F20" s="62">
        <f>E20*F17</f>
        <v>19.85116</v>
      </c>
      <c r="G20" s="1290"/>
      <c r="H20" s="80">
        <f>F20*G20</f>
        <v>0</v>
      </c>
      <c r="I20" s="1289"/>
      <c r="J20" s="1289">
        <f>F20*I20</f>
        <v>0</v>
      </c>
      <c r="K20" s="1289"/>
      <c r="L20" s="1289">
        <f>F20*K20</f>
        <v>0</v>
      </c>
      <c r="M20" s="1289">
        <f t="shared" si="6"/>
        <v>0</v>
      </c>
    </row>
    <row r="21" spans="1:13" s="58" customFormat="1" ht="22.5" customHeight="1">
      <c r="A21" s="248">
        <f>A20+0.1</f>
        <v>4.3999999999999986</v>
      </c>
      <c r="B21" s="211"/>
      <c r="C21" s="336" t="s">
        <v>119</v>
      </c>
      <c r="D21" s="80" t="s">
        <v>1</v>
      </c>
      <c r="E21" s="93">
        <v>0.02</v>
      </c>
      <c r="F21" s="93">
        <f>E21*F17</f>
        <v>0.32018000000000002</v>
      </c>
      <c r="G21" s="1292"/>
      <c r="H21" s="80">
        <f>F21*G21</f>
        <v>0</v>
      </c>
      <c r="I21" s="1289"/>
      <c r="J21" s="1289">
        <f>F21*I21</f>
        <v>0</v>
      </c>
      <c r="K21" s="80"/>
      <c r="L21" s="1289">
        <f>F21*K21</f>
        <v>0</v>
      </c>
      <c r="M21" s="1289">
        <f t="shared" si="6"/>
        <v>0</v>
      </c>
    </row>
    <row r="22" spans="1:13" s="56" customFormat="1" ht="54" customHeight="1">
      <c r="A22" s="81">
        <v>5</v>
      </c>
      <c r="B22" s="1119"/>
      <c r="C22" s="337" t="s">
        <v>270</v>
      </c>
      <c r="D22" s="261" t="s">
        <v>812</v>
      </c>
      <c r="E22" s="91"/>
      <c r="F22" s="69">
        <f>6.7+2.7+3.1+3.6+3.3+3.3+6.7+1.8+5+0.6+3.69+4.5</f>
        <v>44.99</v>
      </c>
      <c r="G22" s="1287"/>
      <c r="H22" s="80">
        <f t="shared" ref="H22:H24" si="7">F22*G22</f>
        <v>0</v>
      </c>
      <c r="I22" s="1289"/>
      <c r="J22" s="1289">
        <f t="shared" ref="J22:J24" si="8">F22*I22</f>
        <v>0</v>
      </c>
      <c r="K22" s="80"/>
      <c r="L22" s="1289">
        <f t="shared" ref="L22:L54" si="9">F22*K22</f>
        <v>0</v>
      </c>
      <c r="M22" s="1289">
        <f t="shared" si="6"/>
        <v>0</v>
      </c>
    </row>
    <row r="23" spans="1:13" ht="22.5" customHeight="1">
      <c r="A23" s="248">
        <f>A22+0.1</f>
        <v>5.0999999999999996</v>
      </c>
      <c r="B23" s="249"/>
      <c r="C23" s="336" t="s">
        <v>12</v>
      </c>
      <c r="D23" s="131" t="s">
        <v>13</v>
      </c>
      <c r="E23" s="132">
        <v>3.52</v>
      </c>
      <c r="F23" s="242">
        <f>E23*F22</f>
        <v>158.3648</v>
      </c>
      <c r="G23" s="1290"/>
      <c r="H23" s="80">
        <f t="shared" si="7"/>
        <v>0</v>
      </c>
      <c r="I23" s="1289"/>
      <c r="J23" s="1289">
        <f t="shared" si="8"/>
        <v>0</v>
      </c>
      <c r="K23" s="1289"/>
      <c r="L23" s="1289">
        <f t="shared" si="9"/>
        <v>0</v>
      </c>
      <c r="M23" s="1289">
        <f t="shared" si="6"/>
        <v>0</v>
      </c>
    </row>
    <row r="24" spans="1:13" ht="22.5" customHeight="1">
      <c r="A24" s="248">
        <f>A23+0.1</f>
        <v>5.1999999999999993</v>
      </c>
      <c r="B24" s="249"/>
      <c r="C24" s="336" t="s">
        <v>117</v>
      </c>
      <c r="D24" s="80" t="s">
        <v>14</v>
      </c>
      <c r="E24" s="61">
        <v>1.06</v>
      </c>
      <c r="F24" s="62">
        <f>F22*E24</f>
        <v>47.689400000000006</v>
      </c>
      <c r="G24" s="1292"/>
      <c r="H24" s="80">
        <f t="shared" si="7"/>
        <v>0</v>
      </c>
      <c r="I24" s="1289"/>
      <c r="J24" s="1289">
        <f t="shared" si="8"/>
        <v>0</v>
      </c>
      <c r="K24" s="1291"/>
      <c r="L24" s="1289">
        <f t="shared" si="9"/>
        <v>0</v>
      </c>
      <c r="M24" s="1289">
        <f t="shared" si="6"/>
        <v>0</v>
      </c>
    </row>
    <row r="25" spans="1:13" ht="22.5" customHeight="1">
      <c r="A25" s="248">
        <f>A24+0.1</f>
        <v>5.2999999999999989</v>
      </c>
      <c r="B25" s="1120"/>
      <c r="C25" s="336" t="s">
        <v>679</v>
      </c>
      <c r="D25" s="63" t="s">
        <v>810</v>
      </c>
      <c r="E25" s="132">
        <f>0.18+0.09+0.97</f>
        <v>1.24</v>
      </c>
      <c r="F25" s="62">
        <f>E25*F22</f>
        <v>55.787600000000005</v>
      </c>
      <c r="G25" s="1290"/>
      <c r="H25" s="80">
        <f t="shared" si="0"/>
        <v>0</v>
      </c>
      <c r="I25" s="1289"/>
      <c r="J25" s="1289">
        <f t="shared" si="1"/>
        <v>0</v>
      </c>
      <c r="K25" s="1289"/>
      <c r="L25" s="1289">
        <f t="shared" si="9"/>
        <v>0</v>
      </c>
      <c r="M25" s="1289">
        <f t="shared" si="6"/>
        <v>0</v>
      </c>
    </row>
    <row r="26" spans="1:13" s="58" customFormat="1" ht="22.5" customHeight="1">
      <c r="A26" s="248">
        <f>A25+0.1</f>
        <v>5.3999999999999986</v>
      </c>
      <c r="B26" s="211"/>
      <c r="C26" s="336" t="s">
        <v>119</v>
      </c>
      <c r="D26" s="80" t="s">
        <v>1</v>
      </c>
      <c r="E26" s="93">
        <v>0.02</v>
      </c>
      <c r="F26" s="93">
        <f>E26*F22</f>
        <v>0.89980000000000004</v>
      </c>
      <c r="G26" s="1292"/>
      <c r="H26" s="80">
        <f t="shared" si="0"/>
        <v>0</v>
      </c>
      <c r="I26" s="1289"/>
      <c r="J26" s="1289">
        <f t="shared" si="1"/>
        <v>0</v>
      </c>
      <c r="K26" s="80"/>
      <c r="L26" s="1289">
        <f t="shared" si="9"/>
        <v>0</v>
      </c>
      <c r="M26" s="1289">
        <f t="shared" si="6"/>
        <v>0</v>
      </c>
    </row>
    <row r="27" spans="1:13" s="73" customFormat="1" ht="37.5">
      <c r="A27" s="236">
        <v>6</v>
      </c>
      <c r="B27" s="237"/>
      <c r="C27" s="337" t="s">
        <v>680</v>
      </c>
      <c r="D27" s="63" t="s">
        <v>61</v>
      </c>
      <c r="E27" s="91">
        <f>18.96+41.712</f>
        <v>60.672000000000004</v>
      </c>
      <c r="F27" s="91">
        <f>3.35+1.35+1.55+1.8+1.65+1.65+3.35+0.9+2.5+0.3+2.22+2.25</f>
        <v>22.87</v>
      </c>
      <c r="G27" s="1287"/>
      <c r="H27" s="80">
        <f t="shared" si="0"/>
        <v>0</v>
      </c>
      <c r="I27" s="261"/>
      <c r="J27" s="1289">
        <f t="shared" si="1"/>
        <v>0</v>
      </c>
      <c r="K27" s="261"/>
      <c r="L27" s="1289">
        <f t="shared" si="9"/>
        <v>0</v>
      </c>
      <c r="M27" s="1289">
        <f t="shared" si="6"/>
        <v>0</v>
      </c>
    </row>
    <row r="28" spans="1:13" s="56" customFormat="1" ht="19.899999999999999" customHeight="1">
      <c r="A28" s="492">
        <f>A27+0.1</f>
        <v>6.1</v>
      </c>
      <c r="B28" s="241"/>
      <c r="C28" s="336" t="s">
        <v>69</v>
      </c>
      <c r="D28" s="63" t="s">
        <v>61</v>
      </c>
      <c r="E28" s="61">
        <v>1</v>
      </c>
      <c r="F28" s="61">
        <f>E28*F27</f>
        <v>22.87</v>
      </c>
      <c r="G28" s="1293"/>
      <c r="H28" s="80">
        <f t="shared" si="0"/>
        <v>0</v>
      </c>
      <c r="I28" s="80"/>
      <c r="J28" s="1289">
        <f t="shared" si="1"/>
        <v>0</v>
      </c>
      <c r="K28" s="80"/>
      <c r="L28" s="1289">
        <f t="shared" si="9"/>
        <v>0</v>
      </c>
      <c r="M28" s="1289">
        <f t="shared" si="6"/>
        <v>0</v>
      </c>
    </row>
    <row r="29" spans="1:13" s="56" customFormat="1">
      <c r="A29" s="492">
        <f t="shared" ref="A29:A35" si="10">A28+0.1</f>
        <v>6.1999999999999993</v>
      </c>
      <c r="B29" s="241"/>
      <c r="C29" s="276" t="s">
        <v>117</v>
      </c>
      <c r="D29" s="80" t="s">
        <v>14</v>
      </c>
      <c r="E29" s="61">
        <f>77/100</f>
        <v>0.77</v>
      </c>
      <c r="F29" s="62">
        <f>E29*F27</f>
        <v>17.6099</v>
      </c>
      <c r="G29" s="1290"/>
      <c r="H29" s="80">
        <f t="shared" si="0"/>
        <v>0</v>
      </c>
      <c r="I29" s="80"/>
      <c r="J29" s="1289">
        <f t="shared" si="1"/>
        <v>0</v>
      </c>
      <c r="K29" s="1294"/>
      <c r="L29" s="1289">
        <f t="shared" si="9"/>
        <v>0</v>
      </c>
      <c r="M29" s="1289">
        <f t="shared" si="6"/>
        <v>0</v>
      </c>
    </row>
    <row r="30" spans="1:13" s="56" customFormat="1" ht="23.25" customHeight="1">
      <c r="A30" s="492">
        <f t="shared" si="10"/>
        <v>6.2999999999999989</v>
      </c>
      <c r="B30" s="249"/>
      <c r="C30" s="184" t="s">
        <v>75</v>
      </c>
      <c r="D30" s="63" t="s">
        <v>61</v>
      </c>
      <c r="E30" s="61">
        <v>1.0149999999999999</v>
      </c>
      <c r="F30" s="62">
        <f>E30*F27</f>
        <v>23.213049999999999</v>
      </c>
      <c r="G30" s="1295"/>
      <c r="H30" s="80">
        <f t="shared" si="0"/>
        <v>0</v>
      </c>
      <c r="I30" s="80"/>
      <c r="J30" s="1289">
        <f t="shared" si="1"/>
        <v>0</v>
      </c>
      <c r="K30" s="80"/>
      <c r="L30" s="1289">
        <f t="shared" si="9"/>
        <v>0</v>
      </c>
      <c r="M30" s="1289">
        <f t="shared" si="6"/>
        <v>0</v>
      </c>
    </row>
    <row r="31" spans="1:13" s="56" customFormat="1" ht="23.25" customHeight="1">
      <c r="A31" s="492">
        <f t="shared" si="10"/>
        <v>6.3999999999999986</v>
      </c>
      <c r="B31" s="1120"/>
      <c r="C31" s="184" t="s">
        <v>251</v>
      </c>
      <c r="D31" s="63" t="s">
        <v>16</v>
      </c>
      <c r="E31" s="61" t="s">
        <v>20</v>
      </c>
      <c r="F31" s="477">
        <f>(60.672+50.56+55.62+84.372+75.84+55.62+76.16+15.8+94.5+40.45+149.903+87.335)/1000</f>
        <v>0.84683200000000014</v>
      </c>
      <c r="G31" s="1296"/>
      <c r="H31" s="80">
        <f t="shared" ref="H31:H54" si="11">F31*G31</f>
        <v>0</v>
      </c>
      <c r="I31" s="80"/>
      <c r="J31" s="1289">
        <f t="shared" si="1"/>
        <v>0</v>
      </c>
      <c r="K31" s="80"/>
      <c r="L31" s="1289">
        <f t="shared" si="9"/>
        <v>0</v>
      </c>
      <c r="M31" s="1289">
        <f t="shared" si="6"/>
        <v>0</v>
      </c>
    </row>
    <row r="32" spans="1:13" s="56" customFormat="1" ht="23.25" customHeight="1">
      <c r="A32" s="492">
        <f t="shared" si="10"/>
        <v>6.4999999999999982</v>
      </c>
      <c r="B32" s="249"/>
      <c r="C32" s="184" t="s">
        <v>678</v>
      </c>
      <c r="D32" s="63" t="s">
        <v>16</v>
      </c>
      <c r="E32" s="61" t="s">
        <v>20</v>
      </c>
      <c r="F32" s="477">
        <f>(236.77+153.42+149.8+202.94+175.402+153.42+316.5+74.2+265.04+109.93+235.56+239.184)/1000</f>
        <v>2.3121660000000008</v>
      </c>
      <c r="G32" s="1296"/>
      <c r="H32" s="80">
        <f t="shared" si="11"/>
        <v>0</v>
      </c>
      <c r="I32" s="80"/>
      <c r="J32" s="1289">
        <f t="shared" ref="J32:J54" si="12">F32*I32</f>
        <v>0</v>
      </c>
      <c r="K32" s="80"/>
      <c r="L32" s="1289">
        <f t="shared" si="9"/>
        <v>0</v>
      </c>
      <c r="M32" s="1289">
        <f t="shared" si="6"/>
        <v>0</v>
      </c>
    </row>
    <row r="33" spans="1:13" s="56" customFormat="1" ht="23.25" customHeight="1">
      <c r="A33" s="492">
        <f t="shared" si="10"/>
        <v>6.5999999999999979</v>
      </c>
      <c r="B33" s="249"/>
      <c r="C33" s="184" t="s">
        <v>151</v>
      </c>
      <c r="D33" s="63" t="s">
        <v>811</v>
      </c>
      <c r="E33" s="61">
        <f>7.54/100</f>
        <v>7.5399999999999995E-2</v>
      </c>
      <c r="F33" s="62">
        <f>E33*F27</f>
        <v>1.7243979999999999</v>
      </c>
      <c r="G33" s="1297"/>
      <c r="H33" s="80">
        <f t="shared" si="11"/>
        <v>0</v>
      </c>
      <c r="I33" s="80"/>
      <c r="J33" s="1289">
        <f t="shared" si="12"/>
        <v>0</v>
      </c>
      <c r="K33" s="80"/>
      <c r="L33" s="1289">
        <f t="shared" si="9"/>
        <v>0</v>
      </c>
      <c r="M33" s="1289">
        <f t="shared" si="6"/>
        <v>0</v>
      </c>
    </row>
    <row r="34" spans="1:13" s="56" customFormat="1" ht="23.25" customHeight="1">
      <c r="A34" s="492">
        <f t="shared" si="10"/>
        <v>6.6999999999999975</v>
      </c>
      <c r="B34" s="256"/>
      <c r="C34" s="184" t="s">
        <v>19</v>
      </c>
      <c r="D34" s="63" t="s">
        <v>61</v>
      </c>
      <c r="E34" s="258">
        <f>0.08/100</f>
        <v>8.0000000000000004E-4</v>
      </c>
      <c r="F34" s="258">
        <f>E34*F27</f>
        <v>1.8296000000000003E-2</v>
      </c>
      <c r="G34" s="1296"/>
      <c r="H34" s="80">
        <f t="shared" si="11"/>
        <v>0</v>
      </c>
      <c r="I34" s="80"/>
      <c r="J34" s="1289">
        <f t="shared" si="12"/>
        <v>0</v>
      </c>
      <c r="K34" s="80"/>
      <c r="L34" s="1289">
        <f t="shared" si="9"/>
        <v>0</v>
      </c>
      <c r="M34" s="1289">
        <f t="shared" si="6"/>
        <v>0</v>
      </c>
    </row>
    <row r="35" spans="1:13" s="56" customFormat="1" ht="23.25" customHeight="1">
      <c r="A35" s="492">
        <f t="shared" si="10"/>
        <v>6.7999999999999972</v>
      </c>
      <c r="B35" s="246"/>
      <c r="C35" s="276" t="s">
        <v>119</v>
      </c>
      <c r="D35" s="63" t="s">
        <v>14</v>
      </c>
      <c r="E35" s="61">
        <f>7/100</f>
        <v>7.0000000000000007E-2</v>
      </c>
      <c r="F35" s="62">
        <f>E35*F27</f>
        <v>1.6009000000000002</v>
      </c>
      <c r="G35" s="479"/>
      <c r="H35" s="80">
        <f t="shared" si="11"/>
        <v>0</v>
      </c>
      <c r="I35" s="80"/>
      <c r="J35" s="1289">
        <f t="shared" si="12"/>
        <v>0</v>
      </c>
      <c r="K35" s="80"/>
      <c r="L35" s="1289">
        <f t="shared" si="9"/>
        <v>0</v>
      </c>
      <c r="M35" s="1289">
        <f t="shared" si="6"/>
        <v>0</v>
      </c>
    </row>
    <row r="36" spans="1:13" s="331" customFormat="1" ht="75">
      <c r="A36" s="322">
        <v>7</v>
      </c>
      <c r="B36" s="323"/>
      <c r="C36" s="324" t="s">
        <v>681</v>
      </c>
      <c r="D36" s="325" t="s">
        <v>107</v>
      </c>
      <c r="E36" s="326"/>
      <c r="F36" s="327">
        <f>F39/1.02+F40/1.02</f>
        <v>180.79000000000002</v>
      </c>
      <c r="G36" s="1298"/>
      <c r="H36" s="80">
        <f t="shared" si="11"/>
        <v>0</v>
      </c>
      <c r="I36" s="1299"/>
      <c r="J36" s="1289">
        <f t="shared" si="12"/>
        <v>0</v>
      </c>
      <c r="K36" s="1299"/>
      <c r="L36" s="1289">
        <f t="shared" si="9"/>
        <v>0</v>
      </c>
      <c r="M36" s="1289">
        <f t="shared" si="6"/>
        <v>0</v>
      </c>
    </row>
    <row r="37" spans="1:13" s="331" customFormat="1" ht="24" customHeight="1">
      <c r="A37" s="248">
        <f>A36+0.1</f>
        <v>7.1</v>
      </c>
      <c r="B37" s="335"/>
      <c r="C37" s="332" t="s">
        <v>307</v>
      </c>
      <c r="D37" s="333" t="s">
        <v>13</v>
      </c>
      <c r="E37" s="334">
        <v>3.86</v>
      </c>
      <c r="F37" s="329">
        <f>F36*E37</f>
        <v>697.84940000000006</v>
      </c>
      <c r="G37" s="1298"/>
      <c r="H37" s="80">
        <f t="shared" si="11"/>
        <v>0</v>
      </c>
      <c r="I37" s="1299"/>
      <c r="J37" s="1289">
        <f t="shared" si="12"/>
        <v>0</v>
      </c>
      <c r="K37" s="1299"/>
      <c r="L37" s="1289">
        <f t="shared" si="9"/>
        <v>0</v>
      </c>
      <c r="M37" s="1289">
        <f t="shared" si="6"/>
        <v>0</v>
      </c>
    </row>
    <row r="38" spans="1:13" s="331" customFormat="1" ht="24" customHeight="1">
      <c r="A38" s="248">
        <f t="shared" ref="A38:A42" si="13">A37+0.1</f>
        <v>7.1999999999999993</v>
      </c>
      <c r="B38" s="335"/>
      <c r="C38" s="332" t="s">
        <v>51</v>
      </c>
      <c r="D38" s="333" t="s">
        <v>14</v>
      </c>
      <c r="E38" s="334">
        <v>3.5999999999999997E-2</v>
      </c>
      <c r="F38" s="329">
        <f>F36*E38</f>
        <v>6.5084400000000002</v>
      </c>
      <c r="G38" s="1298"/>
      <c r="H38" s="80">
        <f t="shared" si="11"/>
        <v>0</v>
      </c>
      <c r="I38" s="1299"/>
      <c r="J38" s="1289">
        <f t="shared" si="12"/>
        <v>0</v>
      </c>
      <c r="K38" s="1299"/>
      <c r="L38" s="1289">
        <f t="shared" si="9"/>
        <v>0</v>
      </c>
      <c r="M38" s="1289">
        <f t="shared" si="6"/>
        <v>0</v>
      </c>
    </row>
    <row r="39" spans="1:13" s="331" customFormat="1" ht="24" customHeight="1">
      <c r="A39" s="248">
        <f t="shared" si="13"/>
        <v>7.2999999999999989</v>
      </c>
      <c r="B39" s="335"/>
      <c r="C39" s="332" t="s">
        <v>456</v>
      </c>
      <c r="D39" s="333" t="s">
        <v>107</v>
      </c>
      <c r="E39" s="334">
        <v>1.02</v>
      </c>
      <c r="F39" s="329">
        <f>(11.4+9.95+3.6+5.4+4.8+5.5+8.4+3.6+8.64+3.72+4.8+6.2+4.8+6.2+1.44+4.24+9.12+7.52+1.44+12.32+15)*1.02</f>
        <v>140.8518</v>
      </c>
      <c r="G39" s="1298"/>
      <c r="H39" s="80">
        <f t="shared" si="11"/>
        <v>0</v>
      </c>
      <c r="I39" s="1299"/>
      <c r="J39" s="1289">
        <f t="shared" si="12"/>
        <v>0</v>
      </c>
      <c r="K39" s="1299"/>
      <c r="L39" s="1289">
        <f t="shared" si="9"/>
        <v>0</v>
      </c>
      <c r="M39" s="1289">
        <f t="shared" si="6"/>
        <v>0</v>
      </c>
    </row>
    <row r="40" spans="1:13" s="331" customFormat="1" ht="24" customHeight="1">
      <c r="A40" s="248">
        <f t="shared" si="13"/>
        <v>7.3999999999999986</v>
      </c>
      <c r="B40" s="335"/>
      <c r="C40" s="332" t="s">
        <v>457</v>
      </c>
      <c r="D40" s="333" t="s">
        <v>107</v>
      </c>
      <c r="E40" s="334">
        <v>1.02</v>
      </c>
      <c r="F40" s="329">
        <f>(7.2+5.04+3.6+5.1+5.04+3.6+3.6+1.26+3.45+1.2+1.13+2.48)*1.02</f>
        <v>43.554000000000002</v>
      </c>
      <c r="G40" s="1298"/>
      <c r="H40" s="80">
        <f t="shared" si="11"/>
        <v>0</v>
      </c>
      <c r="I40" s="1299"/>
      <c r="J40" s="1289">
        <f t="shared" si="12"/>
        <v>0</v>
      </c>
      <c r="K40" s="1299"/>
      <c r="L40" s="1289">
        <f t="shared" si="9"/>
        <v>0</v>
      </c>
      <c r="M40" s="1289">
        <f t="shared" si="6"/>
        <v>0</v>
      </c>
    </row>
    <row r="41" spans="1:13" s="331" customFormat="1" ht="24" customHeight="1">
      <c r="A41" s="248">
        <f t="shared" si="13"/>
        <v>7.4999999999999982</v>
      </c>
      <c r="B41" s="335"/>
      <c r="C41" s="332" t="s">
        <v>455</v>
      </c>
      <c r="D41" s="333" t="s">
        <v>349</v>
      </c>
      <c r="E41" s="334">
        <v>6</v>
      </c>
      <c r="F41" s="329">
        <f>F36*E41</f>
        <v>1084.7400000000002</v>
      </c>
      <c r="G41" s="1298"/>
      <c r="H41" s="80">
        <f t="shared" si="11"/>
        <v>0</v>
      </c>
      <c r="I41" s="1299"/>
      <c r="J41" s="1289">
        <f t="shared" si="12"/>
        <v>0</v>
      </c>
      <c r="K41" s="1299"/>
      <c r="L41" s="1289">
        <f t="shared" si="9"/>
        <v>0</v>
      </c>
      <c r="M41" s="1289">
        <f t="shared" si="6"/>
        <v>0</v>
      </c>
    </row>
    <row r="42" spans="1:13" s="331" customFormat="1" ht="24" customHeight="1">
      <c r="A42" s="248">
        <f t="shared" si="13"/>
        <v>7.5999999999999979</v>
      </c>
      <c r="B42" s="335"/>
      <c r="C42" s="336" t="s">
        <v>119</v>
      </c>
      <c r="D42" s="80" t="s">
        <v>1</v>
      </c>
      <c r="E42" s="334">
        <v>4.2999999999999997E-2</v>
      </c>
      <c r="F42" s="329">
        <f>F36*E42</f>
        <v>7.7739700000000003</v>
      </c>
      <c r="G42" s="1298"/>
      <c r="H42" s="80">
        <f t="shared" si="11"/>
        <v>0</v>
      </c>
      <c r="I42" s="1299"/>
      <c r="J42" s="1289">
        <f t="shared" si="12"/>
        <v>0</v>
      </c>
      <c r="K42" s="1299"/>
      <c r="L42" s="1289">
        <f t="shared" si="9"/>
        <v>0</v>
      </c>
      <c r="M42" s="1289">
        <f t="shared" si="6"/>
        <v>0</v>
      </c>
    </row>
    <row r="43" spans="1:13" ht="24" customHeight="1">
      <c r="A43" s="127"/>
      <c r="B43" s="260"/>
      <c r="C43" s="337" t="s">
        <v>686</v>
      </c>
      <c r="D43" s="127"/>
      <c r="E43" s="127"/>
      <c r="F43" s="127"/>
      <c r="G43" s="1287"/>
      <c r="H43" s="80">
        <f t="shared" si="11"/>
        <v>0</v>
      </c>
      <c r="I43" s="1289"/>
      <c r="J43" s="1289">
        <f t="shared" si="12"/>
        <v>0</v>
      </c>
      <c r="K43" s="1289"/>
      <c r="L43" s="1289">
        <f t="shared" si="9"/>
        <v>0</v>
      </c>
      <c r="M43" s="1289">
        <f t="shared" si="6"/>
        <v>0</v>
      </c>
    </row>
    <row r="44" spans="1:13" ht="86.25" customHeight="1">
      <c r="A44" s="200" t="s">
        <v>44</v>
      </c>
      <c r="B44" s="260"/>
      <c r="C44" s="68" t="s">
        <v>267</v>
      </c>
      <c r="D44" s="127" t="s">
        <v>809</v>
      </c>
      <c r="E44" s="129">
        <f>42.58+15.52</f>
        <v>58.099999999999994</v>
      </c>
      <c r="F44" s="69">
        <f>58.1*0.7</f>
        <v>40.67</v>
      </c>
      <c r="G44" s="1287"/>
      <c r="H44" s="80">
        <f t="shared" si="11"/>
        <v>0</v>
      </c>
      <c r="I44" s="1289"/>
      <c r="J44" s="1289">
        <f t="shared" si="12"/>
        <v>0</v>
      </c>
      <c r="K44" s="1289"/>
      <c r="L44" s="1289">
        <f t="shared" si="9"/>
        <v>0</v>
      </c>
      <c r="M44" s="1289">
        <f t="shared" si="6"/>
        <v>0</v>
      </c>
    </row>
    <row r="45" spans="1:13" ht="20.100000000000001" customHeight="1">
      <c r="A45" s="248">
        <f>A44+0.1</f>
        <v>1.1000000000000001</v>
      </c>
      <c r="B45" s="249"/>
      <c r="C45" s="191" t="s">
        <v>268</v>
      </c>
      <c r="D45" s="131" t="s">
        <v>13</v>
      </c>
      <c r="E45" s="132">
        <v>3.5499999999999997E-2</v>
      </c>
      <c r="F45" s="242">
        <f>E45*F44</f>
        <v>1.4437849999999999</v>
      </c>
      <c r="G45" s="1290"/>
      <c r="H45" s="80">
        <f t="shared" si="11"/>
        <v>0</v>
      </c>
      <c r="I45" s="80"/>
      <c r="J45" s="1289">
        <f t="shared" si="12"/>
        <v>0</v>
      </c>
      <c r="K45" s="80"/>
      <c r="L45" s="1289">
        <f t="shared" si="9"/>
        <v>0</v>
      </c>
      <c r="M45" s="1289">
        <f t="shared" si="6"/>
        <v>0</v>
      </c>
    </row>
    <row r="46" spans="1:13" ht="23.25" customHeight="1">
      <c r="A46" s="248">
        <f>A45+0.1</f>
        <v>1.2000000000000002</v>
      </c>
      <c r="B46" s="249"/>
      <c r="C46" s="191" t="s">
        <v>816</v>
      </c>
      <c r="D46" s="131" t="s">
        <v>156</v>
      </c>
      <c r="E46" s="258">
        <v>7.9500000000000001E-2</v>
      </c>
      <c r="F46" s="242">
        <f>E46*F44</f>
        <v>3.2332650000000003</v>
      </c>
      <c r="G46" s="1290"/>
      <c r="H46" s="80">
        <f t="shared" si="11"/>
        <v>0</v>
      </c>
      <c r="I46" s="1289"/>
      <c r="J46" s="1289">
        <f t="shared" si="12"/>
        <v>0</v>
      </c>
      <c r="K46" s="80"/>
      <c r="L46" s="1289">
        <f t="shared" si="9"/>
        <v>0</v>
      </c>
      <c r="M46" s="1289">
        <f t="shared" si="6"/>
        <v>0</v>
      </c>
    </row>
    <row r="47" spans="1:13" ht="20.100000000000001" customHeight="1">
      <c r="A47" s="248">
        <f>A46+0.1</f>
        <v>1.3000000000000003</v>
      </c>
      <c r="B47" s="249"/>
      <c r="C47" s="191" t="s">
        <v>117</v>
      </c>
      <c r="D47" s="131" t="s">
        <v>14</v>
      </c>
      <c r="E47" s="1102">
        <v>4.2599999999999999E-3</v>
      </c>
      <c r="F47" s="93">
        <f>E47*F44</f>
        <v>0.1732542</v>
      </c>
      <c r="G47" s="1290"/>
      <c r="H47" s="80">
        <f t="shared" si="11"/>
        <v>0</v>
      </c>
      <c r="I47" s="80"/>
      <c r="J47" s="1289">
        <f t="shared" si="12"/>
        <v>0</v>
      </c>
      <c r="K47" s="80"/>
      <c r="L47" s="1289">
        <f t="shared" si="9"/>
        <v>0</v>
      </c>
      <c r="M47" s="1289">
        <f t="shared" si="6"/>
        <v>0</v>
      </c>
    </row>
    <row r="48" spans="1:13" ht="53.45" customHeight="1">
      <c r="A48" s="81">
        <v>2</v>
      </c>
      <c r="B48" s="1118"/>
      <c r="C48" s="68" t="s">
        <v>685</v>
      </c>
      <c r="D48" s="200" t="s">
        <v>809</v>
      </c>
      <c r="E48" s="61"/>
      <c r="F48" s="69">
        <f>58.1*0.3</f>
        <v>17.43</v>
      </c>
      <c r="G48" s="1290"/>
      <c r="H48" s="80">
        <f t="shared" si="11"/>
        <v>0</v>
      </c>
      <c r="I48" s="1289"/>
      <c r="J48" s="1289">
        <f t="shared" si="12"/>
        <v>0</v>
      </c>
      <c r="K48" s="1291"/>
      <c r="L48" s="1289">
        <f t="shared" si="9"/>
        <v>0</v>
      </c>
      <c r="M48" s="1289">
        <f t="shared" si="6"/>
        <v>0</v>
      </c>
    </row>
    <row r="49" spans="1:13" ht="18.75" customHeight="1">
      <c r="A49" s="248">
        <f>A48+0.1</f>
        <v>2.1</v>
      </c>
      <c r="B49" s="211"/>
      <c r="C49" s="191" t="s">
        <v>12</v>
      </c>
      <c r="D49" s="131" t="s">
        <v>13</v>
      </c>
      <c r="E49" s="61">
        <v>2.06</v>
      </c>
      <c r="F49" s="62">
        <f>F48*E49</f>
        <v>35.905799999999999</v>
      </c>
      <c r="G49" s="1290"/>
      <c r="H49" s="80">
        <f t="shared" si="11"/>
        <v>0</v>
      </c>
      <c r="I49" s="80"/>
      <c r="J49" s="1289">
        <f t="shared" si="12"/>
        <v>0</v>
      </c>
      <c r="K49" s="1289"/>
      <c r="L49" s="1289">
        <f t="shared" si="9"/>
        <v>0</v>
      </c>
      <c r="M49" s="1289">
        <f t="shared" si="6"/>
        <v>0</v>
      </c>
    </row>
    <row r="50" spans="1:13" ht="57.75" customHeight="1">
      <c r="A50" s="1103">
        <v>3</v>
      </c>
      <c r="B50" s="1119"/>
      <c r="C50" s="68" t="s">
        <v>157</v>
      </c>
      <c r="D50" s="67" t="s">
        <v>16</v>
      </c>
      <c r="E50" s="91"/>
      <c r="F50" s="1104">
        <f>F44*1.85+F48*1.85</f>
        <v>107.48500000000001</v>
      </c>
      <c r="G50" s="1287"/>
      <c r="H50" s="80">
        <f t="shared" si="11"/>
        <v>0</v>
      </c>
      <c r="I50" s="80"/>
      <c r="J50" s="1289">
        <f t="shared" si="12"/>
        <v>0</v>
      </c>
      <c r="K50" s="80"/>
      <c r="L50" s="1289">
        <f t="shared" si="9"/>
        <v>0</v>
      </c>
      <c r="M50" s="1289">
        <f t="shared" si="6"/>
        <v>0</v>
      </c>
    </row>
    <row r="51" spans="1:13" ht="20.100000000000001" customHeight="1">
      <c r="A51" s="248">
        <f>A50+0.1</f>
        <v>3.1</v>
      </c>
      <c r="B51" s="211"/>
      <c r="C51" s="191" t="s">
        <v>269</v>
      </c>
      <c r="D51" s="63" t="s">
        <v>16</v>
      </c>
      <c r="E51" s="62">
        <v>1</v>
      </c>
      <c r="F51" s="61">
        <f>E51*F50</f>
        <v>107.48500000000001</v>
      </c>
      <c r="G51" s="1290"/>
      <c r="H51" s="80">
        <f t="shared" si="11"/>
        <v>0</v>
      </c>
      <c r="I51" s="1289"/>
      <c r="J51" s="1289">
        <f t="shared" si="12"/>
        <v>0</v>
      </c>
      <c r="K51" s="1291"/>
      <c r="L51" s="1289">
        <f t="shared" si="9"/>
        <v>0</v>
      </c>
      <c r="M51" s="1289">
        <f t="shared" si="6"/>
        <v>0</v>
      </c>
    </row>
    <row r="52" spans="1:13" s="56" customFormat="1" ht="48.75" customHeight="1">
      <c r="A52" s="81">
        <v>4</v>
      </c>
      <c r="B52" s="1119"/>
      <c r="C52" s="337" t="s">
        <v>683</v>
      </c>
      <c r="D52" s="261" t="s">
        <v>812</v>
      </c>
      <c r="E52" s="91"/>
      <c r="F52" s="69">
        <f>F62*0.7</f>
        <v>79.281999999999996</v>
      </c>
      <c r="G52" s="1287"/>
      <c r="H52" s="80">
        <f t="shared" si="11"/>
        <v>0</v>
      </c>
      <c r="I52" s="1289"/>
      <c r="J52" s="1289">
        <f t="shared" si="12"/>
        <v>0</v>
      </c>
      <c r="K52" s="80"/>
      <c r="L52" s="1289">
        <f t="shared" si="9"/>
        <v>0</v>
      </c>
      <c r="M52" s="1289">
        <f t="shared" si="6"/>
        <v>0</v>
      </c>
    </row>
    <row r="53" spans="1:13">
      <c r="A53" s="248">
        <f>A52+0.1</f>
        <v>4.0999999999999996</v>
      </c>
      <c r="B53" s="249"/>
      <c r="C53" s="336" t="s">
        <v>12</v>
      </c>
      <c r="D53" s="131" t="s">
        <v>13</v>
      </c>
      <c r="E53" s="132">
        <v>3.52</v>
      </c>
      <c r="F53" s="242">
        <f>E53*F52</f>
        <v>279.07263999999998</v>
      </c>
      <c r="G53" s="1290"/>
      <c r="H53" s="80">
        <f t="shared" si="11"/>
        <v>0</v>
      </c>
      <c r="I53" s="1289"/>
      <c r="J53" s="1289">
        <f t="shared" si="12"/>
        <v>0</v>
      </c>
      <c r="K53" s="1289"/>
      <c r="L53" s="1289">
        <f t="shared" si="9"/>
        <v>0</v>
      </c>
      <c r="M53" s="1289">
        <f t="shared" si="6"/>
        <v>0</v>
      </c>
    </row>
    <row r="54" spans="1:13">
      <c r="A54" s="248">
        <f>A53+0.1</f>
        <v>4.1999999999999993</v>
      </c>
      <c r="B54" s="249"/>
      <c r="C54" s="336" t="s">
        <v>117</v>
      </c>
      <c r="D54" s="80" t="s">
        <v>14</v>
      </c>
      <c r="E54" s="61">
        <v>1.06</v>
      </c>
      <c r="F54" s="62">
        <f>F52*E54</f>
        <v>84.038920000000005</v>
      </c>
      <c r="G54" s="1292"/>
      <c r="H54" s="80">
        <f t="shared" si="11"/>
        <v>0</v>
      </c>
      <c r="I54" s="1289"/>
      <c r="J54" s="1289">
        <f t="shared" si="12"/>
        <v>0</v>
      </c>
      <c r="K54" s="1291"/>
      <c r="L54" s="1289">
        <f t="shared" si="9"/>
        <v>0</v>
      </c>
      <c r="M54" s="1289">
        <f t="shared" si="6"/>
        <v>0</v>
      </c>
    </row>
    <row r="55" spans="1:13" ht="21">
      <c r="A55" s="248">
        <f>A54+0.1</f>
        <v>4.2999999999999989</v>
      </c>
      <c r="B55" s="1120"/>
      <c r="C55" s="336" t="s">
        <v>218</v>
      </c>
      <c r="D55" s="63" t="s">
        <v>810</v>
      </c>
      <c r="E55" s="132">
        <f>0.18+0.09+0.97</f>
        <v>1.24</v>
      </c>
      <c r="F55" s="62">
        <f>E55*F52</f>
        <v>98.30968</v>
      </c>
      <c r="G55" s="1290"/>
      <c r="H55" s="80">
        <f>F55*G55</f>
        <v>0</v>
      </c>
      <c r="I55" s="1289"/>
      <c r="J55" s="1289">
        <f>F55*I55</f>
        <v>0</v>
      </c>
      <c r="K55" s="1289"/>
      <c r="L55" s="1289">
        <f>F55*K55</f>
        <v>0</v>
      </c>
      <c r="M55" s="1289">
        <f t="shared" si="6"/>
        <v>0</v>
      </c>
    </row>
    <row r="56" spans="1:13" s="58" customFormat="1">
      <c r="A56" s="248">
        <f>A55+0.1</f>
        <v>4.3999999999999986</v>
      </c>
      <c r="B56" s="211"/>
      <c r="C56" s="336" t="s">
        <v>119</v>
      </c>
      <c r="D56" s="80" t="s">
        <v>1</v>
      </c>
      <c r="E56" s="93">
        <v>0.02</v>
      </c>
      <c r="F56" s="93">
        <f>E56*F52</f>
        <v>1.5856399999999999</v>
      </c>
      <c r="G56" s="1292"/>
      <c r="H56" s="80">
        <f>F56*G56</f>
        <v>0</v>
      </c>
      <c r="I56" s="1289"/>
      <c r="J56" s="1289">
        <f>F56*I56</f>
        <v>0</v>
      </c>
      <c r="K56" s="80"/>
      <c r="L56" s="1289">
        <f>F56*K56</f>
        <v>0</v>
      </c>
      <c r="M56" s="1289">
        <f t="shared" si="6"/>
        <v>0</v>
      </c>
    </row>
    <row r="57" spans="1:13" s="56" customFormat="1" ht="37.5">
      <c r="A57" s="81">
        <v>5</v>
      </c>
      <c r="B57" s="1119"/>
      <c r="C57" s="337" t="s">
        <v>270</v>
      </c>
      <c r="D57" s="261" t="s">
        <v>812</v>
      </c>
      <c r="E57" s="91"/>
      <c r="F57" s="69">
        <f>16.53</f>
        <v>16.53</v>
      </c>
      <c r="G57" s="1287"/>
      <c r="H57" s="80">
        <f t="shared" ref="H57:H59" si="14">F57*G57</f>
        <v>0</v>
      </c>
      <c r="I57" s="1289"/>
      <c r="J57" s="1289">
        <f t="shared" ref="J57:J59" si="15">F57*I57</f>
        <v>0</v>
      </c>
      <c r="K57" s="80"/>
      <c r="L57" s="1289">
        <f t="shared" ref="L57:L64" si="16">F57*K57</f>
        <v>0</v>
      </c>
      <c r="M57" s="1289">
        <f t="shared" si="6"/>
        <v>0</v>
      </c>
    </row>
    <row r="58" spans="1:13">
      <c r="A58" s="248">
        <f>A57+0.1</f>
        <v>5.0999999999999996</v>
      </c>
      <c r="B58" s="249"/>
      <c r="C58" s="336" t="s">
        <v>12</v>
      </c>
      <c r="D58" s="131" t="s">
        <v>13</v>
      </c>
      <c r="E58" s="132">
        <v>3.52</v>
      </c>
      <c r="F58" s="242">
        <f>E58*F57</f>
        <v>58.185600000000001</v>
      </c>
      <c r="G58" s="1290"/>
      <c r="H58" s="80">
        <f t="shared" si="14"/>
        <v>0</v>
      </c>
      <c r="I58" s="1289"/>
      <c r="J58" s="1289">
        <f t="shared" si="15"/>
        <v>0</v>
      </c>
      <c r="K58" s="1289"/>
      <c r="L58" s="1289">
        <f t="shared" si="16"/>
        <v>0</v>
      </c>
      <c r="M58" s="1289">
        <f t="shared" si="6"/>
        <v>0</v>
      </c>
    </row>
    <row r="59" spans="1:13">
      <c r="A59" s="248">
        <f>A58+0.1</f>
        <v>5.1999999999999993</v>
      </c>
      <c r="B59" s="249"/>
      <c r="C59" s="336" t="s">
        <v>117</v>
      </c>
      <c r="D59" s="80" t="s">
        <v>14</v>
      </c>
      <c r="E59" s="61">
        <v>1.06</v>
      </c>
      <c r="F59" s="62">
        <f>F57*E59</f>
        <v>17.521800000000002</v>
      </c>
      <c r="G59" s="1292"/>
      <c r="H59" s="80">
        <f t="shared" si="14"/>
        <v>0</v>
      </c>
      <c r="I59" s="1289"/>
      <c r="J59" s="1289">
        <f t="shared" si="15"/>
        <v>0</v>
      </c>
      <c r="K59" s="1291"/>
      <c r="L59" s="1289">
        <f t="shared" si="16"/>
        <v>0</v>
      </c>
      <c r="M59" s="1289">
        <f t="shared" si="6"/>
        <v>0</v>
      </c>
    </row>
    <row r="60" spans="1:13" ht="21">
      <c r="A60" s="248">
        <f>A59+0.1</f>
        <v>5.2999999999999989</v>
      </c>
      <c r="B60" s="1120"/>
      <c r="C60" s="336" t="s">
        <v>59</v>
      </c>
      <c r="D60" s="63" t="s">
        <v>810</v>
      </c>
      <c r="E60" s="132">
        <f>0.18+0.09+0.97</f>
        <v>1.24</v>
      </c>
      <c r="F60" s="62">
        <f>E60*F57</f>
        <v>20.497200000000003</v>
      </c>
      <c r="G60" s="1290"/>
      <c r="H60" s="80">
        <f t="shared" ref="H60:H102" si="17">F60*G60</f>
        <v>0</v>
      </c>
      <c r="I60" s="1289"/>
      <c r="J60" s="1289">
        <f t="shared" ref="J60:J102" si="18">F60*I60</f>
        <v>0</v>
      </c>
      <c r="K60" s="1289"/>
      <c r="L60" s="1289">
        <f t="shared" si="16"/>
        <v>0</v>
      </c>
      <c r="M60" s="1289">
        <f t="shared" si="6"/>
        <v>0</v>
      </c>
    </row>
    <row r="61" spans="1:13" s="58" customFormat="1">
      <c r="A61" s="248">
        <f>A60+0.1</f>
        <v>5.3999999999999986</v>
      </c>
      <c r="B61" s="211"/>
      <c r="C61" s="336" t="s">
        <v>119</v>
      </c>
      <c r="D61" s="80" t="s">
        <v>1</v>
      </c>
      <c r="E61" s="93">
        <v>0.02</v>
      </c>
      <c r="F61" s="93">
        <f>E61*F57</f>
        <v>0.3306</v>
      </c>
      <c r="G61" s="1292"/>
      <c r="H61" s="80">
        <f t="shared" si="17"/>
        <v>0</v>
      </c>
      <c r="I61" s="1289"/>
      <c r="J61" s="1289">
        <f t="shared" si="18"/>
        <v>0</v>
      </c>
      <c r="K61" s="80"/>
      <c r="L61" s="1289">
        <f t="shared" si="16"/>
        <v>0</v>
      </c>
      <c r="M61" s="1289">
        <f t="shared" si="6"/>
        <v>0</v>
      </c>
    </row>
    <row r="62" spans="1:13" ht="21">
      <c r="A62" s="81">
        <v>6</v>
      </c>
      <c r="B62" s="1119"/>
      <c r="C62" s="128" t="s">
        <v>271</v>
      </c>
      <c r="D62" s="127" t="s">
        <v>809</v>
      </c>
      <c r="E62" s="91"/>
      <c r="F62" s="69">
        <v>113.26</v>
      </c>
      <c r="G62" s="1287"/>
      <c r="H62" s="80">
        <f t="shared" si="17"/>
        <v>0</v>
      </c>
      <c r="I62" s="1289"/>
      <c r="J62" s="1289">
        <f t="shared" si="18"/>
        <v>0</v>
      </c>
      <c r="K62" s="1289"/>
      <c r="L62" s="1289">
        <f t="shared" si="16"/>
        <v>0</v>
      </c>
      <c r="M62" s="1289">
        <f t="shared" si="6"/>
        <v>0</v>
      </c>
    </row>
    <row r="63" spans="1:13" ht="24.75" customHeight="1">
      <c r="A63" s="248">
        <f>A62+0.1</f>
        <v>6.1</v>
      </c>
      <c r="B63" s="211"/>
      <c r="C63" s="191" t="s">
        <v>12</v>
      </c>
      <c r="D63" s="131" t="s">
        <v>13</v>
      </c>
      <c r="E63" s="61">
        <v>8.44</v>
      </c>
      <c r="F63" s="61">
        <f>E63*F62</f>
        <v>955.9144</v>
      </c>
      <c r="G63" s="1290"/>
      <c r="H63" s="80">
        <f t="shared" si="17"/>
        <v>0</v>
      </c>
      <c r="I63" s="80"/>
      <c r="J63" s="1289">
        <f t="shared" si="18"/>
        <v>0</v>
      </c>
      <c r="K63" s="80"/>
      <c r="L63" s="1289">
        <f t="shared" si="16"/>
        <v>0</v>
      </c>
      <c r="M63" s="1289">
        <f t="shared" si="6"/>
        <v>0</v>
      </c>
    </row>
    <row r="64" spans="1:13" s="56" customFormat="1" ht="24.75" customHeight="1">
      <c r="A64" s="248">
        <f t="shared" ref="A64:A76" si="19">A63+0.1</f>
        <v>6.1999999999999993</v>
      </c>
      <c r="B64" s="211"/>
      <c r="C64" s="191" t="s">
        <v>266</v>
      </c>
      <c r="D64" s="80" t="s">
        <v>14</v>
      </c>
      <c r="E64" s="61">
        <v>1.1000000000000001</v>
      </c>
      <c r="F64" s="62">
        <f>E64*F62</f>
        <v>124.58600000000001</v>
      </c>
      <c r="G64" s="1290"/>
      <c r="H64" s="80">
        <f t="shared" si="17"/>
        <v>0</v>
      </c>
      <c r="I64" s="80"/>
      <c r="J64" s="1289">
        <f t="shared" si="18"/>
        <v>0</v>
      </c>
      <c r="K64" s="80"/>
      <c r="L64" s="1289">
        <f t="shared" si="16"/>
        <v>0</v>
      </c>
      <c r="M64" s="1289">
        <f t="shared" si="6"/>
        <v>0</v>
      </c>
    </row>
    <row r="65" spans="1:13" s="56" customFormat="1" ht="24.75" customHeight="1">
      <c r="A65" s="248">
        <f t="shared" si="19"/>
        <v>6.2999999999999989</v>
      </c>
      <c r="B65" s="211"/>
      <c r="C65" s="64" t="s">
        <v>75</v>
      </c>
      <c r="D65" s="80" t="s">
        <v>810</v>
      </c>
      <c r="E65" s="61">
        <v>1.0149999999999999</v>
      </c>
      <c r="F65" s="62">
        <f>E65*F62</f>
        <v>114.9589</v>
      </c>
      <c r="G65" s="1295"/>
      <c r="H65" s="80">
        <f t="shared" si="17"/>
        <v>0</v>
      </c>
      <c r="I65" s="80"/>
      <c r="J65" s="1289">
        <f t="shared" si="18"/>
        <v>0</v>
      </c>
      <c r="K65" s="80"/>
      <c r="L65" s="1289">
        <f t="shared" ref="L65:L108" si="20">F65*K65</f>
        <v>0</v>
      </c>
      <c r="M65" s="1289">
        <f t="shared" si="6"/>
        <v>0</v>
      </c>
    </row>
    <row r="66" spans="1:13" s="56" customFormat="1" ht="24.75" customHeight="1">
      <c r="A66" s="248">
        <f t="shared" si="19"/>
        <v>6.3999999999999986</v>
      </c>
      <c r="B66" s="211"/>
      <c r="C66" s="64" t="s">
        <v>312</v>
      </c>
      <c r="D66" s="80" t="s">
        <v>15</v>
      </c>
      <c r="E66" s="61">
        <v>1.0149999999999999</v>
      </c>
      <c r="F66" s="62">
        <f>F62*E66</f>
        <v>114.9589</v>
      </c>
      <c r="G66" s="1290"/>
      <c r="H66" s="80">
        <f>F66*G66</f>
        <v>0</v>
      </c>
      <c r="I66" s="80"/>
      <c r="J66" s="1289">
        <f t="shared" si="18"/>
        <v>0</v>
      </c>
      <c r="K66" s="80"/>
      <c r="L66" s="1289">
        <f>F66*K66</f>
        <v>0</v>
      </c>
      <c r="M66" s="1289">
        <f t="shared" si="6"/>
        <v>0</v>
      </c>
    </row>
    <row r="67" spans="1:13" s="56" customFormat="1" ht="24.75" customHeight="1">
      <c r="A67" s="492">
        <f t="shared" si="19"/>
        <v>6.4999999999999982</v>
      </c>
      <c r="B67" s="1120"/>
      <c r="C67" s="184" t="s">
        <v>251</v>
      </c>
      <c r="D67" s="63" t="s">
        <v>16</v>
      </c>
      <c r="E67" s="61" t="s">
        <v>20</v>
      </c>
      <c r="F67" s="93">
        <f>1727.8/1000+413.05/1000</f>
        <v>2.1408499999999999</v>
      </c>
      <c r="G67" s="1296"/>
      <c r="H67" s="80">
        <f t="shared" si="17"/>
        <v>0</v>
      </c>
      <c r="I67" s="80"/>
      <c r="J67" s="1289">
        <f t="shared" si="18"/>
        <v>0</v>
      </c>
      <c r="K67" s="80"/>
      <c r="L67" s="80">
        <f t="shared" si="20"/>
        <v>0</v>
      </c>
      <c r="M67" s="1289">
        <f t="shared" si="6"/>
        <v>0</v>
      </c>
    </row>
    <row r="68" spans="1:13" s="56" customFormat="1" ht="24.75" customHeight="1">
      <c r="A68" s="492">
        <f t="shared" si="19"/>
        <v>6.5999999999999979</v>
      </c>
      <c r="B68" s="249"/>
      <c r="C68" s="184" t="s">
        <v>313</v>
      </c>
      <c r="D68" s="63" t="s">
        <v>16</v>
      </c>
      <c r="E68" s="61" t="s">
        <v>20</v>
      </c>
      <c r="F68" s="93">
        <f>959.14/1000+768.15/1000</f>
        <v>1.72729</v>
      </c>
      <c r="G68" s="1290"/>
      <c r="H68" s="80">
        <f t="shared" si="17"/>
        <v>0</v>
      </c>
      <c r="I68" s="80"/>
      <c r="J68" s="1289">
        <f t="shared" si="18"/>
        <v>0</v>
      </c>
      <c r="K68" s="80"/>
      <c r="L68" s="80">
        <f t="shared" si="20"/>
        <v>0</v>
      </c>
      <c r="M68" s="1289">
        <f t="shared" si="6"/>
        <v>0</v>
      </c>
    </row>
    <row r="69" spans="1:13" s="56" customFormat="1" ht="24.75" customHeight="1">
      <c r="A69" s="492">
        <f t="shared" si="19"/>
        <v>6.6999999999999975</v>
      </c>
      <c r="B69" s="249"/>
      <c r="C69" s="184" t="s">
        <v>687</v>
      </c>
      <c r="D69" s="63" t="s">
        <v>16</v>
      </c>
      <c r="E69" s="61" t="s">
        <v>20</v>
      </c>
      <c r="F69" s="93">
        <f>3316.46/1000+765.35/1000</f>
        <v>4.0818099999999999</v>
      </c>
      <c r="G69" s="1296"/>
      <c r="H69" s="80">
        <f t="shared" si="17"/>
        <v>0</v>
      </c>
      <c r="I69" s="80"/>
      <c r="J69" s="1289">
        <f t="shared" si="18"/>
        <v>0</v>
      </c>
      <c r="K69" s="80"/>
      <c r="L69" s="80">
        <f t="shared" si="20"/>
        <v>0</v>
      </c>
      <c r="M69" s="1289">
        <f t="shared" si="6"/>
        <v>0</v>
      </c>
    </row>
    <row r="70" spans="1:13" s="56" customFormat="1" ht="24.75" customHeight="1">
      <c r="A70" s="492">
        <f t="shared" si="19"/>
        <v>6.7999999999999972</v>
      </c>
      <c r="B70" s="249"/>
      <c r="C70" s="184" t="s">
        <v>678</v>
      </c>
      <c r="D70" s="63" t="s">
        <v>16</v>
      </c>
      <c r="E70" s="61" t="s">
        <v>20</v>
      </c>
      <c r="F70" s="93">
        <f>2004.27/1000</f>
        <v>2.00427</v>
      </c>
      <c r="G70" s="1296"/>
      <c r="H70" s="80">
        <f t="shared" ref="H70" si="21">F70*G70</f>
        <v>0</v>
      </c>
      <c r="I70" s="80"/>
      <c r="J70" s="1289">
        <f t="shared" ref="J70" si="22">F70*I70</f>
        <v>0</v>
      </c>
      <c r="K70" s="80"/>
      <c r="L70" s="80">
        <f t="shared" ref="L70" si="23">F70*K70</f>
        <v>0</v>
      </c>
      <c r="M70" s="1289">
        <f t="shared" si="6"/>
        <v>0</v>
      </c>
    </row>
    <row r="71" spans="1:13" s="56" customFormat="1" ht="24.75" customHeight="1">
      <c r="A71" s="492">
        <f t="shared" si="19"/>
        <v>6.8999999999999968</v>
      </c>
      <c r="B71" s="211"/>
      <c r="C71" s="64" t="s">
        <v>18</v>
      </c>
      <c r="D71" s="63" t="s">
        <v>811</v>
      </c>
      <c r="E71" s="61">
        <v>1.84</v>
      </c>
      <c r="F71" s="62">
        <f>E71*F62</f>
        <v>208.39840000000001</v>
      </c>
      <c r="G71" s="1290"/>
      <c r="H71" s="80">
        <f t="shared" si="17"/>
        <v>0</v>
      </c>
      <c r="I71" s="80"/>
      <c r="J71" s="1289">
        <f t="shared" si="18"/>
        <v>0</v>
      </c>
      <c r="K71" s="80"/>
      <c r="L71" s="1289">
        <f t="shared" si="20"/>
        <v>0</v>
      </c>
      <c r="M71" s="1289">
        <f t="shared" si="6"/>
        <v>0</v>
      </c>
    </row>
    <row r="72" spans="1:13" s="56" customFormat="1" ht="24.75" customHeight="1">
      <c r="A72" s="492">
        <f t="shared" si="19"/>
        <v>6.9999999999999964</v>
      </c>
      <c r="B72" s="256"/>
      <c r="C72" s="64" t="s">
        <v>273</v>
      </c>
      <c r="D72" s="80" t="s">
        <v>810</v>
      </c>
      <c r="E72" s="258">
        <v>3.3999999999999998E-3</v>
      </c>
      <c r="F72" s="258">
        <f>E72*F62</f>
        <v>0.38508399999999998</v>
      </c>
      <c r="G72" s="1290"/>
      <c r="H72" s="80">
        <f t="shared" si="17"/>
        <v>0</v>
      </c>
      <c r="I72" s="1289"/>
      <c r="J72" s="1289">
        <f t="shared" si="18"/>
        <v>0</v>
      </c>
      <c r="K72" s="80"/>
      <c r="L72" s="1289">
        <f t="shared" si="20"/>
        <v>0</v>
      </c>
      <c r="M72" s="1289">
        <f t="shared" si="6"/>
        <v>0</v>
      </c>
    </row>
    <row r="73" spans="1:13" s="1108" customFormat="1" ht="24.75" customHeight="1">
      <c r="A73" s="492">
        <f t="shared" si="19"/>
        <v>7.0999999999999961</v>
      </c>
      <c r="B73" s="256"/>
      <c r="C73" s="64" t="s">
        <v>274</v>
      </c>
      <c r="D73" s="80" t="s">
        <v>810</v>
      </c>
      <c r="E73" s="258">
        <v>3.9100000000000003E-2</v>
      </c>
      <c r="F73" s="258">
        <f>E73*F62</f>
        <v>4.4284660000000002</v>
      </c>
      <c r="G73" s="1290"/>
      <c r="H73" s="80">
        <f t="shared" si="17"/>
        <v>0</v>
      </c>
      <c r="I73" s="1289"/>
      <c r="J73" s="1289">
        <f t="shared" si="18"/>
        <v>0</v>
      </c>
      <c r="K73" s="1300"/>
      <c r="L73" s="1289">
        <f t="shared" si="20"/>
        <v>0</v>
      </c>
      <c r="M73" s="1289">
        <f t="shared" si="6"/>
        <v>0</v>
      </c>
    </row>
    <row r="74" spans="1:13" ht="24.75" customHeight="1">
      <c r="A74" s="492">
        <f t="shared" si="19"/>
        <v>7.1999999999999957</v>
      </c>
      <c r="B74" s="256"/>
      <c r="C74" s="64" t="s">
        <v>275</v>
      </c>
      <c r="D74" s="80" t="s">
        <v>16</v>
      </c>
      <c r="E74" s="258">
        <v>2.2000000000000001E-3</v>
      </c>
      <c r="F74" s="258">
        <f>E74*F62</f>
        <v>0.24917200000000003</v>
      </c>
      <c r="G74" s="1290"/>
      <c r="H74" s="80">
        <f t="shared" si="17"/>
        <v>0</v>
      </c>
      <c r="I74" s="1289"/>
      <c r="J74" s="1289">
        <f t="shared" si="18"/>
        <v>0</v>
      </c>
      <c r="K74" s="1289"/>
      <c r="L74" s="1289">
        <f t="shared" si="20"/>
        <v>0</v>
      </c>
      <c r="M74" s="1289">
        <f t="shared" si="6"/>
        <v>0</v>
      </c>
    </row>
    <row r="75" spans="1:13" ht="24.75" customHeight="1">
      <c r="A75" s="492">
        <f t="shared" si="19"/>
        <v>7.2999999999999954</v>
      </c>
      <c r="B75" s="249"/>
      <c r="C75" s="64" t="s">
        <v>276</v>
      </c>
      <c r="D75" s="80" t="s">
        <v>16</v>
      </c>
      <c r="E75" s="93">
        <v>1E-3</v>
      </c>
      <c r="F75" s="258">
        <f>E75*F62</f>
        <v>0.11326000000000001</v>
      </c>
      <c r="G75" s="1290"/>
      <c r="H75" s="80">
        <f t="shared" si="17"/>
        <v>0</v>
      </c>
      <c r="I75" s="1289"/>
      <c r="J75" s="1289">
        <f t="shared" si="18"/>
        <v>0</v>
      </c>
      <c r="K75" s="80"/>
      <c r="L75" s="1289">
        <f t="shared" si="20"/>
        <v>0</v>
      </c>
      <c r="M75" s="1289">
        <f t="shared" ref="M75:M136" si="24">H75+J75+L75</f>
        <v>0</v>
      </c>
    </row>
    <row r="76" spans="1:13" ht="24.75" customHeight="1">
      <c r="A76" s="492">
        <f t="shared" si="19"/>
        <v>7.399999999999995</v>
      </c>
      <c r="B76" s="211"/>
      <c r="C76" s="336" t="s">
        <v>119</v>
      </c>
      <c r="D76" s="63" t="s">
        <v>14</v>
      </c>
      <c r="E76" s="61">
        <v>0.46</v>
      </c>
      <c r="F76" s="62">
        <f>E76*F62</f>
        <v>52.099600000000002</v>
      </c>
      <c r="G76" s="1292"/>
      <c r="H76" s="80">
        <f t="shared" si="17"/>
        <v>0</v>
      </c>
      <c r="I76" s="1289"/>
      <c r="J76" s="1289">
        <f t="shared" si="18"/>
        <v>0</v>
      </c>
      <c r="K76" s="80"/>
      <c r="L76" s="1289">
        <f t="shared" si="20"/>
        <v>0</v>
      </c>
      <c r="M76" s="1289">
        <f t="shared" si="24"/>
        <v>0</v>
      </c>
    </row>
    <row r="77" spans="1:13" s="331" customFormat="1" ht="60" customHeight="1">
      <c r="A77" s="322">
        <v>7</v>
      </c>
      <c r="B77" s="323"/>
      <c r="C77" s="324" t="s">
        <v>459</v>
      </c>
      <c r="D77" s="325" t="s">
        <v>107</v>
      </c>
      <c r="E77" s="326"/>
      <c r="F77" s="327">
        <f>F80/1.03+F81/1.03</f>
        <v>270.79000000000002</v>
      </c>
      <c r="G77" s="1298"/>
      <c r="H77" s="80">
        <f t="shared" si="17"/>
        <v>0</v>
      </c>
      <c r="I77" s="1299"/>
      <c r="J77" s="1289">
        <f t="shared" si="18"/>
        <v>0</v>
      </c>
      <c r="K77" s="1299"/>
      <c r="L77" s="1289">
        <f t="shared" si="20"/>
        <v>0</v>
      </c>
      <c r="M77" s="1289">
        <f t="shared" si="24"/>
        <v>0</v>
      </c>
    </row>
    <row r="78" spans="1:13" s="331" customFormat="1" ht="30" customHeight="1">
      <c r="A78" s="248">
        <f>A77+0.1</f>
        <v>7.1</v>
      </c>
      <c r="B78" s="335"/>
      <c r="C78" s="332" t="s">
        <v>307</v>
      </c>
      <c r="D78" s="333" t="s">
        <v>13</v>
      </c>
      <c r="E78" s="334">
        <v>5.75</v>
      </c>
      <c r="F78" s="329">
        <f>F77*E78</f>
        <v>1557.0425</v>
      </c>
      <c r="G78" s="1298"/>
      <c r="H78" s="80">
        <f t="shared" si="17"/>
        <v>0</v>
      </c>
      <c r="I78" s="1299"/>
      <c r="J78" s="1289">
        <f t="shared" si="18"/>
        <v>0</v>
      </c>
      <c r="K78" s="1299"/>
      <c r="L78" s="1289">
        <f t="shared" si="20"/>
        <v>0</v>
      </c>
      <c r="M78" s="1289">
        <f t="shared" si="24"/>
        <v>0</v>
      </c>
    </row>
    <row r="79" spans="1:13" s="331" customFormat="1" ht="30" customHeight="1">
      <c r="A79" s="248">
        <f t="shared" ref="A79:A83" si="25">A78+0.1</f>
        <v>7.1999999999999993</v>
      </c>
      <c r="B79" s="335"/>
      <c r="C79" s="332" t="s">
        <v>51</v>
      </c>
      <c r="D79" s="333" t="s">
        <v>14</v>
      </c>
      <c r="E79" s="334">
        <v>3.5999999999999997E-2</v>
      </c>
      <c r="F79" s="329">
        <f>F77*E79</f>
        <v>9.7484400000000004</v>
      </c>
      <c r="G79" s="1298"/>
      <c r="H79" s="80">
        <f t="shared" si="17"/>
        <v>0</v>
      </c>
      <c r="I79" s="1299"/>
      <c r="J79" s="1289">
        <f t="shared" si="18"/>
        <v>0</v>
      </c>
      <c r="K79" s="1299"/>
      <c r="L79" s="1289">
        <f t="shared" si="20"/>
        <v>0</v>
      </c>
      <c r="M79" s="1289">
        <f t="shared" si="24"/>
        <v>0</v>
      </c>
    </row>
    <row r="80" spans="1:13" s="331" customFormat="1">
      <c r="A80" s="248">
        <f t="shared" si="25"/>
        <v>7.2999999999999989</v>
      </c>
      <c r="B80" s="335"/>
      <c r="C80" s="332" t="s">
        <v>460</v>
      </c>
      <c r="D80" s="333" t="s">
        <v>107</v>
      </c>
      <c r="E80" s="334">
        <v>1.03</v>
      </c>
      <c r="F80" s="329">
        <f>(26.83+34.8+9.38+13+12.5+12.8+12+2.5+2.5+18.1+2.4+3+19.3+7.2+9.23)*1.03</f>
        <v>191.1062</v>
      </c>
      <c r="G80" s="1298"/>
      <c r="H80" s="80">
        <f t="shared" si="17"/>
        <v>0</v>
      </c>
      <c r="I80" s="1299"/>
      <c r="J80" s="1289">
        <f t="shared" si="18"/>
        <v>0</v>
      </c>
      <c r="K80" s="1299"/>
      <c r="L80" s="1289">
        <f t="shared" si="20"/>
        <v>0</v>
      </c>
      <c r="M80" s="1289">
        <f t="shared" si="24"/>
        <v>0</v>
      </c>
    </row>
    <row r="81" spans="1:13" s="331" customFormat="1">
      <c r="A81" s="248">
        <f t="shared" si="25"/>
        <v>7.3999999999999986</v>
      </c>
      <c r="B81" s="335"/>
      <c r="C81" s="332" t="s">
        <v>461</v>
      </c>
      <c r="D81" s="333" t="s">
        <v>107</v>
      </c>
      <c r="E81" s="334">
        <v>1.03</v>
      </c>
      <c r="F81" s="329">
        <f>(11.8+20.43+10.7+12.5+3.81+3.81+9.6+5.7+6.9)*1.03</f>
        <v>87.807500000000019</v>
      </c>
      <c r="G81" s="1298"/>
      <c r="H81" s="80">
        <f t="shared" si="17"/>
        <v>0</v>
      </c>
      <c r="I81" s="1299"/>
      <c r="J81" s="1289">
        <f t="shared" si="18"/>
        <v>0</v>
      </c>
      <c r="K81" s="1299"/>
      <c r="L81" s="1289">
        <f t="shared" si="20"/>
        <v>0</v>
      </c>
      <c r="M81" s="1289">
        <f t="shared" si="24"/>
        <v>0</v>
      </c>
    </row>
    <row r="82" spans="1:13" s="331" customFormat="1">
      <c r="A82" s="248">
        <f t="shared" si="25"/>
        <v>7.4999999999999982</v>
      </c>
      <c r="B82" s="335"/>
      <c r="C82" s="332" t="s">
        <v>455</v>
      </c>
      <c r="D82" s="333" t="s">
        <v>349</v>
      </c>
      <c r="E82" s="334">
        <v>6</v>
      </c>
      <c r="F82" s="329">
        <f>F77*E82</f>
        <v>1624.7400000000002</v>
      </c>
      <c r="G82" s="1298"/>
      <c r="H82" s="80">
        <f t="shared" si="17"/>
        <v>0</v>
      </c>
      <c r="I82" s="1299"/>
      <c r="J82" s="1289">
        <f t="shared" si="18"/>
        <v>0</v>
      </c>
      <c r="K82" s="1299"/>
      <c r="L82" s="1289">
        <f t="shared" si="20"/>
        <v>0</v>
      </c>
      <c r="M82" s="1289">
        <f t="shared" si="24"/>
        <v>0</v>
      </c>
    </row>
    <row r="83" spans="1:13" s="331" customFormat="1">
      <c r="A83" s="248">
        <f t="shared" si="25"/>
        <v>7.5999999999999979</v>
      </c>
      <c r="B83" s="335"/>
      <c r="C83" s="336" t="s">
        <v>119</v>
      </c>
      <c r="D83" s="80" t="s">
        <v>1</v>
      </c>
      <c r="E83" s="334">
        <v>4.2999999999999997E-2</v>
      </c>
      <c r="F83" s="329">
        <f>F77*E83</f>
        <v>11.643969999999999</v>
      </c>
      <c r="G83" s="1298"/>
      <c r="H83" s="80">
        <f t="shared" si="17"/>
        <v>0</v>
      </c>
      <c r="I83" s="1299"/>
      <c r="J83" s="1289">
        <f t="shared" si="18"/>
        <v>0</v>
      </c>
      <c r="K83" s="1299"/>
      <c r="L83" s="1289">
        <f t="shared" si="20"/>
        <v>0</v>
      </c>
      <c r="M83" s="1289">
        <f t="shared" si="24"/>
        <v>0</v>
      </c>
    </row>
    <row r="84" spans="1:13" s="331" customFormat="1" ht="37.5">
      <c r="A84" s="236">
        <v>8</v>
      </c>
      <c r="B84" s="237"/>
      <c r="C84" s="337" t="s">
        <v>618</v>
      </c>
      <c r="D84" s="67" t="s">
        <v>813</v>
      </c>
      <c r="E84" s="91"/>
      <c r="F84" s="327">
        <f>F77</f>
        <v>270.79000000000002</v>
      </c>
      <c r="G84" s="1287"/>
      <c r="H84" s="80">
        <f t="shared" si="17"/>
        <v>0</v>
      </c>
      <c r="I84" s="261"/>
      <c r="J84" s="1289">
        <f t="shared" si="18"/>
        <v>0</v>
      </c>
      <c r="K84" s="261"/>
      <c r="L84" s="1289">
        <f t="shared" si="20"/>
        <v>0</v>
      </c>
      <c r="M84" s="1289">
        <f t="shared" si="24"/>
        <v>0</v>
      </c>
    </row>
    <row r="85" spans="1:13" s="331" customFormat="1" ht="30" customHeight="1">
      <c r="A85" s="338">
        <f>A84+0.1</f>
        <v>8.1</v>
      </c>
      <c r="B85" s="241"/>
      <c r="C85" s="336" t="s">
        <v>69</v>
      </c>
      <c r="D85" s="131" t="s">
        <v>13</v>
      </c>
      <c r="E85" s="339">
        <v>0.91</v>
      </c>
      <c r="F85" s="268">
        <f>E85*F84</f>
        <v>246.41890000000004</v>
      </c>
      <c r="G85" s="1293"/>
      <c r="H85" s="80">
        <f t="shared" si="17"/>
        <v>0</v>
      </c>
      <c r="I85" s="80"/>
      <c r="J85" s="1289">
        <f t="shared" si="18"/>
        <v>0</v>
      </c>
      <c r="K85" s="80"/>
      <c r="L85" s="1289">
        <f t="shared" si="20"/>
        <v>0</v>
      </c>
      <c r="M85" s="1289">
        <f t="shared" si="24"/>
        <v>0</v>
      </c>
    </row>
    <row r="86" spans="1:13" s="331" customFormat="1">
      <c r="A86" s="338">
        <f>A85+0.1</f>
        <v>8.1999999999999993</v>
      </c>
      <c r="B86" s="241"/>
      <c r="C86" s="276" t="s">
        <v>117</v>
      </c>
      <c r="D86" s="80" t="s">
        <v>14</v>
      </c>
      <c r="E86" s="339">
        <v>1E-3</v>
      </c>
      <c r="F86" s="339">
        <f>E86*F84</f>
        <v>0.27079000000000003</v>
      </c>
      <c r="G86" s="1290"/>
      <c r="H86" s="80">
        <f t="shared" si="17"/>
        <v>0</v>
      </c>
      <c r="I86" s="80"/>
      <c r="J86" s="1289">
        <f t="shared" si="18"/>
        <v>0</v>
      </c>
      <c r="K86" s="1294"/>
      <c r="L86" s="1289">
        <f t="shared" si="20"/>
        <v>0</v>
      </c>
      <c r="M86" s="1289">
        <f t="shared" si="24"/>
        <v>0</v>
      </c>
    </row>
    <row r="87" spans="1:13" s="331" customFormat="1">
      <c r="A87" s="338">
        <f>A86+0.1</f>
        <v>8.2999999999999989</v>
      </c>
      <c r="B87" s="249"/>
      <c r="C87" s="336" t="s">
        <v>603</v>
      </c>
      <c r="D87" s="80" t="s">
        <v>21</v>
      </c>
      <c r="E87" s="252">
        <v>0.63</v>
      </c>
      <c r="F87" s="268">
        <f>E87*F84</f>
        <v>170.5977</v>
      </c>
      <c r="G87" s="1301"/>
      <c r="H87" s="80">
        <f t="shared" si="17"/>
        <v>0</v>
      </c>
      <c r="I87" s="80"/>
      <c r="J87" s="1289">
        <f t="shared" si="18"/>
        <v>0</v>
      </c>
      <c r="K87" s="80"/>
      <c r="L87" s="1289">
        <f t="shared" si="20"/>
        <v>0</v>
      </c>
      <c r="M87" s="1289">
        <f t="shared" si="24"/>
        <v>0</v>
      </c>
    </row>
    <row r="88" spans="1:13" s="331" customFormat="1">
      <c r="A88" s="338">
        <f>A87+0.1</f>
        <v>8.3999999999999986</v>
      </c>
      <c r="B88" s="249"/>
      <c r="C88" s="336" t="s">
        <v>604</v>
      </c>
      <c r="D88" s="80" t="s">
        <v>21</v>
      </c>
      <c r="E88" s="252">
        <v>0.79</v>
      </c>
      <c r="F88" s="268">
        <f>E88*F84</f>
        <v>213.92410000000004</v>
      </c>
      <c r="G88" s="1301"/>
      <c r="H88" s="80">
        <f t="shared" si="17"/>
        <v>0</v>
      </c>
      <c r="I88" s="80"/>
      <c r="J88" s="1289">
        <f t="shared" si="18"/>
        <v>0</v>
      </c>
      <c r="K88" s="80"/>
      <c r="L88" s="1289">
        <f t="shared" si="20"/>
        <v>0</v>
      </c>
      <c r="M88" s="1289">
        <f t="shared" si="24"/>
        <v>0</v>
      </c>
    </row>
    <row r="89" spans="1:13" s="331" customFormat="1">
      <c r="A89" s="338">
        <f>A88+0.1</f>
        <v>8.4999999999999982</v>
      </c>
      <c r="B89" s="246"/>
      <c r="C89" s="276" t="s">
        <v>119</v>
      </c>
      <c r="D89" s="131" t="s">
        <v>14</v>
      </c>
      <c r="E89" s="271">
        <v>1.6000000000000001E-3</v>
      </c>
      <c r="F89" s="268">
        <f>E89*F84</f>
        <v>0.43326400000000004</v>
      </c>
      <c r="G89" s="1296"/>
      <c r="H89" s="80">
        <f t="shared" si="17"/>
        <v>0</v>
      </c>
      <c r="I89" s="80"/>
      <c r="J89" s="1289">
        <f t="shared" si="18"/>
        <v>0</v>
      </c>
      <c r="K89" s="80"/>
      <c r="L89" s="1289">
        <f t="shared" si="20"/>
        <v>0</v>
      </c>
      <c r="M89" s="1289">
        <f t="shared" si="24"/>
        <v>0</v>
      </c>
    </row>
    <row r="90" spans="1:13" s="331" customFormat="1" ht="26.25" customHeight="1">
      <c r="A90" s="338"/>
      <c r="B90" s="246"/>
      <c r="C90" s="275" t="s">
        <v>710</v>
      </c>
      <c r="D90" s="131"/>
      <c r="E90" s="271"/>
      <c r="F90" s="268"/>
      <c r="G90" s="1296"/>
      <c r="H90" s="80">
        <f t="shared" si="17"/>
        <v>0</v>
      </c>
      <c r="I90" s="80"/>
      <c r="J90" s="1289">
        <f t="shared" si="18"/>
        <v>0</v>
      </c>
      <c r="K90" s="80"/>
      <c r="L90" s="1289">
        <f t="shared" si="20"/>
        <v>0</v>
      </c>
      <c r="M90" s="1289">
        <f t="shared" si="24"/>
        <v>0</v>
      </c>
    </row>
    <row r="91" spans="1:13" ht="29.25" customHeight="1">
      <c r="A91" s="127"/>
      <c r="B91" s="260"/>
      <c r="C91" s="337" t="s">
        <v>462</v>
      </c>
      <c r="D91" s="127"/>
      <c r="E91" s="127"/>
      <c r="F91" s="127"/>
      <c r="G91" s="1287"/>
      <c r="H91" s="80">
        <f t="shared" si="17"/>
        <v>0</v>
      </c>
      <c r="I91" s="1289"/>
      <c r="J91" s="1289">
        <f t="shared" si="18"/>
        <v>0</v>
      </c>
      <c r="K91" s="1289"/>
      <c r="L91" s="1289">
        <f t="shared" si="20"/>
        <v>0</v>
      </c>
      <c r="M91" s="1289">
        <f t="shared" si="24"/>
        <v>0</v>
      </c>
    </row>
    <row r="92" spans="1:13" ht="75">
      <c r="A92" s="200" t="s">
        <v>44</v>
      </c>
      <c r="B92" s="260"/>
      <c r="C92" s="68" t="s">
        <v>267</v>
      </c>
      <c r="D92" s="127" t="s">
        <v>809</v>
      </c>
      <c r="E92" s="129"/>
      <c r="F92" s="69">
        <f>F105*1.7</f>
        <v>7.48</v>
      </c>
      <c r="G92" s="1287"/>
      <c r="H92" s="80">
        <f t="shared" si="17"/>
        <v>0</v>
      </c>
      <c r="I92" s="1289"/>
      <c r="J92" s="1289">
        <f t="shared" si="18"/>
        <v>0</v>
      </c>
      <c r="K92" s="1289"/>
      <c r="L92" s="1289">
        <f t="shared" si="20"/>
        <v>0</v>
      </c>
      <c r="M92" s="1289">
        <f t="shared" si="24"/>
        <v>0</v>
      </c>
    </row>
    <row r="93" spans="1:13">
      <c r="A93" s="248">
        <f>A92+0.1</f>
        <v>1.1000000000000001</v>
      </c>
      <c r="B93" s="249"/>
      <c r="C93" s="191" t="s">
        <v>268</v>
      </c>
      <c r="D93" s="131" t="s">
        <v>13</v>
      </c>
      <c r="E93" s="132">
        <v>3.5499999999999997E-2</v>
      </c>
      <c r="F93" s="242">
        <f>E93*F92</f>
        <v>0.26554</v>
      </c>
      <c r="G93" s="1290"/>
      <c r="H93" s="80">
        <f t="shared" si="17"/>
        <v>0</v>
      </c>
      <c r="I93" s="80"/>
      <c r="J93" s="1289">
        <f t="shared" si="18"/>
        <v>0</v>
      </c>
      <c r="K93" s="80"/>
      <c r="L93" s="1289">
        <f t="shared" si="20"/>
        <v>0</v>
      </c>
      <c r="M93" s="1289">
        <f t="shared" si="24"/>
        <v>0</v>
      </c>
    </row>
    <row r="94" spans="1:13" ht="21">
      <c r="A94" s="248">
        <f>A93+0.1</f>
        <v>1.2000000000000002</v>
      </c>
      <c r="B94" s="249"/>
      <c r="C94" s="191" t="s">
        <v>816</v>
      </c>
      <c r="D94" s="131" t="s">
        <v>156</v>
      </c>
      <c r="E94" s="258">
        <v>7.9500000000000001E-2</v>
      </c>
      <c r="F94" s="242">
        <f>E94*F92</f>
        <v>0.59466000000000008</v>
      </c>
      <c r="G94" s="1290"/>
      <c r="H94" s="80">
        <f t="shared" si="17"/>
        <v>0</v>
      </c>
      <c r="I94" s="1289"/>
      <c r="J94" s="1289">
        <f t="shared" si="18"/>
        <v>0</v>
      </c>
      <c r="K94" s="80"/>
      <c r="L94" s="1289">
        <f t="shared" si="20"/>
        <v>0</v>
      </c>
      <c r="M94" s="1289">
        <f t="shared" si="24"/>
        <v>0</v>
      </c>
    </row>
    <row r="95" spans="1:13">
      <c r="A95" s="248">
        <f>A94+0.1</f>
        <v>1.3000000000000003</v>
      </c>
      <c r="B95" s="249"/>
      <c r="C95" s="191" t="s">
        <v>117</v>
      </c>
      <c r="D95" s="131" t="s">
        <v>14</v>
      </c>
      <c r="E95" s="1102">
        <v>4.2599999999999999E-3</v>
      </c>
      <c r="F95" s="93">
        <f>E95*F92</f>
        <v>3.1864799999999999E-2</v>
      </c>
      <c r="G95" s="1290"/>
      <c r="H95" s="80">
        <f t="shared" si="17"/>
        <v>0</v>
      </c>
      <c r="I95" s="80"/>
      <c r="J95" s="1289">
        <f t="shared" si="18"/>
        <v>0</v>
      </c>
      <c r="K95" s="80"/>
      <c r="L95" s="1289">
        <f t="shared" si="20"/>
        <v>0</v>
      </c>
      <c r="M95" s="1289">
        <f t="shared" si="24"/>
        <v>0</v>
      </c>
    </row>
    <row r="96" spans="1:13" ht="21">
      <c r="A96" s="81">
        <v>2</v>
      </c>
      <c r="B96" s="1118"/>
      <c r="C96" s="68" t="s">
        <v>216</v>
      </c>
      <c r="D96" s="200" t="s">
        <v>809</v>
      </c>
      <c r="E96" s="61"/>
      <c r="F96" s="69">
        <f>F92*0.1</f>
        <v>0.74800000000000011</v>
      </c>
      <c r="G96" s="1290"/>
      <c r="H96" s="80">
        <f t="shared" si="17"/>
        <v>0</v>
      </c>
      <c r="I96" s="1289"/>
      <c r="J96" s="1289">
        <f t="shared" si="18"/>
        <v>0</v>
      </c>
      <c r="K96" s="1291"/>
      <c r="L96" s="1289">
        <f t="shared" si="20"/>
        <v>0</v>
      </c>
      <c r="M96" s="1289">
        <f t="shared" si="24"/>
        <v>0</v>
      </c>
    </row>
    <row r="97" spans="1:13">
      <c r="A97" s="248">
        <f>A96+0.1</f>
        <v>2.1</v>
      </c>
      <c r="B97" s="211"/>
      <c r="C97" s="191" t="s">
        <v>12</v>
      </c>
      <c r="D97" s="131" t="s">
        <v>13</v>
      </c>
      <c r="E97" s="61">
        <v>2.06</v>
      </c>
      <c r="F97" s="62">
        <f>F96*E97</f>
        <v>1.5408800000000002</v>
      </c>
      <c r="G97" s="1290"/>
      <c r="H97" s="80">
        <f t="shared" si="17"/>
        <v>0</v>
      </c>
      <c r="I97" s="80"/>
      <c r="J97" s="1289">
        <f t="shared" si="18"/>
        <v>0</v>
      </c>
      <c r="K97" s="1289"/>
      <c r="L97" s="1289">
        <f t="shared" si="20"/>
        <v>0</v>
      </c>
      <c r="M97" s="1289">
        <f t="shared" si="24"/>
        <v>0</v>
      </c>
    </row>
    <row r="98" spans="1:13" ht="37.5">
      <c r="A98" s="1103">
        <v>3</v>
      </c>
      <c r="B98" s="1119"/>
      <c r="C98" s="68" t="s">
        <v>157</v>
      </c>
      <c r="D98" s="67" t="s">
        <v>16</v>
      </c>
      <c r="E98" s="91"/>
      <c r="F98" s="1104">
        <f>F92*1.85+F96*1.85</f>
        <v>15.221800000000002</v>
      </c>
      <c r="G98" s="1287"/>
      <c r="H98" s="80">
        <f t="shared" si="17"/>
        <v>0</v>
      </c>
      <c r="I98" s="80"/>
      <c r="J98" s="1289">
        <f t="shared" si="18"/>
        <v>0</v>
      </c>
      <c r="K98" s="80"/>
      <c r="L98" s="1289">
        <f t="shared" si="20"/>
        <v>0</v>
      </c>
      <c r="M98" s="1289">
        <f t="shared" si="24"/>
        <v>0</v>
      </c>
    </row>
    <row r="99" spans="1:13">
      <c r="A99" s="248">
        <f>A98+0.1</f>
        <v>3.1</v>
      </c>
      <c r="B99" s="211"/>
      <c r="C99" s="191" t="s">
        <v>269</v>
      </c>
      <c r="D99" s="63" t="s">
        <v>16</v>
      </c>
      <c r="E99" s="62">
        <v>1</v>
      </c>
      <c r="F99" s="61">
        <f>E99*F98</f>
        <v>15.221800000000002</v>
      </c>
      <c r="G99" s="1290"/>
      <c r="H99" s="80">
        <f t="shared" si="17"/>
        <v>0</v>
      </c>
      <c r="I99" s="1289"/>
      <c r="J99" s="1289">
        <f t="shared" si="18"/>
        <v>0</v>
      </c>
      <c r="K99" s="1291"/>
      <c r="L99" s="1289">
        <f t="shared" si="20"/>
        <v>0</v>
      </c>
      <c r="M99" s="1289">
        <f t="shared" si="24"/>
        <v>0</v>
      </c>
    </row>
    <row r="100" spans="1:13" s="56" customFormat="1" ht="37.5">
      <c r="A100" s="81">
        <v>4</v>
      </c>
      <c r="B100" s="1119"/>
      <c r="C100" s="337" t="s">
        <v>270</v>
      </c>
      <c r="D100" s="261" t="s">
        <v>812</v>
      </c>
      <c r="E100" s="91"/>
      <c r="F100" s="69">
        <f>F105*1.75/3</f>
        <v>2.5666666666666669</v>
      </c>
      <c r="G100" s="1287"/>
      <c r="H100" s="80">
        <f t="shared" si="17"/>
        <v>0</v>
      </c>
      <c r="I100" s="1289"/>
      <c r="J100" s="1289">
        <f t="shared" si="18"/>
        <v>0</v>
      </c>
      <c r="K100" s="80"/>
      <c r="L100" s="1289">
        <f t="shared" si="20"/>
        <v>0</v>
      </c>
      <c r="M100" s="1289">
        <f t="shared" si="24"/>
        <v>0</v>
      </c>
    </row>
    <row r="101" spans="1:13">
      <c r="A101" s="248">
        <f>A100+0.1</f>
        <v>4.0999999999999996</v>
      </c>
      <c r="B101" s="249"/>
      <c r="C101" s="336" t="s">
        <v>12</v>
      </c>
      <c r="D101" s="131" t="s">
        <v>13</v>
      </c>
      <c r="E101" s="132">
        <v>3.52</v>
      </c>
      <c r="F101" s="242">
        <f>E101*F100</f>
        <v>9.0346666666666682</v>
      </c>
      <c r="G101" s="1290"/>
      <c r="H101" s="80">
        <f t="shared" si="17"/>
        <v>0</v>
      </c>
      <c r="I101" s="1289"/>
      <c r="J101" s="1289">
        <f t="shared" si="18"/>
        <v>0</v>
      </c>
      <c r="K101" s="1289"/>
      <c r="L101" s="1289">
        <f t="shared" si="20"/>
        <v>0</v>
      </c>
      <c r="M101" s="1289">
        <f t="shared" si="24"/>
        <v>0</v>
      </c>
    </row>
    <row r="102" spans="1:13">
      <c r="A102" s="248">
        <f>A101+0.1</f>
        <v>4.1999999999999993</v>
      </c>
      <c r="B102" s="249"/>
      <c r="C102" s="336" t="s">
        <v>117</v>
      </c>
      <c r="D102" s="80" t="s">
        <v>14</v>
      </c>
      <c r="E102" s="61">
        <v>1.06</v>
      </c>
      <c r="F102" s="62">
        <f>F100*E102</f>
        <v>2.7206666666666672</v>
      </c>
      <c r="G102" s="1292"/>
      <c r="H102" s="80">
        <f t="shared" si="17"/>
        <v>0</v>
      </c>
      <c r="I102" s="1289"/>
      <c r="J102" s="1289">
        <f t="shared" si="18"/>
        <v>0</v>
      </c>
      <c r="K102" s="1291"/>
      <c r="L102" s="1289">
        <f t="shared" si="20"/>
        <v>0</v>
      </c>
      <c r="M102" s="1289">
        <f t="shared" si="24"/>
        <v>0</v>
      </c>
    </row>
    <row r="103" spans="1:13" ht="21">
      <c r="A103" s="248">
        <f>A102+0.1</f>
        <v>4.2999999999999989</v>
      </c>
      <c r="B103" s="1120"/>
      <c r="C103" s="336" t="s">
        <v>59</v>
      </c>
      <c r="D103" s="63" t="s">
        <v>810</v>
      </c>
      <c r="E103" s="132">
        <f>0.18+0.09+0.97</f>
        <v>1.24</v>
      </c>
      <c r="F103" s="62">
        <f>E103*F100</f>
        <v>3.182666666666667</v>
      </c>
      <c r="G103" s="1290"/>
      <c r="H103" s="80">
        <f t="shared" ref="H103:H148" si="26">F103*G103</f>
        <v>0</v>
      </c>
      <c r="I103" s="1289"/>
      <c r="J103" s="1289">
        <f t="shared" ref="J103:J148" si="27">F103*I103</f>
        <v>0</v>
      </c>
      <c r="K103" s="1289"/>
      <c r="L103" s="1289">
        <f t="shared" si="20"/>
        <v>0</v>
      </c>
      <c r="M103" s="1289">
        <f t="shared" si="24"/>
        <v>0</v>
      </c>
    </row>
    <row r="104" spans="1:13" s="58" customFormat="1">
      <c r="A104" s="248">
        <f>A103+0.1</f>
        <v>4.3999999999999986</v>
      </c>
      <c r="B104" s="211"/>
      <c r="C104" s="336" t="s">
        <v>119</v>
      </c>
      <c r="D104" s="80" t="s">
        <v>1</v>
      </c>
      <c r="E104" s="93">
        <v>0.02</v>
      </c>
      <c r="F104" s="93">
        <f>E104*F100</f>
        <v>5.1333333333333342E-2</v>
      </c>
      <c r="G104" s="1292"/>
      <c r="H104" s="80">
        <f t="shared" si="26"/>
        <v>0</v>
      </c>
      <c r="I104" s="1289"/>
      <c r="J104" s="1289">
        <f t="shared" si="27"/>
        <v>0</v>
      </c>
      <c r="K104" s="80"/>
      <c r="L104" s="1289">
        <f t="shared" si="20"/>
        <v>0</v>
      </c>
      <c r="M104" s="1289">
        <f t="shared" si="24"/>
        <v>0</v>
      </c>
    </row>
    <row r="105" spans="1:13" ht="21">
      <c r="A105" s="81">
        <v>5</v>
      </c>
      <c r="B105" s="1119"/>
      <c r="C105" s="128" t="s">
        <v>271</v>
      </c>
      <c r="D105" s="127" t="s">
        <v>809</v>
      </c>
      <c r="E105" s="91"/>
      <c r="F105" s="69">
        <v>4.4000000000000004</v>
      </c>
      <c r="G105" s="1287"/>
      <c r="H105" s="80">
        <f t="shared" si="26"/>
        <v>0</v>
      </c>
      <c r="I105" s="1289"/>
      <c r="J105" s="1289">
        <f t="shared" si="27"/>
        <v>0</v>
      </c>
      <c r="K105" s="1289"/>
      <c r="L105" s="1289">
        <f t="shared" si="20"/>
        <v>0</v>
      </c>
      <c r="M105" s="1289">
        <f t="shared" si="24"/>
        <v>0</v>
      </c>
    </row>
    <row r="106" spans="1:13">
      <c r="A106" s="248">
        <f>A105+0.1</f>
        <v>5.0999999999999996</v>
      </c>
      <c r="B106" s="211"/>
      <c r="C106" s="191" t="s">
        <v>12</v>
      </c>
      <c r="D106" s="131" t="s">
        <v>13</v>
      </c>
      <c r="E106" s="61">
        <v>8.44</v>
      </c>
      <c r="F106" s="61">
        <f>E106*F105</f>
        <v>37.136000000000003</v>
      </c>
      <c r="G106" s="1290"/>
      <c r="H106" s="80">
        <f t="shared" si="26"/>
        <v>0</v>
      </c>
      <c r="I106" s="80"/>
      <c r="J106" s="1289">
        <f t="shared" si="27"/>
        <v>0</v>
      </c>
      <c r="K106" s="80"/>
      <c r="L106" s="1289">
        <f t="shared" si="20"/>
        <v>0</v>
      </c>
      <c r="M106" s="1289">
        <f t="shared" si="24"/>
        <v>0</v>
      </c>
    </row>
    <row r="107" spans="1:13" s="56" customFormat="1">
      <c r="A107" s="248">
        <f t="shared" ref="A107:A118" si="28">A106+0.1</f>
        <v>5.1999999999999993</v>
      </c>
      <c r="B107" s="211"/>
      <c r="C107" s="191" t="s">
        <v>266</v>
      </c>
      <c r="D107" s="80" t="s">
        <v>14</v>
      </c>
      <c r="E107" s="61">
        <v>1.1000000000000001</v>
      </c>
      <c r="F107" s="62">
        <f>E107*F105</f>
        <v>4.8400000000000007</v>
      </c>
      <c r="G107" s="1290"/>
      <c r="H107" s="80">
        <f t="shared" si="26"/>
        <v>0</v>
      </c>
      <c r="I107" s="80"/>
      <c r="J107" s="1289">
        <f t="shared" si="27"/>
        <v>0</v>
      </c>
      <c r="K107" s="80"/>
      <c r="L107" s="1289">
        <f t="shared" si="20"/>
        <v>0</v>
      </c>
      <c r="M107" s="1289">
        <f t="shared" si="24"/>
        <v>0</v>
      </c>
    </row>
    <row r="108" spans="1:13" s="56" customFormat="1" ht="21">
      <c r="A108" s="248">
        <f t="shared" si="28"/>
        <v>5.2999999999999989</v>
      </c>
      <c r="B108" s="211"/>
      <c r="C108" s="64" t="s">
        <v>75</v>
      </c>
      <c r="D108" s="80" t="s">
        <v>810</v>
      </c>
      <c r="E108" s="61">
        <v>1.0149999999999999</v>
      </c>
      <c r="F108" s="62">
        <f>E108*F105</f>
        <v>4.4660000000000002</v>
      </c>
      <c r="G108" s="1295"/>
      <c r="H108" s="80">
        <f t="shared" si="26"/>
        <v>0</v>
      </c>
      <c r="I108" s="80"/>
      <c r="J108" s="1289">
        <f t="shared" si="27"/>
        <v>0</v>
      </c>
      <c r="K108" s="80"/>
      <c r="L108" s="1289">
        <f t="shared" si="20"/>
        <v>0</v>
      </c>
      <c r="M108" s="1289">
        <f t="shared" si="24"/>
        <v>0</v>
      </c>
    </row>
    <row r="109" spans="1:13" s="56" customFormat="1">
      <c r="A109" s="248">
        <f t="shared" si="28"/>
        <v>5.3999999999999986</v>
      </c>
      <c r="B109" s="211"/>
      <c r="C109" s="64" t="s">
        <v>312</v>
      </c>
      <c r="D109" s="80" t="s">
        <v>15</v>
      </c>
      <c r="E109" s="61">
        <v>1.0149999999999999</v>
      </c>
      <c r="F109" s="62">
        <f>F105*E109</f>
        <v>4.4660000000000002</v>
      </c>
      <c r="G109" s="1290"/>
      <c r="H109" s="80">
        <f>F109*G109</f>
        <v>0</v>
      </c>
      <c r="I109" s="80"/>
      <c r="J109" s="1289">
        <f t="shared" si="27"/>
        <v>0</v>
      </c>
      <c r="K109" s="80"/>
      <c r="L109" s="1289">
        <f t="shared" ref="L109:L118" si="29">F109*K109</f>
        <v>0</v>
      </c>
      <c r="M109" s="1289">
        <f t="shared" si="24"/>
        <v>0</v>
      </c>
    </row>
    <row r="110" spans="1:13" s="56" customFormat="1">
      <c r="A110" s="248">
        <f t="shared" si="28"/>
        <v>5.4999999999999982</v>
      </c>
      <c r="B110" s="1120"/>
      <c r="C110" s="184" t="s">
        <v>251</v>
      </c>
      <c r="D110" s="63" t="s">
        <v>16</v>
      </c>
      <c r="E110" s="61" t="s">
        <v>20</v>
      </c>
      <c r="F110" s="93">
        <v>0.13200000000000001</v>
      </c>
      <c r="G110" s="1296"/>
      <c r="H110" s="80">
        <f t="shared" si="26"/>
        <v>0</v>
      </c>
      <c r="I110" s="80"/>
      <c r="J110" s="1289">
        <f t="shared" si="27"/>
        <v>0</v>
      </c>
      <c r="K110" s="80"/>
      <c r="L110" s="1289">
        <f t="shared" si="29"/>
        <v>0</v>
      </c>
      <c r="M110" s="1289">
        <f t="shared" si="24"/>
        <v>0</v>
      </c>
    </row>
    <row r="111" spans="1:13" s="56" customFormat="1">
      <c r="A111" s="248">
        <f t="shared" si="28"/>
        <v>5.5999999999999979</v>
      </c>
      <c r="B111" s="249"/>
      <c r="C111" s="184" t="s">
        <v>313</v>
      </c>
      <c r="D111" s="63" t="s">
        <v>16</v>
      </c>
      <c r="E111" s="61" t="s">
        <v>20</v>
      </c>
      <c r="F111" s="93">
        <f>0.057</f>
        <v>5.7000000000000002E-2</v>
      </c>
      <c r="G111" s="1290"/>
      <c r="H111" s="80">
        <f t="shared" si="26"/>
        <v>0</v>
      </c>
      <c r="I111" s="80"/>
      <c r="J111" s="1289">
        <f t="shared" si="27"/>
        <v>0</v>
      </c>
      <c r="K111" s="80"/>
      <c r="L111" s="1289">
        <f t="shared" si="29"/>
        <v>0</v>
      </c>
      <c r="M111" s="1289">
        <f t="shared" si="24"/>
        <v>0</v>
      </c>
    </row>
    <row r="112" spans="1:13" s="56" customFormat="1">
      <c r="A112" s="248">
        <f t="shared" si="28"/>
        <v>5.6999999999999975</v>
      </c>
      <c r="B112" s="249"/>
      <c r="C112" s="184" t="s">
        <v>793</v>
      </c>
      <c r="D112" s="63" t="s">
        <v>16</v>
      </c>
      <c r="E112" s="61" t="s">
        <v>20</v>
      </c>
      <c r="F112" s="93">
        <f>0.13542+0.10834</f>
        <v>0.24376000000000003</v>
      </c>
      <c r="G112" s="1296"/>
      <c r="H112" s="80">
        <f t="shared" si="26"/>
        <v>0</v>
      </c>
      <c r="I112" s="80"/>
      <c r="J112" s="1289">
        <f t="shared" si="27"/>
        <v>0</v>
      </c>
      <c r="K112" s="80"/>
      <c r="L112" s="1289">
        <f t="shared" si="29"/>
        <v>0</v>
      </c>
      <c r="M112" s="1289">
        <f t="shared" si="24"/>
        <v>0</v>
      </c>
    </row>
    <row r="113" spans="1:13" s="56" customFormat="1" ht="21">
      <c r="A113" s="248">
        <f t="shared" si="28"/>
        <v>5.7999999999999972</v>
      </c>
      <c r="B113" s="211"/>
      <c r="C113" s="64" t="s">
        <v>18</v>
      </c>
      <c r="D113" s="63" t="s">
        <v>811</v>
      </c>
      <c r="E113" s="61">
        <v>1.84</v>
      </c>
      <c r="F113" s="62">
        <f>E113*F105</f>
        <v>8.0960000000000019</v>
      </c>
      <c r="G113" s="1290"/>
      <c r="H113" s="80">
        <f t="shared" si="26"/>
        <v>0</v>
      </c>
      <c r="I113" s="80"/>
      <c r="J113" s="1289">
        <f t="shared" si="27"/>
        <v>0</v>
      </c>
      <c r="K113" s="80"/>
      <c r="L113" s="1289">
        <f t="shared" si="29"/>
        <v>0</v>
      </c>
      <c r="M113" s="1289">
        <f t="shared" si="24"/>
        <v>0</v>
      </c>
    </row>
    <row r="114" spans="1:13" s="56" customFormat="1" ht="21">
      <c r="A114" s="248">
        <f t="shared" si="28"/>
        <v>5.8999999999999968</v>
      </c>
      <c r="B114" s="256"/>
      <c r="C114" s="64" t="s">
        <v>273</v>
      </c>
      <c r="D114" s="80" t="s">
        <v>810</v>
      </c>
      <c r="E114" s="258">
        <v>3.3999999999999998E-3</v>
      </c>
      <c r="F114" s="258">
        <f>E114*F105</f>
        <v>1.4960000000000001E-2</v>
      </c>
      <c r="G114" s="1290"/>
      <c r="H114" s="80">
        <f t="shared" si="26"/>
        <v>0</v>
      </c>
      <c r="I114" s="1289"/>
      <c r="J114" s="1289">
        <f t="shared" si="27"/>
        <v>0</v>
      </c>
      <c r="K114" s="80"/>
      <c r="L114" s="1289">
        <f t="shared" si="29"/>
        <v>0</v>
      </c>
      <c r="M114" s="1289">
        <f t="shared" si="24"/>
        <v>0</v>
      </c>
    </row>
    <row r="115" spans="1:13" s="1108" customFormat="1" ht="21">
      <c r="A115" s="248">
        <f t="shared" si="28"/>
        <v>5.9999999999999964</v>
      </c>
      <c r="B115" s="256"/>
      <c r="C115" s="64" t="s">
        <v>274</v>
      </c>
      <c r="D115" s="80" t="s">
        <v>810</v>
      </c>
      <c r="E115" s="258">
        <v>3.9100000000000003E-2</v>
      </c>
      <c r="F115" s="258">
        <f>E115*F105</f>
        <v>0.17204000000000003</v>
      </c>
      <c r="G115" s="1290"/>
      <c r="H115" s="80">
        <f t="shared" si="26"/>
        <v>0</v>
      </c>
      <c r="I115" s="1289"/>
      <c r="J115" s="1289">
        <f t="shared" si="27"/>
        <v>0</v>
      </c>
      <c r="K115" s="1300"/>
      <c r="L115" s="1289">
        <f t="shared" si="29"/>
        <v>0</v>
      </c>
      <c r="M115" s="1289">
        <f t="shared" si="24"/>
        <v>0</v>
      </c>
    </row>
    <row r="116" spans="1:13">
      <c r="A116" s="248">
        <f t="shared" si="28"/>
        <v>6.0999999999999961</v>
      </c>
      <c r="B116" s="256"/>
      <c r="C116" s="64" t="s">
        <v>275</v>
      </c>
      <c r="D116" s="80" t="s">
        <v>16</v>
      </c>
      <c r="E116" s="258">
        <v>2.2000000000000001E-3</v>
      </c>
      <c r="F116" s="258">
        <f>E116*F105</f>
        <v>9.6800000000000011E-3</v>
      </c>
      <c r="G116" s="1290"/>
      <c r="H116" s="80">
        <f t="shared" si="26"/>
        <v>0</v>
      </c>
      <c r="I116" s="1289"/>
      <c r="J116" s="1289">
        <f t="shared" si="27"/>
        <v>0</v>
      </c>
      <c r="K116" s="1289"/>
      <c r="L116" s="1289">
        <f t="shared" si="29"/>
        <v>0</v>
      </c>
      <c r="M116" s="1289">
        <f t="shared" si="24"/>
        <v>0</v>
      </c>
    </row>
    <row r="117" spans="1:13">
      <c r="A117" s="248">
        <f t="shared" si="28"/>
        <v>6.1999999999999957</v>
      </c>
      <c r="B117" s="249"/>
      <c r="C117" s="64" t="s">
        <v>276</v>
      </c>
      <c r="D117" s="80" t="s">
        <v>16</v>
      </c>
      <c r="E117" s="93">
        <v>1E-3</v>
      </c>
      <c r="F117" s="258">
        <f>E117*F105</f>
        <v>4.4000000000000003E-3</v>
      </c>
      <c r="G117" s="1290"/>
      <c r="H117" s="80">
        <f t="shared" si="26"/>
        <v>0</v>
      </c>
      <c r="I117" s="1289"/>
      <c r="J117" s="1289">
        <f t="shared" si="27"/>
        <v>0</v>
      </c>
      <c r="K117" s="80"/>
      <c r="L117" s="1289">
        <f t="shared" si="29"/>
        <v>0</v>
      </c>
      <c r="M117" s="1289">
        <f t="shared" si="24"/>
        <v>0</v>
      </c>
    </row>
    <row r="118" spans="1:13">
      <c r="A118" s="248">
        <f t="shared" si="28"/>
        <v>6.2999999999999954</v>
      </c>
      <c r="B118" s="211"/>
      <c r="C118" s="336" t="s">
        <v>119</v>
      </c>
      <c r="D118" s="63" t="s">
        <v>14</v>
      </c>
      <c r="E118" s="61">
        <v>0.46</v>
      </c>
      <c r="F118" s="62">
        <f>E118*F105</f>
        <v>2.0240000000000005</v>
      </c>
      <c r="G118" s="1292"/>
      <c r="H118" s="80">
        <f t="shared" si="26"/>
        <v>0</v>
      </c>
      <c r="I118" s="1289"/>
      <c r="J118" s="1289">
        <f t="shared" si="27"/>
        <v>0</v>
      </c>
      <c r="K118" s="80"/>
      <c r="L118" s="1289">
        <f t="shared" si="29"/>
        <v>0</v>
      </c>
      <c r="M118" s="1289">
        <f t="shared" si="24"/>
        <v>0</v>
      </c>
    </row>
    <row r="119" spans="1:13" s="58" customFormat="1" ht="34.5" customHeight="1">
      <c r="A119" s="248"/>
      <c r="B119" s="211"/>
      <c r="C119" s="337" t="s">
        <v>458</v>
      </c>
      <c r="D119" s="80"/>
      <c r="E119" s="93"/>
      <c r="F119" s="93"/>
      <c r="G119" s="1292"/>
      <c r="H119" s="80">
        <f t="shared" si="26"/>
        <v>0</v>
      </c>
      <c r="I119" s="1289"/>
      <c r="J119" s="1289">
        <f t="shared" si="27"/>
        <v>0</v>
      </c>
      <c r="K119" s="80"/>
      <c r="L119" s="1289">
        <f t="shared" ref="L119:L128" si="30">F119*K119</f>
        <v>0</v>
      </c>
      <c r="M119" s="1289">
        <f t="shared" si="24"/>
        <v>0</v>
      </c>
    </row>
    <row r="120" spans="1:13" s="331" customFormat="1" ht="37.5">
      <c r="A120" s="322">
        <v>1</v>
      </c>
      <c r="B120" s="323"/>
      <c r="C120" s="324" t="s">
        <v>459</v>
      </c>
      <c r="D120" s="325" t="s">
        <v>107</v>
      </c>
      <c r="E120" s="326"/>
      <c r="F120" s="327">
        <f>F123+F124</f>
        <v>12.86</v>
      </c>
      <c r="G120" s="1298"/>
      <c r="H120" s="80">
        <f t="shared" si="26"/>
        <v>0</v>
      </c>
      <c r="I120" s="1299"/>
      <c r="J120" s="1289">
        <f t="shared" si="27"/>
        <v>0</v>
      </c>
      <c r="K120" s="1299"/>
      <c r="L120" s="1289">
        <f t="shared" si="30"/>
        <v>0</v>
      </c>
      <c r="M120" s="1289">
        <f t="shared" si="24"/>
        <v>0</v>
      </c>
    </row>
    <row r="121" spans="1:13" s="331" customFormat="1">
      <c r="A121" s="248">
        <f>A120+0.1</f>
        <v>1.1000000000000001</v>
      </c>
      <c r="B121" s="335"/>
      <c r="C121" s="332" t="s">
        <v>307</v>
      </c>
      <c r="D121" s="333" t="s">
        <v>13</v>
      </c>
      <c r="E121" s="334">
        <v>5.75</v>
      </c>
      <c r="F121" s="329">
        <f>F120*E121</f>
        <v>73.944999999999993</v>
      </c>
      <c r="G121" s="1298"/>
      <c r="H121" s="80">
        <f t="shared" si="26"/>
        <v>0</v>
      </c>
      <c r="I121" s="1299"/>
      <c r="J121" s="1289">
        <f t="shared" si="27"/>
        <v>0</v>
      </c>
      <c r="K121" s="1299"/>
      <c r="L121" s="1289">
        <f t="shared" si="30"/>
        <v>0</v>
      </c>
      <c r="M121" s="1289">
        <f t="shared" si="24"/>
        <v>0</v>
      </c>
    </row>
    <row r="122" spans="1:13" s="331" customFormat="1">
      <c r="A122" s="248">
        <f t="shared" ref="A122:A126" si="31">A121+0.1</f>
        <v>1.2000000000000002</v>
      </c>
      <c r="B122" s="335"/>
      <c r="C122" s="332" t="s">
        <v>51</v>
      </c>
      <c r="D122" s="333" t="s">
        <v>14</v>
      </c>
      <c r="E122" s="334">
        <v>3.5999999999999997E-2</v>
      </c>
      <c r="F122" s="329">
        <f>F120*E122</f>
        <v>0.46295999999999993</v>
      </c>
      <c r="G122" s="1298"/>
      <c r="H122" s="80">
        <f t="shared" si="26"/>
        <v>0</v>
      </c>
      <c r="I122" s="1299"/>
      <c r="J122" s="1289">
        <f t="shared" si="27"/>
        <v>0</v>
      </c>
      <c r="K122" s="1299"/>
      <c r="L122" s="1289">
        <f t="shared" si="30"/>
        <v>0</v>
      </c>
      <c r="M122" s="1289">
        <f t="shared" si="24"/>
        <v>0</v>
      </c>
    </row>
    <row r="123" spans="1:13" s="331" customFormat="1">
      <c r="A123" s="248">
        <f t="shared" si="31"/>
        <v>1.3000000000000003</v>
      </c>
      <c r="B123" s="335"/>
      <c r="C123" s="332" t="s">
        <v>460</v>
      </c>
      <c r="D123" s="333" t="s">
        <v>107</v>
      </c>
      <c r="E123" s="334">
        <v>1</v>
      </c>
      <c r="F123" s="329">
        <v>6.93</v>
      </c>
      <c r="G123" s="1298"/>
      <c r="H123" s="80">
        <f t="shared" si="26"/>
        <v>0</v>
      </c>
      <c r="I123" s="1299"/>
      <c r="J123" s="1289">
        <f t="shared" si="27"/>
        <v>0</v>
      </c>
      <c r="K123" s="1299"/>
      <c r="L123" s="1289">
        <f t="shared" si="30"/>
        <v>0</v>
      </c>
      <c r="M123" s="1289">
        <f t="shared" si="24"/>
        <v>0</v>
      </c>
    </row>
    <row r="124" spans="1:13" s="331" customFormat="1">
      <c r="A124" s="248">
        <f t="shared" si="31"/>
        <v>1.4000000000000004</v>
      </c>
      <c r="B124" s="335"/>
      <c r="C124" s="332" t="s">
        <v>461</v>
      </c>
      <c r="D124" s="333" t="s">
        <v>107</v>
      </c>
      <c r="E124" s="334">
        <v>1</v>
      </c>
      <c r="F124" s="329">
        <f>5.93</f>
        <v>5.93</v>
      </c>
      <c r="G124" s="1298"/>
      <c r="H124" s="80">
        <f t="shared" si="26"/>
        <v>0</v>
      </c>
      <c r="I124" s="1299"/>
      <c r="J124" s="1289">
        <f t="shared" si="27"/>
        <v>0</v>
      </c>
      <c r="K124" s="1299"/>
      <c r="L124" s="1289">
        <f t="shared" si="30"/>
        <v>0</v>
      </c>
      <c r="M124" s="1289">
        <f t="shared" si="24"/>
        <v>0</v>
      </c>
    </row>
    <row r="125" spans="1:13" s="331" customFormat="1">
      <c r="A125" s="248">
        <f t="shared" si="31"/>
        <v>1.5000000000000004</v>
      </c>
      <c r="B125" s="335"/>
      <c r="C125" s="332" t="s">
        <v>455</v>
      </c>
      <c r="D125" s="333" t="s">
        <v>349</v>
      </c>
      <c r="E125" s="334">
        <v>6</v>
      </c>
      <c r="F125" s="329">
        <f>F120*E125</f>
        <v>77.16</v>
      </c>
      <c r="G125" s="1298"/>
      <c r="H125" s="80">
        <f t="shared" si="26"/>
        <v>0</v>
      </c>
      <c r="I125" s="1299"/>
      <c r="J125" s="1289">
        <f t="shared" si="27"/>
        <v>0</v>
      </c>
      <c r="K125" s="1299"/>
      <c r="L125" s="1289">
        <f t="shared" si="30"/>
        <v>0</v>
      </c>
      <c r="M125" s="1289">
        <f t="shared" si="24"/>
        <v>0</v>
      </c>
    </row>
    <row r="126" spans="1:13" s="331" customFormat="1">
      <c r="A126" s="248">
        <f t="shared" si="31"/>
        <v>1.6000000000000005</v>
      </c>
      <c r="B126" s="335"/>
      <c r="C126" s="336" t="s">
        <v>119</v>
      </c>
      <c r="D126" s="80" t="s">
        <v>1</v>
      </c>
      <c r="E126" s="334">
        <v>4.2999999999999997E-2</v>
      </c>
      <c r="F126" s="329">
        <f>F120*E126</f>
        <v>0.55297999999999992</v>
      </c>
      <c r="G126" s="1298"/>
      <c r="H126" s="80">
        <f t="shared" si="26"/>
        <v>0</v>
      </c>
      <c r="I126" s="1299"/>
      <c r="J126" s="1289">
        <f t="shared" si="27"/>
        <v>0</v>
      </c>
      <c r="K126" s="1299"/>
      <c r="L126" s="1289">
        <f t="shared" si="30"/>
        <v>0</v>
      </c>
      <c r="M126" s="1289">
        <f t="shared" si="24"/>
        <v>0</v>
      </c>
    </row>
    <row r="127" spans="1:13" s="331" customFormat="1" ht="56.25">
      <c r="A127" s="322">
        <f>A120+1</f>
        <v>2</v>
      </c>
      <c r="B127" s="323"/>
      <c r="C127" s="324" t="s">
        <v>612</v>
      </c>
      <c r="D127" s="325" t="s">
        <v>107</v>
      </c>
      <c r="E127" s="1109"/>
      <c r="F127" s="327">
        <f>F129/0.03</f>
        <v>2.1420000000000003</v>
      </c>
      <c r="G127" s="1298"/>
      <c r="H127" s="80">
        <f t="shared" si="26"/>
        <v>0</v>
      </c>
      <c r="I127" s="1299"/>
      <c r="J127" s="1289">
        <f t="shared" si="27"/>
        <v>0</v>
      </c>
      <c r="K127" s="1299"/>
      <c r="L127" s="1289">
        <f t="shared" si="30"/>
        <v>0</v>
      </c>
      <c r="M127" s="1289">
        <f t="shared" si="24"/>
        <v>0</v>
      </c>
    </row>
    <row r="128" spans="1:13" s="331" customFormat="1">
      <c r="A128" s="248">
        <f>A127+0.1</f>
        <v>2.1</v>
      </c>
      <c r="B128" s="335"/>
      <c r="C128" s="332" t="s">
        <v>307</v>
      </c>
      <c r="D128" s="325" t="s">
        <v>107</v>
      </c>
      <c r="E128" s="334">
        <v>1</v>
      </c>
      <c r="F128" s="329">
        <f>F127*E128</f>
        <v>2.1420000000000003</v>
      </c>
      <c r="G128" s="1298"/>
      <c r="H128" s="80">
        <f t="shared" si="26"/>
        <v>0</v>
      </c>
      <c r="I128" s="1299"/>
      <c r="J128" s="1289">
        <f t="shared" si="27"/>
        <v>0</v>
      </c>
      <c r="K128" s="1299"/>
      <c r="L128" s="1289">
        <f t="shared" si="30"/>
        <v>0</v>
      </c>
      <c r="M128" s="1289">
        <f t="shared" si="24"/>
        <v>0</v>
      </c>
    </row>
    <row r="129" spans="1:13" s="331" customFormat="1">
      <c r="A129" s="248">
        <f t="shared" ref="A129:A130" si="32">A128+0.1</f>
        <v>2.2000000000000002</v>
      </c>
      <c r="B129" s="335"/>
      <c r="C129" s="332" t="s">
        <v>614</v>
      </c>
      <c r="D129" s="333" t="s">
        <v>15</v>
      </c>
      <c r="E129" s="334" t="s">
        <v>20</v>
      </c>
      <c r="F129" s="1110">
        <f>68*0.45*0.07*0.03</f>
        <v>6.4260000000000012E-2</v>
      </c>
      <c r="G129" s="1298"/>
      <c r="H129" s="80">
        <f t="shared" si="26"/>
        <v>0</v>
      </c>
      <c r="I129" s="1299"/>
      <c r="J129" s="1289">
        <f t="shared" si="27"/>
        <v>0</v>
      </c>
      <c r="K129" s="1299"/>
      <c r="L129" s="1289">
        <f t="shared" ref="L129:L183" si="33">F129*K129</f>
        <v>0</v>
      </c>
      <c r="M129" s="1289">
        <f t="shared" si="24"/>
        <v>0</v>
      </c>
    </row>
    <row r="130" spans="1:13" s="331" customFormat="1">
      <c r="A130" s="248">
        <f t="shared" si="32"/>
        <v>2.3000000000000003</v>
      </c>
      <c r="B130" s="335"/>
      <c r="C130" s="332" t="s">
        <v>119</v>
      </c>
      <c r="D130" s="333" t="s">
        <v>43</v>
      </c>
      <c r="E130" s="334">
        <v>1</v>
      </c>
      <c r="F130" s="329">
        <f>F127*E130</f>
        <v>2.1420000000000003</v>
      </c>
      <c r="G130" s="1298"/>
      <c r="H130" s="80">
        <f t="shared" si="26"/>
        <v>0</v>
      </c>
      <c r="I130" s="1299"/>
      <c r="J130" s="1289">
        <f t="shared" si="27"/>
        <v>0</v>
      </c>
      <c r="K130" s="1299"/>
      <c r="L130" s="1289">
        <f t="shared" si="33"/>
        <v>0</v>
      </c>
      <c r="M130" s="1289">
        <f t="shared" si="24"/>
        <v>0</v>
      </c>
    </row>
    <row r="131" spans="1:13" s="1108" customFormat="1" ht="64.5" customHeight="1">
      <c r="A131" s="322">
        <v>3</v>
      </c>
      <c r="B131" s="260"/>
      <c r="C131" s="128" t="s">
        <v>615</v>
      </c>
      <c r="D131" s="127" t="s">
        <v>813</v>
      </c>
      <c r="E131" s="190"/>
      <c r="F131" s="150">
        <v>6.46</v>
      </c>
      <c r="G131" s="1287"/>
      <c r="H131" s="80">
        <f t="shared" si="26"/>
        <v>0</v>
      </c>
      <c r="I131" s="80"/>
      <c r="J131" s="1289">
        <f t="shared" si="27"/>
        <v>0</v>
      </c>
      <c r="K131" s="1300"/>
      <c r="L131" s="1289">
        <f t="shared" ref="L131:L136" si="34">F131*K131</f>
        <v>0</v>
      </c>
      <c r="M131" s="1289">
        <f t="shared" si="24"/>
        <v>0</v>
      </c>
    </row>
    <row r="132" spans="1:13" s="58" customFormat="1">
      <c r="A132" s="248">
        <f>A131+0.1</f>
        <v>3.1</v>
      </c>
      <c r="B132" s="249"/>
      <c r="C132" s="191" t="s">
        <v>23</v>
      </c>
      <c r="D132" s="131" t="s">
        <v>13</v>
      </c>
      <c r="E132" s="156">
        <v>0.74099999999999999</v>
      </c>
      <c r="F132" s="186">
        <f>E132*F131</f>
        <v>4.7868599999999999</v>
      </c>
      <c r="G132" s="1290"/>
      <c r="H132" s="80">
        <f t="shared" si="26"/>
        <v>0</v>
      </c>
      <c r="I132" s="80"/>
      <c r="J132" s="1289">
        <f t="shared" si="27"/>
        <v>0</v>
      </c>
      <c r="K132" s="80"/>
      <c r="L132" s="1289">
        <f t="shared" si="34"/>
        <v>0</v>
      </c>
      <c r="M132" s="1289">
        <f t="shared" si="24"/>
        <v>0</v>
      </c>
    </row>
    <row r="133" spans="1:13" s="58" customFormat="1">
      <c r="A133" s="248">
        <f t="shared" ref="A133:A136" si="35">A132+0.1</f>
        <v>3.2</v>
      </c>
      <c r="B133" s="249"/>
      <c r="C133" s="191" t="s">
        <v>51</v>
      </c>
      <c r="D133" s="80" t="s">
        <v>14</v>
      </c>
      <c r="E133" s="1111">
        <v>1E-3</v>
      </c>
      <c r="F133" s="1111">
        <f>E133*F131</f>
        <v>6.4600000000000005E-3</v>
      </c>
      <c r="G133" s="1290"/>
      <c r="H133" s="80">
        <f t="shared" si="26"/>
        <v>0</v>
      </c>
      <c r="I133" s="80"/>
      <c r="J133" s="1289">
        <f t="shared" si="27"/>
        <v>0</v>
      </c>
      <c r="K133" s="80"/>
      <c r="L133" s="1289">
        <f t="shared" si="34"/>
        <v>0</v>
      </c>
      <c r="M133" s="1289">
        <f t="shared" si="24"/>
        <v>0</v>
      </c>
    </row>
    <row r="134" spans="1:13" s="58" customFormat="1">
      <c r="A134" s="248">
        <f t="shared" si="35"/>
        <v>3.3000000000000003</v>
      </c>
      <c r="B134" s="256"/>
      <c r="C134" s="64" t="s">
        <v>613</v>
      </c>
      <c r="D134" s="63" t="s">
        <v>21</v>
      </c>
      <c r="E134" s="153" t="s">
        <v>91</v>
      </c>
      <c r="F134" s="153">
        <f>F131*0.5</f>
        <v>3.23</v>
      </c>
      <c r="G134" s="1290"/>
      <c r="H134" s="80">
        <f t="shared" si="26"/>
        <v>0</v>
      </c>
      <c r="I134" s="80"/>
      <c r="J134" s="1289">
        <f t="shared" si="27"/>
        <v>0</v>
      </c>
      <c r="K134" s="80"/>
      <c r="L134" s="1289">
        <f t="shared" si="34"/>
        <v>0</v>
      </c>
      <c r="M134" s="1289">
        <f t="shared" si="24"/>
        <v>0</v>
      </c>
    </row>
    <row r="135" spans="1:13" s="58" customFormat="1">
      <c r="A135" s="248">
        <f t="shared" si="35"/>
        <v>3.4000000000000004</v>
      </c>
      <c r="B135" s="256"/>
      <c r="C135" s="64" t="s">
        <v>332</v>
      </c>
      <c r="D135" s="80" t="s">
        <v>21</v>
      </c>
      <c r="E135" s="156">
        <v>0.82</v>
      </c>
      <c r="F135" s="186">
        <f>F131*E135</f>
        <v>5.2971999999999992</v>
      </c>
      <c r="G135" s="1290"/>
      <c r="H135" s="80">
        <f t="shared" si="26"/>
        <v>0</v>
      </c>
      <c r="I135" s="80"/>
      <c r="J135" s="1289">
        <f t="shared" si="27"/>
        <v>0</v>
      </c>
      <c r="K135" s="80"/>
      <c r="L135" s="1289">
        <f t="shared" si="34"/>
        <v>0</v>
      </c>
      <c r="M135" s="1289">
        <f t="shared" si="24"/>
        <v>0</v>
      </c>
    </row>
    <row r="136" spans="1:13" s="1108" customFormat="1">
      <c r="A136" s="248">
        <f t="shared" si="35"/>
        <v>3.5000000000000004</v>
      </c>
      <c r="B136" s="249"/>
      <c r="C136" s="64" t="s">
        <v>333</v>
      </c>
      <c r="D136" s="80" t="s">
        <v>1</v>
      </c>
      <c r="E136" s="1111">
        <v>1.7000000000000001E-2</v>
      </c>
      <c r="F136" s="156">
        <f>E136*F131</f>
        <v>0.10982</v>
      </c>
      <c r="G136" s="1290"/>
      <c r="H136" s="80">
        <f t="shared" si="26"/>
        <v>0</v>
      </c>
      <c r="I136" s="80"/>
      <c r="J136" s="1289">
        <f t="shared" si="27"/>
        <v>0</v>
      </c>
      <c r="K136" s="1300"/>
      <c r="L136" s="1289">
        <f t="shared" si="34"/>
        <v>0</v>
      </c>
      <c r="M136" s="1289">
        <f t="shared" si="24"/>
        <v>0</v>
      </c>
    </row>
    <row r="137" spans="1:13" ht="30.75" customHeight="1">
      <c r="A137" s="127"/>
      <c r="B137" s="260"/>
      <c r="C137" s="337" t="s">
        <v>463</v>
      </c>
      <c r="D137" s="127"/>
      <c r="E137" s="127"/>
      <c r="F137" s="127"/>
      <c r="G137" s="1287"/>
      <c r="H137" s="80">
        <f t="shared" si="26"/>
        <v>0</v>
      </c>
      <c r="I137" s="1289"/>
      <c r="J137" s="1289">
        <f t="shared" si="27"/>
        <v>0</v>
      </c>
      <c r="K137" s="1289"/>
      <c r="L137" s="1289">
        <f t="shared" si="33"/>
        <v>0</v>
      </c>
      <c r="M137" s="1289">
        <f t="shared" ref="M137:M190" si="36">H137+J137+L137</f>
        <v>0</v>
      </c>
    </row>
    <row r="138" spans="1:13" ht="75">
      <c r="A138" s="200" t="s">
        <v>44</v>
      </c>
      <c r="B138" s="260"/>
      <c r="C138" s="68" t="s">
        <v>267</v>
      </c>
      <c r="D138" s="127" t="s">
        <v>809</v>
      </c>
      <c r="E138" s="129"/>
      <c r="F138" s="69">
        <f>F151*1.7</f>
        <v>13.464</v>
      </c>
      <c r="G138" s="1287"/>
      <c r="H138" s="80">
        <f t="shared" si="26"/>
        <v>0</v>
      </c>
      <c r="I138" s="1289"/>
      <c r="J138" s="1289">
        <f t="shared" si="27"/>
        <v>0</v>
      </c>
      <c r="K138" s="1289"/>
      <c r="L138" s="1289">
        <f t="shared" si="33"/>
        <v>0</v>
      </c>
      <c r="M138" s="1289">
        <f t="shared" si="36"/>
        <v>0</v>
      </c>
    </row>
    <row r="139" spans="1:13">
      <c r="A139" s="248">
        <f>A138+0.1</f>
        <v>1.1000000000000001</v>
      </c>
      <c r="B139" s="249"/>
      <c r="C139" s="191" t="s">
        <v>268</v>
      </c>
      <c r="D139" s="131" t="s">
        <v>13</v>
      </c>
      <c r="E139" s="132">
        <v>3.5499999999999997E-2</v>
      </c>
      <c r="F139" s="242">
        <f>E139*F138</f>
        <v>0.47797199999999995</v>
      </c>
      <c r="G139" s="1290"/>
      <c r="H139" s="80">
        <f t="shared" si="26"/>
        <v>0</v>
      </c>
      <c r="I139" s="80"/>
      <c r="J139" s="1289">
        <f t="shared" si="27"/>
        <v>0</v>
      </c>
      <c r="K139" s="80"/>
      <c r="L139" s="1289">
        <f t="shared" si="33"/>
        <v>0</v>
      </c>
      <c r="M139" s="1289">
        <f t="shared" si="36"/>
        <v>0</v>
      </c>
    </row>
    <row r="140" spans="1:13" ht="21">
      <c r="A140" s="248">
        <f>A139+0.1</f>
        <v>1.2000000000000002</v>
      </c>
      <c r="B140" s="249"/>
      <c r="C140" s="191" t="s">
        <v>816</v>
      </c>
      <c r="D140" s="131" t="s">
        <v>156</v>
      </c>
      <c r="E140" s="258">
        <v>7.9500000000000001E-2</v>
      </c>
      <c r="F140" s="242">
        <f>E140*F138</f>
        <v>1.0703880000000001</v>
      </c>
      <c r="G140" s="1290"/>
      <c r="H140" s="80">
        <f t="shared" si="26"/>
        <v>0</v>
      </c>
      <c r="I140" s="1289"/>
      <c r="J140" s="1289">
        <f t="shared" si="27"/>
        <v>0</v>
      </c>
      <c r="K140" s="80"/>
      <c r="L140" s="1289">
        <f t="shared" si="33"/>
        <v>0</v>
      </c>
      <c r="M140" s="1289">
        <f t="shared" si="36"/>
        <v>0</v>
      </c>
    </row>
    <row r="141" spans="1:13">
      <c r="A141" s="248">
        <f>A140+0.1</f>
        <v>1.3000000000000003</v>
      </c>
      <c r="B141" s="249"/>
      <c r="C141" s="191" t="s">
        <v>117</v>
      </c>
      <c r="D141" s="131" t="s">
        <v>14</v>
      </c>
      <c r="E141" s="1102">
        <v>4.2599999999999999E-3</v>
      </c>
      <c r="F141" s="93">
        <f>E141*F138</f>
        <v>5.735664E-2</v>
      </c>
      <c r="G141" s="1290"/>
      <c r="H141" s="80">
        <f t="shared" si="26"/>
        <v>0</v>
      </c>
      <c r="I141" s="80"/>
      <c r="J141" s="1289">
        <f t="shared" si="27"/>
        <v>0</v>
      </c>
      <c r="K141" s="80"/>
      <c r="L141" s="1289">
        <f t="shared" si="33"/>
        <v>0</v>
      </c>
      <c r="M141" s="1289">
        <f t="shared" si="36"/>
        <v>0</v>
      </c>
    </row>
    <row r="142" spans="1:13" ht="21">
      <c r="A142" s="81">
        <v>2</v>
      </c>
      <c r="B142" s="1118"/>
      <c r="C142" s="68" t="s">
        <v>216</v>
      </c>
      <c r="D142" s="200" t="s">
        <v>809</v>
      </c>
      <c r="E142" s="61"/>
      <c r="F142" s="69">
        <f>F138*0.1</f>
        <v>1.3464</v>
      </c>
      <c r="G142" s="1290"/>
      <c r="H142" s="80">
        <f t="shared" si="26"/>
        <v>0</v>
      </c>
      <c r="I142" s="1289"/>
      <c r="J142" s="1289">
        <f t="shared" si="27"/>
        <v>0</v>
      </c>
      <c r="K142" s="1291"/>
      <c r="L142" s="1289">
        <f t="shared" si="33"/>
        <v>0</v>
      </c>
      <c r="M142" s="1289">
        <f t="shared" si="36"/>
        <v>0</v>
      </c>
    </row>
    <row r="143" spans="1:13">
      <c r="A143" s="248">
        <f>A142+0.1</f>
        <v>2.1</v>
      </c>
      <c r="B143" s="211"/>
      <c r="C143" s="191" t="s">
        <v>12</v>
      </c>
      <c r="D143" s="131" t="s">
        <v>13</v>
      </c>
      <c r="E143" s="61">
        <v>2.06</v>
      </c>
      <c r="F143" s="62">
        <f>F142*E143</f>
        <v>2.773584</v>
      </c>
      <c r="G143" s="1290"/>
      <c r="H143" s="80">
        <f t="shared" si="26"/>
        <v>0</v>
      </c>
      <c r="I143" s="80"/>
      <c r="J143" s="1289">
        <f t="shared" si="27"/>
        <v>0</v>
      </c>
      <c r="K143" s="1289"/>
      <c r="L143" s="1289">
        <f t="shared" si="33"/>
        <v>0</v>
      </c>
      <c r="M143" s="1289">
        <f t="shared" si="36"/>
        <v>0</v>
      </c>
    </row>
    <row r="144" spans="1:13" ht="45.75" customHeight="1">
      <c r="A144" s="1103">
        <v>3</v>
      </c>
      <c r="B144" s="1119"/>
      <c r="C144" s="68" t="s">
        <v>157</v>
      </c>
      <c r="D144" s="67" t="s">
        <v>16</v>
      </c>
      <c r="E144" s="91"/>
      <c r="F144" s="1104">
        <f>F138*1.85+F142*1.85</f>
        <v>27.399239999999999</v>
      </c>
      <c r="G144" s="1287"/>
      <c r="H144" s="80">
        <f t="shared" si="26"/>
        <v>0</v>
      </c>
      <c r="I144" s="80"/>
      <c r="J144" s="1289">
        <f t="shared" si="27"/>
        <v>0</v>
      </c>
      <c r="K144" s="80"/>
      <c r="L144" s="1289">
        <f t="shared" si="33"/>
        <v>0</v>
      </c>
      <c r="M144" s="1289">
        <f t="shared" si="36"/>
        <v>0</v>
      </c>
    </row>
    <row r="145" spans="1:13">
      <c r="A145" s="248">
        <f>A144+0.1</f>
        <v>3.1</v>
      </c>
      <c r="B145" s="211"/>
      <c r="C145" s="191" t="s">
        <v>269</v>
      </c>
      <c r="D145" s="63" t="s">
        <v>16</v>
      </c>
      <c r="E145" s="62">
        <v>1</v>
      </c>
      <c r="F145" s="61">
        <f>E145*F144</f>
        <v>27.399239999999999</v>
      </c>
      <c r="G145" s="1290"/>
      <c r="H145" s="80">
        <f t="shared" si="26"/>
        <v>0</v>
      </c>
      <c r="I145" s="1289"/>
      <c r="J145" s="1289">
        <f t="shared" si="27"/>
        <v>0</v>
      </c>
      <c r="K145" s="1291"/>
      <c r="L145" s="1289">
        <f t="shared" si="33"/>
        <v>0</v>
      </c>
      <c r="M145" s="1289">
        <f t="shared" si="36"/>
        <v>0</v>
      </c>
    </row>
    <row r="146" spans="1:13" s="56" customFormat="1" ht="37.5">
      <c r="A146" s="81">
        <v>4</v>
      </c>
      <c r="B146" s="1119"/>
      <c r="C146" s="337" t="s">
        <v>270</v>
      </c>
      <c r="D146" s="261" t="s">
        <v>812</v>
      </c>
      <c r="E146" s="91"/>
      <c r="F146" s="69">
        <f>F151*1.75/3</f>
        <v>4.62</v>
      </c>
      <c r="G146" s="1287"/>
      <c r="H146" s="80">
        <f t="shared" si="26"/>
        <v>0</v>
      </c>
      <c r="I146" s="1289"/>
      <c r="J146" s="1289">
        <f t="shared" si="27"/>
        <v>0</v>
      </c>
      <c r="K146" s="80"/>
      <c r="L146" s="1289">
        <f t="shared" si="33"/>
        <v>0</v>
      </c>
      <c r="M146" s="1289">
        <f t="shared" si="36"/>
        <v>0</v>
      </c>
    </row>
    <row r="147" spans="1:13">
      <c r="A147" s="248">
        <f>A146+0.1</f>
        <v>4.0999999999999996</v>
      </c>
      <c r="B147" s="249"/>
      <c r="C147" s="336" t="s">
        <v>12</v>
      </c>
      <c r="D147" s="131" t="s">
        <v>13</v>
      </c>
      <c r="E147" s="132">
        <v>3.52</v>
      </c>
      <c r="F147" s="242">
        <f>E147*F146</f>
        <v>16.2624</v>
      </c>
      <c r="G147" s="1290"/>
      <c r="H147" s="80">
        <f t="shared" si="26"/>
        <v>0</v>
      </c>
      <c r="I147" s="1289"/>
      <c r="J147" s="1289">
        <f t="shared" si="27"/>
        <v>0</v>
      </c>
      <c r="K147" s="1289"/>
      <c r="L147" s="1289">
        <f t="shared" si="33"/>
        <v>0</v>
      </c>
      <c r="M147" s="1289">
        <f t="shared" si="36"/>
        <v>0</v>
      </c>
    </row>
    <row r="148" spans="1:13">
      <c r="A148" s="248">
        <f>A147+0.1</f>
        <v>4.1999999999999993</v>
      </c>
      <c r="B148" s="249"/>
      <c r="C148" s="336" t="s">
        <v>117</v>
      </c>
      <c r="D148" s="80" t="s">
        <v>14</v>
      </c>
      <c r="E148" s="61">
        <v>1.06</v>
      </c>
      <c r="F148" s="62">
        <f>F146*E148</f>
        <v>4.8972000000000007</v>
      </c>
      <c r="G148" s="1292"/>
      <c r="H148" s="80">
        <f t="shared" si="26"/>
        <v>0</v>
      </c>
      <c r="I148" s="1289"/>
      <c r="J148" s="1289">
        <f t="shared" si="27"/>
        <v>0</v>
      </c>
      <c r="K148" s="1291"/>
      <c r="L148" s="1289">
        <f t="shared" si="33"/>
        <v>0</v>
      </c>
      <c r="M148" s="1289">
        <f t="shared" si="36"/>
        <v>0</v>
      </c>
    </row>
    <row r="149" spans="1:13" ht="21">
      <c r="A149" s="248">
        <f>A148+0.1</f>
        <v>4.2999999999999989</v>
      </c>
      <c r="B149" s="1120"/>
      <c r="C149" s="336" t="s">
        <v>59</v>
      </c>
      <c r="D149" s="63" t="s">
        <v>810</v>
      </c>
      <c r="E149" s="132">
        <f>0.18+0.09+0.97</f>
        <v>1.24</v>
      </c>
      <c r="F149" s="62">
        <f>E149*F146</f>
        <v>5.7287999999999997</v>
      </c>
      <c r="G149" s="1290"/>
      <c r="H149" s="80">
        <f t="shared" ref="H149:H195" si="37">F149*G149</f>
        <v>0</v>
      </c>
      <c r="I149" s="1289"/>
      <c r="J149" s="1289">
        <f t="shared" ref="J149:J197" si="38">F149*I149</f>
        <v>0</v>
      </c>
      <c r="K149" s="1289"/>
      <c r="L149" s="1289">
        <f t="shared" si="33"/>
        <v>0</v>
      </c>
      <c r="M149" s="1289">
        <f t="shared" si="36"/>
        <v>0</v>
      </c>
    </row>
    <row r="150" spans="1:13" s="58" customFormat="1">
      <c r="A150" s="248">
        <f>A149+0.1</f>
        <v>4.3999999999999986</v>
      </c>
      <c r="B150" s="211"/>
      <c r="C150" s="336" t="s">
        <v>119</v>
      </c>
      <c r="D150" s="80" t="s">
        <v>1</v>
      </c>
      <c r="E150" s="93">
        <v>0.02</v>
      </c>
      <c r="F150" s="93">
        <f>E150*F146</f>
        <v>9.240000000000001E-2</v>
      </c>
      <c r="G150" s="1292"/>
      <c r="H150" s="80">
        <f t="shared" si="37"/>
        <v>0</v>
      </c>
      <c r="I150" s="1289"/>
      <c r="J150" s="1289">
        <f t="shared" si="38"/>
        <v>0</v>
      </c>
      <c r="K150" s="80"/>
      <c r="L150" s="1289">
        <f t="shared" si="33"/>
        <v>0</v>
      </c>
      <c r="M150" s="1289">
        <f t="shared" si="36"/>
        <v>0</v>
      </c>
    </row>
    <row r="151" spans="1:13" ht="50.25" customHeight="1">
      <c r="A151" s="81">
        <v>5</v>
      </c>
      <c r="B151" s="1119"/>
      <c r="C151" s="128" t="s">
        <v>271</v>
      </c>
      <c r="D151" s="127" t="s">
        <v>809</v>
      </c>
      <c r="E151" s="91"/>
      <c r="F151" s="69">
        <v>7.92</v>
      </c>
      <c r="G151" s="1287"/>
      <c r="H151" s="80">
        <f t="shared" si="37"/>
        <v>0</v>
      </c>
      <c r="I151" s="1289"/>
      <c r="J151" s="1289">
        <f t="shared" si="38"/>
        <v>0</v>
      </c>
      <c r="K151" s="1289"/>
      <c r="L151" s="1289">
        <f t="shared" si="33"/>
        <v>0</v>
      </c>
      <c r="M151" s="1289">
        <f t="shared" si="36"/>
        <v>0</v>
      </c>
    </row>
    <row r="152" spans="1:13">
      <c r="A152" s="248">
        <f>A151+0.1</f>
        <v>5.0999999999999996</v>
      </c>
      <c r="B152" s="211"/>
      <c r="C152" s="191" t="s">
        <v>12</v>
      </c>
      <c r="D152" s="131" t="s">
        <v>13</v>
      </c>
      <c r="E152" s="61">
        <v>8.44</v>
      </c>
      <c r="F152" s="61">
        <f>E152*F151</f>
        <v>66.844799999999992</v>
      </c>
      <c r="G152" s="1290"/>
      <c r="H152" s="80">
        <f t="shared" si="37"/>
        <v>0</v>
      </c>
      <c r="I152" s="80"/>
      <c r="J152" s="1289">
        <f t="shared" si="38"/>
        <v>0</v>
      </c>
      <c r="K152" s="80"/>
      <c r="L152" s="1289">
        <f t="shared" si="33"/>
        <v>0</v>
      </c>
      <c r="M152" s="1289">
        <f t="shared" si="36"/>
        <v>0</v>
      </c>
    </row>
    <row r="153" spans="1:13" s="56" customFormat="1">
      <c r="A153" s="248">
        <f t="shared" ref="A153:A164" si="39">A152+0.1</f>
        <v>5.1999999999999993</v>
      </c>
      <c r="B153" s="211"/>
      <c r="C153" s="191" t="s">
        <v>266</v>
      </c>
      <c r="D153" s="80" t="s">
        <v>14</v>
      </c>
      <c r="E153" s="61">
        <v>1.1000000000000001</v>
      </c>
      <c r="F153" s="62">
        <f>E153*F151</f>
        <v>8.7119999999999997</v>
      </c>
      <c r="G153" s="1290"/>
      <c r="H153" s="80">
        <f t="shared" si="37"/>
        <v>0</v>
      </c>
      <c r="I153" s="80"/>
      <c r="J153" s="1289">
        <f t="shared" si="38"/>
        <v>0</v>
      </c>
      <c r="K153" s="80"/>
      <c r="L153" s="1289">
        <f t="shared" si="33"/>
        <v>0</v>
      </c>
      <c r="M153" s="1289">
        <f t="shared" si="36"/>
        <v>0</v>
      </c>
    </row>
    <row r="154" spans="1:13" s="56" customFormat="1" ht="21">
      <c r="A154" s="248">
        <f t="shared" si="39"/>
        <v>5.2999999999999989</v>
      </c>
      <c r="B154" s="211"/>
      <c r="C154" s="64" t="s">
        <v>75</v>
      </c>
      <c r="D154" s="80" t="s">
        <v>810</v>
      </c>
      <c r="E154" s="61">
        <v>1.0149999999999999</v>
      </c>
      <c r="F154" s="62">
        <f>E154*F151</f>
        <v>8.0387999999999984</v>
      </c>
      <c r="G154" s="1295"/>
      <c r="H154" s="80">
        <f t="shared" si="37"/>
        <v>0</v>
      </c>
      <c r="I154" s="80"/>
      <c r="J154" s="1289">
        <f t="shared" si="38"/>
        <v>0</v>
      </c>
      <c r="K154" s="80"/>
      <c r="L154" s="1289">
        <f t="shared" si="33"/>
        <v>0</v>
      </c>
      <c r="M154" s="1289">
        <f t="shared" si="36"/>
        <v>0</v>
      </c>
    </row>
    <row r="155" spans="1:13" s="56" customFormat="1">
      <c r="A155" s="248">
        <f t="shared" si="39"/>
        <v>5.3999999999999986</v>
      </c>
      <c r="B155" s="211"/>
      <c r="C155" s="64" t="s">
        <v>312</v>
      </c>
      <c r="D155" s="80" t="s">
        <v>15</v>
      </c>
      <c r="E155" s="61">
        <v>1.0149999999999999</v>
      </c>
      <c r="F155" s="62">
        <f>F151*E155</f>
        <v>8.0387999999999984</v>
      </c>
      <c r="G155" s="1290"/>
      <c r="H155" s="80">
        <f>F155*G155</f>
        <v>0</v>
      </c>
      <c r="I155" s="80"/>
      <c r="J155" s="1289">
        <f t="shared" si="38"/>
        <v>0</v>
      </c>
      <c r="K155" s="80"/>
      <c r="L155" s="1289">
        <f t="shared" si="33"/>
        <v>0</v>
      </c>
      <c r="M155" s="1289">
        <f t="shared" si="36"/>
        <v>0</v>
      </c>
    </row>
    <row r="156" spans="1:13" s="56" customFormat="1">
      <c r="A156" s="248">
        <f t="shared" si="39"/>
        <v>5.4999999999999982</v>
      </c>
      <c r="B156" s="1120"/>
      <c r="C156" s="184" t="s">
        <v>251</v>
      </c>
      <c r="D156" s="63" t="s">
        <v>16</v>
      </c>
      <c r="E156" s="61" t="s">
        <v>20</v>
      </c>
      <c r="F156" s="93">
        <f>0.239</f>
        <v>0.23899999999999999</v>
      </c>
      <c r="G156" s="1296"/>
      <c r="H156" s="80">
        <f t="shared" si="37"/>
        <v>0</v>
      </c>
      <c r="I156" s="80"/>
      <c r="J156" s="1289">
        <f t="shared" si="38"/>
        <v>0</v>
      </c>
      <c r="K156" s="80"/>
      <c r="L156" s="1289">
        <f t="shared" si="33"/>
        <v>0</v>
      </c>
      <c r="M156" s="1289">
        <f t="shared" si="36"/>
        <v>0</v>
      </c>
    </row>
    <row r="157" spans="1:13" s="56" customFormat="1">
      <c r="A157" s="248">
        <f t="shared" si="39"/>
        <v>5.5999999999999979</v>
      </c>
      <c r="B157" s="249"/>
      <c r="C157" s="184" t="s">
        <v>313</v>
      </c>
      <c r="D157" s="63" t="s">
        <v>16</v>
      </c>
      <c r="E157" s="61" t="s">
        <v>20</v>
      </c>
      <c r="F157" s="93">
        <f>0.102</f>
        <v>0.10199999999999999</v>
      </c>
      <c r="G157" s="1290"/>
      <c r="H157" s="80">
        <f t="shared" si="37"/>
        <v>0</v>
      </c>
      <c r="I157" s="80"/>
      <c r="J157" s="1289">
        <f t="shared" si="38"/>
        <v>0</v>
      </c>
      <c r="K157" s="80"/>
      <c r="L157" s="1289">
        <f t="shared" si="33"/>
        <v>0</v>
      </c>
      <c r="M157" s="1289">
        <f t="shared" si="36"/>
        <v>0</v>
      </c>
    </row>
    <row r="158" spans="1:13" s="56" customFormat="1">
      <c r="A158" s="248">
        <f t="shared" si="39"/>
        <v>5.6999999999999975</v>
      </c>
      <c r="B158" s="249"/>
      <c r="C158" s="184" t="s">
        <v>793</v>
      </c>
      <c r="D158" s="63" t="s">
        <v>16</v>
      </c>
      <c r="E158" s="61" t="s">
        <v>20</v>
      </c>
      <c r="F158" s="93">
        <f>0.245+0.196</f>
        <v>0.441</v>
      </c>
      <c r="G158" s="1296"/>
      <c r="H158" s="80">
        <f t="shared" si="37"/>
        <v>0</v>
      </c>
      <c r="I158" s="80"/>
      <c r="J158" s="1289">
        <f t="shared" si="38"/>
        <v>0</v>
      </c>
      <c r="K158" s="80"/>
      <c r="L158" s="1289">
        <f t="shared" si="33"/>
        <v>0</v>
      </c>
      <c r="M158" s="1289">
        <f t="shared" si="36"/>
        <v>0</v>
      </c>
    </row>
    <row r="159" spans="1:13" s="56" customFormat="1" ht="21">
      <c r="A159" s="248">
        <f t="shared" si="39"/>
        <v>5.7999999999999972</v>
      </c>
      <c r="B159" s="211"/>
      <c r="C159" s="64" t="s">
        <v>18</v>
      </c>
      <c r="D159" s="63" t="s">
        <v>811</v>
      </c>
      <c r="E159" s="61">
        <v>1.84</v>
      </c>
      <c r="F159" s="62">
        <f>E159*F151</f>
        <v>14.572800000000001</v>
      </c>
      <c r="G159" s="1290"/>
      <c r="H159" s="80">
        <f t="shared" si="37"/>
        <v>0</v>
      </c>
      <c r="I159" s="80"/>
      <c r="J159" s="1289">
        <f t="shared" si="38"/>
        <v>0</v>
      </c>
      <c r="K159" s="80"/>
      <c r="L159" s="1289">
        <f t="shared" si="33"/>
        <v>0</v>
      </c>
      <c r="M159" s="1289">
        <f t="shared" si="36"/>
        <v>0</v>
      </c>
    </row>
    <row r="160" spans="1:13" s="56" customFormat="1" ht="21">
      <c r="A160" s="248">
        <f t="shared" si="39"/>
        <v>5.8999999999999968</v>
      </c>
      <c r="B160" s="256"/>
      <c r="C160" s="64" t="s">
        <v>273</v>
      </c>
      <c r="D160" s="80" t="s">
        <v>810</v>
      </c>
      <c r="E160" s="258">
        <v>3.3999999999999998E-3</v>
      </c>
      <c r="F160" s="258">
        <f>E160*F151</f>
        <v>2.6927999999999997E-2</v>
      </c>
      <c r="G160" s="1290"/>
      <c r="H160" s="80">
        <f t="shared" si="37"/>
        <v>0</v>
      </c>
      <c r="I160" s="1289"/>
      <c r="J160" s="1289">
        <f t="shared" si="38"/>
        <v>0</v>
      </c>
      <c r="K160" s="80"/>
      <c r="L160" s="1289">
        <f t="shared" si="33"/>
        <v>0</v>
      </c>
      <c r="M160" s="1289">
        <f t="shared" si="36"/>
        <v>0</v>
      </c>
    </row>
    <row r="161" spans="1:13" s="1108" customFormat="1" ht="21">
      <c r="A161" s="248">
        <f t="shared" si="39"/>
        <v>5.9999999999999964</v>
      </c>
      <c r="B161" s="256"/>
      <c r="C161" s="64" t="s">
        <v>274</v>
      </c>
      <c r="D161" s="80" t="s">
        <v>810</v>
      </c>
      <c r="E161" s="258">
        <v>3.9100000000000003E-2</v>
      </c>
      <c r="F161" s="258">
        <f>E161*F151</f>
        <v>0.309672</v>
      </c>
      <c r="G161" s="1290"/>
      <c r="H161" s="80">
        <f t="shared" si="37"/>
        <v>0</v>
      </c>
      <c r="I161" s="1289"/>
      <c r="J161" s="1289">
        <f t="shared" si="38"/>
        <v>0</v>
      </c>
      <c r="K161" s="1300"/>
      <c r="L161" s="1289">
        <f t="shared" si="33"/>
        <v>0</v>
      </c>
      <c r="M161" s="1289">
        <f t="shared" si="36"/>
        <v>0</v>
      </c>
    </row>
    <row r="162" spans="1:13">
      <c r="A162" s="248">
        <f t="shared" si="39"/>
        <v>6.0999999999999961</v>
      </c>
      <c r="B162" s="256"/>
      <c r="C162" s="64" t="s">
        <v>275</v>
      </c>
      <c r="D162" s="80" t="s">
        <v>16</v>
      </c>
      <c r="E162" s="258">
        <v>2.2000000000000001E-3</v>
      </c>
      <c r="F162" s="258">
        <f>E162*F151</f>
        <v>1.7424000000000002E-2</v>
      </c>
      <c r="G162" s="1290"/>
      <c r="H162" s="80">
        <f t="shared" si="37"/>
        <v>0</v>
      </c>
      <c r="I162" s="1289"/>
      <c r="J162" s="1289">
        <f t="shared" si="38"/>
        <v>0</v>
      </c>
      <c r="K162" s="1289"/>
      <c r="L162" s="1289">
        <f t="shared" si="33"/>
        <v>0</v>
      </c>
      <c r="M162" s="1289">
        <f t="shared" si="36"/>
        <v>0</v>
      </c>
    </row>
    <row r="163" spans="1:13">
      <c r="A163" s="248">
        <f t="shared" si="39"/>
        <v>6.1999999999999957</v>
      </c>
      <c r="B163" s="249"/>
      <c r="C163" s="64" t="s">
        <v>276</v>
      </c>
      <c r="D163" s="80" t="s">
        <v>16</v>
      </c>
      <c r="E163" s="93">
        <v>1E-3</v>
      </c>
      <c r="F163" s="258">
        <f>E163*F151</f>
        <v>7.92E-3</v>
      </c>
      <c r="G163" s="1290"/>
      <c r="H163" s="80">
        <f t="shared" si="37"/>
        <v>0</v>
      </c>
      <c r="I163" s="1289"/>
      <c r="J163" s="1289">
        <f t="shared" si="38"/>
        <v>0</v>
      </c>
      <c r="K163" s="80"/>
      <c r="L163" s="1289">
        <f t="shared" si="33"/>
        <v>0</v>
      </c>
      <c r="M163" s="1289">
        <f t="shared" si="36"/>
        <v>0</v>
      </c>
    </row>
    <row r="164" spans="1:13">
      <c r="A164" s="248">
        <f t="shared" si="39"/>
        <v>6.2999999999999954</v>
      </c>
      <c r="B164" s="211"/>
      <c r="C164" s="336" t="s">
        <v>119</v>
      </c>
      <c r="D164" s="63" t="s">
        <v>14</v>
      </c>
      <c r="E164" s="61">
        <v>0.46</v>
      </c>
      <c r="F164" s="62">
        <f>E164*F151</f>
        <v>3.6432000000000002</v>
      </c>
      <c r="G164" s="1292"/>
      <c r="H164" s="80">
        <f t="shared" si="37"/>
        <v>0</v>
      </c>
      <c r="I164" s="1289"/>
      <c r="J164" s="1289">
        <f t="shared" si="38"/>
        <v>0</v>
      </c>
      <c r="K164" s="80"/>
      <c r="L164" s="1289">
        <f t="shared" si="33"/>
        <v>0</v>
      </c>
      <c r="M164" s="1289">
        <f t="shared" si="36"/>
        <v>0</v>
      </c>
    </row>
    <row r="165" spans="1:13" s="58" customFormat="1" ht="31.5" customHeight="1">
      <c r="A165" s="248"/>
      <c r="B165" s="211"/>
      <c r="C165" s="337" t="s">
        <v>458</v>
      </c>
      <c r="D165" s="80"/>
      <c r="E165" s="93"/>
      <c r="F165" s="93"/>
      <c r="G165" s="1292"/>
      <c r="H165" s="80">
        <f t="shared" si="37"/>
        <v>0</v>
      </c>
      <c r="I165" s="1289"/>
      <c r="J165" s="1289">
        <f t="shared" si="38"/>
        <v>0</v>
      </c>
      <c r="K165" s="80"/>
      <c r="L165" s="1289">
        <f t="shared" si="33"/>
        <v>0</v>
      </c>
      <c r="M165" s="1289">
        <f t="shared" si="36"/>
        <v>0</v>
      </c>
    </row>
    <row r="166" spans="1:13" s="331" customFormat="1" ht="57.75" customHeight="1">
      <c r="A166" s="322">
        <v>1</v>
      </c>
      <c r="B166" s="323"/>
      <c r="C166" s="324" t="s">
        <v>459</v>
      </c>
      <c r="D166" s="325" t="s">
        <v>107</v>
      </c>
      <c r="E166" s="326"/>
      <c r="F166" s="327">
        <f>F169+F170</f>
        <v>23.1</v>
      </c>
      <c r="G166" s="1298"/>
      <c r="H166" s="80">
        <f t="shared" si="37"/>
        <v>0</v>
      </c>
      <c r="I166" s="1299"/>
      <c r="J166" s="1289">
        <f t="shared" si="38"/>
        <v>0</v>
      </c>
      <c r="K166" s="1299"/>
      <c r="L166" s="1289">
        <f t="shared" si="33"/>
        <v>0</v>
      </c>
      <c r="M166" s="1289">
        <f t="shared" si="36"/>
        <v>0</v>
      </c>
    </row>
    <row r="167" spans="1:13" s="331" customFormat="1">
      <c r="A167" s="248">
        <f>A166+0.1</f>
        <v>1.1000000000000001</v>
      </c>
      <c r="B167" s="249"/>
      <c r="C167" s="332" t="s">
        <v>307</v>
      </c>
      <c r="D167" s="333" t="s">
        <v>13</v>
      </c>
      <c r="E167" s="334">
        <v>5.75</v>
      </c>
      <c r="F167" s="329">
        <f>F166*E167</f>
        <v>132.82500000000002</v>
      </c>
      <c r="G167" s="1298"/>
      <c r="H167" s="80">
        <f t="shared" si="37"/>
        <v>0</v>
      </c>
      <c r="I167" s="1299"/>
      <c r="J167" s="1289">
        <f t="shared" si="38"/>
        <v>0</v>
      </c>
      <c r="K167" s="1299"/>
      <c r="L167" s="1289">
        <f t="shared" si="33"/>
        <v>0</v>
      </c>
      <c r="M167" s="1289">
        <f t="shared" si="36"/>
        <v>0</v>
      </c>
    </row>
    <row r="168" spans="1:13" s="331" customFormat="1">
      <c r="A168" s="248">
        <f t="shared" ref="A168:A172" si="40">A167+0.1</f>
        <v>1.2000000000000002</v>
      </c>
      <c r="B168" s="249"/>
      <c r="C168" s="332" t="s">
        <v>51</v>
      </c>
      <c r="D168" s="333" t="s">
        <v>14</v>
      </c>
      <c r="E168" s="334">
        <v>3.5999999999999997E-2</v>
      </c>
      <c r="F168" s="329">
        <f>F166*E168</f>
        <v>0.83160000000000001</v>
      </c>
      <c r="G168" s="1298"/>
      <c r="H168" s="80">
        <f t="shared" si="37"/>
        <v>0</v>
      </c>
      <c r="I168" s="1299"/>
      <c r="J168" s="1289">
        <f t="shared" si="38"/>
        <v>0</v>
      </c>
      <c r="K168" s="1299"/>
      <c r="L168" s="1289">
        <f t="shared" si="33"/>
        <v>0</v>
      </c>
      <c r="M168" s="1289">
        <f t="shared" si="36"/>
        <v>0</v>
      </c>
    </row>
    <row r="169" spans="1:13" s="331" customFormat="1">
      <c r="A169" s="248">
        <f t="shared" si="40"/>
        <v>1.3000000000000003</v>
      </c>
      <c r="B169" s="335"/>
      <c r="C169" s="332" t="s">
        <v>460</v>
      </c>
      <c r="D169" s="333" t="s">
        <v>107</v>
      </c>
      <c r="E169" s="334">
        <v>1</v>
      </c>
      <c r="F169" s="329">
        <v>12.4</v>
      </c>
      <c r="G169" s="1298"/>
      <c r="H169" s="80">
        <f t="shared" si="37"/>
        <v>0</v>
      </c>
      <c r="I169" s="1299"/>
      <c r="J169" s="1289">
        <f t="shared" si="38"/>
        <v>0</v>
      </c>
      <c r="K169" s="1299"/>
      <c r="L169" s="1289">
        <f t="shared" si="33"/>
        <v>0</v>
      </c>
      <c r="M169" s="1289">
        <f t="shared" si="36"/>
        <v>0</v>
      </c>
    </row>
    <row r="170" spans="1:13" s="331" customFormat="1">
      <c r="A170" s="248">
        <f t="shared" si="40"/>
        <v>1.4000000000000004</v>
      </c>
      <c r="B170" s="335"/>
      <c r="C170" s="332" t="s">
        <v>461</v>
      </c>
      <c r="D170" s="333" t="s">
        <v>107</v>
      </c>
      <c r="E170" s="334">
        <v>1</v>
      </c>
      <c r="F170" s="329">
        <v>10.7</v>
      </c>
      <c r="G170" s="1298"/>
      <c r="H170" s="80">
        <f t="shared" si="37"/>
        <v>0</v>
      </c>
      <c r="I170" s="1299"/>
      <c r="J170" s="1289">
        <f t="shared" si="38"/>
        <v>0</v>
      </c>
      <c r="K170" s="1299"/>
      <c r="L170" s="1289">
        <f t="shared" si="33"/>
        <v>0</v>
      </c>
      <c r="M170" s="1289">
        <f t="shared" si="36"/>
        <v>0</v>
      </c>
    </row>
    <row r="171" spans="1:13" s="331" customFormat="1">
      <c r="A171" s="248">
        <f t="shared" si="40"/>
        <v>1.5000000000000004</v>
      </c>
      <c r="B171" s="335"/>
      <c r="C171" s="332" t="s">
        <v>455</v>
      </c>
      <c r="D171" s="333" t="s">
        <v>349</v>
      </c>
      <c r="E171" s="334">
        <v>6</v>
      </c>
      <c r="F171" s="329">
        <f>F166*E171</f>
        <v>138.60000000000002</v>
      </c>
      <c r="G171" s="1298"/>
      <c r="H171" s="80">
        <f t="shared" si="37"/>
        <v>0</v>
      </c>
      <c r="I171" s="1299"/>
      <c r="J171" s="1289">
        <f t="shared" si="38"/>
        <v>0</v>
      </c>
      <c r="K171" s="1299"/>
      <c r="L171" s="1289">
        <f t="shared" si="33"/>
        <v>0</v>
      </c>
      <c r="M171" s="1289">
        <f t="shared" si="36"/>
        <v>0</v>
      </c>
    </row>
    <row r="172" spans="1:13" s="331" customFormat="1">
      <c r="A172" s="248">
        <f t="shared" si="40"/>
        <v>1.6000000000000005</v>
      </c>
      <c r="B172" s="335"/>
      <c r="C172" s="336" t="s">
        <v>119</v>
      </c>
      <c r="D172" s="80" t="s">
        <v>1</v>
      </c>
      <c r="E172" s="334">
        <v>4.2999999999999997E-2</v>
      </c>
      <c r="F172" s="329">
        <f>F166*E172</f>
        <v>0.99329999999999996</v>
      </c>
      <c r="G172" s="1298"/>
      <c r="H172" s="80">
        <f t="shared" si="37"/>
        <v>0</v>
      </c>
      <c r="I172" s="1299"/>
      <c r="J172" s="1289">
        <f t="shared" si="38"/>
        <v>0</v>
      </c>
      <c r="K172" s="1299"/>
      <c r="L172" s="1289">
        <f t="shared" si="33"/>
        <v>0</v>
      </c>
      <c r="M172" s="1289">
        <f t="shared" si="36"/>
        <v>0</v>
      </c>
    </row>
    <row r="173" spans="1:13" s="331" customFormat="1" ht="64.5" customHeight="1">
      <c r="A173" s="322">
        <f>A166+1</f>
        <v>2</v>
      </c>
      <c r="B173" s="323"/>
      <c r="C173" s="324" t="s">
        <v>612</v>
      </c>
      <c r="D173" s="325" t="s">
        <v>43</v>
      </c>
      <c r="E173" s="326"/>
      <c r="F173" s="327">
        <f>F175/0.03</f>
        <v>3</v>
      </c>
      <c r="G173" s="1298"/>
      <c r="H173" s="80">
        <f t="shared" si="37"/>
        <v>0</v>
      </c>
      <c r="I173" s="1299"/>
      <c r="J173" s="1289">
        <f t="shared" si="38"/>
        <v>0</v>
      </c>
      <c r="K173" s="1299"/>
      <c r="L173" s="1289">
        <f t="shared" si="33"/>
        <v>0</v>
      </c>
      <c r="M173" s="1289">
        <f t="shared" si="36"/>
        <v>0</v>
      </c>
    </row>
    <row r="174" spans="1:13" s="331" customFormat="1">
      <c r="A174" s="248">
        <f>A173+0.1</f>
        <v>2.1</v>
      </c>
      <c r="B174" s="335"/>
      <c r="C174" s="332" t="s">
        <v>307</v>
      </c>
      <c r="D174" s="325" t="s">
        <v>107</v>
      </c>
      <c r="E174" s="334">
        <v>1</v>
      </c>
      <c r="F174" s="329">
        <f>F173*E174</f>
        <v>3</v>
      </c>
      <c r="G174" s="1298"/>
      <c r="H174" s="80">
        <f t="shared" si="37"/>
        <v>0</v>
      </c>
      <c r="I174" s="1299"/>
      <c r="J174" s="1289">
        <f t="shared" si="38"/>
        <v>0</v>
      </c>
      <c r="K174" s="1299"/>
      <c r="L174" s="1289">
        <f t="shared" si="33"/>
        <v>0</v>
      </c>
      <c r="M174" s="1289">
        <f t="shared" si="36"/>
        <v>0</v>
      </c>
    </row>
    <row r="175" spans="1:13" s="331" customFormat="1">
      <c r="A175" s="248">
        <f t="shared" ref="A175:A176" si="41">A174+0.1</f>
        <v>2.2000000000000002</v>
      </c>
      <c r="B175" s="335"/>
      <c r="C175" s="332" t="s">
        <v>614</v>
      </c>
      <c r="D175" s="333" t="s">
        <v>15</v>
      </c>
      <c r="E175" s="334" t="s">
        <v>20</v>
      </c>
      <c r="F175" s="329">
        <v>0.09</v>
      </c>
      <c r="G175" s="1298"/>
      <c r="H175" s="80">
        <f t="shared" si="37"/>
        <v>0</v>
      </c>
      <c r="I175" s="1299"/>
      <c r="J175" s="1289">
        <f t="shared" si="38"/>
        <v>0</v>
      </c>
      <c r="K175" s="1299"/>
      <c r="L175" s="1289">
        <f t="shared" si="33"/>
        <v>0</v>
      </c>
      <c r="M175" s="1289">
        <f t="shared" si="36"/>
        <v>0</v>
      </c>
    </row>
    <row r="176" spans="1:13" s="331" customFormat="1">
      <c r="A176" s="248">
        <f t="shared" si="41"/>
        <v>2.3000000000000003</v>
      </c>
      <c r="B176" s="335"/>
      <c r="C176" s="332" t="s">
        <v>119</v>
      </c>
      <c r="D176" s="333" t="s">
        <v>43</v>
      </c>
      <c r="E176" s="334">
        <v>1</v>
      </c>
      <c r="F176" s="329">
        <f>F173*E176</f>
        <v>3</v>
      </c>
      <c r="G176" s="1298"/>
      <c r="H176" s="80">
        <f t="shared" si="37"/>
        <v>0</v>
      </c>
      <c r="I176" s="1299"/>
      <c r="J176" s="1289">
        <f t="shared" si="38"/>
        <v>0</v>
      </c>
      <c r="K176" s="1299"/>
      <c r="L176" s="1289">
        <f t="shared" si="33"/>
        <v>0</v>
      </c>
      <c r="M176" s="1289">
        <f t="shared" si="36"/>
        <v>0</v>
      </c>
    </row>
    <row r="177" spans="1:13" s="1108" customFormat="1" ht="69" customHeight="1">
      <c r="A177" s="322">
        <v>3</v>
      </c>
      <c r="B177" s="260"/>
      <c r="C177" s="128" t="s">
        <v>615</v>
      </c>
      <c r="D177" s="127" t="s">
        <v>813</v>
      </c>
      <c r="E177" s="190"/>
      <c r="F177" s="150">
        <v>8.74</v>
      </c>
      <c r="G177" s="1287"/>
      <c r="H177" s="80">
        <f t="shared" si="37"/>
        <v>0</v>
      </c>
      <c r="I177" s="80"/>
      <c r="J177" s="1289">
        <f t="shared" si="38"/>
        <v>0</v>
      </c>
      <c r="K177" s="1300"/>
      <c r="L177" s="1289">
        <f t="shared" si="33"/>
        <v>0</v>
      </c>
      <c r="M177" s="1289">
        <f t="shared" si="36"/>
        <v>0</v>
      </c>
    </row>
    <row r="178" spans="1:13" s="58" customFormat="1">
      <c r="A178" s="248">
        <f>A177+0.1</f>
        <v>3.1</v>
      </c>
      <c r="B178" s="249"/>
      <c r="C178" s="191" t="s">
        <v>23</v>
      </c>
      <c r="D178" s="131" t="s">
        <v>13</v>
      </c>
      <c r="E178" s="156">
        <v>0.74099999999999999</v>
      </c>
      <c r="F178" s="186">
        <f>E178*F177</f>
        <v>6.4763400000000004</v>
      </c>
      <c r="G178" s="1290"/>
      <c r="H178" s="80">
        <f t="shared" si="37"/>
        <v>0</v>
      </c>
      <c r="I178" s="80"/>
      <c r="J178" s="1289">
        <f t="shared" si="38"/>
        <v>0</v>
      </c>
      <c r="K178" s="80"/>
      <c r="L178" s="1289">
        <f t="shared" si="33"/>
        <v>0</v>
      </c>
      <c r="M178" s="1289">
        <f t="shared" si="36"/>
        <v>0</v>
      </c>
    </row>
    <row r="179" spans="1:13" s="58" customFormat="1">
      <c r="A179" s="248">
        <f t="shared" ref="A179:A182" si="42">A178+0.1</f>
        <v>3.2</v>
      </c>
      <c r="B179" s="249"/>
      <c r="C179" s="191" t="s">
        <v>51</v>
      </c>
      <c r="D179" s="80" t="s">
        <v>14</v>
      </c>
      <c r="E179" s="1111">
        <v>1E-3</v>
      </c>
      <c r="F179" s="1111">
        <f>E179*F177</f>
        <v>8.7400000000000012E-3</v>
      </c>
      <c r="G179" s="1290"/>
      <c r="H179" s="80">
        <f t="shared" si="37"/>
        <v>0</v>
      </c>
      <c r="I179" s="80"/>
      <c r="J179" s="1289">
        <f t="shared" si="38"/>
        <v>0</v>
      </c>
      <c r="K179" s="80"/>
      <c r="L179" s="1289">
        <f t="shared" si="33"/>
        <v>0</v>
      </c>
      <c r="M179" s="1289">
        <f t="shared" si="36"/>
        <v>0</v>
      </c>
    </row>
    <row r="180" spans="1:13" s="58" customFormat="1">
      <c r="A180" s="248">
        <f t="shared" si="42"/>
        <v>3.3000000000000003</v>
      </c>
      <c r="B180" s="256"/>
      <c r="C180" s="64" t="s">
        <v>613</v>
      </c>
      <c r="D180" s="63" t="s">
        <v>21</v>
      </c>
      <c r="E180" s="153" t="s">
        <v>91</v>
      </c>
      <c r="F180" s="153">
        <f>F177*0.5</f>
        <v>4.37</v>
      </c>
      <c r="G180" s="1290"/>
      <c r="H180" s="80">
        <f t="shared" si="37"/>
        <v>0</v>
      </c>
      <c r="I180" s="80"/>
      <c r="J180" s="1289">
        <f t="shared" si="38"/>
        <v>0</v>
      </c>
      <c r="K180" s="80"/>
      <c r="L180" s="1289">
        <f t="shared" si="33"/>
        <v>0</v>
      </c>
      <c r="M180" s="1289">
        <f t="shared" si="36"/>
        <v>0</v>
      </c>
    </row>
    <row r="181" spans="1:13" s="58" customFormat="1">
      <c r="A181" s="248">
        <f t="shared" si="42"/>
        <v>3.4000000000000004</v>
      </c>
      <c r="B181" s="256"/>
      <c r="C181" s="64" t="s">
        <v>332</v>
      </c>
      <c r="D181" s="80" t="s">
        <v>21</v>
      </c>
      <c r="E181" s="156">
        <v>0.82</v>
      </c>
      <c r="F181" s="186">
        <f>F177*E181</f>
        <v>7.1667999999999994</v>
      </c>
      <c r="G181" s="1290"/>
      <c r="H181" s="80">
        <f t="shared" si="37"/>
        <v>0</v>
      </c>
      <c r="I181" s="80"/>
      <c r="J181" s="1289">
        <f t="shared" si="38"/>
        <v>0</v>
      </c>
      <c r="K181" s="80"/>
      <c r="L181" s="1289">
        <f t="shared" si="33"/>
        <v>0</v>
      </c>
      <c r="M181" s="1289">
        <f t="shared" si="36"/>
        <v>0</v>
      </c>
    </row>
    <row r="182" spans="1:13" s="1108" customFormat="1">
      <c r="A182" s="248">
        <f t="shared" si="42"/>
        <v>3.5000000000000004</v>
      </c>
      <c r="B182" s="249"/>
      <c r="C182" s="64" t="s">
        <v>333</v>
      </c>
      <c r="D182" s="80" t="s">
        <v>1</v>
      </c>
      <c r="E182" s="1111">
        <v>1.7000000000000001E-2</v>
      </c>
      <c r="F182" s="156">
        <f>E182*F177</f>
        <v>0.14858000000000002</v>
      </c>
      <c r="G182" s="1290"/>
      <c r="H182" s="80">
        <f t="shared" si="37"/>
        <v>0</v>
      </c>
      <c r="I182" s="80"/>
      <c r="J182" s="1289">
        <f t="shared" si="38"/>
        <v>0</v>
      </c>
      <c r="K182" s="1300"/>
      <c r="L182" s="1289">
        <f t="shared" si="33"/>
        <v>0</v>
      </c>
      <c r="M182" s="1289">
        <f t="shared" si="36"/>
        <v>0</v>
      </c>
    </row>
    <row r="183" spans="1:13" ht="40.5" customHeight="1">
      <c r="A183" s="127"/>
      <c r="B183" s="260"/>
      <c r="C183" s="337" t="s">
        <v>464</v>
      </c>
      <c r="D183" s="127"/>
      <c r="E183" s="127"/>
      <c r="F183" s="127"/>
      <c r="G183" s="1287"/>
      <c r="H183" s="80">
        <f t="shared" si="37"/>
        <v>0</v>
      </c>
      <c r="I183" s="1289"/>
      <c r="J183" s="1289">
        <f t="shared" si="38"/>
        <v>0</v>
      </c>
      <c r="K183" s="1289"/>
      <c r="L183" s="1289">
        <f t="shared" si="33"/>
        <v>0</v>
      </c>
      <c r="M183" s="1289">
        <f t="shared" si="36"/>
        <v>0</v>
      </c>
    </row>
    <row r="184" spans="1:13" ht="75">
      <c r="A184" s="200" t="s">
        <v>44</v>
      </c>
      <c r="B184" s="260"/>
      <c r="C184" s="68" t="s">
        <v>267</v>
      </c>
      <c r="D184" s="127" t="s">
        <v>809</v>
      </c>
      <c r="E184" s="129"/>
      <c r="F184" s="69">
        <f>F197*1.7</f>
        <v>53.116500000000002</v>
      </c>
      <c r="G184" s="1287"/>
      <c r="H184" s="80">
        <f t="shared" si="37"/>
        <v>0</v>
      </c>
      <c r="I184" s="1289"/>
      <c r="J184" s="1289">
        <f t="shared" si="38"/>
        <v>0</v>
      </c>
      <c r="K184" s="1289"/>
      <c r="L184" s="1289">
        <f t="shared" ref="L184:L242" si="43">F184*K184</f>
        <v>0</v>
      </c>
      <c r="M184" s="1289">
        <f t="shared" si="36"/>
        <v>0</v>
      </c>
    </row>
    <row r="185" spans="1:13">
      <c r="A185" s="248">
        <f>A184+0.1</f>
        <v>1.1000000000000001</v>
      </c>
      <c r="B185" s="249"/>
      <c r="C185" s="191" t="s">
        <v>268</v>
      </c>
      <c r="D185" s="131" t="s">
        <v>13</v>
      </c>
      <c r="E185" s="132">
        <v>3.5499999999999997E-2</v>
      </c>
      <c r="F185" s="242">
        <f>E185*F184</f>
        <v>1.8856357499999998</v>
      </c>
      <c r="G185" s="1290"/>
      <c r="H185" s="80">
        <f t="shared" si="37"/>
        <v>0</v>
      </c>
      <c r="I185" s="80"/>
      <c r="J185" s="1289">
        <f t="shared" si="38"/>
        <v>0</v>
      </c>
      <c r="K185" s="80"/>
      <c r="L185" s="1289">
        <f t="shared" si="43"/>
        <v>0</v>
      </c>
      <c r="M185" s="1289">
        <f t="shared" si="36"/>
        <v>0</v>
      </c>
    </row>
    <row r="186" spans="1:13" ht="21">
      <c r="A186" s="248">
        <f>A185+0.1</f>
        <v>1.2000000000000002</v>
      </c>
      <c r="B186" s="249"/>
      <c r="C186" s="191" t="s">
        <v>816</v>
      </c>
      <c r="D186" s="131" t="s">
        <v>156</v>
      </c>
      <c r="E186" s="258">
        <v>7.9500000000000001E-2</v>
      </c>
      <c r="F186" s="242">
        <f>E186*F184</f>
        <v>4.2227617500000001</v>
      </c>
      <c r="G186" s="1290"/>
      <c r="H186" s="80">
        <f t="shared" si="37"/>
        <v>0</v>
      </c>
      <c r="I186" s="1289"/>
      <c r="J186" s="1289">
        <f t="shared" si="38"/>
        <v>0</v>
      </c>
      <c r="K186" s="80"/>
      <c r="L186" s="1289">
        <f t="shared" si="43"/>
        <v>0</v>
      </c>
      <c r="M186" s="1289">
        <f t="shared" si="36"/>
        <v>0</v>
      </c>
    </row>
    <row r="187" spans="1:13">
      <c r="A187" s="248">
        <f>A186+0.1</f>
        <v>1.3000000000000003</v>
      </c>
      <c r="B187" s="249"/>
      <c r="C187" s="191" t="s">
        <v>117</v>
      </c>
      <c r="D187" s="131" t="s">
        <v>14</v>
      </c>
      <c r="E187" s="1102">
        <v>4.2599999999999999E-3</v>
      </c>
      <c r="F187" s="93">
        <f>E187*F184</f>
        <v>0.22627628999999999</v>
      </c>
      <c r="G187" s="1290"/>
      <c r="H187" s="80">
        <f t="shared" si="37"/>
        <v>0</v>
      </c>
      <c r="I187" s="80"/>
      <c r="J187" s="1289">
        <f t="shared" si="38"/>
        <v>0</v>
      </c>
      <c r="K187" s="80"/>
      <c r="L187" s="1289">
        <f t="shared" si="43"/>
        <v>0</v>
      </c>
      <c r="M187" s="1289">
        <f t="shared" si="36"/>
        <v>0</v>
      </c>
    </row>
    <row r="188" spans="1:13" ht="21">
      <c r="A188" s="81">
        <v>2</v>
      </c>
      <c r="B188" s="1118"/>
      <c r="C188" s="68" t="s">
        <v>216</v>
      </c>
      <c r="D188" s="200" t="s">
        <v>809</v>
      </c>
      <c r="E188" s="61"/>
      <c r="F188" s="69">
        <f>F184*0.1</f>
        <v>5.3116500000000002</v>
      </c>
      <c r="G188" s="1290"/>
      <c r="H188" s="80">
        <f t="shared" si="37"/>
        <v>0</v>
      </c>
      <c r="I188" s="1289"/>
      <c r="J188" s="1289">
        <f t="shared" si="38"/>
        <v>0</v>
      </c>
      <c r="K188" s="1291"/>
      <c r="L188" s="1289">
        <f t="shared" si="43"/>
        <v>0</v>
      </c>
      <c r="M188" s="1289">
        <f t="shared" si="36"/>
        <v>0</v>
      </c>
    </row>
    <row r="189" spans="1:13">
      <c r="A189" s="248">
        <f>A188+0.1</f>
        <v>2.1</v>
      </c>
      <c r="B189" s="211"/>
      <c r="C189" s="191" t="s">
        <v>12</v>
      </c>
      <c r="D189" s="131" t="s">
        <v>13</v>
      </c>
      <c r="E189" s="61">
        <v>2.06</v>
      </c>
      <c r="F189" s="62">
        <f>F188*E189</f>
        <v>10.941999000000001</v>
      </c>
      <c r="G189" s="1290"/>
      <c r="H189" s="80">
        <f t="shared" si="37"/>
        <v>0</v>
      </c>
      <c r="I189" s="80"/>
      <c r="J189" s="1289">
        <f t="shared" si="38"/>
        <v>0</v>
      </c>
      <c r="K189" s="1289"/>
      <c r="L189" s="1289">
        <f t="shared" si="43"/>
        <v>0</v>
      </c>
      <c r="M189" s="1289">
        <f t="shared" si="36"/>
        <v>0</v>
      </c>
    </row>
    <row r="190" spans="1:13" ht="45.75" customHeight="1">
      <c r="A190" s="1103">
        <v>3</v>
      </c>
      <c r="B190" s="1119"/>
      <c r="C190" s="68" t="s">
        <v>157</v>
      </c>
      <c r="D190" s="67" t="s">
        <v>16</v>
      </c>
      <c r="E190" s="91"/>
      <c r="F190" s="1104">
        <f>F184*1.85+F188*1.85</f>
        <v>108.09207750000002</v>
      </c>
      <c r="G190" s="1287"/>
      <c r="H190" s="80">
        <f t="shared" si="37"/>
        <v>0</v>
      </c>
      <c r="I190" s="80"/>
      <c r="J190" s="1289">
        <f t="shared" si="38"/>
        <v>0</v>
      </c>
      <c r="K190" s="80"/>
      <c r="L190" s="1289">
        <f t="shared" si="43"/>
        <v>0</v>
      </c>
      <c r="M190" s="1289">
        <f t="shared" si="36"/>
        <v>0</v>
      </c>
    </row>
    <row r="191" spans="1:13">
      <c r="A191" s="248">
        <f>A190+0.1</f>
        <v>3.1</v>
      </c>
      <c r="B191" s="211"/>
      <c r="C191" s="191" t="s">
        <v>269</v>
      </c>
      <c r="D191" s="63" t="s">
        <v>16</v>
      </c>
      <c r="E191" s="62">
        <v>1</v>
      </c>
      <c r="F191" s="61">
        <f>E191*F190</f>
        <v>108.09207750000002</v>
      </c>
      <c r="G191" s="1290"/>
      <c r="H191" s="80">
        <f t="shared" si="37"/>
        <v>0</v>
      </c>
      <c r="I191" s="1289"/>
      <c r="J191" s="1289">
        <f t="shared" si="38"/>
        <v>0</v>
      </c>
      <c r="K191" s="1291"/>
      <c r="L191" s="1289">
        <f t="shared" si="43"/>
        <v>0</v>
      </c>
      <c r="M191" s="1289">
        <f t="shared" ref="M191:M249" si="44">H191+J191+L191</f>
        <v>0</v>
      </c>
    </row>
    <row r="192" spans="1:13" s="56" customFormat="1" ht="37.5">
      <c r="A192" s="81">
        <v>4</v>
      </c>
      <c r="B192" s="1119"/>
      <c r="C192" s="337" t="s">
        <v>270</v>
      </c>
      <c r="D192" s="261" t="s">
        <v>812</v>
      </c>
      <c r="E192" s="91"/>
      <c r="F192" s="69">
        <f>F197*1.75/3</f>
        <v>18.22625</v>
      </c>
      <c r="G192" s="1287"/>
      <c r="H192" s="80">
        <f t="shared" si="37"/>
        <v>0</v>
      </c>
      <c r="I192" s="1289"/>
      <c r="J192" s="1289">
        <f t="shared" si="38"/>
        <v>0</v>
      </c>
      <c r="K192" s="80"/>
      <c r="L192" s="1289">
        <f t="shared" si="43"/>
        <v>0</v>
      </c>
      <c r="M192" s="1289">
        <f t="shared" si="44"/>
        <v>0</v>
      </c>
    </row>
    <row r="193" spans="1:13">
      <c r="A193" s="248">
        <f>A192+0.1</f>
        <v>4.0999999999999996</v>
      </c>
      <c r="B193" s="249"/>
      <c r="C193" s="336" t="s">
        <v>12</v>
      </c>
      <c r="D193" s="131" t="s">
        <v>13</v>
      </c>
      <c r="E193" s="132">
        <v>3.52</v>
      </c>
      <c r="F193" s="242">
        <f>E193*F192</f>
        <v>64.156400000000005</v>
      </c>
      <c r="G193" s="1290"/>
      <c r="H193" s="80">
        <f t="shared" si="37"/>
        <v>0</v>
      </c>
      <c r="I193" s="1289"/>
      <c r="J193" s="1289">
        <f t="shared" si="38"/>
        <v>0</v>
      </c>
      <c r="K193" s="1289"/>
      <c r="L193" s="1289">
        <f t="shared" si="43"/>
        <v>0</v>
      </c>
      <c r="M193" s="1289">
        <f t="shared" si="44"/>
        <v>0</v>
      </c>
    </row>
    <row r="194" spans="1:13">
      <c r="A194" s="248">
        <f>A193+0.1</f>
        <v>4.1999999999999993</v>
      </c>
      <c r="B194" s="249"/>
      <c r="C194" s="336" t="s">
        <v>117</v>
      </c>
      <c r="D194" s="80" t="s">
        <v>14</v>
      </c>
      <c r="E194" s="61">
        <v>1.06</v>
      </c>
      <c r="F194" s="62">
        <f>F192*E194</f>
        <v>19.319825000000002</v>
      </c>
      <c r="G194" s="1292"/>
      <c r="H194" s="80">
        <f t="shared" si="37"/>
        <v>0</v>
      </c>
      <c r="I194" s="1289"/>
      <c r="J194" s="1289">
        <f t="shared" si="38"/>
        <v>0</v>
      </c>
      <c r="K194" s="1291"/>
      <c r="L194" s="1289">
        <f t="shared" si="43"/>
        <v>0</v>
      </c>
      <c r="M194" s="1289">
        <f t="shared" si="44"/>
        <v>0</v>
      </c>
    </row>
    <row r="195" spans="1:13" ht="21">
      <c r="A195" s="248">
        <f>A194+0.1</f>
        <v>4.2999999999999989</v>
      </c>
      <c r="B195" s="1120"/>
      <c r="C195" s="336" t="s">
        <v>59</v>
      </c>
      <c r="D195" s="63" t="s">
        <v>810</v>
      </c>
      <c r="E195" s="132">
        <f>0.18+0.09+0.97</f>
        <v>1.24</v>
      </c>
      <c r="F195" s="62">
        <f>E195*F192</f>
        <v>22.600550000000002</v>
      </c>
      <c r="G195" s="1290"/>
      <c r="H195" s="80">
        <f t="shared" si="37"/>
        <v>0</v>
      </c>
      <c r="I195" s="1289"/>
      <c r="J195" s="1289">
        <f t="shared" si="38"/>
        <v>0</v>
      </c>
      <c r="K195" s="1289"/>
      <c r="L195" s="1289">
        <f t="shared" si="43"/>
        <v>0</v>
      </c>
      <c r="M195" s="1289">
        <f t="shared" si="44"/>
        <v>0</v>
      </c>
    </row>
    <row r="196" spans="1:13" s="58" customFormat="1">
      <c r="A196" s="248">
        <f>A195+0.1</f>
        <v>4.3999999999999986</v>
      </c>
      <c r="B196" s="211"/>
      <c r="C196" s="336" t="s">
        <v>119</v>
      </c>
      <c r="D196" s="80" t="s">
        <v>1</v>
      </c>
      <c r="E196" s="93">
        <v>0.02</v>
      </c>
      <c r="F196" s="93">
        <f>E196*F192</f>
        <v>0.36452499999999999</v>
      </c>
      <c r="G196" s="1292"/>
      <c r="H196" s="80">
        <f t="shared" ref="H196:H246" si="45">F196*G196</f>
        <v>0</v>
      </c>
      <c r="I196" s="1289"/>
      <c r="J196" s="1289">
        <f t="shared" si="38"/>
        <v>0</v>
      </c>
      <c r="K196" s="80"/>
      <c r="L196" s="1289">
        <f t="shared" si="43"/>
        <v>0</v>
      </c>
      <c r="M196" s="1289">
        <f t="shared" si="44"/>
        <v>0</v>
      </c>
    </row>
    <row r="197" spans="1:13" ht="21">
      <c r="A197" s="81">
        <v>5</v>
      </c>
      <c r="B197" s="1119"/>
      <c r="C197" s="128" t="s">
        <v>271</v>
      </c>
      <c r="D197" s="127" t="s">
        <v>809</v>
      </c>
      <c r="E197" s="91"/>
      <c r="F197" s="69">
        <f>3.53+6.05+9.32+6.12+5+1.225</f>
        <v>31.245000000000001</v>
      </c>
      <c r="G197" s="1287"/>
      <c r="H197" s="80">
        <f t="shared" si="45"/>
        <v>0</v>
      </c>
      <c r="I197" s="1289"/>
      <c r="J197" s="1289">
        <f t="shared" si="38"/>
        <v>0</v>
      </c>
      <c r="K197" s="1289"/>
      <c r="L197" s="1289">
        <f t="shared" si="43"/>
        <v>0</v>
      </c>
      <c r="M197" s="1289">
        <f t="shared" si="44"/>
        <v>0</v>
      </c>
    </row>
    <row r="198" spans="1:13">
      <c r="A198" s="248">
        <f>A197+0.1</f>
        <v>5.0999999999999996</v>
      </c>
      <c r="B198" s="211"/>
      <c r="C198" s="191" t="s">
        <v>12</v>
      </c>
      <c r="D198" s="131" t="s">
        <v>13</v>
      </c>
      <c r="E198" s="61">
        <v>8.44</v>
      </c>
      <c r="F198" s="61">
        <f>E198*F197</f>
        <v>263.70780000000002</v>
      </c>
      <c r="G198" s="1290"/>
      <c r="H198" s="80">
        <f t="shared" si="45"/>
        <v>0</v>
      </c>
      <c r="I198" s="80"/>
      <c r="J198" s="1289">
        <f t="shared" ref="J198:J199" si="46">F198*I198</f>
        <v>0</v>
      </c>
      <c r="K198" s="80"/>
      <c r="L198" s="1289">
        <f t="shared" si="43"/>
        <v>0</v>
      </c>
      <c r="M198" s="1289">
        <f t="shared" si="44"/>
        <v>0</v>
      </c>
    </row>
    <row r="199" spans="1:13" s="56" customFormat="1">
      <c r="A199" s="248">
        <f t="shared" ref="A199:A210" si="47">A198+0.1</f>
        <v>5.1999999999999993</v>
      </c>
      <c r="B199" s="211"/>
      <c r="C199" s="191" t="s">
        <v>266</v>
      </c>
      <c r="D199" s="80" t="s">
        <v>14</v>
      </c>
      <c r="E199" s="61">
        <v>1.1000000000000001</v>
      </c>
      <c r="F199" s="62">
        <f>E199*F197</f>
        <v>34.369500000000002</v>
      </c>
      <c r="G199" s="1290"/>
      <c r="H199" s="80">
        <f t="shared" si="45"/>
        <v>0</v>
      </c>
      <c r="I199" s="80"/>
      <c r="J199" s="1289">
        <f t="shared" si="46"/>
        <v>0</v>
      </c>
      <c r="K199" s="80"/>
      <c r="L199" s="1289">
        <f t="shared" si="43"/>
        <v>0</v>
      </c>
      <c r="M199" s="1289">
        <f t="shared" si="44"/>
        <v>0</v>
      </c>
    </row>
    <row r="200" spans="1:13" s="56" customFormat="1" ht="21">
      <c r="A200" s="248">
        <f t="shared" si="47"/>
        <v>5.2999999999999989</v>
      </c>
      <c r="B200" s="211"/>
      <c r="C200" s="64" t="s">
        <v>75</v>
      </c>
      <c r="D200" s="80" t="s">
        <v>810</v>
      </c>
      <c r="E200" s="61">
        <v>1.0149999999999999</v>
      </c>
      <c r="F200" s="62">
        <f>E200*F197</f>
        <v>31.713674999999999</v>
      </c>
      <c r="G200" s="1295"/>
      <c r="H200" s="80">
        <f t="shared" si="45"/>
        <v>0</v>
      </c>
      <c r="I200" s="80"/>
      <c r="J200" s="1289">
        <f t="shared" ref="J200:J246" si="48">F200*I200</f>
        <v>0</v>
      </c>
      <c r="K200" s="80"/>
      <c r="L200" s="1289">
        <f t="shared" si="43"/>
        <v>0</v>
      </c>
      <c r="M200" s="1289">
        <f t="shared" si="44"/>
        <v>0</v>
      </c>
    </row>
    <row r="201" spans="1:13" s="56" customFormat="1">
      <c r="A201" s="248">
        <f t="shared" si="47"/>
        <v>5.3999999999999986</v>
      </c>
      <c r="B201" s="211"/>
      <c r="C201" s="64" t="s">
        <v>312</v>
      </c>
      <c r="D201" s="80" t="s">
        <v>15</v>
      </c>
      <c r="E201" s="61">
        <v>1.0149999999999999</v>
      </c>
      <c r="F201" s="62">
        <f>F197*E201</f>
        <v>31.713674999999999</v>
      </c>
      <c r="G201" s="1290"/>
      <c r="H201" s="80">
        <f>F201*G201</f>
        <v>0</v>
      </c>
      <c r="I201" s="80"/>
      <c r="J201" s="1289">
        <f t="shared" si="48"/>
        <v>0</v>
      </c>
      <c r="K201" s="80"/>
      <c r="L201" s="1289">
        <f t="shared" si="43"/>
        <v>0</v>
      </c>
      <c r="M201" s="1289">
        <f t="shared" si="44"/>
        <v>0</v>
      </c>
    </row>
    <row r="202" spans="1:13" s="56" customFormat="1">
      <c r="A202" s="248">
        <f t="shared" si="47"/>
        <v>5.4999999999999982</v>
      </c>
      <c r="B202" s="1120"/>
      <c r="C202" s="184" t="s">
        <v>251</v>
      </c>
      <c r="D202" s="63" t="s">
        <v>16</v>
      </c>
      <c r="E202" s="61" t="s">
        <v>20</v>
      </c>
      <c r="F202" s="93">
        <f>0.107+0.18249+0.281122+0.18554+0.150772+0.0151</f>
        <v>0.92202400000000007</v>
      </c>
      <c r="G202" s="1296"/>
      <c r="H202" s="80">
        <f t="shared" si="45"/>
        <v>0</v>
      </c>
      <c r="I202" s="80"/>
      <c r="J202" s="1289">
        <f t="shared" si="48"/>
        <v>0</v>
      </c>
      <c r="K202" s="80"/>
      <c r="L202" s="1289">
        <f t="shared" si="43"/>
        <v>0</v>
      </c>
      <c r="M202" s="1289">
        <f t="shared" si="44"/>
        <v>0</v>
      </c>
    </row>
    <row r="203" spans="1:13" s="56" customFormat="1">
      <c r="A203" s="248">
        <f t="shared" si="47"/>
        <v>5.5999999999999979</v>
      </c>
      <c r="B203" s="249"/>
      <c r="C203" s="184" t="s">
        <v>313</v>
      </c>
      <c r="D203" s="63" t="s">
        <v>16</v>
      </c>
      <c r="E203" s="61" t="s">
        <v>20</v>
      </c>
      <c r="F203" s="93">
        <f>0.046+0.077742+0.11976+0.2926+0.065+0</f>
        <v>0.60110200000000003</v>
      </c>
      <c r="G203" s="1290"/>
      <c r="H203" s="80">
        <f t="shared" si="45"/>
        <v>0</v>
      </c>
      <c r="I203" s="80"/>
      <c r="J203" s="1289">
        <f t="shared" si="48"/>
        <v>0</v>
      </c>
      <c r="K203" s="80"/>
      <c r="L203" s="1289">
        <f t="shared" si="43"/>
        <v>0</v>
      </c>
      <c r="M203" s="1289">
        <f t="shared" si="44"/>
        <v>0</v>
      </c>
    </row>
    <row r="204" spans="1:13" s="56" customFormat="1">
      <c r="A204" s="248">
        <f t="shared" si="47"/>
        <v>5.6999999999999975</v>
      </c>
      <c r="B204" s="249"/>
      <c r="C204" s="184" t="s">
        <v>794</v>
      </c>
      <c r="D204" s="63" t="s">
        <v>16</v>
      </c>
      <c r="E204" s="61" t="s">
        <v>20</v>
      </c>
      <c r="F204" s="93">
        <f>0.196+0.15+0.187+0.286+0.23+0.152+0.19+0.124+0.154</f>
        <v>1.6689999999999996</v>
      </c>
      <c r="G204" s="1296"/>
      <c r="H204" s="80">
        <f t="shared" si="45"/>
        <v>0</v>
      </c>
      <c r="I204" s="80"/>
      <c r="J204" s="1289">
        <f t="shared" si="48"/>
        <v>0</v>
      </c>
      <c r="K204" s="80"/>
      <c r="L204" s="1289">
        <f t="shared" si="43"/>
        <v>0</v>
      </c>
      <c r="M204" s="1289">
        <f t="shared" si="44"/>
        <v>0</v>
      </c>
    </row>
    <row r="205" spans="1:13" s="56" customFormat="1" ht="21">
      <c r="A205" s="248">
        <f t="shared" si="47"/>
        <v>5.7999999999999972</v>
      </c>
      <c r="B205" s="211"/>
      <c r="C205" s="64" t="s">
        <v>18</v>
      </c>
      <c r="D205" s="63" t="s">
        <v>811</v>
      </c>
      <c r="E205" s="61">
        <v>1.84</v>
      </c>
      <c r="F205" s="62">
        <f>E205*F197</f>
        <v>57.490800000000007</v>
      </c>
      <c r="G205" s="1290"/>
      <c r="H205" s="80">
        <f t="shared" si="45"/>
        <v>0</v>
      </c>
      <c r="I205" s="80"/>
      <c r="J205" s="1289">
        <f t="shared" si="48"/>
        <v>0</v>
      </c>
      <c r="K205" s="80"/>
      <c r="L205" s="1289">
        <f t="shared" si="43"/>
        <v>0</v>
      </c>
      <c r="M205" s="1289">
        <f t="shared" si="44"/>
        <v>0</v>
      </c>
    </row>
    <row r="206" spans="1:13" s="56" customFormat="1" ht="21">
      <c r="A206" s="248">
        <f t="shared" si="47"/>
        <v>5.8999999999999968</v>
      </c>
      <c r="B206" s="256"/>
      <c r="C206" s="64" t="s">
        <v>273</v>
      </c>
      <c r="D206" s="80" t="s">
        <v>810</v>
      </c>
      <c r="E206" s="258">
        <v>3.3999999999999998E-3</v>
      </c>
      <c r="F206" s="258">
        <f>E206*F197</f>
        <v>0.10623299999999999</v>
      </c>
      <c r="G206" s="1290"/>
      <c r="H206" s="80">
        <f t="shared" si="45"/>
        <v>0</v>
      </c>
      <c r="I206" s="1289"/>
      <c r="J206" s="1289">
        <f t="shared" si="48"/>
        <v>0</v>
      </c>
      <c r="K206" s="80"/>
      <c r="L206" s="1289">
        <f t="shared" si="43"/>
        <v>0</v>
      </c>
      <c r="M206" s="1289">
        <f t="shared" si="44"/>
        <v>0</v>
      </c>
    </row>
    <row r="207" spans="1:13" s="1108" customFormat="1" ht="21">
      <c r="A207" s="248">
        <f t="shared" si="47"/>
        <v>5.9999999999999964</v>
      </c>
      <c r="B207" s="256"/>
      <c r="C207" s="64" t="s">
        <v>274</v>
      </c>
      <c r="D207" s="80" t="s">
        <v>810</v>
      </c>
      <c r="E207" s="258">
        <v>3.9100000000000003E-2</v>
      </c>
      <c r="F207" s="258">
        <f>E207*F197</f>
        <v>1.2216795</v>
      </c>
      <c r="G207" s="1290"/>
      <c r="H207" s="80">
        <f t="shared" si="45"/>
        <v>0</v>
      </c>
      <c r="I207" s="1289"/>
      <c r="J207" s="1289">
        <f t="shared" si="48"/>
        <v>0</v>
      </c>
      <c r="K207" s="1300"/>
      <c r="L207" s="1289">
        <f t="shared" si="43"/>
        <v>0</v>
      </c>
      <c r="M207" s="1289">
        <f t="shared" si="44"/>
        <v>0</v>
      </c>
    </row>
    <row r="208" spans="1:13">
      <c r="A208" s="248">
        <f t="shared" si="47"/>
        <v>6.0999999999999961</v>
      </c>
      <c r="B208" s="256"/>
      <c r="C208" s="64" t="s">
        <v>275</v>
      </c>
      <c r="D208" s="80" t="s">
        <v>16</v>
      </c>
      <c r="E208" s="258">
        <v>2.2000000000000001E-3</v>
      </c>
      <c r="F208" s="258">
        <f>E208*F197</f>
        <v>6.8739000000000008E-2</v>
      </c>
      <c r="G208" s="1290"/>
      <c r="H208" s="80">
        <f t="shared" si="45"/>
        <v>0</v>
      </c>
      <c r="I208" s="1289"/>
      <c r="J208" s="1289">
        <f t="shared" si="48"/>
        <v>0</v>
      </c>
      <c r="K208" s="1289"/>
      <c r="L208" s="1289">
        <f t="shared" si="43"/>
        <v>0</v>
      </c>
      <c r="M208" s="1289">
        <f t="shared" si="44"/>
        <v>0</v>
      </c>
    </row>
    <row r="209" spans="1:13">
      <c r="A209" s="248">
        <f t="shared" si="47"/>
        <v>6.1999999999999957</v>
      </c>
      <c r="B209" s="249"/>
      <c r="C209" s="64" t="s">
        <v>276</v>
      </c>
      <c r="D209" s="80" t="s">
        <v>16</v>
      </c>
      <c r="E209" s="93">
        <v>1E-3</v>
      </c>
      <c r="F209" s="258">
        <f>E209*F197</f>
        <v>3.1245000000000002E-2</v>
      </c>
      <c r="G209" s="1290"/>
      <c r="H209" s="80">
        <f t="shared" si="45"/>
        <v>0</v>
      </c>
      <c r="I209" s="1289"/>
      <c r="J209" s="1289">
        <f t="shared" si="48"/>
        <v>0</v>
      </c>
      <c r="K209" s="80"/>
      <c r="L209" s="1289">
        <f t="shared" si="43"/>
        <v>0</v>
      </c>
      <c r="M209" s="1289">
        <f t="shared" si="44"/>
        <v>0</v>
      </c>
    </row>
    <row r="210" spans="1:13">
      <c r="A210" s="248">
        <f t="shared" si="47"/>
        <v>6.2999999999999954</v>
      </c>
      <c r="B210" s="211"/>
      <c r="C210" s="336" t="s">
        <v>119</v>
      </c>
      <c r="D210" s="63" t="s">
        <v>14</v>
      </c>
      <c r="E210" s="61">
        <v>0.46</v>
      </c>
      <c r="F210" s="62">
        <f>E210*F197</f>
        <v>14.372700000000002</v>
      </c>
      <c r="G210" s="1292"/>
      <c r="H210" s="80">
        <f t="shared" si="45"/>
        <v>0</v>
      </c>
      <c r="I210" s="1289"/>
      <c r="J210" s="1289">
        <f t="shared" si="48"/>
        <v>0</v>
      </c>
      <c r="K210" s="80"/>
      <c r="L210" s="1289">
        <f t="shared" si="43"/>
        <v>0</v>
      </c>
      <c r="M210" s="1289">
        <f t="shared" si="44"/>
        <v>0</v>
      </c>
    </row>
    <row r="211" spans="1:13" s="58" customFormat="1" ht="29.25" customHeight="1">
      <c r="A211" s="248"/>
      <c r="B211" s="211"/>
      <c r="C211" s="337" t="s">
        <v>458</v>
      </c>
      <c r="D211" s="80"/>
      <c r="E211" s="93"/>
      <c r="F211" s="93"/>
      <c r="G211" s="1292"/>
      <c r="H211" s="80">
        <f t="shared" si="45"/>
        <v>0</v>
      </c>
      <c r="I211" s="1289"/>
      <c r="J211" s="1289">
        <f t="shared" si="48"/>
        <v>0</v>
      </c>
      <c r="K211" s="80"/>
      <c r="L211" s="1289">
        <f t="shared" si="43"/>
        <v>0</v>
      </c>
      <c r="M211" s="1289">
        <f t="shared" si="44"/>
        <v>0</v>
      </c>
    </row>
    <row r="212" spans="1:13" s="331" customFormat="1" ht="45" customHeight="1">
      <c r="A212" s="322">
        <v>1</v>
      </c>
      <c r="B212" s="323"/>
      <c r="C212" s="324" t="s">
        <v>459</v>
      </c>
      <c r="D212" s="325" t="s">
        <v>107</v>
      </c>
      <c r="E212" s="326"/>
      <c r="F212" s="327">
        <f>F215+F216</f>
        <v>101.07</v>
      </c>
      <c r="G212" s="1298"/>
      <c r="H212" s="80">
        <f t="shared" si="45"/>
        <v>0</v>
      </c>
      <c r="I212" s="1299"/>
      <c r="J212" s="1289">
        <f t="shared" si="48"/>
        <v>0</v>
      </c>
      <c r="K212" s="1299"/>
      <c r="L212" s="1289">
        <f t="shared" si="43"/>
        <v>0</v>
      </c>
      <c r="M212" s="1289">
        <f t="shared" si="44"/>
        <v>0</v>
      </c>
    </row>
    <row r="213" spans="1:13" s="331" customFormat="1">
      <c r="A213" s="248">
        <f>A212+0.1</f>
        <v>1.1000000000000001</v>
      </c>
      <c r="B213" s="335"/>
      <c r="C213" s="332" t="s">
        <v>307</v>
      </c>
      <c r="D213" s="333" t="s">
        <v>13</v>
      </c>
      <c r="E213" s="334">
        <v>5.75</v>
      </c>
      <c r="F213" s="329">
        <f>F212*E213</f>
        <v>581.15249999999992</v>
      </c>
      <c r="G213" s="1298"/>
      <c r="H213" s="80">
        <f t="shared" si="45"/>
        <v>0</v>
      </c>
      <c r="I213" s="1299"/>
      <c r="J213" s="1289">
        <f t="shared" si="48"/>
        <v>0</v>
      </c>
      <c r="K213" s="1299"/>
      <c r="L213" s="1289">
        <f t="shared" si="43"/>
        <v>0</v>
      </c>
      <c r="M213" s="1289">
        <f t="shared" si="44"/>
        <v>0</v>
      </c>
    </row>
    <row r="214" spans="1:13" s="331" customFormat="1">
      <c r="A214" s="248">
        <f t="shared" ref="A214:A218" si="49">A213+0.1</f>
        <v>1.2000000000000002</v>
      </c>
      <c r="B214" s="335"/>
      <c r="C214" s="332" t="s">
        <v>51</v>
      </c>
      <c r="D214" s="333" t="s">
        <v>14</v>
      </c>
      <c r="E214" s="334">
        <v>3.5999999999999997E-2</v>
      </c>
      <c r="F214" s="329">
        <f>F212*E214</f>
        <v>3.6385199999999993</v>
      </c>
      <c r="G214" s="1298"/>
      <c r="H214" s="80">
        <f t="shared" si="45"/>
        <v>0</v>
      </c>
      <c r="I214" s="1299"/>
      <c r="J214" s="1289">
        <f t="shared" si="48"/>
        <v>0</v>
      </c>
      <c r="K214" s="1299"/>
      <c r="L214" s="1289">
        <f t="shared" si="43"/>
        <v>0</v>
      </c>
      <c r="M214" s="1289">
        <f t="shared" si="44"/>
        <v>0</v>
      </c>
    </row>
    <row r="215" spans="1:13" s="331" customFormat="1">
      <c r="A215" s="248">
        <f t="shared" si="49"/>
        <v>1.3000000000000003</v>
      </c>
      <c r="B215" s="335"/>
      <c r="C215" s="332" t="s">
        <v>460</v>
      </c>
      <c r="D215" s="333" t="s">
        <v>107</v>
      </c>
      <c r="E215" s="334">
        <v>1</v>
      </c>
      <c r="F215" s="329">
        <f>73.68-6.93-12.4</f>
        <v>54.35</v>
      </c>
      <c r="G215" s="1298"/>
      <c r="H215" s="80">
        <f t="shared" si="45"/>
        <v>0</v>
      </c>
      <c r="I215" s="1299"/>
      <c r="J215" s="1289">
        <f t="shared" si="48"/>
        <v>0</v>
      </c>
      <c r="K215" s="1299"/>
      <c r="L215" s="1289">
        <f t="shared" si="43"/>
        <v>0</v>
      </c>
      <c r="M215" s="1289">
        <f t="shared" si="44"/>
        <v>0</v>
      </c>
    </row>
    <row r="216" spans="1:13" s="331" customFormat="1">
      <c r="A216" s="248">
        <f t="shared" si="49"/>
        <v>1.4000000000000004</v>
      </c>
      <c r="B216" s="335"/>
      <c r="C216" s="332" t="s">
        <v>461</v>
      </c>
      <c r="D216" s="333" t="s">
        <v>107</v>
      </c>
      <c r="E216" s="334">
        <v>1</v>
      </c>
      <c r="F216" s="329">
        <f>63.35-5.93-10.7</f>
        <v>46.72</v>
      </c>
      <c r="G216" s="1298"/>
      <c r="H216" s="80">
        <f t="shared" si="45"/>
        <v>0</v>
      </c>
      <c r="I216" s="1299"/>
      <c r="J216" s="1289">
        <f t="shared" si="48"/>
        <v>0</v>
      </c>
      <c r="K216" s="1299"/>
      <c r="L216" s="1289">
        <f t="shared" si="43"/>
        <v>0</v>
      </c>
      <c r="M216" s="1289">
        <f t="shared" si="44"/>
        <v>0</v>
      </c>
    </row>
    <row r="217" spans="1:13" s="331" customFormat="1">
      <c r="A217" s="248">
        <f t="shared" si="49"/>
        <v>1.5000000000000004</v>
      </c>
      <c r="B217" s="335"/>
      <c r="C217" s="332" t="s">
        <v>455</v>
      </c>
      <c r="D217" s="333" t="s">
        <v>349</v>
      </c>
      <c r="E217" s="334">
        <v>6</v>
      </c>
      <c r="F217" s="329">
        <f>F212*E217</f>
        <v>606.41999999999996</v>
      </c>
      <c r="G217" s="1298"/>
      <c r="H217" s="80">
        <f t="shared" si="45"/>
        <v>0</v>
      </c>
      <c r="I217" s="1299"/>
      <c r="J217" s="1289">
        <f t="shared" si="48"/>
        <v>0</v>
      </c>
      <c r="K217" s="1299"/>
      <c r="L217" s="1289">
        <f t="shared" si="43"/>
        <v>0</v>
      </c>
      <c r="M217" s="1289">
        <f t="shared" si="44"/>
        <v>0</v>
      </c>
    </row>
    <row r="218" spans="1:13" s="331" customFormat="1">
      <c r="A218" s="248">
        <f t="shared" si="49"/>
        <v>1.6000000000000005</v>
      </c>
      <c r="B218" s="335"/>
      <c r="C218" s="336" t="s">
        <v>119</v>
      </c>
      <c r="D218" s="80" t="s">
        <v>1</v>
      </c>
      <c r="E218" s="334">
        <v>4.2999999999999997E-2</v>
      </c>
      <c r="F218" s="329">
        <f>F212*E218</f>
        <v>4.3460099999999997</v>
      </c>
      <c r="G218" s="1298"/>
      <c r="H218" s="80">
        <f t="shared" si="45"/>
        <v>0</v>
      </c>
      <c r="I218" s="1299"/>
      <c r="J218" s="1289">
        <f t="shared" si="48"/>
        <v>0</v>
      </c>
      <c r="K218" s="1299"/>
      <c r="L218" s="1289">
        <f t="shared" si="43"/>
        <v>0</v>
      </c>
      <c r="M218" s="1289">
        <f t="shared" si="44"/>
        <v>0</v>
      </c>
    </row>
    <row r="219" spans="1:13" s="331" customFormat="1" ht="37.5">
      <c r="A219" s="236">
        <v>2</v>
      </c>
      <c r="B219" s="237"/>
      <c r="C219" s="337" t="s">
        <v>618</v>
      </c>
      <c r="D219" s="67" t="s">
        <v>813</v>
      </c>
      <c r="E219" s="91"/>
      <c r="F219" s="327">
        <f>F212</f>
        <v>101.07</v>
      </c>
      <c r="G219" s="1287"/>
      <c r="H219" s="80">
        <f t="shared" si="45"/>
        <v>0</v>
      </c>
      <c r="I219" s="261"/>
      <c r="J219" s="1289">
        <f t="shared" si="48"/>
        <v>0</v>
      </c>
      <c r="K219" s="261"/>
      <c r="L219" s="1289">
        <f t="shared" si="43"/>
        <v>0</v>
      </c>
      <c r="M219" s="1289">
        <f t="shared" si="44"/>
        <v>0</v>
      </c>
    </row>
    <row r="220" spans="1:13" s="331" customFormat="1">
      <c r="A220" s="338">
        <f>A219+0.1</f>
        <v>2.1</v>
      </c>
      <c r="B220" s="241"/>
      <c r="C220" s="336" t="s">
        <v>69</v>
      </c>
      <c r="D220" s="131" t="s">
        <v>13</v>
      </c>
      <c r="E220" s="339">
        <v>0.91</v>
      </c>
      <c r="F220" s="268">
        <f>E220*F219</f>
        <v>91.973699999999994</v>
      </c>
      <c r="G220" s="1293"/>
      <c r="H220" s="80">
        <f t="shared" si="45"/>
        <v>0</v>
      </c>
      <c r="I220" s="80"/>
      <c r="J220" s="1289">
        <f t="shared" si="48"/>
        <v>0</v>
      </c>
      <c r="K220" s="80"/>
      <c r="L220" s="1289">
        <f t="shared" si="43"/>
        <v>0</v>
      </c>
      <c r="M220" s="1289">
        <f t="shared" si="44"/>
        <v>0</v>
      </c>
    </row>
    <row r="221" spans="1:13" s="331" customFormat="1">
      <c r="A221" s="338">
        <f>A220+0.1</f>
        <v>2.2000000000000002</v>
      </c>
      <c r="B221" s="241"/>
      <c r="C221" s="276" t="s">
        <v>117</v>
      </c>
      <c r="D221" s="80" t="s">
        <v>14</v>
      </c>
      <c r="E221" s="339">
        <v>1E-3</v>
      </c>
      <c r="F221" s="339">
        <f>E221*F219</f>
        <v>0.10106999999999999</v>
      </c>
      <c r="G221" s="1290"/>
      <c r="H221" s="80">
        <f t="shared" si="45"/>
        <v>0</v>
      </c>
      <c r="I221" s="80"/>
      <c r="J221" s="1289">
        <f t="shared" si="48"/>
        <v>0</v>
      </c>
      <c r="K221" s="1294"/>
      <c r="L221" s="1289">
        <f t="shared" si="43"/>
        <v>0</v>
      </c>
      <c r="M221" s="1289">
        <f t="shared" si="44"/>
        <v>0</v>
      </c>
    </row>
    <row r="222" spans="1:13" s="331" customFormat="1">
      <c r="A222" s="338">
        <f>A221+0.1</f>
        <v>2.3000000000000003</v>
      </c>
      <c r="B222" s="249"/>
      <c r="C222" s="336" t="s">
        <v>603</v>
      </c>
      <c r="D222" s="80" t="s">
        <v>21</v>
      </c>
      <c r="E222" s="252">
        <v>0.63</v>
      </c>
      <c r="F222" s="268">
        <f>E222*F219</f>
        <v>63.674099999999996</v>
      </c>
      <c r="G222" s="1301"/>
      <c r="H222" s="80">
        <f t="shared" si="45"/>
        <v>0</v>
      </c>
      <c r="I222" s="80"/>
      <c r="J222" s="1289">
        <f t="shared" si="48"/>
        <v>0</v>
      </c>
      <c r="K222" s="80"/>
      <c r="L222" s="1289">
        <f t="shared" si="43"/>
        <v>0</v>
      </c>
      <c r="M222" s="1289">
        <f t="shared" si="44"/>
        <v>0</v>
      </c>
    </row>
    <row r="223" spans="1:13" s="331" customFormat="1">
      <c r="A223" s="338">
        <f>A222+0.1</f>
        <v>2.4000000000000004</v>
      </c>
      <c r="B223" s="249"/>
      <c r="C223" s="336" t="s">
        <v>604</v>
      </c>
      <c r="D223" s="80" t="s">
        <v>21</v>
      </c>
      <c r="E223" s="252">
        <v>0.79</v>
      </c>
      <c r="F223" s="268">
        <f>E223*F219</f>
        <v>79.845299999999995</v>
      </c>
      <c r="G223" s="1301"/>
      <c r="H223" s="80">
        <f t="shared" si="45"/>
        <v>0</v>
      </c>
      <c r="I223" s="80"/>
      <c r="J223" s="1289">
        <f t="shared" si="48"/>
        <v>0</v>
      </c>
      <c r="K223" s="80"/>
      <c r="L223" s="1289">
        <f t="shared" si="43"/>
        <v>0</v>
      </c>
      <c r="M223" s="1289">
        <f t="shared" si="44"/>
        <v>0</v>
      </c>
    </row>
    <row r="224" spans="1:13" s="331" customFormat="1">
      <c r="A224" s="338">
        <f>A223+0.1</f>
        <v>2.5000000000000004</v>
      </c>
      <c r="B224" s="246"/>
      <c r="C224" s="276" t="s">
        <v>119</v>
      </c>
      <c r="D224" s="131" t="s">
        <v>14</v>
      </c>
      <c r="E224" s="271">
        <v>1.6000000000000001E-3</v>
      </c>
      <c r="F224" s="268">
        <f>E224*F219</f>
        <v>0.16171199999999999</v>
      </c>
      <c r="G224" s="1296"/>
      <c r="H224" s="80">
        <f t="shared" si="45"/>
        <v>0</v>
      </c>
      <c r="I224" s="80"/>
      <c r="J224" s="1289">
        <f t="shared" si="48"/>
        <v>0</v>
      </c>
      <c r="K224" s="80"/>
      <c r="L224" s="1289">
        <f t="shared" si="43"/>
        <v>0</v>
      </c>
      <c r="M224" s="1289">
        <f t="shared" si="44"/>
        <v>0</v>
      </c>
    </row>
    <row r="225" spans="1:13" s="331" customFormat="1" ht="64.5" customHeight="1">
      <c r="A225" s="322">
        <f>A212+1</f>
        <v>2</v>
      </c>
      <c r="B225" s="323"/>
      <c r="C225" s="324" t="s">
        <v>612</v>
      </c>
      <c r="D225" s="325" t="s">
        <v>43</v>
      </c>
      <c r="E225" s="326"/>
      <c r="F225" s="327">
        <f>F227/0.03</f>
        <v>17.200000000000006</v>
      </c>
      <c r="G225" s="1298"/>
      <c r="H225" s="80">
        <f t="shared" si="45"/>
        <v>0</v>
      </c>
      <c r="I225" s="1299"/>
      <c r="J225" s="1289">
        <f t="shared" si="48"/>
        <v>0</v>
      </c>
      <c r="K225" s="1299"/>
      <c r="L225" s="1289">
        <f t="shared" si="43"/>
        <v>0</v>
      </c>
      <c r="M225" s="1289">
        <f t="shared" si="44"/>
        <v>0</v>
      </c>
    </row>
    <row r="226" spans="1:13" s="331" customFormat="1">
      <c r="A226" s="248">
        <f>A225+0.1</f>
        <v>2.1</v>
      </c>
      <c r="B226" s="335"/>
      <c r="C226" s="332" t="s">
        <v>307</v>
      </c>
      <c r="D226" s="325" t="s">
        <v>107</v>
      </c>
      <c r="E226" s="334">
        <v>1</v>
      </c>
      <c r="F226" s="329">
        <f>F225*E226</f>
        <v>17.200000000000006</v>
      </c>
      <c r="G226" s="1298"/>
      <c r="H226" s="80">
        <f t="shared" si="45"/>
        <v>0</v>
      </c>
      <c r="I226" s="1299"/>
      <c r="J226" s="1289">
        <f t="shared" si="48"/>
        <v>0</v>
      </c>
      <c r="K226" s="1299"/>
      <c r="L226" s="1289">
        <f t="shared" si="43"/>
        <v>0</v>
      </c>
      <c r="M226" s="1289">
        <f t="shared" si="44"/>
        <v>0</v>
      </c>
    </row>
    <row r="227" spans="1:13" s="331" customFormat="1">
      <c r="A227" s="248">
        <f t="shared" ref="A227:A228" si="50">A226+0.1</f>
        <v>2.2000000000000002</v>
      </c>
      <c r="B227" s="335"/>
      <c r="C227" s="332" t="s">
        <v>614</v>
      </c>
      <c r="D227" s="333" t="s">
        <v>15</v>
      </c>
      <c r="E227" s="334" t="s">
        <v>20</v>
      </c>
      <c r="F227" s="329">
        <f>0.67-0.064-0.09</f>
        <v>0.51600000000000013</v>
      </c>
      <c r="G227" s="1298"/>
      <c r="H227" s="80">
        <f t="shared" si="45"/>
        <v>0</v>
      </c>
      <c r="I227" s="1299"/>
      <c r="J227" s="1289">
        <f t="shared" si="48"/>
        <v>0</v>
      </c>
      <c r="K227" s="1299"/>
      <c r="L227" s="1289">
        <f t="shared" si="43"/>
        <v>0</v>
      </c>
      <c r="M227" s="1289">
        <f t="shared" si="44"/>
        <v>0</v>
      </c>
    </row>
    <row r="228" spans="1:13" s="331" customFormat="1">
      <c r="A228" s="248">
        <f t="shared" si="50"/>
        <v>2.3000000000000003</v>
      </c>
      <c r="B228" s="335"/>
      <c r="C228" s="332" t="s">
        <v>119</v>
      </c>
      <c r="D228" s="333" t="s">
        <v>43</v>
      </c>
      <c r="E228" s="334">
        <v>1</v>
      </c>
      <c r="F228" s="329">
        <f>F225*E228</f>
        <v>17.200000000000006</v>
      </c>
      <c r="G228" s="1298"/>
      <c r="H228" s="80">
        <f t="shared" si="45"/>
        <v>0</v>
      </c>
      <c r="I228" s="1299"/>
      <c r="J228" s="1289">
        <f t="shared" si="48"/>
        <v>0</v>
      </c>
      <c r="K228" s="1299"/>
      <c r="L228" s="1289">
        <f t="shared" si="43"/>
        <v>0</v>
      </c>
      <c r="M228" s="1289">
        <f t="shared" si="44"/>
        <v>0</v>
      </c>
    </row>
    <row r="229" spans="1:13" s="1108" customFormat="1" ht="64.5" customHeight="1">
      <c r="A229" s="322">
        <f>A225+1</f>
        <v>3</v>
      </c>
      <c r="B229" s="260"/>
      <c r="C229" s="128" t="s">
        <v>615</v>
      </c>
      <c r="D229" s="127" t="s">
        <v>813</v>
      </c>
      <c r="E229" s="190"/>
      <c r="F229" s="150">
        <f>128.4/2</f>
        <v>64.2</v>
      </c>
      <c r="G229" s="1287"/>
      <c r="H229" s="80">
        <f t="shared" si="45"/>
        <v>0</v>
      </c>
      <c r="I229" s="80"/>
      <c r="J229" s="1289">
        <f t="shared" si="48"/>
        <v>0</v>
      </c>
      <c r="K229" s="1300"/>
      <c r="L229" s="1289">
        <f t="shared" si="43"/>
        <v>0</v>
      </c>
      <c r="M229" s="1289">
        <f t="shared" si="44"/>
        <v>0</v>
      </c>
    </row>
    <row r="230" spans="1:13" s="58" customFormat="1">
      <c r="A230" s="248">
        <f>A229+0.1</f>
        <v>3.1</v>
      </c>
      <c r="B230" s="249"/>
      <c r="C230" s="191" t="s">
        <v>23</v>
      </c>
      <c r="D230" s="131" t="s">
        <v>13</v>
      </c>
      <c r="E230" s="156">
        <v>0.74099999999999999</v>
      </c>
      <c r="F230" s="186">
        <f>E230*F229</f>
        <v>47.572200000000002</v>
      </c>
      <c r="G230" s="1290"/>
      <c r="H230" s="80">
        <f t="shared" si="45"/>
        <v>0</v>
      </c>
      <c r="I230" s="80"/>
      <c r="J230" s="1289">
        <f t="shared" si="48"/>
        <v>0</v>
      </c>
      <c r="K230" s="80"/>
      <c r="L230" s="1289">
        <f t="shared" si="43"/>
        <v>0</v>
      </c>
      <c r="M230" s="1289">
        <f t="shared" si="44"/>
        <v>0</v>
      </c>
    </row>
    <row r="231" spans="1:13" s="58" customFormat="1">
      <c r="A231" s="248">
        <f t="shared" ref="A231:A234" si="51">A230+0.1</f>
        <v>3.2</v>
      </c>
      <c r="B231" s="249"/>
      <c r="C231" s="191" t="s">
        <v>51</v>
      </c>
      <c r="D231" s="80" t="s">
        <v>14</v>
      </c>
      <c r="E231" s="1111">
        <v>1E-3</v>
      </c>
      <c r="F231" s="1111">
        <f>E231*F229</f>
        <v>6.4200000000000007E-2</v>
      </c>
      <c r="G231" s="1290"/>
      <c r="H231" s="80">
        <f t="shared" si="45"/>
        <v>0</v>
      </c>
      <c r="I231" s="80"/>
      <c r="J231" s="1289">
        <f t="shared" si="48"/>
        <v>0</v>
      </c>
      <c r="K231" s="80"/>
      <c r="L231" s="1289">
        <f t="shared" si="43"/>
        <v>0</v>
      </c>
      <c r="M231" s="1289">
        <f t="shared" si="44"/>
        <v>0</v>
      </c>
    </row>
    <row r="232" spans="1:13" s="58" customFormat="1">
      <c r="A232" s="248">
        <f t="shared" si="51"/>
        <v>3.3000000000000003</v>
      </c>
      <c r="B232" s="256"/>
      <c r="C232" s="64" t="s">
        <v>613</v>
      </c>
      <c r="D232" s="63" t="s">
        <v>21</v>
      </c>
      <c r="E232" s="153" t="s">
        <v>91</v>
      </c>
      <c r="F232" s="153">
        <f>F229*0.5</f>
        <v>32.1</v>
      </c>
      <c r="G232" s="1290"/>
      <c r="H232" s="80">
        <f t="shared" si="45"/>
        <v>0</v>
      </c>
      <c r="I232" s="80"/>
      <c r="J232" s="1289">
        <f t="shared" si="48"/>
        <v>0</v>
      </c>
      <c r="K232" s="80"/>
      <c r="L232" s="1289">
        <f t="shared" si="43"/>
        <v>0</v>
      </c>
      <c r="M232" s="1289">
        <f t="shared" si="44"/>
        <v>0</v>
      </c>
    </row>
    <row r="233" spans="1:13" s="58" customFormat="1">
      <c r="A233" s="248">
        <f t="shared" si="51"/>
        <v>3.4000000000000004</v>
      </c>
      <c r="B233" s="256"/>
      <c r="C233" s="64" t="s">
        <v>332</v>
      </c>
      <c r="D233" s="80" t="s">
        <v>21</v>
      </c>
      <c r="E233" s="156">
        <v>0.82</v>
      </c>
      <c r="F233" s="186">
        <f>F229*E233</f>
        <v>52.643999999999998</v>
      </c>
      <c r="G233" s="1290"/>
      <c r="H233" s="80">
        <f t="shared" si="45"/>
        <v>0</v>
      </c>
      <c r="I233" s="80"/>
      <c r="J233" s="1289">
        <f t="shared" si="48"/>
        <v>0</v>
      </c>
      <c r="K233" s="80"/>
      <c r="L233" s="1289">
        <f t="shared" si="43"/>
        <v>0</v>
      </c>
      <c r="M233" s="1289">
        <f t="shared" si="44"/>
        <v>0</v>
      </c>
    </row>
    <row r="234" spans="1:13" s="1108" customFormat="1">
      <c r="A234" s="248">
        <f t="shared" si="51"/>
        <v>3.5000000000000004</v>
      </c>
      <c r="B234" s="249"/>
      <c r="C234" s="64" t="s">
        <v>333</v>
      </c>
      <c r="D234" s="80" t="s">
        <v>1</v>
      </c>
      <c r="E234" s="1111">
        <v>1.7000000000000001E-2</v>
      </c>
      <c r="F234" s="156">
        <f>E234*F229</f>
        <v>1.0914000000000001</v>
      </c>
      <c r="G234" s="1290"/>
      <c r="H234" s="80">
        <f t="shared" si="45"/>
        <v>0</v>
      </c>
      <c r="I234" s="80"/>
      <c r="J234" s="1289">
        <f t="shared" si="48"/>
        <v>0</v>
      </c>
      <c r="K234" s="1300"/>
      <c r="L234" s="1289">
        <f t="shared" si="43"/>
        <v>0</v>
      </c>
      <c r="M234" s="1289">
        <f t="shared" si="44"/>
        <v>0</v>
      </c>
    </row>
    <row r="235" spans="1:13" ht="48" customHeight="1">
      <c r="A235" s="127"/>
      <c r="B235" s="260"/>
      <c r="C235" s="337" t="s">
        <v>742</v>
      </c>
      <c r="D235" s="127"/>
      <c r="E235" s="127"/>
      <c r="F235" s="127"/>
      <c r="G235" s="1287"/>
      <c r="H235" s="80">
        <f t="shared" si="45"/>
        <v>0</v>
      </c>
      <c r="I235" s="1289"/>
      <c r="J235" s="1289">
        <f t="shared" si="48"/>
        <v>0</v>
      </c>
      <c r="K235" s="1289"/>
      <c r="L235" s="1289">
        <f t="shared" si="43"/>
        <v>0</v>
      </c>
      <c r="M235" s="1289">
        <f t="shared" si="44"/>
        <v>0</v>
      </c>
    </row>
    <row r="236" spans="1:13" ht="75">
      <c r="A236" s="200" t="s">
        <v>44</v>
      </c>
      <c r="B236" s="260"/>
      <c r="C236" s="68" t="s">
        <v>267</v>
      </c>
      <c r="D236" s="127" t="s">
        <v>809</v>
      </c>
      <c r="E236" s="129">
        <f>42.58+15.52</f>
        <v>58.099999999999994</v>
      </c>
      <c r="F236" s="69">
        <f>210*0.7</f>
        <v>147</v>
      </c>
      <c r="G236" s="1287"/>
      <c r="H236" s="80">
        <f t="shared" si="45"/>
        <v>0</v>
      </c>
      <c r="I236" s="1289"/>
      <c r="J236" s="1289">
        <f t="shared" si="48"/>
        <v>0</v>
      </c>
      <c r="K236" s="1289"/>
      <c r="L236" s="1289">
        <f t="shared" si="43"/>
        <v>0</v>
      </c>
      <c r="M236" s="1289">
        <f t="shared" si="44"/>
        <v>0</v>
      </c>
    </row>
    <row r="237" spans="1:13">
      <c r="A237" s="248">
        <f>A236+0.1</f>
        <v>1.1000000000000001</v>
      </c>
      <c r="B237" s="249"/>
      <c r="C237" s="191" t="s">
        <v>268</v>
      </c>
      <c r="D237" s="131" t="s">
        <v>13</v>
      </c>
      <c r="E237" s="132">
        <v>3.5499999999999997E-2</v>
      </c>
      <c r="F237" s="242">
        <f>E237*F236</f>
        <v>5.2184999999999997</v>
      </c>
      <c r="G237" s="1290"/>
      <c r="H237" s="80">
        <f t="shared" si="45"/>
        <v>0</v>
      </c>
      <c r="I237" s="80"/>
      <c r="J237" s="1289">
        <f t="shared" si="48"/>
        <v>0</v>
      </c>
      <c r="K237" s="80"/>
      <c r="L237" s="1289">
        <f t="shared" si="43"/>
        <v>0</v>
      </c>
      <c r="M237" s="1289">
        <f t="shared" si="44"/>
        <v>0</v>
      </c>
    </row>
    <row r="238" spans="1:13" ht="21">
      <c r="A238" s="248">
        <f>A237+0.1</f>
        <v>1.2000000000000002</v>
      </c>
      <c r="B238" s="249"/>
      <c r="C238" s="191" t="s">
        <v>816</v>
      </c>
      <c r="D238" s="131" t="s">
        <v>156</v>
      </c>
      <c r="E238" s="258">
        <v>7.9500000000000001E-2</v>
      </c>
      <c r="F238" s="242">
        <f>E238*F236</f>
        <v>11.686500000000001</v>
      </c>
      <c r="G238" s="1290"/>
      <c r="H238" s="80">
        <f t="shared" si="45"/>
        <v>0</v>
      </c>
      <c r="I238" s="1289"/>
      <c r="J238" s="1289">
        <f t="shared" si="48"/>
        <v>0</v>
      </c>
      <c r="K238" s="80"/>
      <c r="L238" s="1289">
        <f t="shared" si="43"/>
        <v>0</v>
      </c>
      <c r="M238" s="1289">
        <f t="shared" si="44"/>
        <v>0</v>
      </c>
    </row>
    <row r="239" spans="1:13">
      <c r="A239" s="248">
        <f>A238+0.1</f>
        <v>1.3000000000000003</v>
      </c>
      <c r="B239" s="249"/>
      <c r="C239" s="191" t="s">
        <v>117</v>
      </c>
      <c r="D239" s="131" t="s">
        <v>14</v>
      </c>
      <c r="E239" s="1102">
        <v>4.2599999999999999E-3</v>
      </c>
      <c r="F239" s="93">
        <f>E239*F236</f>
        <v>0.62622</v>
      </c>
      <c r="G239" s="1290"/>
      <c r="H239" s="80">
        <f t="shared" si="45"/>
        <v>0</v>
      </c>
      <c r="I239" s="80"/>
      <c r="J239" s="1289">
        <f t="shared" si="48"/>
        <v>0</v>
      </c>
      <c r="K239" s="80"/>
      <c r="L239" s="1289">
        <f t="shared" si="43"/>
        <v>0</v>
      </c>
      <c r="M239" s="1289">
        <f t="shared" si="44"/>
        <v>0</v>
      </c>
    </row>
    <row r="240" spans="1:13" ht="21">
      <c r="A240" s="81">
        <v>2</v>
      </c>
      <c r="B240" s="1118"/>
      <c r="C240" s="68" t="s">
        <v>17</v>
      </c>
      <c r="D240" s="200" t="s">
        <v>809</v>
      </c>
      <c r="E240" s="61"/>
      <c r="F240" s="69">
        <f>210*0.3</f>
        <v>63</v>
      </c>
      <c r="G240" s="1290"/>
      <c r="H240" s="80">
        <f t="shared" si="45"/>
        <v>0</v>
      </c>
      <c r="I240" s="1289"/>
      <c r="J240" s="1289">
        <f t="shared" si="48"/>
        <v>0</v>
      </c>
      <c r="K240" s="1291"/>
      <c r="L240" s="1289">
        <f t="shared" si="43"/>
        <v>0</v>
      </c>
      <c r="M240" s="1289">
        <f t="shared" si="44"/>
        <v>0</v>
      </c>
    </row>
    <row r="241" spans="1:13">
      <c r="A241" s="248">
        <f>A240+0.1</f>
        <v>2.1</v>
      </c>
      <c r="B241" s="211"/>
      <c r="C241" s="191" t="s">
        <v>12</v>
      </c>
      <c r="D241" s="131" t="s">
        <v>13</v>
      </c>
      <c r="E241" s="61">
        <v>2.06</v>
      </c>
      <c r="F241" s="62">
        <f>F240*E241</f>
        <v>129.78</v>
      </c>
      <c r="G241" s="1290"/>
      <c r="H241" s="80">
        <f t="shared" si="45"/>
        <v>0</v>
      </c>
      <c r="I241" s="80"/>
      <c r="J241" s="1289">
        <f t="shared" si="48"/>
        <v>0</v>
      </c>
      <c r="K241" s="1289"/>
      <c r="L241" s="1289">
        <f t="shared" si="43"/>
        <v>0</v>
      </c>
      <c r="M241" s="1289">
        <f t="shared" si="44"/>
        <v>0</v>
      </c>
    </row>
    <row r="242" spans="1:13" ht="47.25" customHeight="1">
      <c r="A242" s="1103">
        <v>3</v>
      </c>
      <c r="B242" s="1119"/>
      <c r="C242" s="68" t="s">
        <v>157</v>
      </c>
      <c r="D242" s="67" t="s">
        <v>16</v>
      </c>
      <c r="E242" s="91"/>
      <c r="F242" s="1104">
        <f>F236*1.85+F240*1.85</f>
        <v>388.5</v>
      </c>
      <c r="G242" s="1287"/>
      <c r="H242" s="80">
        <f t="shared" si="45"/>
        <v>0</v>
      </c>
      <c r="I242" s="80"/>
      <c r="J242" s="1289">
        <f t="shared" si="48"/>
        <v>0</v>
      </c>
      <c r="K242" s="80"/>
      <c r="L242" s="1289">
        <f t="shared" si="43"/>
        <v>0</v>
      </c>
      <c r="M242" s="1289">
        <f t="shared" si="44"/>
        <v>0</v>
      </c>
    </row>
    <row r="243" spans="1:13">
      <c r="A243" s="248">
        <f>A242+0.1</f>
        <v>3.1</v>
      </c>
      <c r="B243" s="211"/>
      <c r="C243" s="191" t="s">
        <v>269</v>
      </c>
      <c r="D243" s="63" t="s">
        <v>16</v>
      </c>
      <c r="E243" s="62">
        <v>1</v>
      </c>
      <c r="F243" s="61">
        <f>E243*F242</f>
        <v>388.5</v>
      </c>
      <c r="G243" s="1290"/>
      <c r="H243" s="80">
        <f t="shared" si="45"/>
        <v>0</v>
      </c>
      <c r="I243" s="1289"/>
      <c r="J243" s="1289">
        <f t="shared" si="48"/>
        <v>0</v>
      </c>
      <c r="K243" s="1291"/>
      <c r="L243" s="1289">
        <f t="shared" ref="L243:L285" si="52">F243*K243</f>
        <v>0</v>
      </c>
      <c r="M243" s="1289">
        <f t="shared" si="44"/>
        <v>0</v>
      </c>
    </row>
    <row r="244" spans="1:13" s="56" customFormat="1" ht="37.5">
      <c r="A244" s="81">
        <v>4</v>
      </c>
      <c r="B244" s="1119"/>
      <c r="C244" s="337" t="s">
        <v>270</v>
      </c>
      <c r="D244" s="261" t="s">
        <v>812</v>
      </c>
      <c r="E244" s="91"/>
      <c r="F244" s="69">
        <f>6.7</f>
        <v>6.7</v>
      </c>
      <c r="G244" s="1287"/>
      <c r="H244" s="80">
        <f t="shared" si="45"/>
        <v>0</v>
      </c>
      <c r="I244" s="1289"/>
      <c r="J244" s="1289">
        <f t="shared" si="48"/>
        <v>0</v>
      </c>
      <c r="K244" s="80"/>
      <c r="L244" s="1289">
        <f t="shared" si="52"/>
        <v>0</v>
      </c>
      <c r="M244" s="1289">
        <f t="shared" si="44"/>
        <v>0</v>
      </c>
    </row>
    <row r="245" spans="1:13">
      <c r="A245" s="248">
        <f>A244+0.1</f>
        <v>4.0999999999999996</v>
      </c>
      <c r="B245" s="249"/>
      <c r="C245" s="336" t="s">
        <v>12</v>
      </c>
      <c r="D245" s="131" t="s">
        <v>13</v>
      </c>
      <c r="E245" s="132">
        <v>3.52</v>
      </c>
      <c r="F245" s="242">
        <f>E245*F244</f>
        <v>23.584</v>
      </c>
      <c r="G245" s="1290"/>
      <c r="H245" s="80">
        <f t="shared" si="45"/>
        <v>0</v>
      </c>
      <c r="I245" s="1289"/>
      <c r="J245" s="1289">
        <f t="shared" si="48"/>
        <v>0</v>
      </c>
      <c r="K245" s="1289"/>
      <c r="L245" s="1289">
        <f t="shared" si="52"/>
        <v>0</v>
      </c>
      <c r="M245" s="1289">
        <f t="shared" si="44"/>
        <v>0</v>
      </c>
    </row>
    <row r="246" spans="1:13">
      <c r="A246" s="248">
        <f>A245+0.1</f>
        <v>4.1999999999999993</v>
      </c>
      <c r="B246" s="249"/>
      <c r="C246" s="336" t="s">
        <v>117</v>
      </c>
      <c r="D246" s="80" t="s">
        <v>14</v>
      </c>
      <c r="E246" s="61">
        <v>1.06</v>
      </c>
      <c r="F246" s="62">
        <f>F244*E246</f>
        <v>7.1020000000000003</v>
      </c>
      <c r="G246" s="1292"/>
      <c r="H246" s="80">
        <f t="shared" si="45"/>
        <v>0</v>
      </c>
      <c r="I246" s="1289"/>
      <c r="J246" s="1289">
        <f t="shared" si="48"/>
        <v>0</v>
      </c>
      <c r="K246" s="1291"/>
      <c r="L246" s="1289">
        <f t="shared" si="52"/>
        <v>0</v>
      </c>
      <c r="M246" s="1289">
        <f t="shared" si="44"/>
        <v>0</v>
      </c>
    </row>
    <row r="247" spans="1:13" ht="21">
      <c r="A247" s="248">
        <f>A246+0.1</f>
        <v>4.2999999999999989</v>
      </c>
      <c r="B247" s="1120"/>
      <c r="C247" s="336" t="s">
        <v>59</v>
      </c>
      <c r="D247" s="63" t="s">
        <v>810</v>
      </c>
      <c r="E247" s="132">
        <f>0.18+0.09+0.97</f>
        <v>1.24</v>
      </c>
      <c r="F247" s="62">
        <f>E247*F244</f>
        <v>8.3079999999999998</v>
      </c>
      <c r="G247" s="1290"/>
      <c r="H247" s="80">
        <f t="shared" ref="H247:H285" si="53">F247*G247</f>
        <v>0</v>
      </c>
      <c r="I247" s="1289"/>
      <c r="J247" s="1289">
        <f t="shared" ref="J247:J285" si="54">F247*I247</f>
        <v>0</v>
      </c>
      <c r="K247" s="1289"/>
      <c r="L247" s="1289">
        <f t="shared" si="52"/>
        <v>0</v>
      </c>
      <c r="M247" s="1289">
        <f t="shared" si="44"/>
        <v>0</v>
      </c>
    </row>
    <row r="248" spans="1:13" s="58" customFormat="1">
      <c r="A248" s="248">
        <f>A247+0.1</f>
        <v>4.3999999999999986</v>
      </c>
      <c r="B248" s="211"/>
      <c r="C248" s="336" t="s">
        <v>119</v>
      </c>
      <c r="D248" s="80" t="s">
        <v>1</v>
      </c>
      <c r="E248" s="93">
        <v>0.02</v>
      </c>
      <c r="F248" s="93">
        <f>E248*F244</f>
        <v>0.13400000000000001</v>
      </c>
      <c r="G248" s="1292"/>
      <c r="H248" s="80">
        <f t="shared" si="53"/>
        <v>0</v>
      </c>
      <c r="I248" s="1289"/>
      <c r="J248" s="1289">
        <f t="shared" si="54"/>
        <v>0</v>
      </c>
      <c r="K248" s="80"/>
      <c r="L248" s="1289">
        <f t="shared" si="52"/>
        <v>0</v>
      </c>
      <c r="M248" s="1289">
        <f t="shared" si="44"/>
        <v>0</v>
      </c>
    </row>
    <row r="249" spans="1:13" s="73" customFormat="1" ht="37.5">
      <c r="A249" s="236">
        <v>5</v>
      </c>
      <c r="B249" s="237"/>
      <c r="C249" s="337" t="s">
        <v>116</v>
      </c>
      <c r="D249" s="67" t="s">
        <v>61</v>
      </c>
      <c r="E249" s="91"/>
      <c r="F249" s="69">
        <f>5.1+17.5</f>
        <v>22.6</v>
      </c>
      <c r="G249" s="1287"/>
      <c r="H249" s="80">
        <f t="shared" si="53"/>
        <v>0</v>
      </c>
      <c r="I249" s="261"/>
      <c r="J249" s="1289">
        <f t="shared" si="54"/>
        <v>0</v>
      </c>
      <c r="K249" s="261"/>
      <c r="L249" s="1289">
        <f t="shared" si="52"/>
        <v>0</v>
      </c>
      <c r="M249" s="1289">
        <f t="shared" si="44"/>
        <v>0</v>
      </c>
    </row>
    <row r="250" spans="1:13" s="58" customFormat="1">
      <c r="A250" s="240">
        <f>A249+0.1</f>
        <v>5.0999999999999996</v>
      </c>
      <c r="B250" s="241"/>
      <c r="C250" s="336" t="s">
        <v>69</v>
      </c>
      <c r="D250" s="131" t="s">
        <v>13</v>
      </c>
      <c r="E250" s="132">
        <v>3.16</v>
      </c>
      <c r="F250" s="242">
        <f>E250*F249</f>
        <v>71.416000000000011</v>
      </c>
      <c r="G250" s="1293"/>
      <c r="H250" s="80">
        <f t="shared" si="53"/>
        <v>0</v>
      </c>
      <c r="I250" s="80"/>
      <c r="J250" s="1289">
        <f t="shared" si="54"/>
        <v>0</v>
      </c>
      <c r="K250" s="80"/>
      <c r="L250" s="1289">
        <f t="shared" si="52"/>
        <v>0</v>
      </c>
      <c r="M250" s="1289">
        <f t="shared" ref="M250:M285" si="55">H250+J250+L250</f>
        <v>0</v>
      </c>
    </row>
    <row r="251" spans="1:13" s="56" customFormat="1">
      <c r="A251" s="240">
        <f>A250+0.1</f>
        <v>5.1999999999999993</v>
      </c>
      <c r="B251" s="211"/>
      <c r="C251" s="336" t="s">
        <v>59</v>
      </c>
      <c r="D251" s="63" t="s">
        <v>61</v>
      </c>
      <c r="E251" s="132">
        <v>1.25</v>
      </c>
      <c r="F251" s="62">
        <f>E251*F249</f>
        <v>28.25</v>
      </c>
      <c r="G251" s="1296"/>
      <c r="H251" s="80">
        <f t="shared" si="53"/>
        <v>0</v>
      </c>
      <c r="I251" s="80"/>
      <c r="J251" s="1289">
        <f t="shared" si="54"/>
        <v>0</v>
      </c>
      <c r="K251" s="80"/>
      <c r="L251" s="1289">
        <f t="shared" si="52"/>
        <v>0</v>
      </c>
      <c r="M251" s="1289">
        <f t="shared" si="55"/>
        <v>0</v>
      </c>
    </row>
    <row r="252" spans="1:13" s="56" customFormat="1">
      <c r="A252" s="240">
        <f>A251+0.1</f>
        <v>5.2999999999999989</v>
      </c>
      <c r="B252" s="246"/>
      <c r="C252" s="276" t="s">
        <v>119</v>
      </c>
      <c r="D252" s="80" t="s">
        <v>1</v>
      </c>
      <c r="E252" s="93">
        <v>1E-3</v>
      </c>
      <c r="F252" s="93">
        <f>E252*F249</f>
        <v>2.2600000000000002E-2</v>
      </c>
      <c r="G252" s="479"/>
      <c r="H252" s="80">
        <f t="shared" si="53"/>
        <v>0</v>
      </c>
      <c r="I252" s="80"/>
      <c r="J252" s="1289">
        <f t="shared" si="54"/>
        <v>0</v>
      </c>
      <c r="K252" s="80"/>
      <c r="L252" s="1289">
        <f t="shared" si="52"/>
        <v>0</v>
      </c>
      <c r="M252" s="1289">
        <f t="shared" si="55"/>
        <v>0</v>
      </c>
    </row>
    <row r="253" spans="1:13" ht="50.25" customHeight="1">
      <c r="A253" s="81">
        <v>6</v>
      </c>
      <c r="B253" s="1119"/>
      <c r="C253" s="128" t="s">
        <v>620</v>
      </c>
      <c r="D253" s="127" t="s">
        <v>809</v>
      </c>
      <c r="E253" s="91"/>
      <c r="F253" s="69">
        <f>7.8+6.8</f>
        <v>14.6</v>
      </c>
      <c r="G253" s="1287"/>
      <c r="H253" s="80">
        <f t="shared" si="53"/>
        <v>0</v>
      </c>
      <c r="I253" s="1289"/>
      <c r="J253" s="1289">
        <f t="shared" si="54"/>
        <v>0</v>
      </c>
      <c r="K253" s="1289"/>
      <c r="L253" s="1289">
        <f t="shared" si="52"/>
        <v>0</v>
      </c>
      <c r="M253" s="1289">
        <f t="shared" si="55"/>
        <v>0</v>
      </c>
    </row>
    <row r="254" spans="1:13">
      <c r="A254" s="248">
        <f>A253+0.1</f>
        <v>6.1</v>
      </c>
      <c r="B254" s="211"/>
      <c r="C254" s="191" t="s">
        <v>12</v>
      </c>
      <c r="D254" s="131" t="s">
        <v>13</v>
      </c>
      <c r="E254" s="61">
        <v>8.44</v>
      </c>
      <c r="F254" s="61">
        <f>E254*F253</f>
        <v>123.22399999999999</v>
      </c>
      <c r="G254" s="1290"/>
      <c r="H254" s="80">
        <f t="shared" si="53"/>
        <v>0</v>
      </c>
      <c r="I254" s="80"/>
      <c r="J254" s="1289">
        <f t="shared" si="54"/>
        <v>0</v>
      </c>
      <c r="K254" s="80"/>
      <c r="L254" s="1289">
        <f t="shared" si="52"/>
        <v>0</v>
      </c>
      <c r="M254" s="1289">
        <f t="shared" si="55"/>
        <v>0</v>
      </c>
    </row>
    <row r="255" spans="1:13" s="56" customFormat="1">
      <c r="A255" s="248">
        <f t="shared" ref="A255:A266" si="56">A254+0.1</f>
        <v>6.1999999999999993</v>
      </c>
      <c r="B255" s="211"/>
      <c r="C255" s="191" t="s">
        <v>266</v>
      </c>
      <c r="D255" s="80" t="s">
        <v>14</v>
      </c>
      <c r="E255" s="61">
        <v>1.1000000000000001</v>
      </c>
      <c r="F255" s="62">
        <f>E255*F253</f>
        <v>16.060000000000002</v>
      </c>
      <c r="G255" s="1290"/>
      <c r="H255" s="80">
        <f t="shared" si="53"/>
        <v>0</v>
      </c>
      <c r="I255" s="80"/>
      <c r="J255" s="1289">
        <f t="shared" si="54"/>
        <v>0</v>
      </c>
      <c r="K255" s="80"/>
      <c r="L255" s="1289">
        <f t="shared" si="52"/>
        <v>0</v>
      </c>
      <c r="M255" s="1289">
        <f t="shared" si="55"/>
        <v>0</v>
      </c>
    </row>
    <row r="256" spans="1:13" s="56" customFormat="1" ht="21">
      <c r="A256" s="248">
        <f t="shared" si="56"/>
        <v>6.2999999999999989</v>
      </c>
      <c r="B256" s="211"/>
      <c r="C256" s="64" t="s">
        <v>75</v>
      </c>
      <c r="D256" s="80" t="s">
        <v>810</v>
      </c>
      <c r="E256" s="61">
        <v>1.0149999999999999</v>
      </c>
      <c r="F256" s="62">
        <f>E256*F253</f>
        <v>14.818999999999999</v>
      </c>
      <c r="G256" s="1295"/>
      <c r="H256" s="80">
        <f t="shared" si="53"/>
        <v>0</v>
      </c>
      <c r="I256" s="80"/>
      <c r="J256" s="1289">
        <f t="shared" si="54"/>
        <v>0</v>
      </c>
      <c r="K256" s="80"/>
      <c r="L256" s="1289">
        <f t="shared" si="52"/>
        <v>0</v>
      </c>
      <c r="M256" s="1289">
        <f t="shared" si="55"/>
        <v>0</v>
      </c>
    </row>
    <row r="257" spans="1:13" s="56" customFormat="1">
      <c r="A257" s="248">
        <f t="shared" si="56"/>
        <v>6.3999999999999986</v>
      </c>
      <c r="B257" s="211"/>
      <c r="C257" s="64" t="s">
        <v>312</v>
      </c>
      <c r="D257" s="80" t="s">
        <v>15</v>
      </c>
      <c r="E257" s="61">
        <v>1.0149999999999999</v>
      </c>
      <c r="F257" s="62">
        <f>F253*E257</f>
        <v>14.818999999999999</v>
      </c>
      <c r="G257" s="1290"/>
      <c r="H257" s="80">
        <f>F257*G257</f>
        <v>0</v>
      </c>
      <c r="I257" s="80"/>
      <c r="J257" s="1289">
        <f t="shared" si="54"/>
        <v>0</v>
      </c>
      <c r="K257" s="80"/>
      <c r="L257" s="1289">
        <f t="shared" si="52"/>
        <v>0</v>
      </c>
      <c r="M257" s="1289">
        <f t="shared" si="55"/>
        <v>0</v>
      </c>
    </row>
    <row r="258" spans="1:13" s="56" customFormat="1">
      <c r="A258" s="492">
        <f t="shared" si="56"/>
        <v>6.4999999999999982</v>
      </c>
      <c r="B258" s="1120"/>
      <c r="C258" s="184" t="s">
        <v>251</v>
      </c>
      <c r="D258" s="63" t="s">
        <v>16</v>
      </c>
      <c r="E258" s="61" t="s">
        <v>20</v>
      </c>
      <c r="F258" s="93">
        <v>0.11</v>
      </c>
      <c r="G258" s="1296"/>
      <c r="H258" s="80">
        <f t="shared" si="53"/>
        <v>0</v>
      </c>
      <c r="I258" s="80"/>
      <c r="J258" s="1289">
        <f t="shared" si="54"/>
        <v>0</v>
      </c>
      <c r="K258" s="80"/>
      <c r="L258" s="1289">
        <f t="shared" si="52"/>
        <v>0</v>
      </c>
      <c r="M258" s="1289">
        <f t="shared" si="55"/>
        <v>0</v>
      </c>
    </row>
    <row r="259" spans="1:13" s="56" customFormat="1">
      <c r="A259" s="492">
        <f t="shared" si="56"/>
        <v>6.5999999999999979</v>
      </c>
      <c r="B259" s="249"/>
      <c r="C259" s="184" t="s">
        <v>313</v>
      </c>
      <c r="D259" s="63" t="s">
        <v>16</v>
      </c>
      <c r="E259" s="61" t="s">
        <v>20</v>
      </c>
      <c r="F259" s="93">
        <v>0.18099999999999999</v>
      </c>
      <c r="G259" s="1290"/>
      <c r="H259" s="80">
        <f t="shared" si="53"/>
        <v>0</v>
      </c>
      <c r="I259" s="80"/>
      <c r="J259" s="1289">
        <f t="shared" si="54"/>
        <v>0</v>
      </c>
      <c r="K259" s="80"/>
      <c r="L259" s="1289">
        <f t="shared" si="52"/>
        <v>0</v>
      </c>
      <c r="M259" s="1289">
        <f t="shared" si="55"/>
        <v>0</v>
      </c>
    </row>
    <row r="260" spans="1:13" s="56" customFormat="1">
      <c r="A260" s="492">
        <f t="shared" si="56"/>
        <v>6.6999999999999975</v>
      </c>
      <c r="B260" s="249"/>
      <c r="C260" s="184" t="s">
        <v>793</v>
      </c>
      <c r="D260" s="63" t="s">
        <v>16</v>
      </c>
      <c r="E260" s="61" t="s">
        <v>20</v>
      </c>
      <c r="F260" s="93">
        <f>0.975</f>
        <v>0.97499999999999998</v>
      </c>
      <c r="G260" s="1296"/>
      <c r="H260" s="80">
        <f t="shared" si="53"/>
        <v>0</v>
      </c>
      <c r="I260" s="80"/>
      <c r="J260" s="1289">
        <f t="shared" si="54"/>
        <v>0</v>
      </c>
      <c r="K260" s="80"/>
      <c r="L260" s="1289">
        <f t="shared" si="52"/>
        <v>0</v>
      </c>
      <c r="M260" s="1289">
        <f t="shared" si="55"/>
        <v>0</v>
      </c>
    </row>
    <row r="261" spans="1:13" s="56" customFormat="1" ht="21">
      <c r="A261" s="492">
        <f t="shared" si="56"/>
        <v>6.7999999999999972</v>
      </c>
      <c r="B261" s="211"/>
      <c r="C261" s="64" t="s">
        <v>18</v>
      </c>
      <c r="D261" s="63" t="s">
        <v>811</v>
      </c>
      <c r="E261" s="61">
        <v>1.84</v>
      </c>
      <c r="F261" s="62">
        <f>E261*F253</f>
        <v>26.864000000000001</v>
      </c>
      <c r="G261" s="1290"/>
      <c r="H261" s="80">
        <f t="shared" si="53"/>
        <v>0</v>
      </c>
      <c r="I261" s="80"/>
      <c r="J261" s="1289">
        <f t="shared" si="54"/>
        <v>0</v>
      </c>
      <c r="K261" s="80"/>
      <c r="L261" s="1289">
        <f t="shared" si="52"/>
        <v>0</v>
      </c>
      <c r="M261" s="1289">
        <f t="shared" si="55"/>
        <v>0</v>
      </c>
    </row>
    <row r="262" spans="1:13" s="56" customFormat="1" ht="21">
      <c r="A262" s="492">
        <f t="shared" si="56"/>
        <v>6.8999999999999968</v>
      </c>
      <c r="B262" s="256"/>
      <c r="C262" s="64" t="s">
        <v>273</v>
      </c>
      <c r="D262" s="80" t="s">
        <v>810</v>
      </c>
      <c r="E262" s="258">
        <v>3.3999999999999998E-3</v>
      </c>
      <c r="F262" s="258">
        <f>E262*F253</f>
        <v>4.9639999999999997E-2</v>
      </c>
      <c r="G262" s="1290"/>
      <c r="H262" s="80">
        <f t="shared" si="53"/>
        <v>0</v>
      </c>
      <c r="I262" s="1289"/>
      <c r="J262" s="1289">
        <f t="shared" si="54"/>
        <v>0</v>
      </c>
      <c r="K262" s="80"/>
      <c r="L262" s="1289">
        <f t="shared" si="52"/>
        <v>0</v>
      </c>
      <c r="M262" s="1289">
        <f t="shared" si="55"/>
        <v>0</v>
      </c>
    </row>
    <row r="263" spans="1:13" s="1108" customFormat="1" ht="21">
      <c r="A263" s="492">
        <f t="shared" si="56"/>
        <v>6.9999999999999964</v>
      </c>
      <c r="B263" s="256"/>
      <c r="C263" s="64" t="s">
        <v>274</v>
      </c>
      <c r="D263" s="80" t="s">
        <v>810</v>
      </c>
      <c r="E263" s="258">
        <v>3.9100000000000003E-2</v>
      </c>
      <c r="F263" s="258">
        <f>E263*F253</f>
        <v>0.57086000000000003</v>
      </c>
      <c r="G263" s="1290"/>
      <c r="H263" s="80">
        <f t="shared" si="53"/>
        <v>0</v>
      </c>
      <c r="I263" s="1289"/>
      <c r="J263" s="1289">
        <f t="shared" si="54"/>
        <v>0</v>
      </c>
      <c r="K263" s="1300"/>
      <c r="L263" s="1289">
        <f t="shared" si="52"/>
        <v>0</v>
      </c>
      <c r="M263" s="1289">
        <f t="shared" si="55"/>
        <v>0</v>
      </c>
    </row>
    <row r="264" spans="1:13">
      <c r="A264" s="492">
        <f t="shared" si="56"/>
        <v>7.0999999999999961</v>
      </c>
      <c r="B264" s="256"/>
      <c r="C264" s="64" t="s">
        <v>275</v>
      </c>
      <c r="D264" s="80" t="s">
        <v>16</v>
      </c>
      <c r="E264" s="258">
        <v>2.2000000000000001E-3</v>
      </c>
      <c r="F264" s="258">
        <f>E264*F253</f>
        <v>3.2120000000000003E-2</v>
      </c>
      <c r="G264" s="1290"/>
      <c r="H264" s="80">
        <f t="shared" si="53"/>
        <v>0</v>
      </c>
      <c r="I264" s="1289"/>
      <c r="J264" s="1289">
        <f t="shared" si="54"/>
        <v>0</v>
      </c>
      <c r="K264" s="1289"/>
      <c r="L264" s="1289">
        <f t="shared" si="52"/>
        <v>0</v>
      </c>
      <c r="M264" s="1289">
        <f t="shared" si="55"/>
        <v>0</v>
      </c>
    </row>
    <row r="265" spans="1:13">
      <c r="A265" s="492">
        <f t="shared" si="56"/>
        <v>7.1999999999999957</v>
      </c>
      <c r="B265" s="249"/>
      <c r="C265" s="64" t="s">
        <v>276</v>
      </c>
      <c r="D265" s="80" t="s">
        <v>16</v>
      </c>
      <c r="E265" s="93">
        <v>1E-3</v>
      </c>
      <c r="F265" s="258">
        <f>E265*F253</f>
        <v>1.46E-2</v>
      </c>
      <c r="G265" s="1290"/>
      <c r="H265" s="80">
        <f t="shared" si="53"/>
        <v>0</v>
      </c>
      <c r="I265" s="1289"/>
      <c r="J265" s="1289">
        <f t="shared" si="54"/>
        <v>0</v>
      </c>
      <c r="K265" s="80"/>
      <c r="L265" s="1289">
        <f t="shared" si="52"/>
        <v>0</v>
      </c>
      <c r="M265" s="1289">
        <f t="shared" si="55"/>
        <v>0</v>
      </c>
    </row>
    <row r="266" spans="1:13">
      <c r="A266" s="492">
        <f t="shared" si="56"/>
        <v>7.2999999999999954</v>
      </c>
      <c r="B266" s="211"/>
      <c r="C266" s="336" t="s">
        <v>119</v>
      </c>
      <c r="D266" s="63" t="s">
        <v>14</v>
      </c>
      <c r="E266" s="61">
        <v>0.46</v>
      </c>
      <c r="F266" s="62">
        <f>E266*F253</f>
        <v>6.7160000000000002</v>
      </c>
      <c r="G266" s="1292"/>
      <c r="H266" s="80">
        <f t="shared" si="53"/>
        <v>0</v>
      </c>
      <c r="I266" s="1289"/>
      <c r="J266" s="1289">
        <f t="shared" si="54"/>
        <v>0</v>
      </c>
      <c r="K266" s="80"/>
      <c r="L266" s="1289">
        <f t="shared" si="52"/>
        <v>0</v>
      </c>
      <c r="M266" s="1289">
        <f t="shared" si="55"/>
        <v>0</v>
      </c>
    </row>
    <row r="267" spans="1:13" ht="47.25" customHeight="1">
      <c r="A267" s="81">
        <v>7</v>
      </c>
      <c r="B267" s="1119"/>
      <c r="C267" s="128" t="s">
        <v>621</v>
      </c>
      <c r="D267" s="127" t="s">
        <v>809</v>
      </c>
      <c r="E267" s="91"/>
      <c r="F267" s="69">
        <v>37.299999999999997</v>
      </c>
      <c r="G267" s="1287"/>
      <c r="H267" s="80">
        <f t="shared" si="53"/>
        <v>0</v>
      </c>
      <c r="I267" s="1289"/>
      <c r="J267" s="1289">
        <f t="shared" si="54"/>
        <v>0</v>
      </c>
      <c r="K267" s="1289"/>
      <c r="L267" s="1289">
        <f t="shared" si="52"/>
        <v>0</v>
      </c>
      <c r="M267" s="1289">
        <f t="shared" si="55"/>
        <v>0</v>
      </c>
    </row>
    <row r="268" spans="1:13">
      <c r="A268" s="248">
        <f>A267+0.1</f>
        <v>7.1</v>
      </c>
      <c r="B268" s="211"/>
      <c r="C268" s="191" t="s">
        <v>12</v>
      </c>
      <c r="D268" s="131" t="s">
        <v>13</v>
      </c>
      <c r="E268" s="61">
        <v>8.44</v>
      </c>
      <c r="F268" s="61">
        <f>E268*F267</f>
        <v>314.81199999999995</v>
      </c>
      <c r="G268" s="1290"/>
      <c r="H268" s="80">
        <f t="shared" si="53"/>
        <v>0</v>
      </c>
      <c r="I268" s="80"/>
      <c r="J268" s="1289">
        <f t="shared" si="54"/>
        <v>0</v>
      </c>
      <c r="K268" s="80"/>
      <c r="L268" s="1289">
        <f t="shared" si="52"/>
        <v>0</v>
      </c>
      <c r="M268" s="1289">
        <f t="shared" si="55"/>
        <v>0</v>
      </c>
    </row>
    <row r="269" spans="1:13" s="56" customFormat="1">
      <c r="A269" s="248">
        <f t="shared" ref="A269:A280" si="57">A268+0.1</f>
        <v>7.1999999999999993</v>
      </c>
      <c r="B269" s="211"/>
      <c r="C269" s="191" t="s">
        <v>266</v>
      </c>
      <c r="D269" s="80" t="s">
        <v>14</v>
      </c>
      <c r="E269" s="61">
        <v>1.1000000000000001</v>
      </c>
      <c r="F269" s="62">
        <f>E269*F267</f>
        <v>41.03</v>
      </c>
      <c r="G269" s="1290"/>
      <c r="H269" s="80">
        <f t="shared" si="53"/>
        <v>0</v>
      </c>
      <c r="I269" s="80"/>
      <c r="J269" s="1289">
        <f t="shared" si="54"/>
        <v>0</v>
      </c>
      <c r="K269" s="80"/>
      <c r="L269" s="1289">
        <f t="shared" si="52"/>
        <v>0</v>
      </c>
      <c r="M269" s="1289">
        <f t="shared" si="55"/>
        <v>0</v>
      </c>
    </row>
    <row r="270" spans="1:13" s="56" customFormat="1" ht="21">
      <c r="A270" s="248">
        <f t="shared" si="57"/>
        <v>7.2999999999999989</v>
      </c>
      <c r="B270" s="211"/>
      <c r="C270" s="64" t="s">
        <v>75</v>
      </c>
      <c r="D270" s="80" t="s">
        <v>810</v>
      </c>
      <c r="E270" s="61">
        <v>1.0149999999999999</v>
      </c>
      <c r="F270" s="62">
        <f>E270*F267</f>
        <v>37.85949999999999</v>
      </c>
      <c r="G270" s="1295"/>
      <c r="H270" s="80">
        <f t="shared" si="53"/>
        <v>0</v>
      </c>
      <c r="I270" s="80"/>
      <c r="J270" s="1289">
        <f t="shared" si="54"/>
        <v>0</v>
      </c>
      <c r="K270" s="80"/>
      <c r="L270" s="1289">
        <f t="shared" si="52"/>
        <v>0</v>
      </c>
      <c r="M270" s="1289">
        <f t="shared" si="55"/>
        <v>0</v>
      </c>
    </row>
    <row r="271" spans="1:13" s="56" customFormat="1">
      <c r="A271" s="248">
        <f t="shared" si="57"/>
        <v>7.3999999999999986</v>
      </c>
      <c r="B271" s="211"/>
      <c r="C271" s="64" t="s">
        <v>312</v>
      </c>
      <c r="D271" s="80" t="s">
        <v>15</v>
      </c>
      <c r="E271" s="61">
        <v>1.0149999999999999</v>
      </c>
      <c r="F271" s="62">
        <f>F267*E271</f>
        <v>37.85949999999999</v>
      </c>
      <c r="G271" s="1290"/>
      <c r="H271" s="80">
        <f>F271*G271</f>
        <v>0</v>
      </c>
      <c r="I271" s="80"/>
      <c r="J271" s="1289">
        <f t="shared" si="54"/>
        <v>0</v>
      </c>
      <c r="K271" s="80"/>
      <c r="L271" s="1289">
        <f t="shared" si="52"/>
        <v>0</v>
      </c>
      <c r="M271" s="1289">
        <f t="shared" si="55"/>
        <v>0</v>
      </c>
    </row>
    <row r="272" spans="1:13" s="56" customFormat="1">
      <c r="A272" s="492">
        <f t="shared" si="57"/>
        <v>7.4999999999999982</v>
      </c>
      <c r="B272" s="1120"/>
      <c r="C272" s="184" t="s">
        <v>251</v>
      </c>
      <c r="D272" s="63" t="s">
        <v>16</v>
      </c>
      <c r="E272" s="61" t="s">
        <v>20</v>
      </c>
      <c r="F272" s="93">
        <v>0.35099999999999998</v>
      </c>
      <c r="G272" s="1296"/>
      <c r="H272" s="80">
        <f t="shared" si="53"/>
        <v>0</v>
      </c>
      <c r="I272" s="80"/>
      <c r="J272" s="1289">
        <f t="shared" si="54"/>
        <v>0</v>
      </c>
      <c r="K272" s="80"/>
      <c r="L272" s="1289">
        <f t="shared" si="52"/>
        <v>0</v>
      </c>
      <c r="M272" s="1289">
        <f t="shared" si="55"/>
        <v>0</v>
      </c>
    </row>
    <row r="273" spans="1:13" s="56" customFormat="1">
      <c r="A273" s="492">
        <f t="shared" si="57"/>
        <v>7.5999999999999979</v>
      </c>
      <c r="B273" s="249"/>
      <c r="C273" s="184" t="s">
        <v>313</v>
      </c>
      <c r="D273" s="63" t="s">
        <v>16</v>
      </c>
      <c r="E273" s="61" t="s">
        <v>20</v>
      </c>
      <c r="F273" s="93">
        <v>0.30499999999999999</v>
      </c>
      <c r="G273" s="1290"/>
      <c r="H273" s="80">
        <f t="shared" si="53"/>
        <v>0</v>
      </c>
      <c r="I273" s="80"/>
      <c r="J273" s="1289">
        <f t="shared" si="54"/>
        <v>0</v>
      </c>
      <c r="K273" s="80"/>
      <c r="L273" s="1289">
        <f t="shared" si="52"/>
        <v>0</v>
      </c>
      <c r="M273" s="1289">
        <f t="shared" si="55"/>
        <v>0</v>
      </c>
    </row>
    <row r="274" spans="1:13" s="56" customFormat="1">
      <c r="A274" s="492">
        <f t="shared" si="57"/>
        <v>7.6999999999999975</v>
      </c>
      <c r="B274" s="249"/>
      <c r="C274" s="184" t="s">
        <v>793</v>
      </c>
      <c r="D274" s="63" t="s">
        <v>16</v>
      </c>
      <c r="E274" s="61" t="s">
        <v>20</v>
      </c>
      <c r="F274" s="93">
        <f>1.511</f>
        <v>1.5109999999999999</v>
      </c>
      <c r="G274" s="1296"/>
      <c r="H274" s="80">
        <f t="shared" si="53"/>
        <v>0</v>
      </c>
      <c r="I274" s="80"/>
      <c r="J274" s="1289">
        <f t="shared" si="54"/>
        <v>0</v>
      </c>
      <c r="K274" s="80"/>
      <c r="L274" s="1289">
        <f t="shared" si="52"/>
        <v>0</v>
      </c>
      <c r="M274" s="1289">
        <f t="shared" si="55"/>
        <v>0</v>
      </c>
    </row>
    <row r="275" spans="1:13" s="56" customFormat="1" ht="21">
      <c r="A275" s="492">
        <f t="shared" si="57"/>
        <v>7.7999999999999972</v>
      </c>
      <c r="B275" s="211"/>
      <c r="C275" s="64" t="s">
        <v>18</v>
      </c>
      <c r="D275" s="63" t="s">
        <v>811</v>
      </c>
      <c r="E275" s="61">
        <v>1.84</v>
      </c>
      <c r="F275" s="62">
        <f>E275*F267</f>
        <v>68.631999999999991</v>
      </c>
      <c r="G275" s="1290"/>
      <c r="H275" s="80">
        <f t="shared" si="53"/>
        <v>0</v>
      </c>
      <c r="I275" s="80"/>
      <c r="J275" s="1289">
        <f t="shared" si="54"/>
        <v>0</v>
      </c>
      <c r="K275" s="80"/>
      <c r="L275" s="1289">
        <f t="shared" si="52"/>
        <v>0</v>
      </c>
      <c r="M275" s="1289">
        <f t="shared" si="55"/>
        <v>0</v>
      </c>
    </row>
    <row r="276" spans="1:13" s="56" customFormat="1" ht="21">
      <c r="A276" s="492">
        <f t="shared" si="57"/>
        <v>7.8999999999999968</v>
      </c>
      <c r="B276" s="256"/>
      <c r="C276" s="64" t="s">
        <v>273</v>
      </c>
      <c r="D276" s="80" t="s">
        <v>810</v>
      </c>
      <c r="E276" s="258">
        <v>3.3999999999999998E-3</v>
      </c>
      <c r="F276" s="258">
        <f>E276*F267</f>
        <v>0.12681999999999999</v>
      </c>
      <c r="G276" s="1290"/>
      <c r="H276" s="80">
        <f t="shared" si="53"/>
        <v>0</v>
      </c>
      <c r="I276" s="1289"/>
      <c r="J276" s="1289">
        <f t="shared" si="54"/>
        <v>0</v>
      </c>
      <c r="K276" s="80"/>
      <c r="L276" s="1289">
        <f t="shared" si="52"/>
        <v>0</v>
      </c>
      <c r="M276" s="1289">
        <f t="shared" si="55"/>
        <v>0</v>
      </c>
    </row>
    <row r="277" spans="1:13" s="1108" customFormat="1" ht="21">
      <c r="A277" s="492">
        <f t="shared" si="57"/>
        <v>7.9999999999999964</v>
      </c>
      <c r="B277" s="256"/>
      <c r="C277" s="64" t="s">
        <v>274</v>
      </c>
      <c r="D277" s="80" t="s">
        <v>810</v>
      </c>
      <c r="E277" s="258">
        <v>3.9100000000000003E-2</v>
      </c>
      <c r="F277" s="258">
        <f>E277*F267</f>
        <v>1.4584299999999999</v>
      </c>
      <c r="G277" s="1290"/>
      <c r="H277" s="80">
        <f t="shared" si="53"/>
        <v>0</v>
      </c>
      <c r="I277" s="1289"/>
      <c r="J277" s="1289">
        <f t="shared" si="54"/>
        <v>0</v>
      </c>
      <c r="K277" s="1300"/>
      <c r="L277" s="1289">
        <f t="shared" si="52"/>
        <v>0</v>
      </c>
      <c r="M277" s="1289">
        <f t="shared" si="55"/>
        <v>0</v>
      </c>
    </row>
    <row r="278" spans="1:13">
      <c r="A278" s="492">
        <f t="shared" si="57"/>
        <v>8.0999999999999961</v>
      </c>
      <c r="B278" s="256"/>
      <c r="C278" s="64" t="s">
        <v>275</v>
      </c>
      <c r="D278" s="80" t="s">
        <v>16</v>
      </c>
      <c r="E278" s="258">
        <v>2.2000000000000001E-3</v>
      </c>
      <c r="F278" s="258">
        <f>E278*F267</f>
        <v>8.2059999999999994E-2</v>
      </c>
      <c r="G278" s="1290"/>
      <c r="H278" s="80">
        <f t="shared" si="53"/>
        <v>0</v>
      </c>
      <c r="I278" s="1289"/>
      <c r="J278" s="1289">
        <f t="shared" si="54"/>
        <v>0</v>
      </c>
      <c r="K278" s="1289"/>
      <c r="L278" s="1289">
        <f t="shared" si="52"/>
        <v>0</v>
      </c>
      <c r="M278" s="1289">
        <f t="shared" si="55"/>
        <v>0</v>
      </c>
    </row>
    <row r="279" spans="1:13">
      <c r="A279" s="492">
        <f t="shared" si="57"/>
        <v>8.1999999999999957</v>
      </c>
      <c r="B279" s="249"/>
      <c r="C279" s="64" t="s">
        <v>276</v>
      </c>
      <c r="D279" s="80" t="s">
        <v>16</v>
      </c>
      <c r="E279" s="93">
        <v>1E-3</v>
      </c>
      <c r="F279" s="258">
        <f>E279*F267</f>
        <v>3.73E-2</v>
      </c>
      <c r="G279" s="1290"/>
      <c r="H279" s="80">
        <f t="shared" si="53"/>
        <v>0</v>
      </c>
      <c r="I279" s="1289"/>
      <c r="J279" s="1289">
        <f t="shared" si="54"/>
        <v>0</v>
      </c>
      <c r="K279" s="80"/>
      <c r="L279" s="1289">
        <f t="shared" si="52"/>
        <v>0</v>
      </c>
      <c r="M279" s="1289">
        <f t="shared" si="55"/>
        <v>0</v>
      </c>
    </row>
    <row r="280" spans="1:13">
      <c r="A280" s="492">
        <f t="shared" si="57"/>
        <v>8.2999999999999954</v>
      </c>
      <c r="B280" s="211"/>
      <c r="C280" s="336" t="s">
        <v>119</v>
      </c>
      <c r="D280" s="63" t="s">
        <v>14</v>
      </c>
      <c r="E280" s="61">
        <v>0.46</v>
      </c>
      <c r="F280" s="62">
        <f>E280*F267</f>
        <v>17.157999999999998</v>
      </c>
      <c r="G280" s="1292"/>
      <c r="H280" s="80">
        <f t="shared" si="53"/>
        <v>0</v>
      </c>
      <c r="I280" s="1289"/>
      <c r="J280" s="1289">
        <f t="shared" si="54"/>
        <v>0</v>
      </c>
      <c r="K280" s="80"/>
      <c r="L280" s="1289">
        <f t="shared" si="52"/>
        <v>0</v>
      </c>
      <c r="M280" s="1289">
        <f t="shared" si="55"/>
        <v>0</v>
      </c>
    </row>
    <row r="281" spans="1:13" s="56" customFormat="1" ht="21">
      <c r="A281" s="81">
        <v>8</v>
      </c>
      <c r="B281" s="1119"/>
      <c r="C281" s="337" t="s">
        <v>261</v>
      </c>
      <c r="D281" s="261" t="s">
        <v>812</v>
      </c>
      <c r="E281" s="91"/>
      <c r="F281" s="69">
        <f>7.8+30.6</f>
        <v>38.4</v>
      </c>
      <c r="G281" s="1287"/>
      <c r="H281" s="80">
        <f t="shared" si="53"/>
        <v>0</v>
      </c>
      <c r="I281" s="1289"/>
      <c r="J281" s="1289">
        <f t="shared" si="54"/>
        <v>0</v>
      </c>
      <c r="K281" s="80"/>
      <c r="L281" s="1289">
        <f t="shared" si="52"/>
        <v>0</v>
      </c>
      <c r="M281" s="1289">
        <f t="shared" si="55"/>
        <v>0</v>
      </c>
    </row>
    <row r="282" spans="1:13">
      <c r="A282" s="248">
        <f>A281+0.1</f>
        <v>8.1</v>
      </c>
      <c r="B282" s="249"/>
      <c r="C282" s="336" t="s">
        <v>12</v>
      </c>
      <c r="D282" s="131" t="s">
        <v>13</v>
      </c>
      <c r="E282" s="132">
        <v>3.52</v>
      </c>
      <c r="F282" s="242">
        <f>E282*F281</f>
        <v>135.16800000000001</v>
      </c>
      <c r="G282" s="1290"/>
      <c r="H282" s="80">
        <f t="shared" si="53"/>
        <v>0</v>
      </c>
      <c r="I282" s="1289"/>
      <c r="J282" s="1289">
        <f t="shared" si="54"/>
        <v>0</v>
      </c>
      <c r="K282" s="1289"/>
      <c r="L282" s="1289">
        <f t="shared" si="52"/>
        <v>0</v>
      </c>
      <c r="M282" s="1289">
        <f t="shared" si="55"/>
        <v>0</v>
      </c>
    </row>
    <row r="283" spans="1:13">
      <c r="A283" s="248">
        <f>A282+0.1</f>
        <v>8.1999999999999993</v>
      </c>
      <c r="B283" s="249"/>
      <c r="C283" s="336" t="s">
        <v>117</v>
      </c>
      <c r="D283" s="80" t="s">
        <v>14</v>
      </c>
      <c r="E283" s="61">
        <v>1.06</v>
      </c>
      <c r="F283" s="62">
        <f>F281*E283</f>
        <v>40.704000000000001</v>
      </c>
      <c r="G283" s="1292"/>
      <c r="H283" s="80">
        <f t="shared" si="53"/>
        <v>0</v>
      </c>
      <c r="I283" s="1289"/>
      <c r="J283" s="1289">
        <f t="shared" si="54"/>
        <v>0</v>
      </c>
      <c r="K283" s="1291"/>
      <c r="L283" s="1289">
        <f t="shared" si="52"/>
        <v>0</v>
      </c>
      <c r="M283" s="1289">
        <f t="shared" si="55"/>
        <v>0</v>
      </c>
    </row>
    <row r="284" spans="1:13" ht="21">
      <c r="A284" s="248">
        <f>A283+0.1</f>
        <v>8.2999999999999989</v>
      </c>
      <c r="B284" s="1120"/>
      <c r="C284" s="336" t="s">
        <v>218</v>
      </c>
      <c r="D284" s="63" t="s">
        <v>810</v>
      </c>
      <c r="E284" s="132">
        <f>0.18+0.09+0.97</f>
        <v>1.24</v>
      </c>
      <c r="F284" s="62">
        <f>E284*F281</f>
        <v>47.616</v>
      </c>
      <c r="G284" s="1290"/>
      <c r="H284" s="80">
        <f t="shared" si="53"/>
        <v>0</v>
      </c>
      <c r="I284" s="1289"/>
      <c r="J284" s="1289">
        <f t="shared" si="54"/>
        <v>0</v>
      </c>
      <c r="K284" s="1289"/>
      <c r="L284" s="1289">
        <f t="shared" si="52"/>
        <v>0</v>
      </c>
      <c r="M284" s="1289">
        <f t="shared" si="55"/>
        <v>0</v>
      </c>
    </row>
    <row r="285" spans="1:13" s="58" customFormat="1">
      <c r="A285" s="248">
        <f>A284+0.1</f>
        <v>8.3999999999999986</v>
      </c>
      <c r="B285" s="211"/>
      <c r="C285" s="336" t="s">
        <v>119</v>
      </c>
      <c r="D285" s="80" t="s">
        <v>1</v>
      </c>
      <c r="E285" s="93">
        <v>0.02</v>
      </c>
      <c r="F285" s="93">
        <f>E285*F281</f>
        <v>0.76800000000000002</v>
      </c>
      <c r="G285" s="1292"/>
      <c r="H285" s="80">
        <f t="shared" si="53"/>
        <v>0</v>
      </c>
      <c r="I285" s="1289"/>
      <c r="J285" s="1289">
        <f t="shared" si="54"/>
        <v>0</v>
      </c>
      <c r="K285" s="80"/>
      <c r="L285" s="1289">
        <f t="shared" si="52"/>
        <v>0</v>
      </c>
      <c r="M285" s="1289">
        <f t="shared" si="55"/>
        <v>0</v>
      </c>
    </row>
    <row r="286" spans="1:13">
      <c r="A286" s="120"/>
      <c r="B286" s="224"/>
      <c r="C286" s="275" t="s">
        <v>191</v>
      </c>
      <c r="D286" s="120" t="s">
        <v>1</v>
      </c>
      <c r="E286" s="282"/>
      <c r="F286" s="61"/>
      <c r="G286" s="1290"/>
      <c r="H286" s="261">
        <f>SUM(H8:H285)</f>
        <v>0</v>
      </c>
      <c r="I286" s="80"/>
      <c r="J286" s="261">
        <f>SUM(J8:J285)</f>
        <v>0</v>
      </c>
      <c r="K286" s="80"/>
      <c r="L286" s="261">
        <f>SUM(L8:L285)</f>
        <v>0</v>
      </c>
      <c r="M286" s="261">
        <f>SUM(M8:M285)</f>
        <v>0</v>
      </c>
    </row>
    <row r="287" spans="1:13" ht="33.75" customHeight="1">
      <c r="A287" s="120"/>
      <c r="B287" s="224"/>
      <c r="C287" s="64" t="s">
        <v>247</v>
      </c>
      <c r="D287" s="137" t="s">
        <v>874</v>
      </c>
      <c r="E287" s="61"/>
      <c r="F287" s="493">
        <v>0</v>
      </c>
      <c r="G287" s="1290"/>
      <c r="H287" s="80"/>
      <c r="I287" s="80"/>
      <c r="J287" s="1289"/>
      <c r="K287" s="1289"/>
      <c r="L287" s="1289"/>
      <c r="M287" s="1289">
        <f>H286*F287</f>
        <v>0</v>
      </c>
    </row>
    <row r="288" spans="1:13" ht="21.6" customHeight="1">
      <c r="A288" s="120"/>
      <c r="B288" s="224"/>
      <c r="C288" s="64" t="s">
        <v>39</v>
      </c>
      <c r="D288" s="63"/>
      <c r="E288" s="61"/>
      <c r="F288" s="493"/>
      <c r="G288" s="1290"/>
      <c r="H288" s="80"/>
      <c r="I288" s="80"/>
      <c r="J288" s="1289"/>
      <c r="K288" s="1289"/>
      <c r="L288" s="1289"/>
      <c r="M288" s="1289">
        <f>M287+M286</f>
        <v>0</v>
      </c>
    </row>
    <row r="289" spans="1:13" ht="21.6" customHeight="1">
      <c r="A289" s="120"/>
      <c r="B289" s="224"/>
      <c r="C289" s="276" t="s">
        <v>193</v>
      </c>
      <c r="D289" s="75" t="s">
        <v>874</v>
      </c>
      <c r="E289" s="287"/>
      <c r="F289" s="493">
        <v>0</v>
      </c>
      <c r="G289" s="1290"/>
      <c r="H289" s="1289"/>
      <c r="I289" s="80"/>
      <c r="J289" s="80"/>
      <c r="K289" s="80"/>
      <c r="L289" s="80"/>
      <c r="M289" s="1289">
        <f>M288*F289</f>
        <v>0</v>
      </c>
    </row>
    <row r="290" spans="1:13" ht="21.6" customHeight="1">
      <c r="A290" s="120"/>
      <c r="B290" s="224"/>
      <c r="C290" s="276" t="s">
        <v>29</v>
      </c>
      <c r="D290" s="75"/>
      <c r="E290" s="287"/>
      <c r="F290" s="1286"/>
      <c r="G290" s="1287"/>
      <c r="H290" s="1300"/>
      <c r="I290" s="80"/>
      <c r="J290" s="80"/>
      <c r="K290" s="80"/>
      <c r="L290" s="80"/>
      <c r="M290" s="1300">
        <f>M289+M288</f>
        <v>0</v>
      </c>
    </row>
    <row r="291" spans="1:13" ht="21.6" customHeight="1">
      <c r="A291" s="120"/>
      <c r="B291" s="281"/>
      <c r="C291" s="276" t="s">
        <v>30</v>
      </c>
      <c r="D291" s="75" t="s">
        <v>874</v>
      </c>
      <c r="E291" s="287"/>
      <c r="F291" s="493">
        <v>0</v>
      </c>
      <c r="G291" s="1290"/>
      <c r="H291" s="1289"/>
      <c r="I291" s="80"/>
      <c r="J291" s="80"/>
      <c r="K291" s="80"/>
      <c r="L291" s="80"/>
      <c r="M291" s="1289">
        <f>M290*F291</f>
        <v>0</v>
      </c>
    </row>
    <row r="292" spans="1:13" ht="21.6" customHeight="1">
      <c r="A292" s="75"/>
      <c r="B292" s="281"/>
      <c r="C292" s="275" t="s">
        <v>31</v>
      </c>
      <c r="D292" s="120"/>
      <c r="E292" s="287"/>
      <c r="F292" s="867"/>
      <c r="G292" s="1287"/>
      <c r="H292" s="1300"/>
      <c r="I292" s="80"/>
      <c r="J292" s="80"/>
      <c r="K292" s="80"/>
      <c r="L292" s="80"/>
      <c r="M292" s="1300">
        <f>SUM(M290:M291)</f>
        <v>0</v>
      </c>
    </row>
    <row r="293" spans="1:13">
      <c r="C293" s="868"/>
      <c r="D293" s="868"/>
      <c r="E293" s="868"/>
      <c r="F293" s="868"/>
      <c r="G293" s="1115"/>
      <c r="H293" s="868"/>
    </row>
    <row r="295" spans="1:13" ht="15.75" customHeight="1">
      <c r="A295" s="869"/>
      <c r="B295" s="1121"/>
      <c r="C295" s="871"/>
      <c r="D295" s="869"/>
      <c r="E295" s="872"/>
      <c r="F295" s="873"/>
      <c r="G295" s="1116"/>
      <c r="H295" s="1112"/>
    </row>
    <row r="296" spans="1:13">
      <c r="A296" s="869"/>
      <c r="B296" s="1117"/>
      <c r="C296" s="868"/>
      <c r="D296" s="874"/>
      <c r="E296" s="874"/>
      <c r="F296" s="874"/>
      <c r="G296" s="1117"/>
    </row>
    <row r="297" spans="1:13" ht="15" customHeight="1">
      <c r="B297" s="1115"/>
      <c r="C297" s="868"/>
      <c r="D297" s="868"/>
      <c r="E297" s="868"/>
      <c r="F297" s="868"/>
      <c r="G297" s="1115"/>
      <c r="H297" s="868"/>
    </row>
    <row r="301" spans="1:13" ht="15" customHeight="1">
      <c r="C301" s="1586"/>
      <c r="D301" s="1586"/>
      <c r="E301" s="1586"/>
      <c r="F301" s="1586"/>
      <c r="G301" s="1586"/>
      <c r="H301" s="1586"/>
    </row>
  </sheetData>
  <mergeCells count="14">
    <mergeCell ref="K5:L5"/>
    <mergeCell ref="M5:M6"/>
    <mergeCell ref="C301:H301"/>
    <mergeCell ref="A1:H1"/>
    <mergeCell ref="A3:D3"/>
    <mergeCell ref="A4:H4"/>
    <mergeCell ref="A5:A6"/>
    <mergeCell ref="B5:B6"/>
    <mergeCell ref="C5:C6"/>
    <mergeCell ref="D5:D6"/>
    <mergeCell ref="E5:F5"/>
    <mergeCell ref="G5:H5"/>
    <mergeCell ref="A2:J2"/>
    <mergeCell ref="I5:J5"/>
  </mergeCells>
  <pageMargins left="0.19" right="0.13" top="0.75" bottom="0.75" header="0.3" footer="0.3"/>
  <pageSetup paperSize="9" scale="59" orientation="landscape" horizontalDpi="4294967295" verticalDpi="4294967295" r:id="rId1"/>
  <rowBreaks count="1" manualBreakCount="1">
    <brk id="28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4.9989318521683403E-2"/>
  </sheetPr>
  <dimension ref="A1:M295"/>
  <sheetViews>
    <sheetView topLeftCell="A277" zoomScale="60" zoomScaleNormal="60" zoomScaleSheetLayoutView="70" workbookViewId="0">
      <selection activeCell="C5" sqref="C5:C6"/>
    </sheetView>
  </sheetViews>
  <sheetFormatPr defaultColWidth="9.140625" defaultRowHeight="19.5"/>
  <cols>
    <col min="1" max="1" width="9.140625" style="604" customWidth="1"/>
    <col min="2" max="2" width="8.28515625" style="1098" customWidth="1"/>
    <col min="3" max="3" width="77.140625" style="605" customWidth="1"/>
    <col min="4" max="6" width="14.7109375" style="605" customWidth="1"/>
    <col min="7" max="7" width="14.85546875" style="1054" customWidth="1"/>
    <col min="8" max="8" width="15.42578125" style="875" customWidth="1"/>
    <col min="9" max="9" width="13" style="875" customWidth="1"/>
    <col min="10" max="10" width="14.5703125" style="875" customWidth="1"/>
    <col min="11" max="11" width="10.85546875" style="875" customWidth="1"/>
    <col min="12" max="12" width="13.28515625" style="875" customWidth="1"/>
    <col min="13" max="13" width="16.28515625" style="875" customWidth="1"/>
    <col min="14" max="228" width="9.140625" style="605"/>
    <col min="229" max="229" width="5.85546875" style="605" customWidth="1"/>
    <col min="230" max="230" width="11.42578125" style="605" customWidth="1"/>
    <col min="231" max="231" width="41.42578125" style="605" customWidth="1"/>
    <col min="232" max="241" width="11.7109375" style="605" customWidth="1"/>
    <col min="242" max="484" width="9.140625" style="605"/>
    <col min="485" max="485" width="5.85546875" style="605" customWidth="1"/>
    <col min="486" max="486" width="11.42578125" style="605" customWidth="1"/>
    <col min="487" max="487" width="41.42578125" style="605" customWidth="1"/>
    <col min="488" max="497" width="11.7109375" style="605" customWidth="1"/>
    <col min="498" max="740" width="9.140625" style="605"/>
    <col min="741" max="741" width="5.85546875" style="605" customWidth="1"/>
    <col min="742" max="742" width="11.42578125" style="605" customWidth="1"/>
    <col min="743" max="743" width="41.42578125" style="605" customWidth="1"/>
    <col min="744" max="753" width="11.7109375" style="605" customWidth="1"/>
    <col min="754" max="996" width="9.140625" style="605"/>
    <col min="997" max="997" width="5.85546875" style="605" customWidth="1"/>
    <col min="998" max="998" width="11.42578125" style="605" customWidth="1"/>
    <col min="999" max="999" width="41.42578125" style="605" customWidth="1"/>
    <col min="1000" max="1009" width="11.7109375" style="605" customWidth="1"/>
    <col min="1010" max="1252" width="9.140625" style="605"/>
    <col min="1253" max="1253" width="5.85546875" style="605" customWidth="1"/>
    <col min="1254" max="1254" width="11.42578125" style="605" customWidth="1"/>
    <col min="1255" max="1255" width="41.42578125" style="605" customWidth="1"/>
    <col min="1256" max="1265" width="11.7109375" style="605" customWidth="1"/>
    <col min="1266" max="1508" width="9.140625" style="605"/>
    <col min="1509" max="1509" width="5.85546875" style="605" customWidth="1"/>
    <col min="1510" max="1510" width="11.42578125" style="605" customWidth="1"/>
    <col min="1511" max="1511" width="41.42578125" style="605" customWidth="1"/>
    <col min="1512" max="1521" width="11.7109375" style="605" customWidth="1"/>
    <col min="1522" max="1764" width="9.140625" style="605"/>
    <col min="1765" max="1765" width="5.85546875" style="605" customWidth="1"/>
    <col min="1766" max="1766" width="11.42578125" style="605" customWidth="1"/>
    <col min="1767" max="1767" width="41.42578125" style="605" customWidth="1"/>
    <col min="1768" max="1777" width="11.7109375" style="605" customWidth="1"/>
    <col min="1778" max="2020" width="9.140625" style="605"/>
    <col min="2021" max="2021" width="5.85546875" style="605" customWidth="1"/>
    <col min="2022" max="2022" width="11.42578125" style="605" customWidth="1"/>
    <col min="2023" max="2023" width="41.42578125" style="605" customWidth="1"/>
    <col min="2024" max="2033" width="11.7109375" style="605" customWidth="1"/>
    <col min="2034" max="2276" width="9.140625" style="605"/>
    <col min="2277" max="2277" width="5.85546875" style="605" customWidth="1"/>
    <col min="2278" max="2278" width="11.42578125" style="605" customWidth="1"/>
    <col min="2279" max="2279" width="41.42578125" style="605" customWidth="1"/>
    <col min="2280" max="2289" width="11.7109375" style="605" customWidth="1"/>
    <col min="2290" max="2532" width="9.140625" style="605"/>
    <col min="2533" max="2533" width="5.85546875" style="605" customWidth="1"/>
    <col min="2534" max="2534" width="11.42578125" style="605" customWidth="1"/>
    <col min="2535" max="2535" width="41.42578125" style="605" customWidth="1"/>
    <col min="2536" max="2545" width="11.7109375" style="605" customWidth="1"/>
    <col min="2546" max="2788" width="9.140625" style="605"/>
    <col min="2789" max="2789" width="5.85546875" style="605" customWidth="1"/>
    <col min="2790" max="2790" width="11.42578125" style="605" customWidth="1"/>
    <col min="2791" max="2791" width="41.42578125" style="605" customWidth="1"/>
    <col min="2792" max="2801" width="11.7109375" style="605" customWidth="1"/>
    <col min="2802" max="3044" width="9.140625" style="605"/>
    <col min="3045" max="3045" width="5.85546875" style="605" customWidth="1"/>
    <col min="3046" max="3046" width="11.42578125" style="605" customWidth="1"/>
    <col min="3047" max="3047" width="41.42578125" style="605" customWidth="1"/>
    <col min="3048" max="3057" width="11.7109375" style="605" customWidth="1"/>
    <col min="3058" max="3300" width="9.140625" style="605"/>
    <col min="3301" max="3301" width="5.85546875" style="605" customWidth="1"/>
    <col min="3302" max="3302" width="11.42578125" style="605" customWidth="1"/>
    <col min="3303" max="3303" width="41.42578125" style="605" customWidth="1"/>
    <col min="3304" max="3313" width="11.7109375" style="605" customWidth="1"/>
    <col min="3314" max="3556" width="9.140625" style="605"/>
    <col min="3557" max="3557" width="5.85546875" style="605" customWidth="1"/>
    <col min="3558" max="3558" width="11.42578125" style="605" customWidth="1"/>
    <col min="3559" max="3559" width="41.42578125" style="605" customWidth="1"/>
    <col min="3560" max="3569" width="11.7109375" style="605" customWidth="1"/>
    <col min="3570" max="3812" width="9.140625" style="605"/>
    <col min="3813" max="3813" width="5.85546875" style="605" customWidth="1"/>
    <col min="3814" max="3814" width="11.42578125" style="605" customWidth="1"/>
    <col min="3815" max="3815" width="41.42578125" style="605" customWidth="1"/>
    <col min="3816" max="3825" width="11.7109375" style="605" customWidth="1"/>
    <col min="3826" max="4068" width="9.140625" style="605"/>
    <col min="4069" max="4069" width="5.85546875" style="605" customWidth="1"/>
    <col min="4070" max="4070" width="11.42578125" style="605" customWidth="1"/>
    <col min="4071" max="4071" width="41.42578125" style="605" customWidth="1"/>
    <col min="4072" max="4081" width="11.7109375" style="605" customWidth="1"/>
    <col min="4082" max="4324" width="9.140625" style="605"/>
    <col min="4325" max="4325" width="5.85546875" style="605" customWidth="1"/>
    <col min="4326" max="4326" width="11.42578125" style="605" customWidth="1"/>
    <col min="4327" max="4327" width="41.42578125" style="605" customWidth="1"/>
    <col min="4328" max="4337" width="11.7109375" style="605" customWidth="1"/>
    <col min="4338" max="4580" width="9.140625" style="605"/>
    <col min="4581" max="4581" width="5.85546875" style="605" customWidth="1"/>
    <col min="4582" max="4582" width="11.42578125" style="605" customWidth="1"/>
    <col min="4583" max="4583" width="41.42578125" style="605" customWidth="1"/>
    <col min="4584" max="4593" width="11.7109375" style="605" customWidth="1"/>
    <col min="4594" max="4836" width="9.140625" style="605"/>
    <col min="4837" max="4837" width="5.85546875" style="605" customWidth="1"/>
    <col min="4838" max="4838" width="11.42578125" style="605" customWidth="1"/>
    <col min="4839" max="4839" width="41.42578125" style="605" customWidth="1"/>
    <col min="4840" max="4849" width="11.7109375" style="605" customWidth="1"/>
    <col min="4850" max="5092" width="9.140625" style="605"/>
    <col min="5093" max="5093" width="5.85546875" style="605" customWidth="1"/>
    <col min="5094" max="5094" width="11.42578125" style="605" customWidth="1"/>
    <col min="5095" max="5095" width="41.42578125" style="605" customWidth="1"/>
    <col min="5096" max="5105" width="11.7109375" style="605" customWidth="1"/>
    <col min="5106" max="5348" width="9.140625" style="605"/>
    <col min="5349" max="5349" width="5.85546875" style="605" customWidth="1"/>
    <col min="5350" max="5350" width="11.42578125" style="605" customWidth="1"/>
    <col min="5351" max="5351" width="41.42578125" style="605" customWidth="1"/>
    <col min="5352" max="5361" width="11.7109375" style="605" customWidth="1"/>
    <col min="5362" max="5604" width="9.140625" style="605"/>
    <col min="5605" max="5605" width="5.85546875" style="605" customWidth="1"/>
    <col min="5606" max="5606" width="11.42578125" style="605" customWidth="1"/>
    <col min="5607" max="5607" width="41.42578125" style="605" customWidth="1"/>
    <col min="5608" max="5617" width="11.7109375" style="605" customWidth="1"/>
    <col min="5618" max="5860" width="9.140625" style="605"/>
    <col min="5861" max="5861" width="5.85546875" style="605" customWidth="1"/>
    <col min="5862" max="5862" width="11.42578125" style="605" customWidth="1"/>
    <col min="5863" max="5863" width="41.42578125" style="605" customWidth="1"/>
    <col min="5864" max="5873" width="11.7109375" style="605" customWidth="1"/>
    <col min="5874" max="6116" width="9.140625" style="605"/>
    <col min="6117" max="6117" width="5.85546875" style="605" customWidth="1"/>
    <col min="6118" max="6118" width="11.42578125" style="605" customWidth="1"/>
    <col min="6119" max="6119" width="41.42578125" style="605" customWidth="1"/>
    <col min="6120" max="6129" width="11.7109375" style="605" customWidth="1"/>
    <col min="6130" max="6372" width="9.140625" style="605"/>
    <col min="6373" max="6373" width="5.85546875" style="605" customWidth="1"/>
    <col min="6374" max="6374" width="11.42578125" style="605" customWidth="1"/>
    <col min="6375" max="6375" width="41.42578125" style="605" customWidth="1"/>
    <col min="6376" max="6385" width="11.7109375" style="605" customWidth="1"/>
    <col min="6386" max="6628" width="9.140625" style="605"/>
    <col min="6629" max="6629" width="5.85546875" style="605" customWidth="1"/>
    <col min="6630" max="6630" width="11.42578125" style="605" customWidth="1"/>
    <col min="6631" max="6631" width="41.42578125" style="605" customWidth="1"/>
    <col min="6632" max="6641" width="11.7109375" style="605" customWidth="1"/>
    <col min="6642" max="6884" width="9.140625" style="605"/>
    <col min="6885" max="6885" width="5.85546875" style="605" customWidth="1"/>
    <col min="6886" max="6886" width="11.42578125" style="605" customWidth="1"/>
    <col min="6887" max="6887" width="41.42578125" style="605" customWidth="1"/>
    <col min="6888" max="6897" width="11.7109375" style="605" customWidth="1"/>
    <col min="6898" max="7140" width="9.140625" style="605"/>
    <col min="7141" max="7141" width="5.85546875" style="605" customWidth="1"/>
    <col min="7142" max="7142" width="11.42578125" style="605" customWidth="1"/>
    <col min="7143" max="7143" width="41.42578125" style="605" customWidth="1"/>
    <col min="7144" max="7153" width="11.7109375" style="605" customWidth="1"/>
    <col min="7154" max="7396" width="9.140625" style="605"/>
    <col min="7397" max="7397" width="5.85546875" style="605" customWidth="1"/>
    <col min="7398" max="7398" width="11.42578125" style="605" customWidth="1"/>
    <col min="7399" max="7399" width="41.42578125" style="605" customWidth="1"/>
    <col min="7400" max="7409" width="11.7109375" style="605" customWidth="1"/>
    <col min="7410" max="7652" width="9.140625" style="605"/>
    <col min="7653" max="7653" width="5.85546875" style="605" customWidth="1"/>
    <col min="7654" max="7654" width="11.42578125" style="605" customWidth="1"/>
    <col min="7655" max="7655" width="41.42578125" style="605" customWidth="1"/>
    <col min="7656" max="7665" width="11.7109375" style="605" customWidth="1"/>
    <col min="7666" max="7908" width="9.140625" style="605"/>
    <col min="7909" max="7909" width="5.85546875" style="605" customWidth="1"/>
    <col min="7910" max="7910" width="11.42578125" style="605" customWidth="1"/>
    <col min="7911" max="7911" width="41.42578125" style="605" customWidth="1"/>
    <col min="7912" max="7921" width="11.7109375" style="605" customWidth="1"/>
    <col min="7922" max="8164" width="9.140625" style="605"/>
    <col min="8165" max="8165" width="5.85546875" style="605" customWidth="1"/>
    <col min="8166" max="8166" width="11.42578125" style="605" customWidth="1"/>
    <col min="8167" max="8167" width="41.42578125" style="605" customWidth="1"/>
    <col min="8168" max="8177" width="11.7109375" style="605" customWidth="1"/>
    <col min="8178" max="8420" width="9.140625" style="605"/>
    <col min="8421" max="8421" width="5.85546875" style="605" customWidth="1"/>
    <col min="8422" max="8422" width="11.42578125" style="605" customWidth="1"/>
    <col min="8423" max="8423" width="41.42578125" style="605" customWidth="1"/>
    <col min="8424" max="8433" width="11.7109375" style="605" customWidth="1"/>
    <col min="8434" max="8676" width="9.140625" style="605"/>
    <col min="8677" max="8677" width="5.85546875" style="605" customWidth="1"/>
    <col min="8678" max="8678" width="11.42578125" style="605" customWidth="1"/>
    <col min="8679" max="8679" width="41.42578125" style="605" customWidth="1"/>
    <col min="8680" max="8689" width="11.7109375" style="605" customWidth="1"/>
    <col min="8690" max="8932" width="9.140625" style="605"/>
    <col min="8933" max="8933" width="5.85546875" style="605" customWidth="1"/>
    <col min="8934" max="8934" width="11.42578125" style="605" customWidth="1"/>
    <col min="8935" max="8935" width="41.42578125" style="605" customWidth="1"/>
    <col min="8936" max="8945" width="11.7109375" style="605" customWidth="1"/>
    <col min="8946" max="9188" width="9.140625" style="605"/>
    <col min="9189" max="9189" width="5.85546875" style="605" customWidth="1"/>
    <col min="9190" max="9190" width="11.42578125" style="605" customWidth="1"/>
    <col min="9191" max="9191" width="41.42578125" style="605" customWidth="1"/>
    <col min="9192" max="9201" width="11.7109375" style="605" customWidth="1"/>
    <col min="9202" max="9444" width="9.140625" style="605"/>
    <col min="9445" max="9445" width="5.85546875" style="605" customWidth="1"/>
    <col min="9446" max="9446" width="11.42578125" style="605" customWidth="1"/>
    <col min="9447" max="9447" width="41.42578125" style="605" customWidth="1"/>
    <col min="9448" max="9457" width="11.7109375" style="605" customWidth="1"/>
    <col min="9458" max="9700" width="9.140625" style="605"/>
    <col min="9701" max="9701" width="5.85546875" style="605" customWidth="1"/>
    <col min="9702" max="9702" width="11.42578125" style="605" customWidth="1"/>
    <col min="9703" max="9703" width="41.42578125" style="605" customWidth="1"/>
    <col min="9704" max="9713" width="11.7109375" style="605" customWidth="1"/>
    <col min="9714" max="9956" width="9.140625" style="605"/>
    <col min="9957" max="9957" width="5.85546875" style="605" customWidth="1"/>
    <col min="9958" max="9958" width="11.42578125" style="605" customWidth="1"/>
    <col min="9959" max="9959" width="41.42578125" style="605" customWidth="1"/>
    <col min="9960" max="9969" width="11.7109375" style="605" customWidth="1"/>
    <col min="9970" max="10212" width="9.140625" style="605"/>
    <col min="10213" max="10213" width="5.85546875" style="605" customWidth="1"/>
    <col min="10214" max="10214" width="11.42578125" style="605" customWidth="1"/>
    <col min="10215" max="10215" width="41.42578125" style="605" customWidth="1"/>
    <col min="10216" max="10225" width="11.7109375" style="605" customWidth="1"/>
    <col min="10226" max="10468" width="9.140625" style="605"/>
    <col min="10469" max="10469" width="5.85546875" style="605" customWidth="1"/>
    <col min="10470" max="10470" width="11.42578125" style="605" customWidth="1"/>
    <col min="10471" max="10471" width="41.42578125" style="605" customWidth="1"/>
    <col min="10472" max="10481" width="11.7109375" style="605" customWidth="1"/>
    <col min="10482" max="10724" width="9.140625" style="605"/>
    <col min="10725" max="10725" width="5.85546875" style="605" customWidth="1"/>
    <col min="10726" max="10726" width="11.42578125" style="605" customWidth="1"/>
    <col min="10727" max="10727" width="41.42578125" style="605" customWidth="1"/>
    <col min="10728" max="10737" width="11.7109375" style="605" customWidth="1"/>
    <col min="10738" max="10980" width="9.140625" style="605"/>
    <col min="10981" max="10981" width="5.85546875" style="605" customWidth="1"/>
    <col min="10982" max="10982" width="11.42578125" style="605" customWidth="1"/>
    <col min="10983" max="10983" width="41.42578125" style="605" customWidth="1"/>
    <col min="10984" max="10993" width="11.7109375" style="605" customWidth="1"/>
    <col min="10994" max="11236" width="9.140625" style="605"/>
    <col min="11237" max="11237" width="5.85546875" style="605" customWidth="1"/>
    <col min="11238" max="11238" width="11.42578125" style="605" customWidth="1"/>
    <col min="11239" max="11239" width="41.42578125" style="605" customWidth="1"/>
    <col min="11240" max="11249" width="11.7109375" style="605" customWidth="1"/>
    <col min="11250" max="11492" width="9.140625" style="605"/>
    <col min="11493" max="11493" width="5.85546875" style="605" customWidth="1"/>
    <col min="11494" max="11494" width="11.42578125" style="605" customWidth="1"/>
    <col min="11495" max="11495" width="41.42578125" style="605" customWidth="1"/>
    <col min="11496" max="11505" width="11.7109375" style="605" customWidth="1"/>
    <col min="11506" max="11748" width="9.140625" style="605"/>
    <col min="11749" max="11749" width="5.85546875" style="605" customWidth="1"/>
    <col min="11750" max="11750" width="11.42578125" style="605" customWidth="1"/>
    <col min="11751" max="11751" width="41.42578125" style="605" customWidth="1"/>
    <col min="11752" max="11761" width="11.7109375" style="605" customWidth="1"/>
    <col min="11762" max="12004" width="9.140625" style="605"/>
    <col min="12005" max="12005" width="5.85546875" style="605" customWidth="1"/>
    <col min="12006" max="12006" width="11.42578125" style="605" customWidth="1"/>
    <col min="12007" max="12007" width="41.42578125" style="605" customWidth="1"/>
    <col min="12008" max="12017" width="11.7109375" style="605" customWidth="1"/>
    <col min="12018" max="12260" width="9.140625" style="605"/>
    <col min="12261" max="12261" width="5.85546875" style="605" customWidth="1"/>
    <col min="12262" max="12262" width="11.42578125" style="605" customWidth="1"/>
    <col min="12263" max="12263" width="41.42578125" style="605" customWidth="1"/>
    <col min="12264" max="12273" width="11.7109375" style="605" customWidth="1"/>
    <col min="12274" max="12516" width="9.140625" style="605"/>
    <col min="12517" max="12517" width="5.85546875" style="605" customWidth="1"/>
    <col min="12518" max="12518" width="11.42578125" style="605" customWidth="1"/>
    <col min="12519" max="12519" width="41.42578125" style="605" customWidth="1"/>
    <col min="12520" max="12529" width="11.7109375" style="605" customWidth="1"/>
    <col min="12530" max="12772" width="9.140625" style="605"/>
    <col min="12773" max="12773" width="5.85546875" style="605" customWidth="1"/>
    <col min="12774" max="12774" width="11.42578125" style="605" customWidth="1"/>
    <col min="12775" max="12775" width="41.42578125" style="605" customWidth="1"/>
    <col min="12776" max="12785" width="11.7109375" style="605" customWidth="1"/>
    <col min="12786" max="13028" width="9.140625" style="605"/>
    <col min="13029" max="13029" width="5.85546875" style="605" customWidth="1"/>
    <col min="13030" max="13030" width="11.42578125" style="605" customWidth="1"/>
    <col min="13031" max="13031" width="41.42578125" style="605" customWidth="1"/>
    <col min="13032" max="13041" width="11.7109375" style="605" customWidth="1"/>
    <col min="13042" max="13284" width="9.140625" style="605"/>
    <col min="13285" max="13285" width="5.85546875" style="605" customWidth="1"/>
    <col min="13286" max="13286" width="11.42578125" style="605" customWidth="1"/>
    <col min="13287" max="13287" width="41.42578125" style="605" customWidth="1"/>
    <col min="13288" max="13297" width="11.7109375" style="605" customWidth="1"/>
    <col min="13298" max="13540" width="9.140625" style="605"/>
    <col min="13541" max="13541" width="5.85546875" style="605" customWidth="1"/>
    <col min="13542" max="13542" width="11.42578125" style="605" customWidth="1"/>
    <col min="13543" max="13543" width="41.42578125" style="605" customWidth="1"/>
    <col min="13544" max="13553" width="11.7109375" style="605" customWidth="1"/>
    <col min="13554" max="13796" width="9.140625" style="605"/>
    <col min="13797" max="13797" width="5.85546875" style="605" customWidth="1"/>
    <col min="13798" max="13798" width="11.42578125" style="605" customWidth="1"/>
    <col min="13799" max="13799" width="41.42578125" style="605" customWidth="1"/>
    <col min="13800" max="13809" width="11.7109375" style="605" customWidth="1"/>
    <col min="13810" max="14052" width="9.140625" style="605"/>
    <col min="14053" max="14053" width="5.85546875" style="605" customWidth="1"/>
    <col min="14054" max="14054" width="11.42578125" style="605" customWidth="1"/>
    <col min="14055" max="14055" width="41.42578125" style="605" customWidth="1"/>
    <col min="14056" max="14065" width="11.7109375" style="605" customWidth="1"/>
    <col min="14066" max="14308" width="9.140625" style="605"/>
    <col min="14309" max="14309" width="5.85546875" style="605" customWidth="1"/>
    <col min="14310" max="14310" width="11.42578125" style="605" customWidth="1"/>
    <col min="14311" max="14311" width="41.42578125" style="605" customWidth="1"/>
    <col min="14312" max="14321" width="11.7109375" style="605" customWidth="1"/>
    <col min="14322" max="14564" width="9.140625" style="605"/>
    <col min="14565" max="14565" width="5.85546875" style="605" customWidth="1"/>
    <col min="14566" max="14566" width="11.42578125" style="605" customWidth="1"/>
    <col min="14567" max="14567" width="41.42578125" style="605" customWidth="1"/>
    <col min="14568" max="14577" width="11.7109375" style="605" customWidth="1"/>
    <col min="14578" max="14820" width="9.140625" style="605"/>
    <col min="14821" max="14821" width="5.85546875" style="605" customWidth="1"/>
    <col min="14822" max="14822" width="11.42578125" style="605" customWidth="1"/>
    <col min="14823" max="14823" width="41.42578125" style="605" customWidth="1"/>
    <col min="14824" max="14833" width="11.7109375" style="605" customWidth="1"/>
    <col min="14834" max="15076" width="9.140625" style="605"/>
    <col min="15077" max="15077" width="5.85546875" style="605" customWidth="1"/>
    <col min="15078" max="15078" width="11.42578125" style="605" customWidth="1"/>
    <col min="15079" max="15079" width="41.42578125" style="605" customWidth="1"/>
    <col min="15080" max="15089" width="11.7109375" style="605" customWidth="1"/>
    <col min="15090" max="15332" width="9.140625" style="605"/>
    <col min="15333" max="15333" width="5.85546875" style="605" customWidth="1"/>
    <col min="15334" max="15334" width="11.42578125" style="605" customWidth="1"/>
    <col min="15335" max="15335" width="41.42578125" style="605" customWidth="1"/>
    <col min="15336" max="15345" width="11.7109375" style="605" customWidth="1"/>
    <col min="15346" max="15588" width="9.140625" style="605"/>
    <col min="15589" max="15589" width="5.85546875" style="605" customWidth="1"/>
    <col min="15590" max="15590" width="11.42578125" style="605" customWidth="1"/>
    <col min="15591" max="15591" width="41.42578125" style="605" customWidth="1"/>
    <col min="15592" max="15601" width="11.7109375" style="605" customWidth="1"/>
    <col min="15602" max="15844" width="9.140625" style="605"/>
    <col min="15845" max="15845" width="5.85546875" style="605" customWidth="1"/>
    <col min="15846" max="15846" width="11.42578125" style="605" customWidth="1"/>
    <col min="15847" max="15847" width="41.42578125" style="605" customWidth="1"/>
    <col min="15848" max="15857" width="11.7109375" style="605" customWidth="1"/>
    <col min="15858" max="16100" width="9.140625" style="605"/>
    <col min="16101" max="16101" width="5.85546875" style="605" customWidth="1"/>
    <col min="16102" max="16102" width="11.42578125" style="605" customWidth="1"/>
    <col min="16103" max="16103" width="41.42578125" style="605" customWidth="1"/>
    <col min="16104" max="16113" width="11.7109375" style="605" customWidth="1"/>
    <col min="16114" max="16384" width="9.140625" style="605"/>
  </cols>
  <sheetData>
    <row r="1" spans="1:13" ht="26.25" customHeight="1">
      <c r="A1" s="1596" t="s">
        <v>780</v>
      </c>
      <c r="B1" s="1596"/>
      <c r="C1" s="1596"/>
      <c r="D1" s="1596"/>
      <c r="E1" s="1596"/>
      <c r="F1" s="1596"/>
      <c r="G1" s="1596"/>
      <c r="H1" s="1596"/>
    </row>
    <row r="2" spans="1:13" ht="58.5" customHeight="1">
      <c r="A2" s="1597" t="s">
        <v>476</v>
      </c>
      <c r="B2" s="1597"/>
      <c r="C2" s="1597"/>
      <c r="D2" s="1597"/>
      <c r="E2" s="1597"/>
      <c r="F2" s="1597"/>
      <c r="G2" s="1597"/>
      <c r="H2" s="1597"/>
      <c r="I2" s="1597"/>
      <c r="J2" s="1597"/>
    </row>
    <row r="3" spans="1:13" ht="26.25" customHeight="1">
      <c r="A3" s="1598" t="s">
        <v>0</v>
      </c>
      <c r="B3" s="1598"/>
      <c r="C3" s="1598"/>
      <c r="D3" s="1598"/>
      <c r="E3" s="876">
        <f>M286</f>
        <v>0</v>
      </c>
      <c r="F3" s="605" t="s">
        <v>1</v>
      </c>
    </row>
    <row r="4" spans="1:13" ht="26.25" customHeight="1">
      <c r="A4" s="1599"/>
      <c r="B4" s="1599"/>
      <c r="C4" s="1599"/>
      <c r="D4" s="1599"/>
      <c r="E4" s="1599"/>
      <c r="F4" s="1599"/>
      <c r="G4" s="1599"/>
      <c r="H4" s="1599"/>
    </row>
    <row r="5" spans="1:13" ht="30" customHeight="1">
      <c r="A5" s="1600"/>
      <c r="B5" s="1601" t="s">
        <v>2</v>
      </c>
      <c r="C5" s="1602" t="s">
        <v>3</v>
      </c>
      <c r="D5" s="1603" t="s">
        <v>4</v>
      </c>
      <c r="E5" s="1600" t="s">
        <v>5</v>
      </c>
      <c r="F5" s="1600"/>
      <c r="G5" s="1593" t="s">
        <v>6</v>
      </c>
      <c r="H5" s="1593"/>
      <c r="I5" s="1593" t="s">
        <v>66</v>
      </c>
      <c r="J5" s="1593"/>
      <c r="K5" s="1593" t="s">
        <v>72</v>
      </c>
      <c r="L5" s="1593"/>
      <c r="M5" s="1594" t="s">
        <v>67</v>
      </c>
    </row>
    <row r="6" spans="1:13" ht="72" customHeight="1">
      <c r="A6" s="1600"/>
      <c r="B6" s="1601"/>
      <c r="C6" s="1602"/>
      <c r="D6" s="1603"/>
      <c r="E6" s="585" t="s">
        <v>7</v>
      </c>
      <c r="F6" s="585" t="s">
        <v>8</v>
      </c>
      <c r="G6" s="1055" t="s">
        <v>9</v>
      </c>
      <c r="H6" s="877" t="s">
        <v>10</v>
      </c>
      <c r="I6" s="877" t="s">
        <v>9</v>
      </c>
      <c r="J6" s="877" t="s">
        <v>10</v>
      </c>
      <c r="K6" s="877" t="s">
        <v>9</v>
      </c>
      <c r="L6" s="877" t="s">
        <v>10</v>
      </c>
      <c r="M6" s="1594"/>
    </row>
    <row r="7" spans="1:13">
      <c r="A7" s="878">
        <v>1</v>
      </c>
      <c r="B7" s="1059">
        <v>2</v>
      </c>
      <c r="C7" s="879">
        <v>3</v>
      </c>
      <c r="D7" s="878">
        <v>4</v>
      </c>
      <c r="E7" s="878">
        <v>5</v>
      </c>
      <c r="F7" s="878">
        <v>6</v>
      </c>
      <c r="G7" s="1403">
        <v>7</v>
      </c>
      <c r="H7" s="1404">
        <v>8</v>
      </c>
      <c r="I7" s="1404">
        <v>9</v>
      </c>
      <c r="J7" s="1404">
        <v>10</v>
      </c>
      <c r="K7" s="1404">
        <v>11</v>
      </c>
      <c r="L7" s="1404">
        <v>12</v>
      </c>
      <c r="M7" s="1404">
        <v>13</v>
      </c>
    </row>
    <row r="8" spans="1:13" s="560" customFormat="1" ht="49.15" customHeight="1">
      <c r="A8" s="880"/>
      <c r="B8" s="1060"/>
      <c r="C8" s="594" t="s">
        <v>779</v>
      </c>
      <c r="D8" s="598"/>
      <c r="E8" s="882"/>
      <c r="F8" s="565"/>
      <c r="G8" s="1357"/>
      <c r="H8" s="1358">
        <f t="shared" ref="H8:H29" si="0">F8*G8</f>
        <v>0</v>
      </c>
      <c r="I8" s="1359"/>
      <c r="J8" s="1359">
        <f t="shared" ref="J8:J29" si="1">F8*I8</f>
        <v>0</v>
      </c>
      <c r="K8" s="1358"/>
      <c r="L8" s="1359">
        <f t="shared" ref="L8:L29" si="2">F8*K8</f>
        <v>0</v>
      </c>
      <c r="M8" s="1359">
        <f t="shared" ref="M8:M29" si="3">H8+J8+L8</f>
        <v>0</v>
      </c>
    </row>
    <row r="9" spans="1:13" s="560" customFormat="1" ht="49.15" customHeight="1">
      <c r="A9" s="595" t="s">
        <v>44</v>
      </c>
      <c r="B9" s="1061"/>
      <c r="C9" s="594" t="s">
        <v>342</v>
      </c>
      <c r="D9" s="595" t="s">
        <v>829</v>
      </c>
      <c r="E9" s="571"/>
      <c r="F9" s="572">
        <v>230</v>
      </c>
      <c r="G9" s="1360"/>
      <c r="H9" s="1358">
        <f t="shared" si="0"/>
        <v>0</v>
      </c>
      <c r="I9" s="1359"/>
      <c r="J9" s="1359">
        <f t="shared" si="1"/>
        <v>0</v>
      </c>
      <c r="K9" s="1358"/>
      <c r="L9" s="1359">
        <f t="shared" si="2"/>
        <v>0</v>
      </c>
      <c r="M9" s="1359">
        <f t="shared" si="3"/>
        <v>0</v>
      </c>
    </row>
    <row r="10" spans="1:13" s="560" customFormat="1" ht="20.100000000000001" customHeight="1">
      <c r="A10" s="880">
        <f>A9+0.1</f>
        <v>1.1000000000000001</v>
      </c>
      <c r="B10" s="1062"/>
      <c r="C10" s="889" t="s">
        <v>12</v>
      </c>
      <c r="D10" s="598" t="s">
        <v>13</v>
      </c>
      <c r="E10" s="564">
        <v>2.06</v>
      </c>
      <c r="F10" s="882">
        <f>E10*F9</f>
        <v>473.8</v>
      </c>
      <c r="G10" s="1357"/>
      <c r="H10" s="1358">
        <f t="shared" si="0"/>
        <v>0</v>
      </c>
      <c r="I10" s="1359"/>
      <c r="J10" s="1359">
        <f t="shared" si="1"/>
        <v>0</v>
      </c>
      <c r="K10" s="1358"/>
      <c r="L10" s="1359">
        <f t="shared" si="2"/>
        <v>0</v>
      </c>
      <c r="M10" s="1359">
        <f t="shared" si="3"/>
        <v>0</v>
      </c>
    </row>
    <row r="11" spans="1:13" s="920" customFormat="1" ht="45.75" customHeight="1">
      <c r="A11" s="918">
        <v>2</v>
      </c>
      <c r="B11" s="1063"/>
      <c r="C11" s="596" t="s">
        <v>257</v>
      </c>
      <c r="D11" s="569" t="s">
        <v>829</v>
      </c>
      <c r="E11" s="919"/>
      <c r="F11" s="573">
        <v>115</v>
      </c>
      <c r="G11" s="1360"/>
      <c r="H11" s="1358">
        <f t="shared" si="0"/>
        <v>0</v>
      </c>
      <c r="I11" s="1359"/>
      <c r="J11" s="1359">
        <f t="shared" si="1"/>
        <v>0</v>
      </c>
      <c r="K11" s="1361"/>
      <c r="L11" s="1359">
        <f t="shared" si="2"/>
        <v>0</v>
      </c>
      <c r="M11" s="1359">
        <f t="shared" si="3"/>
        <v>0</v>
      </c>
    </row>
    <row r="12" spans="1:13" ht="20.100000000000001" customHeight="1">
      <c r="A12" s="880">
        <f>A11+0.1</f>
        <v>2.1</v>
      </c>
      <c r="B12" s="1062"/>
      <c r="C12" s="889" t="s">
        <v>12</v>
      </c>
      <c r="D12" s="598" t="s">
        <v>13</v>
      </c>
      <c r="E12" s="881">
        <v>0.15</v>
      </c>
      <c r="F12" s="575">
        <f>E12*F11</f>
        <v>17.25</v>
      </c>
      <c r="G12" s="1357"/>
      <c r="H12" s="1358">
        <f t="shared" si="0"/>
        <v>0</v>
      </c>
      <c r="I12" s="1359"/>
      <c r="J12" s="1359">
        <f t="shared" si="1"/>
        <v>0</v>
      </c>
      <c r="K12" s="1359"/>
      <c r="L12" s="1359">
        <f t="shared" si="2"/>
        <v>0</v>
      </c>
      <c r="M12" s="1359">
        <f t="shared" si="3"/>
        <v>0</v>
      </c>
    </row>
    <row r="13" spans="1:13" ht="20.100000000000001" customHeight="1">
      <c r="A13" s="880">
        <f>A12+0.1</f>
        <v>2.2000000000000002</v>
      </c>
      <c r="B13" s="1060"/>
      <c r="C13" s="889" t="s">
        <v>254</v>
      </c>
      <c r="D13" s="586" t="s">
        <v>62</v>
      </c>
      <c r="E13" s="921">
        <v>2.1600000000000001E-2</v>
      </c>
      <c r="F13" s="575">
        <f>E13*F11</f>
        <v>2.484</v>
      </c>
      <c r="G13" s="1357"/>
      <c r="H13" s="1358">
        <f t="shared" si="0"/>
        <v>0</v>
      </c>
      <c r="I13" s="1359"/>
      <c r="J13" s="1359">
        <f t="shared" si="1"/>
        <v>0</v>
      </c>
      <c r="K13" s="1358"/>
      <c r="L13" s="1359">
        <f t="shared" si="2"/>
        <v>0</v>
      </c>
      <c r="M13" s="1359">
        <f t="shared" si="3"/>
        <v>0</v>
      </c>
    </row>
    <row r="14" spans="1:13" ht="20.100000000000001" customHeight="1">
      <c r="A14" s="880">
        <f>A13+0.1</f>
        <v>2.3000000000000003</v>
      </c>
      <c r="B14" s="1060"/>
      <c r="C14" s="889" t="s">
        <v>255</v>
      </c>
      <c r="D14" s="586" t="s">
        <v>62</v>
      </c>
      <c r="E14" s="921">
        <v>2.7300000000000001E-2</v>
      </c>
      <c r="F14" s="575">
        <f>E14*F11</f>
        <v>3.1395</v>
      </c>
      <c r="G14" s="1357"/>
      <c r="H14" s="1358">
        <f t="shared" si="0"/>
        <v>0</v>
      </c>
      <c r="I14" s="1359"/>
      <c r="J14" s="1359">
        <f t="shared" si="1"/>
        <v>0</v>
      </c>
      <c r="K14" s="1358"/>
      <c r="L14" s="1359">
        <f t="shared" si="2"/>
        <v>0</v>
      </c>
      <c r="M14" s="1359">
        <f t="shared" si="3"/>
        <v>0</v>
      </c>
    </row>
    <row r="15" spans="1:13" ht="20.100000000000001" customHeight="1">
      <c r="A15" s="880">
        <f>A14+0.1</f>
        <v>2.4000000000000004</v>
      </c>
      <c r="B15" s="1060"/>
      <c r="C15" s="889" t="s">
        <v>256</v>
      </c>
      <c r="D15" s="586" t="s">
        <v>62</v>
      </c>
      <c r="E15" s="921">
        <v>6.8999999999999999E-3</v>
      </c>
      <c r="F15" s="575">
        <f>E15*F11</f>
        <v>0.79349999999999998</v>
      </c>
      <c r="G15" s="1357"/>
      <c r="H15" s="1358">
        <f t="shared" si="0"/>
        <v>0</v>
      </c>
      <c r="I15" s="1359"/>
      <c r="J15" s="1359">
        <f t="shared" si="1"/>
        <v>0</v>
      </c>
      <c r="K15" s="1358"/>
      <c r="L15" s="1359">
        <f t="shared" si="2"/>
        <v>0</v>
      </c>
      <c r="M15" s="1359">
        <f t="shared" si="3"/>
        <v>0</v>
      </c>
    </row>
    <row r="16" spans="1:13" ht="20.100000000000001" customHeight="1">
      <c r="A16" s="880">
        <f>A15+0.1</f>
        <v>2.5000000000000004</v>
      </c>
      <c r="B16" s="1060"/>
      <c r="C16" s="889" t="s">
        <v>258</v>
      </c>
      <c r="D16" s="566" t="s">
        <v>830</v>
      </c>
      <c r="E16" s="881">
        <v>1.22</v>
      </c>
      <c r="F16" s="575">
        <f>E16*F11</f>
        <v>140.29999999999998</v>
      </c>
      <c r="G16" s="1357"/>
      <c r="H16" s="1358">
        <f t="shared" si="0"/>
        <v>0</v>
      </c>
      <c r="I16" s="1359"/>
      <c r="J16" s="1359">
        <f t="shared" si="1"/>
        <v>0</v>
      </c>
      <c r="K16" s="1359"/>
      <c r="L16" s="1359">
        <f t="shared" si="2"/>
        <v>0</v>
      </c>
      <c r="M16" s="1359">
        <f t="shared" si="3"/>
        <v>0</v>
      </c>
    </row>
    <row r="17" spans="1:13" s="560" customFormat="1" ht="54" customHeight="1">
      <c r="A17" s="918">
        <v>3</v>
      </c>
      <c r="B17" s="1061"/>
      <c r="C17" s="596" t="s">
        <v>343</v>
      </c>
      <c r="D17" s="922" t="s">
        <v>829</v>
      </c>
      <c r="E17" s="571"/>
      <c r="F17" s="573">
        <v>115</v>
      </c>
      <c r="G17" s="1360"/>
      <c r="H17" s="1358">
        <f t="shared" si="0"/>
        <v>0</v>
      </c>
      <c r="I17" s="1359"/>
      <c r="J17" s="1359">
        <f t="shared" si="1"/>
        <v>0</v>
      </c>
      <c r="K17" s="1358"/>
      <c r="L17" s="1359">
        <f t="shared" si="2"/>
        <v>0</v>
      </c>
      <c r="M17" s="1359">
        <f t="shared" si="3"/>
        <v>0</v>
      </c>
    </row>
    <row r="18" spans="1:13" s="560" customFormat="1" ht="20.100000000000001" customHeight="1">
      <c r="A18" s="880">
        <f t="shared" ref="A18:A24" si="4">A17+0.1</f>
        <v>3.1</v>
      </c>
      <c r="B18" s="1064"/>
      <c r="C18" s="889" t="s">
        <v>12</v>
      </c>
      <c r="D18" s="598" t="s">
        <v>13</v>
      </c>
      <c r="E18" s="564">
        <v>1.87</v>
      </c>
      <c r="F18" s="565">
        <f>F17*E18</f>
        <v>215.05</v>
      </c>
      <c r="G18" s="1357"/>
      <c r="H18" s="1358">
        <f t="shared" si="0"/>
        <v>0</v>
      </c>
      <c r="I18" s="1359"/>
      <c r="J18" s="1359">
        <f t="shared" si="1"/>
        <v>0</v>
      </c>
      <c r="K18" s="1358"/>
      <c r="L18" s="1359">
        <f t="shared" si="2"/>
        <v>0</v>
      </c>
      <c r="M18" s="1359">
        <f t="shared" si="3"/>
        <v>0</v>
      </c>
    </row>
    <row r="19" spans="1:13" s="560" customFormat="1" ht="20.100000000000001" customHeight="1">
      <c r="A19" s="880">
        <f t="shared" si="4"/>
        <v>3.2</v>
      </c>
      <c r="B19" s="1064"/>
      <c r="C19" s="889" t="s">
        <v>117</v>
      </c>
      <c r="D19" s="586" t="s">
        <v>14</v>
      </c>
      <c r="E19" s="564">
        <v>0.77</v>
      </c>
      <c r="F19" s="565">
        <f>F17*E19</f>
        <v>88.55</v>
      </c>
      <c r="G19" s="1362"/>
      <c r="H19" s="1358">
        <f t="shared" si="0"/>
        <v>0</v>
      </c>
      <c r="I19" s="1359"/>
      <c r="J19" s="1359">
        <f t="shared" si="1"/>
        <v>0</v>
      </c>
      <c r="K19" s="1363"/>
      <c r="L19" s="1359">
        <f t="shared" si="2"/>
        <v>0</v>
      </c>
      <c r="M19" s="1359">
        <f t="shared" si="3"/>
        <v>0</v>
      </c>
    </row>
    <row r="20" spans="1:13" s="560" customFormat="1" ht="20.100000000000001" customHeight="1">
      <c r="A20" s="880">
        <f t="shared" si="4"/>
        <v>3.3000000000000003</v>
      </c>
      <c r="B20" s="1064"/>
      <c r="C20" s="587" t="s">
        <v>74</v>
      </c>
      <c r="D20" s="586" t="s">
        <v>830</v>
      </c>
      <c r="E20" s="564">
        <v>1.0149999999999999</v>
      </c>
      <c r="F20" s="565">
        <f>E20*F17</f>
        <v>116.72499999999999</v>
      </c>
      <c r="G20" s="1357"/>
      <c r="H20" s="1358">
        <f t="shared" si="0"/>
        <v>0</v>
      </c>
      <c r="I20" s="1359"/>
      <c r="J20" s="1359">
        <f t="shared" si="1"/>
        <v>0</v>
      </c>
      <c r="K20" s="1358"/>
      <c r="L20" s="1359">
        <f t="shared" si="2"/>
        <v>0</v>
      </c>
      <c r="M20" s="1359">
        <f t="shared" si="3"/>
        <v>0</v>
      </c>
    </row>
    <row r="21" spans="1:13" s="560" customFormat="1" ht="20.100000000000001" customHeight="1">
      <c r="A21" s="880">
        <f t="shared" si="4"/>
        <v>3.4000000000000004</v>
      </c>
      <c r="B21" s="1062"/>
      <c r="C21" s="587" t="s">
        <v>792</v>
      </c>
      <c r="D21" s="586" t="s">
        <v>43</v>
      </c>
      <c r="E21" s="564" t="s">
        <v>20</v>
      </c>
      <c r="F21" s="882">
        <v>1150</v>
      </c>
      <c r="G21" s="1357"/>
      <c r="H21" s="1358">
        <f t="shared" si="0"/>
        <v>0</v>
      </c>
      <c r="I21" s="1359"/>
      <c r="J21" s="1359">
        <f t="shared" si="1"/>
        <v>0</v>
      </c>
      <c r="K21" s="1358"/>
      <c r="L21" s="1359">
        <f t="shared" si="2"/>
        <v>0</v>
      </c>
      <c r="M21" s="1359">
        <f t="shared" si="3"/>
        <v>0</v>
      </c>
    </row>
    <row r="22" spans="1:13" s="560" customFormat="1" ht="20.100000000000001" customHeight="1">
      <c r="A22" s="880">
        <f t="shared" si="4"/>
        <v>3.5000000000000004</v>
      </c>
      <c r="B22" s="1062"/>
      <c r="C22" s="587" t="s">
        <v>81</v>
      </c>
      <c r="D22" s="566" t="s">
        <v>831</v>
      </c>
      <c r="E22" s="564">
        <f>7.54/100</f>
        <v>7.5399999999999995E-2</v>
      </c>
      <c r="F22" s="565">
        <f>E22*F17</f>
        <v>8.6709999999999994</v>
      </c>
      <c r="G22" s="1357"/>
      <c r="H22" s="1358">
        <f t="shared" si="0"/>
        <v>0</v>
      </c>
      <c r="I22" s="1359"/>
      <c r="J22" s="1359">
        <f t="shared" si="1"/>
        <v>0</v>
      </c>
      <c r="K22" s="1358"/>
      <c r="L22" s="1359">
        <f t="shared" si="2"/>
        <v>0</v>
      </c>
      <c r="M22" s="1359">
        <f t="shared" si="3"/>
        <v>0</v>
      </c>
    </row>
    <row r="23" spans="1:13" s="560" customFormat="1" ht="20.100000000000001" customHeight="1">
      <c r="A23" s="880">
        <f t="shared" si="4"/>
        <v>3.6000000000000005</v>
      </c>
      <c r="B23" s="1062"/>
      <c r="C23" s="587" t="s">
        <v>82</v>
      </c>
      <c r="D23" s="566" t="s">
        <v>830</v>
      </c>
      <c r="E23" s="564">
        <f>0.08/100</f>
        <v>8.0000000000000004E-4</v>
      </c>
      <c r="F23" s="565">
        <f>E23*F17</f>
        <v>9.1999999999999998E-2</v>
      </c>
      <c r="G23" s="1357"/>
      <c r="H23" s="1358">
        <f t="shared" si="0"/>
        <v>0</v>
      </c>
      <c r="I23" s="1359"/>
      <c r="J23" s="1359">
        <f t="shared" si="1"/>
        <v>0</v>
      </c>
      <c r="K23" s="1358"/>
      <c r="L23" s="1359">
        <f t="shared" si="2"/>
        <v>0</v>
      </c>
      <c r="M23" s="1359">
        <f t="shared" si="3"/>
        <v>0</v>
      </c>
    </row>
    <row r="24" spans="1:13" s="560" customFormat="1" ht="20.100000000000001" customHeight="1">
      <c r="A24" s="880">
        <f t="shared" si="4"/>
        <v>3.7000000000000006</v>
      </c>
      <c r="B24" s="1062"/>
      <c r="C24" s="889" t="s">
        <v>119</v>
      </c>
      <c r="D24" s="566" t="s">
        <v>14</v>
      </c>
      <c r="E24" s="564">
        <v>7.0000000000000007E-2</v>
      </c>
      <c r="F24" s="565">
        <f>E24*F17</f>
        <v>8.0500000000000007</v>
      </c>
      <c r="G24" s="1362"/>
      <c r="H24" s="1358">
        <f t="shared" si="0"/>
        <v>0</v>
      </c>
      <c r="I24" s="1359"/>
      <c r="J24" s="1359">
        <f t="shared" si="1"/>
        <v>0</v>
      </c>
      <c r="K24" s="1358"/>
      <c r="L24" s="1359">
        <f t="shared" si="2"/>
        <v>0</v>
      </c>
      <c r="M24" s="1359">
        <f t="shared" si="3"/>
        <v>0</v>
      </c>
    </row>
    <row r="25" spans="1:13" s="560" customFormat="1" ht="50.1" customHeight="1">
      <c r="A25" s="923" t="s">
        <v>48</v>
      </c>
      <c r="B25" s="1065"/>
      <c r="C25" s="925" t="s">
        <v>718</v>
      </c>
      <c r="D25" s="923" t="s">
        <v>828</v>
      </c>
      <c r="E25" s="926"/>
      <c r="F25" s="573">
        <v>1150</v>
      </c>
      <c r="G25" s="1364"/>
      <c r="H25" s="1358">
        <f t="shared" si="0"/>
        <v>0</v>
      </c>
      <c r="I25" s="1359"/>
      <c r="J25" s="1359">
        <f t="shared" si="1"/>
        <v>0</v>
      </c>
      <c r="K25" s="1358"/>
      <c r="L25" s="1359">
        <f t="shared" si="2"/>
        <v>0</v>
      </c>
      <c r="M25" s="1359">
        <f t="shared" si="3"/>
        <v>0</v>
      </c>
    </row>
    <row r="26" spans="1:13" s="560" customFormat="1" ht="20.100000000000001" customHeight="1">
      <c r="A26" s="880">
        <f>A25+0.1</f>
        <v>5.0999999999999996</v>
      </c>
      <c r="B26" s="1062"/>
      <c r="C26" s="889" t="s">
        <v>12</v>
      </c>
      <c r="D26" s="598" t="s">
        <v>63</v>
      </c>
      <c r="E26" s="564">
        <v>1</v>
      </c>
      <c r="F26" s="565">
        <f>E26*F25</f>
        <v>1150</v>
      </c>
      <c r="G26" s="1357"/>
      <c r="H26" s="1358">
        <f t="shared" si="0"/>
        <v>0</v>
      </c>
      <c r="I26" s="1359"/>
      <c r="J26" s="1359">
        <f t="shared" si="1"/>
        <v>0</v>
      </c>
      <c r="K26" s="1358"/>
      <c r="L26" s="1359">
        <f t="shared" si="2"/>
        <v>0</v>
      </c>
      <c r="M26" s="1359">
        <f t="shared" si="3"/>
        <v>0</v>
      </c>
    </row>
    <row r="27" spans="1:13" s="560" customFormat="1" ht="20.100000000000001" customHeight="1">
      <c r="A27" s="880">
        <f>A26+0.1</f>
        <v>5.1999999999999993</v>
      </c>
      <c r="B27" s="1062"/>
      <c r="C27" s="889" t="s">
        <v>117</v>
      </c>
      <c r="D27" s="586" t="s">
        <v>14</v>
      </c>
      <c r="E27" s="564">
        <f>12.9*0.01</f>
        <v>0.129</v>
      </c>
      <c r="F27" s="565">
        <f>E27*F25</f>
        <v>148.35</v>
      </c>
      <c r="G27" s="1362"/>
      <c r="H27" s="1358">
        <f t="shared" si="0"/>
        <v>0</v>
      </c>
      <c r="I27" s="1359"/>
      <c r="J27" s="1359">
        <f t="shared" si="1"/>
        <v>0</v>
      </c>
      <c r="K27" s="1363"/>
      <c r="L27" s="1359">
        <f t="shared" si="2"/>
        <v>0</v>
      </c>
      <c r="M27" s="1359">
        <f t="shared" si="3"/>
        <v>0</v>
      </c>
    </row>
    <row r="28" spans="1:13" s="560" customFormat="1" ht="30.6" customHeight="1">
      <c r="A28" s="880">
        <f>A27+0.1</f>
        <v>5.2999999999999989</v>
      </c>
      <c r="B28" s="1060"/>
      <c r="C28" s="587" t="s">
        <v>650</v>
      </c>
      <c r="D28" s="598" t="s">
        <v>831</v>
      </c>
      <c r="E28" s="564">
        <v>1</v>
      </c>
      <c r="F28" s="565">
        <f>E28*F25</f>
        <v>1150</v>
      </c>
      <c r="G28" s="1357"/>
      <c r="H28" s="1358">
        <f t="shared" si="0"/>
        <v>0</v>
      </c>
      <c r="I28" s="1359"/>
      <c r="J28" s="1359">
        <f t="shared" si="1"/>
        <v>0</v>
      </c>
      <c r="K28" s="1358"/>
      <c r="L28" s="1359">
        <f t="shared" si="2"/>
        <v>0</v>
      </c>
      <c r="M28" s="1359">
        <f t="shared" si="3"/>
        <v>0</v>
      </c>
    </row>
    <row r="29" spans="1:13" s="560" customFormat="1" ht="20.100000000000001" customHeight="1">
      <c r="A29" s="880">
        <f>A28+0.1</f>
        <v>5.3999999999999986</v>
      </c>
      <c r="B29" s="1060"/>
      <c r="C29" s="587" t="s">
        <v>83</v>
      </c>
      <c r="D29" s="598" t="s">
        <v>21</v>
      </c>
      <c r="E29" s="882">
        <v>6</v>
      </c>
      <c r="F29" s="565">
        <f>E29*F25</f>
        <v>6900</v>
      </c>
      <c r="G29" s="1357"/>
      <c r="H29" s="1358">
        <f t="shared" si="0"/>
        <v>0</v>
      </c>
      <c r="I29" s="1359"/>
      <c r="J29" s="1359">
        <f t="shared" si="1"/>
        <v>0</v>
      </c>
      <c r="K29" s="1358"/>
      <c r="L29" s="1359">
        <f t="shared" si="2"/>
        <v>0</v>
      </c>
      <c r="M29" s="1359">
        <f t="shared" si="3"/>
        <v>0</v>
      </c>
    </row>
    <row r="30" spans="1:13" s="560" customFormat="1" ht="20.100000000000001" customHeight="1">
      <c r="A30" s="880"/>
      <c r="B30" s="1062"/>
      <c r="C30" s="596" t="s">
        <v>719</v>
      </c>
      <c r="D30" s="598"/>
      <c r="E30" s="564"/>
      <c r="F30" s="882"/>
      <c r="G30" s="1357"/>
      <c r="H30" s="1358">
        <f t="shared" ref="H30:H49" si="5">F30*G30</f>
        <v>0</v>
      </c>
      <c r="I30" s="1359"/>
      <c r="J30" s="1359">
        <f t="shared" ref="J30:J49" si="6">F30*I30</f>
        <v>0</v>
      </c>
      <c r="K30" s="1358"/>
      <c r="L30" s="1359">
        <f t="shared" ref="L30:L32" si="7">F30*K30</f>
        <v>0</v>
      </c>
      <c r="M30" s="1359">
        <f t="shared" ref="M30:M31" si="8">H30+J30+L30</f>
        <v>0</v>
      </c>
    </row>
    <row r="31" spans="1:13" s="560" customFormat="1" ht="49.15" customHeight="1">
      <c r="A31" s="595" t="s">
        <v>44</v>
      </c>
      <c r="B31" s="1061"/>
      <c r="C31" s="594" t="s">
        <v>339</v>
      </c>
      <c r="D31" s="595" t="s">
        <v>829</v>
      </c>
      <c r="E31" s="594"/>
      <c r="F31" s="927">
        <v>65</v>
      </c>
      <c r="G31" s="1360"/>
      <c r="H31" s="1365"/>
      <c r="I31" s="1359"/>
      <c r="J31" s="1359">
        <f t="shared" si="6"/>
        <v>0</v>
      </c>
      <c r="K31" s="1358"/>
      <c r="L31" s="1359">
        <f t="shared" si="7"/>
        <v>0</v>
      </c>
      <c r="M31" s="1359">
        <f t="shared" si="8"/>
        <v>0</v>
      </c>
    </row>
    <row r="32" spans="1:13" s="560" customFormat="1" ht="20.100000000000001" customHeight="1">
      <c r="A32" s="880">
        <f>A31+0.1</f>
        <v>1.1000000000000001</v>
      </c>
      <c r="B32" s="1062"/>
      <c r="C32" s="889" t="s">
        <v>12</v>
      </c>
      <c r="D32" s="598" t="s">
        <v>13</v>
      </c>
      <c r="E32" s="564">
        <v>2.06</v>
      </c>
      <c r="F32" s="882">
        <f>E32*F31</f>
        <v>133.9</v>
      </c>
      <c r="G32" s="1357"/>
      <c r="H32" s="1358">
        <f>G32*F32</f>
        <v>0</v>
      </c>
      <c r="I32" s="1359"/>
      <c r="J32" s="1359">
        <f t="shared" si="6"/>
        <v>0</v>
      </c>
      <c r="K32" s="1358"/>
      <c r="L32" s="1359">
        <f t="shared" si="7"/>
        <v>0</v>
      </c>
      <c r="M32" s="1359">
        <f>H32+J32+L32</f>
        <v>0</v>
      </c>
    </row>
    <row r="33" spans="1:13" s="920" customFormat="1" ht="45.75" customHeight="1">
      <c r="A33" s="918">
        <v>2</v>
      </c>
      <c r="B33" s="1063"/>
      <c r="C33" s="596" t="s">
        <v>257</v>
      </c>
      <c r="D33" s="569" t="s">
        <v>829</v>
      </c>
      <c r="E33" s="919"/>
      <c r="F33" s="573">
        <v>26</v>
      </c>
      <c r="G33" s="1360"/>
      <c r="H33" s="1358">
        <f t="shared" si="5"/>
        <v>0</v>
      </c>
      <c r="I33" s="1359"/>
      <c r="J33" s="1359">
        <f t="shared" si="6"/>
        <v>0</v>
      </c>
      <c r="K33" s="1361"/>
      <c r="L33" s="1359">
        <f t="shared" ref="L33:L52" si="9">F33*K33</f>
        <v>0</v>
      </c>
      <c r="M33" s="1359">
        <f t="shared" ref="M33:M51" si="10">H33+J33+L33</f>
        <v>0</v>
      </c>
    </row>
    <row r="34" spans="1:13" ht="20.100000000000001" customHeight="1">
      <c r="A34" s="880">
        <f>A33+0.1</f>
        <v>2.1</v>
      </c>
      <c r="B34" s="1062"/>
      <c r="C34" s="889" t="s">
        <v>12</v>
      </c>
      <c r="D34" s="598" t="s">
        <v>13</v>
      </c>
      <c r="E34" s="881">
        <v>0.15</v>
      </c>
      <c r="F34" s="575">
        <f>E34*F33</f>
        <v>3.9</v>
      </c>
      <c r="G34" s="1357"/>
      <c r="H34" s="1358">
        <f t="shared" si="5"/>
        <v>0</v>
      </c>
      <c r="I34" s="1359"/>
      <c r="J34" s="1359">
        <f t="shared" si="6"/>
        <v>0</v>
      </c>
      <c r="K34" s="1359"/>
      <c r="L34" s="1359">
        <f t="shared" si="9"/>
        <v>0</v>
      </c>
      <c r="M34" s="1359">
        <f t="shared" si="10"/>
        <v>0</v>
      </c>
    </row>
    <row r="35" spans="1:13" ht="20.100000000000001" customHeight="1">
      <c r="A35" s="880">
        <f>A34+0.1</f>
        <v>2.2000000000000002</v>
      </c>
      <c r="B35" s="1060"/>
      <c r="C35" s="889" t="s">
        <v>254</v>
      </c>
      <c r="D35" s="586" t="s">
        <v>62</v>
      </c>
      <c r="E35" s="921">
        <v>2.1600000000000001E-2</v>
      </c>
      <c r="F35" s="575">
        <f>E35*F33</f>
        <v>0.56159999999999999</v>
      </c>
      <c r="G35" s="1357"/>
      <c r="H35" s="1358">
        <f t="shared" si="5"/>
        <v>0</v>
      </c>
      <c r="I35" s="1359"/>
      <c r="J35" s="1359">
        <f t="shared" si="6"/>
        <v>0</v>
      </c>
      <c r="K35" s="1358"/>
      <c r="L35" s="1359">
        <f t="shared" si="9"/>
        <v>0</v>
      </c>
      <c r="M35" s="1359">
        <f t="shared" si="10"/>
        <v>0</v>
      </c>
    </row>
    <row r="36" spans="1:13" ht="20.100000000000001" customHeight="1">
      <c r="A36" s="880">
        <f>A35+0.1</f>
        <v>2.3000000000000003</v>
      </c>
      <c r="B36" s="1060"/>
      <c r="C36" s="889" t="s">
        <v>255</v>
      </c>
      <c r="D36" s="586" t="s">
        <v>62</v>
      </c>
      <c r="E36" s="921">
        <v>2.7300000000000001E-2</v>
      </c>
      <c r="F36" s="575">
        <f>E36*F33</f>
        <v>0.70979999999999999</v>
      </c>
      <c r="G36" s="1357"/>
      <c r="H36" s="1358">
        <f t="shared" si="5"/>
        <v>0</v>
      </c>
      <c r="I36" s="1359"/>
      <c r="J36" s="1359">
        <f t="shared" si="6"/>
        <v>0</v>
      </c>
      <c r="K36" s="1358"/>
      <c r="L36" s="1359">
        <f t="shared" si="9"/>
        <v>0</v>
      </c>
      <c r="M36" s="1359">
        <f t="shared" si="10"/>
        <v>0</v>
      </c>
    </row>
    <row r="37" spans="1:13" ht="20.100000000000001" customHeight="1">
      <c r="A37" s="880">
        <f>A36+0.1</f>
        <v>2.4000000000000004</v>
      </c>
      <c r="B37" s="1060"/>
      <c r="C37" s="889" t="s">
        <v>256</v>
      </c>
      <c r="D37" s="586" t="s">
        <v>62</v>
      </c>
      <c r="E37" s="921">
        <v>6.8999999999999999E-3</v>
      </c>
      <c r="F37" s="575">
        <f>E37*F33</f>
        <v>0.1794</v>
      </c>
      <c r="G37" s="1357"/>
      <c r="H37" s="1358">
        <f t="shared" si="5"/>
        <v>0</v>
      </c>
      <c r="I37" s="1359"/>
      <c r="J37" s="1359">
        <f t="shared" si="6"/>
        <v>0</v>
      </c>
      <c r="K37" s="1358"/>
      <c r="L37" s="1359">
        <f t="shared" si="9"/>
        <v>0</v>
      </c>
      <c r="M37" s="1359">
        <f t="shared" si="10"/>
        <v>0</v>
      </c>
    </row>
    <row r="38" spans="1:13" ht="20.100000000000001" customHeight="1">
      <c r="A38" s="880">
        <f>A37+0.1</f>
        <v>2.5000000000000004</v>
      </c>
      <c r="B38" s="1060"/>
      <c r="C38" s="889" t="s">
        <v>258</v>
      </c>
      <c r="D38" s="566" t="s">
        <v>830</v>
      </c>
      <c r="E38" s="881">
        <v>1.22</v>
      </c>
      <c r="F38" s="575">
        <f>E38*F33</f>
        <v>31.72</v>
      </c>
      <c r="G38" s="1357"/>
      <c r="H38" s="1358">
        <f t="shared" si="5"/>
        <v>0</v>
      </c>
      <c r="I38" s="1359"/>
      <c r="J38" s="1359">
        <f t="shared" si="6"/>
        <v>0</v>
      </c>
      <c r="K38" s="1359"/>
      <c r="L38" s="1359">
        <f t="shared" si="9"/>
        <v>0</v>
      </c>
      <c r="M38" s="1359">
        <f t="shared" si="10"/>
        <v>0</v>
      </c>
    </row>
    <row r="39" spans="1:13" s="920" customFormat="1" ht="50.1" customHeight="1">
      <c r="A39" s="918">
        <v>3</v>
      </c>
      <c r="B39" s="1063"/>
      <c r="C39" s="596" t="s">
        <v>340</v>
      </c>
      <c r="D39" s="569" t="s">
        <v>829</v>
      </c>
      <c r="E39" s="919"/>
      <c r="F39" s="573">
        <v>26</v>
      </c>
      <c r="G39" s="1360"/>
      <c r="H39" s="1358">
        <f t="shared" si="5"/>
        <v>0</v>
      </c>
      <c r="I39" s="1359"/>
      <c r="J39" s="1359">
        <f t="shared" si="6"/>
        <v>0</v>
      </c>
      <c r="K39" s="1361"/>
      <c r="L39" s="1359">
        <f t="shared" si="9"/>
        <v>0</v>
      </c>
      <c r="M39" s="1359">
        <f t="shared" si="10"/>
        <v>0</v>
      </c>
    </row>
    <row r="40" spans="1:13" ht="20.100000000000001" customHeight="1">
      <c r="A40" s="880">
        <f>A39+0.1</f>
        <v>3.1</v>
      </c>
      <c r="B40" s="1062"/>
      <c r="C40" s="889" t="s">
        <v>12</v>
      </c>
      <c r="D40" s="598" t="s">
        <v>13</v>
      </c>
      <c r="E40" s="881">
        <v>0.15</v>
      </c>
      <c r="F40" s="575">
        <f>E40*F39</f>
        <v>3.9</v>
      </c>
      <c r="G40" s="1357"/>
      <c r="H40" s="1358">
        <f t="shared" si="5"/>
        <v>0</v>
      </c>
      <c r="I40" s="1359"/>
      <c r="J40" s="1359">
        <f t="shared" si="6"/>
        <v>0</v>
      </c>
      <c r="K40" s="1359"/>
      <c r="L40" s="1359">
        <f t="shared" si="9"/>
        <v>0</v>
      </c>
      <c r="M40" s="1359">
        <f t="shared" si="10"/>
        <v>0</v>
      </c>
    </row>
    <row r="41" spans="1:13" ht="20.100000000000001" customHeight="1">
      <c r="A41" s="880">
        <f>A40+0.1</f>
        <v>3.2</v>
      </c>
      <c r="B41" s="1060"/>
      <c r="C41" s="889" t="s">
        <v>254</v>
      </c>
      <c r="D41" s="586" t="s">
        <v>62</v>
      </c>
      <c r="E41" s="921">
        <v>2.1600000000000001E-2</v>
      </c>
      <c r="F41" s="575">
        <f>E41*F39</f>
        <v>0.56159999999999999</v>
      </c>
      <c r="G41" s="1357"/>
      <c r="H41" s="1358">
        <f t="shared" si="5"/>
        <v>0</v>
      </c>
      <c r="I41" s="1359"/>
      <c r="J41" s="1359">
        <f t="shared" si="6"/>
        <v>0</v>
      </c>
      <c r="K41" s="1358"/>
      <c r="L41" s="1359">
        <f t="shared" si="9"/>
        <v>0</v>
      </c>
      <c r="M41" s="1359">
        <f t="shared" si="10"/>
        <v>0</v>
      </c>
    </row>
    <row r="42" spans="1:13" ht="20.100000000000001" customHeight="1">
      <c r="A42" s="880">
        <f>A41+0.1</f>
        <v>3.3000000000000003</v>
      </c>
      <c r="B42" s="1060"/>
      <c r="C42" s="889" t="s">
        <v>255</v>
      </c>
      <c r="D42" s="586" t="s">
        <v>62</v>
      </c>
      <c r="E42" s="921">
        <v>2.7300000000000001E-2</v>
      </c>
      <c r="F42" s="575">
        <f>E42*F39</f>
        <v>0.70979999999999999</v>
      </c>
      <c r="G42" s="1357"/>
      <c r="H42" s="1358">
        <f t="shared" si="5"/>
        <v>0</v>
      </c>
      <c r="I42" s="1359"/>
      <c r="J42" s="1359">
        <f t="shared" si="6"/>
        <v>0</v>
      </c>
      <c r="K42" s="1358"/>
      <c r="L42" s="1359">
        <f t="shared" si="9"/>
        <v>0</v>
      </c>
      <c r="M42" s="1359">
        <f t="shared" si="10"/>
        <v>0</v>
      </c>
    </row>
    <row r="43" spans="1:13" ht="20.100000000000001" customHeight="1">
      <c r="A43" s="880">
        <f>A42+0.1</f>
        <v>3.4000000000000004</v>
      </c>
      <c r="B43" s="1060"/>
      <c r="C43" s="889" t="s">
        <v>256</v>
      </c>
      <c r="D43" s="586" t="s">
        <v>62</v>
      </c>
      <c r="E43" s="921">
        <v>6.8999999999999999E-3</v>
      </c>
      <c r="F43" s="575">
        <f>E43*F39</f>
        <v>0.1794</v>
      </c>
      <c r="G43" s="1357"/>
      <c r="H43" s="1358">
        <f t="shared" si="5"/>
        <v>0</v>
      </c>
      <c r="I43" s="1359"/>
      <c r="J43" s="1359">
        <f t="shared" si="6"/>
        <v>0</v>
      </c>
      <c r="K43" s="1358"/>
      <c r="L43" s="1359">
        <f t="shared" si="9"/>
        <v>0</v>
      </c>
      <c r="M43" s="1359">
        <f t="shared" si="10"/>
        <v>0</v>
      </c>
    </row>
    <row r="44" spans="1:13" ht="20.100000000000001" customHeight="1">
      <c r="A44" s="880">
        <f>A43+0.1</f>
        <v>3.5000000000000004</v>
      </c>
      <c r="B44" s="1060"/>
      <c r="C44" s="889" t="s">
        <v>42</v>
      </c>
      <c r="D44" s="566" t="s">
        <v>830</v>
      </c>
      <c r="E44" s="881">
        <v>1.22</v>
      </c>
      <c r="F44" s="575">
        <f>E44*F39</f>
        <v>31.72</v>
      </c>
      <c r="G44" s="1357"/>
      <c r="H44" s="1358">
        <f t="shared" si="5"/>
        <v>0</v>
      </c>
      <c r="I44" s="1359"/>
      <c r="J44" s="1359">
        <f t="shared" si="6"/>
        <v>0</v>
      </c>
      <c r="K44" s="1359"/>
      <c r="L44" s="1359">
        <f t="shared" si="9"/>
        <v>0</v>
      </c>
      <c r="M44" s="1359">
        <f t="shared" si="10"/>
        <v>0</v>
      </c>
    </row>
    <row r="45" spans="1:13" s="560" customFormat="1" ht="50.1" customHeight="1">
      <c r="A45" s="923" t="s">
        <v>47</v>
      </c>
      <c r="B45" s="1065"/>
      <c r="C45" s="925" t="s">
        <v>788</v>
      </c>
      <c r="D45" s="923" t="s">
        <v>828</v>
      </c>
      <c r="E45" s="926"/>
      <c r="F45" s="573">
        <v>260</v>
      </c>
      <c r="G45" s="1364"/>
      <c r="H45" s="1358">
        <f t="shared" si="5"/>
        <v>0</v>
      </c>
      <c r="I45" s="1359"/>
      <c r="J45" s="1359">
        <f t="shared" si="6"/>
        <v>0</v>
      </c>
      <c r="K45" s="1358"/>
      <c r="L45" s="1359">
        <f t="shared" si="9"/>
        <v>0</v>
      </c>
      <c r="M45" s="1359">
        <f t="shared" si="10"/>
        <v>0</v>
      </c>
    </row>
    <row r="46" spans="1:13" s="560" customFormat="1" ht="20.100000000000001" customHeight="1">
      <c r="A46" s="880">
        <f>A45+0.1</f>
        <v>4.0999999999999996</v>
      </c>
      <c r="B46" s="1062"/>
      <c r="C46" s="889" t="s">
        <v>12</v>
      </c>
      <c r="D46" s="598" t="s">
        <v>63</v>
      </c>
      <c r="E46" s="564">
        <v>1</v>
      </c>
      <c r="F46" s="565">
        <f>E46*F45</f>
        <v>260</v>
      </c>
      <c r="G46" s="1357"/>
      <c r="H46" s="1358">
        <f t="shared" si="5"/>
        <v>0</v>
      </c>
      <c r="I46" s="1359"/>
      <c r="J46" s="1359">
        <f t="shared" si="6"/>
        <v>0</v>
      </c>
      <c r="K46" s="1358"/>
      <c r="L46" s="1359">
        <f t="shared" si="9"/>
        <v>0</v>
      </c>
      <c r="M46" s="1359">
        <f t="shared" si="10"/>
        <v>0</v>
      </c>
    </row>
    <row r="47" spans="1:13" s="560" customFormat="1" ht="20.100000000000001" customHeight="1">
      <c r="A47" s="880">
        <f>A46+0.1</f>
        <v>4.1999999999999993</v>
      </c>
      <c r="B47" s="1062"/>
      <c r="C47" s="889" t="s">
        <v>117</v>
      </c>
      <c r="D47" s="586" t="s">
        <v>14</v>
      </c>
      <c r="E47" s="564">
        <f>12.9*0.01</f>
        <v>0.129</v>
      </c>
      <c r="F47" s="565">
        <f>E47*F45</f>
        <v>33.54</v>
      </c>
      <c r="G47" s="1362"/>
      <c r="H47" s="1358">
        <f t="shared" si="5"/>
        <v>0</v>
      </c>
      <c r="I47" s="1359"/>
      <c r="J47" s="1359">
        <f t="shared" si="6"/>
        <v>0</v>
      </c>
      <c r="K47" s="1363"/>
      <c r="L47" s="1359">
        <f t="shared" si="9"/>
        <v>0</v>
      </c>
      <c r="M47" s="1359">
        <f t="shared" si="10"/>
        <v>0</v>
      </c>
    </row>
    <row r="48" spans="1:13" s="560" customFormat="1" ht="20.100000000000001" customHeight="1">
      <c r="A48" s="880">
        <f>A47+0.1</f>
        <v>4.2999999999999989</v>
      </c>
      <c r="B48" s="1060"/>
      <c r="C48" s="587" t="s">
        <v>341</v>
      </c>
      <c r="D48" s="598" t="s">
        <v>831</v>
      </c>
      <c r="E48" s="564">
        <v>1</v>
      </c>
      <c r="F48" s="565">
        <f>E48*F45</f>
        <v>260</v>
      </c>
      <c r="G48" s="1357"/>
      <c r="H48" s="1358">
        <f t="shared" si="5"/>
        <v>0</v>
      </c>
      <c r="I48" s="1359"/>
      <c r="J48" s="1359">
        <f t="shared" si="6"/>
        <v>0</v>
      </c>
      <c r="K48" s="1358"/>
      <c r="L48" s="1359">
        <f t="shared" si="9"/>
        <v>0</v>
      </c>
      <c r="M48" s="1359">
        <f t="shared" si="10"/>
        <v>0</v>
      </c>
    </row>
    <row r="49" spans="1:13" s="560" customFormat="1" ht="20.45" customHeight="1">
      <c r="A49" s="880">
        <f>A48+0.1</f>
        <v>4.3999999999999986</v>
      </c>
      <c r="B49" s="1060"/>
      <c r="C49" s="587" t="s">
        <v>789</v>
      </c>
      <c r="D49" s="598" t="s">
        <v>830</v>
      </c>
      <c r="E49" s="882">
        <v>5.5E-2</v>
      </c>
      <c r="F49" s="565">
        <f>E49*F45</f>
        <v>14.3</v>
      </c>
      <c r="G49" s="1357"/>
      <c r="H49" s="1358">
        <f t="shared" si="5"/>
        <v>0</v>
      </c>
      <c r="I49" s="1359"/>
      <c r="J49" s="1359">
        <f t="shared" si="6"/>
        <v>0</v>
      </c>
      <c r="K49" s="1358"/>
      <c r="L49" s="1359">
        <f t="shared" si="9"/>
        <v>0</v>
      </c>
      <c r="M49" s="1359">
        <f t="shared" si="10"/>
        <v>0</v>
      </c>
    </row>
    <row r="50" spans="1:13" ht="20.100000000000001" customHeight="1">
      <c r="A50" s="880"/>
      <c r="B50" s="1062"/>
      <c r="C50" s="596" t="s">
        <v>720</v>
      </c>
      <c r="D50" s="598"/>
      <c r="E50" s="928"/>
      <c r="F50" s="929"/>
      <c r="G50" s="1362"/>
      <c r="H50" s="1358">
        <f t="shared" ref="H50:H59" si="11">F50*G50</f>
        <v>0</v>
      </c>
      <c r="I50" s="1359"/>
      <c r="J50" s="1359">
        <f t="shared" ref="J50:J59" si="12">F50*I50</f>
        <v>0</v>
      </c>
      <c r="K50" s="1359"/>
      <c r="L50" s="1359">
        <f t="shared" si="9"/>
        <v>0</v>
      </c>
      <c r="M50" s="1359">
        <f t="shared" si="10"/>
        <v>0</v>
      </c>
    </row>
    <row r="51" spans="1:13" s="560" customFormat="1" ht="50.1" customHeight="1">
      <c r="A51" s="595" t="s">
        <v>44</v>
      </c>
      <c r="B51" s="1061"/>
      <c r="C51" s="594" t="s">
        <v>791</v>
      </c>
      <c r="D51" s="595" t="s">
        <v>829</v>
      </c>
      <c r="E51" s="571"/>
      <c r="F51" s="572">
        <v>32</v>
      </c>
      <c r="G51" s="1360"/>
      <c r="H51" s="1358">
        <f t="shared" si="11"/>
        <v>0</v>
      </c>
      <c r="I51" s="1359"/>
      <c r="J51" s="1359">
        <f t="shared" si="12"/>
        <v>0</v>
      </c>
      <c r="K51" s="1358"/>
      <c r="L51" s="1359">
        <f t="shared" si="9"/>
        <v>0</v>
      </c>
      <c r="M51" s="1359">
        <f t="shared" si="10"/>
        <v>0</v>
      </c>
    </row>
    <row r="52" spans="1:13" s="560" customFormat="1" ht="20.100000000000001" customHeight="1">
      <c r="A52" s="880">
        <f>A51+0.1</f>
        <v>1.1000000000000001</v>
      </c>
      <c r="B52" s="1062"/>
      <c r="C52" s="889" t="s">
        <v>12</v>
      </c>
      <c r="D52" s="598" t="s">
        <v>13</v>
      </c>
      <c r="E52" s="564">
        <v>2.06</v>
      </c>
      <c r="F52" s="882">
        <f>E52*F51</f>
        <v>65.92</v>
      </c>
      <c r="G52" s="1357"/>
      <c r="H52" s="1358">
        <f t="shared" si="11"/>
        <v>0</v>
      </c>
      <c r="I52" s="1359"/>
      <c r="J52" s="1359">
        <f t="shared" si="12"/>
        <v>0</v>
      </c>
      <c r="K52" s="1358"/>
      <c r="L52" s="1359">
        <f t="shared" si="9"/>
        <v>0</v>
      </c>
      <c r="M52" s="1359">
        <f t="shared" ref="M52:M59" si="13">H52+J52+L52</f>
        <v>0</v>
      </c>
    </row>
    <row r="53" spans="1:13" ht="50.1" customHeight="1">
      <c r="A53" s="595" t="s">
        <v>45</v>
      </c>
      <c r="B53" s="1063"/>
      <c r="C53" s="596" t="s">
        <v>790</v>
      </c>
      <c r="D53" s="595" t="s">
        <v>98</v>
      </c>
      <c r="E53" s="919"/>
      <c r="F53" s="572">
        <v>400</v>
      </c>
      <c r="G53" s="1357"/>
      <c r="H53" s="1358">
        <f t="shared" si="11"/>
        <v>0</v>
      </c>
      <c r="I53" s="1359"/>
      <c r="J53" s="1359">
        <f t="shared" si="12"/>
        <v>0</v>
      </c>
      <c r="K53" s="1359"/>
      <c r="L53" s="1359">
        <f t="shared" ref="L53:L59" si="14">F53*K53</f>
        <v>0</v>
      </c>
      <c r="M53" s="1359">
        <f t="shared" si="13"/>
        <v>0</v>
      </c>
    </row>
    <row r="54" spans="1:13" ht="20.100000000000001" customHeight="1">
      <c r="A54" s="880">
        <f t="shared" ref="A54:A59" si="15">A53+0.1</f>
        <v>2.1</v>
      </c>
      <c r="B54" s="1062"/>
      <c r="C54" s="889" t="s">
        <v>12</v>
      </c>
      <c r="D54" s="598" t="s">
        <v>177</v>
      </c>
      <c r="E54" s="881">
        <v>1</v>
      </c>
      <c r="F54" s="565">
        <f>E54*F53</f>
        <v>400</v>
      </c>
      <c r="G54" s="1357"/>
      <c r="H54" s="1358">
        <f t="shared" si="11"/>
        <v>0</v>
      </c>
      <c r="I54" s="1358"/>
      <c r="J54" s="1359">
        <f t="shared" si="12"/>
        <v>0</v>
      </c>
      <c r="K54" s="1359"/>
      <c r="L54" s="1359">
        <f t="shared" si="14"/>
        <v>0</v>
      </c>
      <c r="M54" s="1359">
        <f t="shared" si="13"/>
        <v>0</v>
      </c>
    </row>
    <row r="55" spans="1:13" ht="20.100000000000001" customHeight="1">
      <c r="A55" s="880">
        <f t="shared" si="15"/>
        <v>2.2000000000000002</v>
      </c>
      <c r="B55" s="1062"/>
      <c r="C55" s="889" t="s">
        <v>117</v>
      </c>
      <c r="D55" s="586" t="s">
        <v>14</v>
      </c>
      <c r="E55" s="881">
        <v>7.1000000000000004E-3</v>
      </c>
      <c r="F55" s="565">
        <f>E55*F53</f>
        <v>2.8400000000000003</v>
      </c>
      <c r="G55" s="1362"/>
      <c r="H55" s="1358">
        <f t="shared" si="11"/>
        <v>0</v>
      </c>
      <c r="I55" s="1359"/>
      <c r="J55" s="1359">
        <f t="shared" si="12"/>
        <v>0</v>
      </c>
      <c r="K55" s="1363"/>
      <c r="L55" s="1359">
        <f t="shared" si="14"/>
        <v>0</v>
      </c>
      <c r="M55" s="1359">
        <f t="shared" si="13"/>
        <v>0</v>
      </c>
    </row>
    <row r="56" spans="1:13" ht="20.100000000000001" customHeight="1">
      <c r="A56" s="880">
        <f t="shared" si="15"/>
        <v>2.3000000000000003</v>
      </c>
      <c r="B56" s="1064"/>
      <c r="C56" s="889" t="s">
        <v>345</v>
      </c>
      <c r="D56" s="598" t="s">
        <v>259</v>
      </c>
      <c r="E56" s="881">
        <v>1</v>
      </c>
      <c r="F56" s="565">
        <f>E56*F53</f>
        <v>400</v>
      </c>
      <c r="G56" s="1357"/>
      <c r="H56" s="1358">
        <f t="shared" si="11"/>
        <v>0</v>
      </c>
      <c r="I56" s="1359"/>
      <c r="J56" s="1359">
        <f t="shared" si="12"/>
        <v>0</v>
      </c>
      <c r="K56" s="1359"/>
      <c r="L56" s="1359">
        <f t="shared" si="14"/>
        <v>0</v>
      </c>
      <c r="M56" s="1359">
        <f t="shared" si="13"/>
        <v>0</v>
      </c>
    </row>
    <row r="57" spans="1:13" ht="20.100000000000001" customHeight="1">
      <c r="A57" s="880">
        <f t="shared" si="15"/>
        <v>2.4000000000000004</v>
      </c>
      <c r="B57" s="1064"/>
      <c r="C57" s="587" t="s">
        <v>118</v>
      </c>
      <c r="D57" s="598" t="s">
        <v>830</v>
      </c>
      <c r="E57" s="881">
        <v>3.9E-2</v>
      </c>
      <c r="F57" s="565">
        <f>E57*F53</f>
        <v>15.6</v>
      </c>
      <c r="G57" s="1357"/>
      <c r="H57" s="1358">
        <f t="shared" si="11"/>
        <v>0</v>
      </c>
      <c r="I57" s="1359"/>
      <c r="J57" s="1359">
        <f t="shared" si="12"/>
        <v>0</v>
      </c>
      <c r="K57" s="1359"/>
      <c r="L57" s="1359">
        <f t="shared" si="14"/>
        <v>0</v>
      </c>
      <c r="M57" s="1359">
        <f t="shared" si="13"/>
        <v>0</v>
      </c>
    </row>
    <row r="58" spans="1:13" ht="20.100000000000001" customHeight="1">
      <c r="A58" s="880">
        <f t="shared" si="15"/>
        <v>2.5000000000000004</v>
      </c>
      <c r="B58" s="1064"/>
      <c r="C58" s="889" t="s">
        <v>260</v>
      </c>
      <c r="D58" s="598" t="s">
        <v>830</v>
      </c>
      <c r="E58" s="881">
        <v>5.9999999999999995E-4</v>
      </c>
      <c r="F58" s="565">
        <f>E58*F53</f>
        <v>0.24</v>
      </c>
      <c r="G58" s="1357"/>
      <c r="H58" s="1358">
        <f t="shared" si="11"/>
        <v>0</v>
      </c>
      <c r="I58" s="1359"/>
      <c r="J58" s="1359">
        <f t="shared" si="12"/>
        <v>0</v>
      </c>
      <c r="K58" s="1359"/>
      <c r="L58" s="1359">
        <f t="shared" si="14"/>
        <v>0</v>
      </c>
      <c r="M58" s="1359">
        <f t="shared" si="13"/>
        <v>0</v>
      </c>
    </row>
    <row r="59" spans="1:13" ht="20.100000000000001" customHeight="1">
      <c r="A59" s="880">
        <f t="shared" si="15"/>
        <v>2.6000000000000005</v>
      </c>
      <c r="B59" s="1062"/>
      <c r="C59" s="889" t="s">
        <v>119</v>
      </c>
      <c r="D59" s="566" t="s">
        <v>14</v>
      </c>
      <c r="E59" s="881">
        <v>9.6000000000000002E-2</v>
      </c>
      <c r="F59" s="565">
        <f>E59*F53</f>
        <v>38.4</v>
      </c>
      <c r="G59" s="1362"/>
      <c r="H59" s="1358">
        <f t="shared" si="11"/>
        <v>0</v>
      </c>
      <c r="I59" s="1359"/>
      <c r="J59" s="1359">
        <f t="shared" si="12"/>
        <v>0</v>
      </c>
      <c r="K59" s="1359"/>
      <c r="L59" s="1359">
        <f t="shared" si="14"/>
        <v>0</v>
      </c>
      <c r="M59" s="1359">
        <f t="shared" si="13"/>
        <v>0</v>
      </c>
    </row>
    <row r="60" spans="1:13" ht="18" customHeight="1">
      <c r="A60" s="930"/>
      <c r="B60" s="1065"/>
      <c r="C60" s="925" t="s">
        <v>721</v>
      </c>
      <c r="D60" s="924"/>
      <c r="E60" s="931"/>
      <c r="F60" s="932"/>
      <c r="G60" s="1366"/>
      <c r="H60" s="1358">
        <f t="shared" ref="H60:H73" si="16">F60*G60</f>
        <v>0</v>
      </c>
      <c r="I60" s="1359"/>
      <c r="J60" s="1359">
        <f t="shared" ref="J60:J73" si="17">F60*I60</f>
        <v>0</v>
      </c>
      <c r="K60" s="1359"/>
      <c r="L60" s="1359">
        <f t="shared" ref="L60:L73" si="18">F60*K60</f>
        <v>0</v>
      </c>
      <c r="M60" s="1359">
        <f t="shared" ref="M60:M73" si="19">H60+J60+L60</f>
        <v>0</v>
      </c>
    </row>
    <row r="61" spans="1:13" s="561" customFormat="1" ht="49.9" customHeight="1">
      <c r="A61" s="601">
        <v>1</v>
      </c>
      <c r="B61" s="1061"/>
      <c r="C61" s="570" t="s">
        <v>344</v>
      </c>
      <c r="D61" s="569" t="s">
        <v>138</v>
      </c>
      <c r="E61" s="573"/>
      <c r="F61" s="933">
        <v>2.44</v>
      </c>
      <c r="G61" s="1357"/>
      <c r="H61" s="1358">
        <f t="shared" si="16"/>
        <v>0</v>
      </c>
      <c r="I61" s="1359"/>
      <c r="J61" s="1359">
        <f t="shared" si="17"/>
        <v>0</v>
      </c>
      <c r="K61" s="1359"/>
      <c r="L61" s="1359">
        <f t="shared" si="18"/>
        <v>0</v>
      </c>
      <c r="M61" s="1359">
        <f t="shared" si="19"/>
        <v>0</v>
      </c>
    </row>
    <row r="62" spans="1:13" s="561" customFormat="1" ht="19.899999999999999" customHeight="1">
      <c r="A62" s="597">
        <f>A61+0.1</f>
        <v>1.1000000000000001</v>
      </c>
      <c r="B62" s="1066"/>
      <c r="C62" s="889" t="s">
        <v>12</v>
      </c>
      <c r="D62" s="586" t="s">
        <v>13</v>
      </c>
      <c r="E62" s="565">
        <v>19</v>
      </c>
      <c r="F62" s="565">
        <f>E62*F61</f>
        <v>46.36</v>
      </c>
      <c r="G62" s="1367"/>
      <c r="H62" s="1358">
        <f t="shared" si="16"/>
        <v>0</v>
      </c>
      <c r="I62" s="1359"/>
      <c r="J62" s="1359">
        <f t="shared" si="17"/>
        <v>0</v>
      </c>
      <c r="K62" s="1359"/>
      <c r="L62" s="1359">
        <f t="shared" si="18"/>
        <v>0</v>
      </c>
      <c r="M62" s="1359">
        <f t="shared" si="19"/>
        <v>0</v>
      </c>
    </row>
    <row r="63" spans="1:13" ht="50.1" customHeight="1">
      <c r="A63" s="918">
        <v>2</v>
      </c>
      <c r="B63" s="1062"/>
      <c r="C63" s="594" t="s">
        <v>262</v>
      </c>
      <c r="D63" s="934" t="s">
        <v>121</v>
      </c>
      <c r="E63" s="564"/>
      <c r="F63" s="573">
        <v>1625</v>
      </c>
      <c r="G63" s="1357"/>
      <c r="H63" s="1358">
        <f t="shared" si="16"/>
        <v>0</v>
      </c>
      <c r="I63" s="1359"/>
      <c r="J63" s="1359">
        <f t="shared" si="17"/>
        <v>0</v>
      </c>
      <c r="K63" s="1359"/>
      <c r="L63" s="1359">
        <f t="shared" si="18"/>
        <v>0</v>
      </c>
      <c r="M63" s="1359">
        <f t="shared" si="19"/>
        <v>0</v>
      </c>
    </row>
    <row r="64" spans="1:13" ht="20.100000000000001" customHeight="1">
      <c r="A64" s="566">
        <f>A63+0.1</f>
        <v>2.1</v>
      </c>
      <c r="B64" s="1062"/>
      <c r="C64" s="889" t="s">
        <v>12</v>
      </c>
      <c r="D64" s="935" t="s">
        <v>13</v>
      </c>
      <c r="E64" s="564">
        <f>10.2*0.01</f>
        <v>0.10199999999999999</v>
      </c>
      <c r="F64" s="565">
        <f>F63*E64</f>
        <v>165.75</v>
      </c>
      <c r="G64" s="1357"/>
      <c r="H64" s="1358">
        <f t="shared" si="16"/>
        <v>0</v>
      </c>
      <c r="I64" s="1359"/>
      <c r="J64" s="1359">
        <f t="shared" si="17"/>
        <v>0</v>
      </c>
      <c r="K64" s="1359"/>
      <c r="L64" s="1359">
        <f t="shared" si="18"/>
        <v>0</v>
      </c>
      <c r="M64" s="1359">
        <f t="shared" si="19"/>
        <v>0</v>
      </c>
    </row>
    <row r="65" spans="1:13" s="560" customFormat="1" ht="66" customHeight="1">
      <c r="A65" s="936">
        <v>3</v>
      </c>
      <c r="B65" s="1067"/>
      <c r="C65" s="937" t="s">
        <v>731</v>
      </c>
      <c r="D65" s="934" t="s">
        <v>121</v>
      </c>
      <c r="E65" s="938"/>
      <c r="F65" s="573">
        <v>1625</v>
      </c>
      <c r="G65" s="1368"/>
      <c r="H65" s="1358">
        <f t="shared" si="16"/>
        <v>0</v>
      </c>
      <c r="I65" s="1359"/>
      <c r="J65" s="1359">
        <f t="shared" si="17"/>
        <v>0</v>
      </c>
      <c r="K65" s="1358"/>
      <c r="L65" s="1359">
        <f t="shared" si="18"/>
        <v>0</v>
      </c>
      <c r="M65" s="1359">
        <f t="shared" si="19"/>
        <v>0</v>
      </c>
    </row>
    <row r="66" spans="1:13" s="560" customFormat="1" ht="20.100000000000001" customHeight="1">
      <c r="A66" s="566">
        <f>A65+0.1</f>
        <v>3.1</v>
      </c>
      <c r="B66" s="1068"/>
      <c r="C66" s="889" t="s">
        <v>12</v>
      </c>
      <c r="D66" s="939" t="s">
        <v>60</v>
      </c>
      <c r="E66" s="940">
        <f>(38.3-4.48)/100</f>
        <v>0.33819999999999995</v>
      </c>
      <c r="F66" s="940">
        <f>E66*F65</f>
        <v>549.57499999999993</v>
      </c>
      <c r="G66" s="1369"/>
      <c r="H66" s="1358">
        <f t="shared" si="16"/>
        <v>0</v>
      </c>
      <c r="I66" s="1359"/>
      <c r="J66" s="1359">
        <f t="shared" si="17"/>
        <v>0</v>
      </c>
      <c r="K66" s="1358"/>
      <c r="L66" s="1359">
        <f t="shared" si="18"/>
        <v>0</v>
      </c>
      <c r="M66" s="1359">
        <f t="shared" si="19"/>
        <v>0</v>
      </c>
    </row>
    <row r="67" spans="1:13" s="560" customFormat="1" ht="20.100000000000001" customHeight="1">
      <c r="A67" s="566">
        <f>A66+0.1</f>
        <v>3.2</v>
      </c>
      <c r="B67" s="1069"/>
      <c r="C67" s="941" t="s">
        <v>732</v>
      </c>
      <c r="D67" s="942" t="s">
        <v>61</v>
      </c>
      <c r="E67" s="940">
        <v>0.08</v>
      </c>
      <c r="F67" s="940">
        <f>F65*E67</f>
        <v>130</v>
      </c>
      <c r="G67" s="1369"/>
      <c r="H67" s="1358">
        <f t="shared" si="16"/>
        <v>0</v>
      </c>
      <c r="I67" s="1359"/>
      <c r="J67" s="1359">
        <f t="shared" si="17"/>
        <v>0</v>
      </c>
      <c r="K67" s="1358"/>
      <c r="L67" s="1359">
        <f t="shared" si="18"/>
        <v>0</v>
      </c>
      <c r="M67" s="1359">
        <f t="shared" si="19"/>
        <v>0</v>
      </c>
    </row>
    <row r="68" spans="1:13" s="560" customFormat="1" ht="77.25" customHeight="1">
      <c r="A68" s="936">
        <v>4</v>
      </c>
      <c r="B68" s="1061"/>
      <c r="C68" s="937" t="s">
        <v>651</v>
      </c>
      <c r="D68" s="934" t="s">
        <v>121</v>
      </c>
      <c r="E68" s="938"/>
      <c r="F68" s="573">
        <v>1625</v>
      </c>
      <c r="G68" s="1368"/>
      <c r="H68" s="1358">
        <f t="shared" si="16"/>
        <v>0</v>
      </c>
      <c r="I68" s="1359"/>
      <c r="J68" s="1359">
        <f t="shared" si="17"/>
        <v>0</v>
      </c>
      <c r="K68" s="1358"/>
      <c r="L68" s="1359">
        <f t="shared" si="18"/>
        <v>0</v>
      </c>
      <c r="M68" s="1359">
        <f t="shared" si="19"/>
        <v>0</v>
      </c>
    </row>
    <row r="69" spans="1:13" s="560" customFormat="1" ht="20.100000000000001" customHeight="1">
      <c r="A69" s="566">
        <f>A68+0.1</f>
        <v>4.0999999999999996</v>
      </c>
      <c r="B69" s="1064"/>
      <c r="C69" s="889" t="s">
        <v>12</v>
      </c>
      <c r="D69" s="566" t="s">
        <v>263</v>
      </c>
      <c r="E69" s="568">
        <v>0.59</v>
      </c>
      <c r="F69" s="940">
        <f>E69*F68</f>
        <v>958.75</v>
      </c>
      <c r="G69" s="1369"/>
      <c r="H69" s="1358">
        <f t="shared" si="16"/>
        <v>0</v>
      </c>
      <c r="I69" s="1359"/>
      <c r="J69" s="1359">
        <f t="shared" si="17"/>
        <v>0</v>
      </c>
      <c r="K69" s="1358"/>
      <c r="L69" s="1359">
        <f t="shared" si="18"/>
        <v>0</v>
      </c>
      <c r="M69" s="1359">
        <f t="shared" si="19"/>
        <v>0</v>
      </c>
    </row>
    <row r="70" spans="1:13" s="560" customFormat="1" ht="20.100000000000001" customHeight="1">
      <c r="A70" s="566">
        <f>A69+0.1</f>
        <v>4.1999999999999993</v>
      </c>
      <c r="B70" s="1064"/>
      <c r="C70" s="889" t="s">
        <v>117</v>
      </c>
      <c r="D70" s="566" t="s">
        <v>14</v>
      </c>
      <c r="E70" s="568">
        <v>0.19</v>
      </c>
      <c r="F70" s="940">
        <f>F68*E70</f>
        <v>308.75</v>
      </c>
      <c r="G70" s="1369"/>
      <c r="H70" s="1358">
        <f t="shared" si="16"/>
        <v>0</v>
      </c>
      <c r="I70" s="1359"/>
      <c r="J70" s="1359">
        <f t="shared" si="17"/>
        <v>0</v>
      </c>
      <c r="K70" s="1363"/>
      <c r="L70" s="1359">
        <f t="shared" si="18"/>
        <v>0</v>
      </c>
      <c r="M70" s="1359">
        <f t="shared" si="19"/>
        <v>0</v>
      </c>
    </row>
    <row r="71" spans="1:13" s="560" customFormat="1" ht="20.100000000000001" customHeight="1">
      <c r="A71" s="566">
        <f>A70+0.1</f>
        <v>4.2999999999999989</v>
      </c>
      <c r="B71" s="1064"/>
      <c r="C71" s="587" t="s">
        <v>264</v>
      </c>
      <c r="D71" s="566" t="s">
        <v>43</v>
      </c>
      <c r="E71" s="568">
        <v>1</v>
      </c>
      <c r="F71" s="940">
        <f>F68*E71</f>
        <v>1625</v>
      </c>
      <c r="G71" s="1369"/>
      <c r="H71" s="1358">
        <f t="shared" si="16"/>
        <v>0</v>
      </c>
      <c r="I71" s="1359"/>
      <c r="J71" s="1359">
        <f t="shared" si="17"/>
        <v>0</v>
      </c>
      <c r="K71" s="1358"/>
      <c r="L71" s="1359">
        <f t="shared" si="18"/>
        <v>0</v>
      </c>
      <c r="M71" s="1359">
        <f t="shared" si="19"/>
        <v>0</v>
      </c>
    </row>
    <row r="72" spans="1:13" s="560" customFormat="1" ht="20.100000000000001" customHeight="1">
      <c r="A72" s="566">
        <f>A71+0.1</f>
        <v>4.3999999999999986</v>
      </c>
      <c r="B72" s="1064"/>
      <c r="C72" s="587" t="s">
        <v>136</v>
      </c>
      <c r="D72" s="566" t="s">
        <v>15</v>
      </c>
      <c r="E72" s="565">
        <v>0.1</v>
      </c>
      <c r="F72" s="940">
        <f>F68*E72</f>
        <v>162.5</v>
      </c>
      <c r="G72" s="1369"/>
      <c r="H72" s="1358">
        <f t="shared" si="16"/>
        <v>0</v>
      </c>
      <c r="I72" s="1359"/>
      <c r="J72" s="1359">
        <f t="shared" si="17"/>
        <v>0</v>
      </c>
      <c r="K72" s="1358"/>
      <c r="L72" s="1359">
        <f t="shared" si="18"/>
        <v>0</v>
      </c>
      <c r="M72" s="1359">
        <f t="shared" si="19"/>
        <v>0</v>
      </c>
    </row>
    <row r="73" spans="1:13" s="560" customFormat="1" ht="20.100000000000001" customHeight="1">
      <c r="A73" s="566">
        <f>A72+0.1</f>
        <v>4.4999999999999982</v>
      </c>
      <c r="B73" s="1064"/>
      <c r="C73" s="889" t="s">
        <v>119</v>
      </c>
      <c r="D73" s="566" t="s">
        <v>14</v>
      </c>
      <c r="E73" s="881">
        <v>0.01</v>
      </c>
      <c r="F73" s="940">
        <f>F68*E73</f>
        <v>16.25</v>
      </c>
      <c r="G73" s="1362"/>
      <c r="H73" s="1358">
        <f t="shared" si="16"/>
        <v>0</v>
      </c>
      <c r="I73" s="1359"/>
      <c r="J73" s="1359">
        <f t="shared" si="17"/>
        <v>0</v>
      </c>
      <c r="K73" s="1358"/>
      <c r="L73" s="1359">
        <f t="shared" si="18"/>
        <v>0</v>
      </c>
      <c r="M73" s="1359">
        <f t="shared" si="19"/>
        <v>0</v>
      </c>
    </row>
    <row r="74" spans="1:13" s="560" customFormat="1" ht="20.100000000000001" customHeight="1">
      <c r="A74" s="566"/>
      <c r="B74" s="1064"/>
      <c r="C74" s="596" t="s">
        <v>723</v>
      </c>
      <c r="D74" s="566"/>
      <c r="E74" s="881"/>
      <c r="F74" s="940"/>
      <c r="G74" s="1362"/>
      <c r="H74" s="1358"/>
      <c r="I74" s="1359"/>
      <c r="J74" s="1359"/>
      <c r="K74" s="1358"/>
      <c r="L74" s="1359"/>
      <c r="M74" s="1359"/>
    </row>
    <row r="75" spans="1:13" s="946" customFormat="1" ht="19.899999999999999" customHeight="1">
      <c r="A75" s="943"/>
      <c r="B75" s="1064"/>
      <c r="C75" s="602" t="s">
        <v>722</v>
      </c>
      <c r="D75" s="598"/>
      <c r="E75" s="944"/>
      <c r="F75" s="945"/>
      <c r="G75" s="1357"/>
      <c r="H75" s="1358">
        <f t="shared" ref="H75:H90" si="20">F75*G75</f>
        <v>0</v>
      </c>
      <c r="I75" s="1365"/>
      <c r="J75" s="1359">
        <f t="shared" ref="J75:J90" si="21">F75*I75</f>
        <v>0</v>
      </c>
      <c r="K75" s="1365"/>
      <c r="L75" s="1359">
        <f t="shared" ref="L75:L94" si="22">F75*K75</f>
        <v>0</v>
      </c>
      <c r="M75" s="1359">
        <f t="shared" ref="M75:M93" si="23">H75+J75+L75</f>
        <v>0</v>
      </c>
    </row>
    <row r="76" spans="1:13" s="576" customFormat="1" ht="60" customHeight="1">
      <c r="A76" s="947">
        <v>1</v>
      </c>
      <c r="B76" s="1070"/>
      <c r="C76" s="596" t="s">
        <v>658</v>
      </c>
      <c r="D76" s="569" t="s">
        <v>110</v>
      </c>
      <c r="E76" s="571"/>
      <c r="F76" s="571">
        <v>70.22</v>
      </c>
      <c r="G76" s="1360"/>
      <c r="H76" s="1358">
        <f t="shared" si="20"/>
        <v>0</v>
      </c>
      <c r="I76" s="1365"/>
      <c r="J76" s="1359">
        <f t="shared" si="21"/>
        <v>0</v>
      </c>
      <c r="K76" s="1365"/>
      <c r="L76" s="1359">
        <f t="shared" si="22"/>
        <v>0</v>
      </c>
      <c r="M76" s="1359">
        <f t="shared" si="23"/>
        <v>0</v>
      </c>
    </row>
    <row r="77" spans="1:13" s="950" customFormat="1" ht="19.899999999999999" customHeight="1">
      <c r="A77" s="943">
        <f>A76+0.1</f>
        <v>1.1000000000000001</v>
      </c>
      <c r="B77" s="1071"/>
      <c r="C77" s="889" t="s">
        <v>12</v>
      </c>
      <c r="D77" s="948" t="s">
        <v>13</v>
      </c>
      <c r="E77" s="949">
        <v>1.83</v>
      </c>
      <c r="F77" s="949">
        <f>F76*E77</f>
        <v>128.5026</v>
      </c>
      <c r="G77" s="1370"/>
      <c r="H77" s="1358">
        <f t="shared" si="20"/>
        <v>0</v>
      </c>
      <c r="I77" s="1359"/>
      <c r="J77" s="1359">
        <f t="shared" si="21"/>
        <v>0</v>
      </c>
      <c r="K77" s="1371"/>
      <c r="L77" s="1359">
        <f t="shared" si="22"/>
        <v>0</v>
      </c>
      <c r="M77" s="1359">
        <f t="shared" si="23"/>
        <v>0</v>
      </c>
    </row>
    <row r="78" spans="1:13" s="950" customFormat="1" ht="19.899999999999999" customHeight="1">
      <c r="A78" s="943">
        <f>A77+0.1</f>
        <v>1.2000000000000002</v>
      </c>
      <c r="B78" s="1071"/>
      <c r="C78" s="593" t="s">
        <v>117</v>
      </c>
      <c r="D78" s="948" t="s">
        <v>14</v>
      </c>
      <c r="E78" s="951">
        <v>3.5999999999999997E-2</v>
      </c>
      <c r="F78" s="949">
        <f>F76*E78</f>
        <v>2.5279199999999999</v>
      </c>
      <c r="G78" s="1370"/>
      <c r="H78" s="1358">
        <f t="shared" si="20"/>
        <v>0</v>
      </c>
      <c r="I78" s="1371"/>
      <c r="J78" s="1359">
        <f t="shared" si="21"/>
        <v>0</v>
      </c>
      <c r="K78" s="1358"/>
      <c r="L78" s="1359">
        <f t="shared" si="22"/>
        <v>0</v>
      </c>
      <c r="M78" s="1359">
        <f t="shared" si="23"/>
        <v>0</v>
      </c>
    </row>
    <row r="79" spans="1:13" s="950" customFormat="1" ht="19.899999999999999" customHeight="1">
      <c r="A79" s="943">
        <f t="shared" ref="A79:A81" si="24">A78+0.1</f>
        <v>1.3000000000000003</v>
      </c>
      <c r="B79" s="1064"/>
      <c r="C79" s="952" t="s">
        <v>659</v>
      </c>
      <c r="D79" s="948" t="s">
        <v>110</v>
      </c>
      <c r="E79" s="951">
        <v>1</v>
      </c>
      <c r="F79" s="949">
        <f>F76*E79</f>
        <v>70.22</v>
      </c>
      <c r="G79" s="1370"/>
      <c r="H79" s="1358">
        <f t="shared" si="20"/>
        <v>0</v>
      </c>
      <c r="I79" s="1371"/>
      <c r="J79" s="1359">
        <f t="shared" si="21"/>
        <v>0</v>
      </c>
      <c r="K79" s="1371"/>
      <c r="L79" s="1359">
        <f t="shared" si="22"/>
        <v>0</v>
      </c>
      <c r="M79" s="1359">
        <f t="shared" si="23"/>
        <v>0</v>
      </c>
    </row>
    <row r="80" spans="1:13" s="950" customFormat="1" ht="19.899999999999999" customHeight="1">
      <c r="A80" s="943">
        <f t="shared" si="24"/>
        <v>1.4000000000000004</v>
      </c>
      <c r="B80" s="1062"/>
      <c r="C80" s="952" t="s">
        <v>111</v>
      </c>
      <c r="D80" s="948" t="s">
        <v>64</v>
      </c>
      <c r="E80" s="953">
        <v>1.5E-3</v>
      </c>
      <c r="F80" s="949">
        <f>F76*E80</f>
        <v>0.10533000000000001</v>
      </c>
      <c r="G80" s="1370"/>
      <c r="H80" s="1358">
        <f t="shared" si="20"/>
        <v>0</v>
      </c>
      <c r="I80" s="1371"/>
      <c r="J80" s="1359">
        <f t="shared" si="21"/>
        <v>0</v>
      </c>
      <c r="K80" s="1371"/>
      <c r="L80" s="1359">
        <f t="shared" si="22"/>
        <v>0</v>
      </c>
      <c r="M80" s="1359">
        <f t="shared" si="23"/>
        <v>0</v>
      </c>
    </row>
    <row r="81" spans="1:13" s="950" customFormat="1" ht="19.899999999999999" customHeight="1">
      <c r="A81" s="943">
        <f t="shared" si="24"/>
        <v>1.5000000000000004</v>
      </c>
      <c r="B81" s="1072"/>
      <c r="C81" s="593" t="s">
        <v>119</v>
      </c>
      <c r="D81" s="948" t="s">
        <v>14</v>
      </c>
      <c r="E81" s="951">
        <v>0.432</v>
      </c>
      <c r="F81" s="949">
        <f>F76*E81</f>
        <v>30.335039999999999</v>
      </c>
      <c r="G81" s="1372"/>
      <c r="H81" s="1358">
        <f t="shared" si="20"/>
        <v>0</v>
      </c>
      <c r="I81" s="1358"/>
      <c r="J81" s="1359">
        <f t="shared" si="21"/>
        <v>0</v>
      </c>
      <c r="K81" s="1371"/>
      <c r="L81" s="1359">
        <f t="shared" si="22"/>
        <v>0</v>
      </c>
      <c r="M81" s="1359">
        <f t="shared" si="23"/>
        <v>0</v>
      </c>
    </row>
    <row r="82" spans="1:13" s="576" customFormat="1" ht="60" customHeight="1">
      <c r="A82" s="947">
        <v>2</v>
      </c>
      <c r="B82" s="1070"/>
      <c r="C82" s="596" t="s">
        <v>660</v>
      </c>
      <c r="D82" s="569" t="s">
        <v>110</v>
      </c>
      <c r="E82" s="571"/>
      <c r="F82" s="571">
        <v>16.89</v>
      </c>
      <c r="G82" s="1360"/>
      <c r="H82" s="1358">
        <f t="shared" si="20"/>
        <v>0</v>
      </c>
      <c r="I82" s="1365"/>
      <c r="J82" s="1359">
        <f t="shared" si="21"/>
        <v>0</v>
      </c>
      <c r="K82" s="1365"/>
      <c r="L82" s="1359">
        <f t="shared" si="22"/>
        <v>0</v>
      </c>
      <c r="M82" s="1359">
        <f t="shared" si="23"/>
        <v>0</v>
      </c>
    </row>
    <row r="83" spans="1:13" s="950" customFormat="1" ht="19.899999999999999" customHeight="1">
      <c r="A83" s="943">
        <f>A82+0.1</f>
        <v>2.1</v>
      </c>
      <c r="B83" s="1071"/>
      <c r="C83" s="889" t="s">
        <v>12</v>
      </c>
      <c r="D83" s="948" t="s">
        <v>13</v>
      </c>
      <c r="E83" s="949">
        <v>1.83</v>
      </c>
      <c r="F83" s="949">
        <f>F82*E83</f>
        <v>30.908700000000003</v>
      </c>
      <c r="G83" s="1370"/>
      <c r="H83" s="1358">
        <f t="shared" si="20"/>
        <v>0</v>
      </c>
      <c r="I83" s="1359"/>
      <c r="J83" s="1359">
        <f t="shared" si="21"/>
        <v>0</v>
      </c>
      <c r="K83" s="1371"/>
      <c r="L83" s="1359">
        <f t="shared" si="22"/>
        <v>0</v>
      </c>
      <c r="M83" s="1359">
        <f t="shared" si="23"/>
        <v>0</v>
      </c>
    </row>
    <row r="84" spans="1:13" s="950" customFormat="1" ht="19.899999999999999" customHeight="1">
      <c r="A84" s="943">
        <f>A83+0.1</f>
        <v>2.2000000000000002</v>
      </c>
      <c r="B84" s="1071"/>
      <c r="C84" s="593" t="s">
        <v>117</v>
      </c>
      <c r="D84" s="948" t="s">
        <v>14</v>
      </c>
      <c r="E84" s="951">
        <v>3.5999999999999997E-2</v>
      </c>
      <c r="F84" s="949">
        <f>F82*E84</f>
        <v>0.60804000000000002</v>
      </c>
      <c r="G84" s="1370"/>
      <c r="H84" s="1358">
        <f t="shared" si="20"/>
        <v>0</v>
      </c>
      <c r="I84" s="1371"/>
      <c r="J84" s="1359">
        <f t="shared" si="21"/>
        <v>0</v>
      </c>
      <c r="K84" s="1358"/>
      <c r="L84" s="1359">
        <f t="shared" si="22"/>
        <v>0</v>
      </c>
      <c r="M84" s="1359">
        <f t="shared" si="23"/>
        <v>0</v>
      </c>
    </row>
    <row r="85" spans="1:13" s="950" customFormat="1" ht="19.899999999999999" customHeight="1">
      <c r="A85" s="943">
        <f t="shared" ref="A85:A87" si="25">A84+0.1</f>
        <v>2.3000000000000003</v>
      </c>
      <c r="B85" s="1064"/>
      <c r="C85" s="952" t="s">
        <v>659</v>
      </c>
      <c r="D85" s="948" t="s">
        <v>110</v>
      </c>
      <c r="E85" s="951">
        <v>1</v>
      </c>
      <c r="F85" s="949">
        <f>F82*E85</f>
        <v>16.89</v>
      </c>
      <c r="G85" s="1370"/>
      <c r="H85" s="1358">
        <f t="shared" si="20"/>
        <v>0</v>
      </c>
      <c r="I85" s="1371"/>
      <c r="J85" s="1359">
        <f t="shared" si="21"/>
        <v>0</v>
      </c>
      <c r="K85" s="1371"/>
      <c r="L85" s="1359">
        <f t="shared" si="22"/>
        <v>0</v>
      </c>
      <c r="M85" s="1359">
        <f t="shared" si="23"/>
        <v>0</v>
      </c>
    </row>
    <row r="86" spans="1:13" s="950" customFormat="1" ht="19.899999999999999" customHeight="1">
      <c r="A86" s="943">
        <f t="shared" si="25"/>
        <v>2.4000000000000004</v>
      </c>
      <c r="B86" s="1062"/>
      <c r="C86" s="952" t="s">
        <v>111</v>
      </c>
      <c r="D86" s="948" t="s">
        <v>64</v>
      </c>
      <c r="E86" s="953">
        <v>1.5E-3</v>
      </c>
      <c r="F86" s="949">
        <f>F82*E86</f>
        <v>2.5335E-2</v>
      </c>
      <c r="G86" s="1370"/>
      <c r="H86" s="1358">
        <f t="shared" si="20"/>
        <v>0</v>
      </c>
      <c r="I86" s="1371"/>
      <c r="J86" s="1359">
        <f t="shared" si="21"/>
        <v>0</v>
      </c>
      <c r="K86" s="1371"/>
      <c r="L86" s="1359">
        <f t="shared" si="22"/>
        <v>0</v>
      </c>
      <c r="M86" s="1359">
        <f t="shared" si="23"/>
        <v>0</v>
      </c>
    </row>
    <row r="87" spans="1:13" s="950" customFormat="1" ht="19.899999999999999" customHeight="1">
      <c r="A87" s="943">
        <f t="shared" si="25"/>
        <v>2.5000000000000004</v>
      </c>
      <c r="B87" s="1072"/>
      <c r="C87" s="593" t="s">
        <v>119</v>
      </c>
      <c r="D87" s="948" t="s">
        <v>14</v>
      </c>
      <c r="E87" s="951">
        <v>0.432</v>
      </c>
      <c r="F87" s="949">
        <f>F82*E87</f>
        <v>7.2964799999999999</v>
      </c>
      <c r="G87" s="1372"/>
      <c r="H87" s="1358">
        <f t="shared" si="20"/>
        <v>0</v>
      </c>
      <c r="I87" s="1358"/>
      <c r="J87" s="1359">
        <f t="shared" si="21"/>
        <v>0</v>
      </c>
      <c r="K87" s="1371"/>
      <c r="L87" s="1359">
        <f t="shared" si="22"/>
        <v>0</v>
      </c>
      <c r="M87" s="1359">
        <f t="shared" si="23"/>
        <v>0</v>
      </c>
    </row>
    <row r="88" spans="1:13" s="576" customFormat="1" ht="67.150000000000006" customHeight="1">
      <c r="A88" s="947">
        <v>3</v>
      </c>
      <c r="B88" s="1070"/>
      <c r="C88" s="596" t="s">
        <v>661</v>
      </c>
      <c r="D88" s="569" t="s">
        <v>110</v>
      </c>
      <c r="E88" s="571"/>
      <c r="F88" s="571">
        <v>58.62</v>
      </c>
      <c r="G88" s="1360"/>
      <c r="H88" s="1358">
        <f t="shared" si="20"/>
        <v>0</v>
      </c>
      <c r="I88" s="1365"/>
      <c r="J88" s="1359">
        <f t="shared" si="21"/>
        <v>0</v>
      </c>
      <c r="K88" s="1365"/>
      <c r="L88" s="1359">
        <f t="shared" si="22"/>
        <v>0</v>
      </c>
      <c r="M88" s="1359">
        <f t="shared" si="23"/>
        <v>0</v>
      </c>
    </row>
    <row r="89" spans="1:13" s="950" customFormat="1" ht="21.6" customHeight="1">
      <c r="A89" s="943">
        <f>A88+0.1</f>
        <v>3.1</v>
      </c>
      <c r="B89" s="1071"/>
      <c r="C89" s="889" t="s">
        <v>12</v>
      </c>
      <c r="D89" s="948" t="s">
        <v>13</v>
      </c>
      <c r="E89" s="949">
        <v>1.83</v>
      </c>
      <c r="F89" s="949">
        <f>F88*E89</f>
        <v>107.27459999999999</v>
      </c>
      <c r="G89" s="1370"/>
      <c r="H89" s="1358">
        <f t="shared" si="20"/>
        <v>0</v>
      </c>
      <c r="I89" s="1359"/>
      <c r="J89" s="1359">
        <f t="shared" si="21"/>
        <v>0</v>
      </c>
      <c r="K89" s="1371"/>
      <c r="L89" s="1359">
        <f t="shared" si="22"/>
        <v>0</v>
      </c>
      <c r="M89" s="1359">
        <f t="shared" si="23"/>
        <v>0</v>
      </c>
    </row>
    <row r="90" spans="1:13" s="950" customFormat="1" ht="21.6" customHeight="1">
      <c r="A90" s="943">
        <f>A89+0.1</f>
        <v>3.2</v>
      </c>
      <c r="B90" s="1071"/>
      <c r="C90" s="593" t="s">
        <v>117</v>
      </c>
      <c r="D90" s="948" t="s">
        <v>14</v>
      </c>
      <c r="E90" s="951">
        <v>3.5999999999999997E-2</v>
      </c>
      <c r="F90" s="949">
        <f>F88*E90</f>
        <v>2.1103199999999998</v>
      </c>
      <c r="G90" s="1370"/>
      <c r="H90" s="1358">
        <f t="shared" si="20"/>
        <v>0</v>
      </c>
      <c r="I90" s="1371"/>
      <c r="J90" s="1359">
        <f t="shared" si="21"/>
        <v>0</v>
      </c>
      <c r="K90" s="1358"/>
      <c r="L90" s="1359">
        <f t="shared" si="22"/>
        <v>0</v>
      </c>
      <c r="M90" s="1359">
        <f t="shared" si="23"/>
        <v>0</v>
      </c>
    </row>
    <row r="91" spans="1:13" s="950" customFormat="1" ht="21.6" customHeight="1">
      <c r="A91" s="943">
        <f t="shared" ref="A91:A93" si="26">A90+0.1</f>
        <v>3.3000000000000003</v>
      </c>
      <c r="B91" s="1064"/>
      <c r="C91" s="952" t="s">
        <v>659</v>
      </c>
      <c r="D91" s="948" t="s">
        <v>110</v>
      </c>
      <c r="E91" s="951">
        <v>1</v>
      </c>
      <c r="F91" s="949">
        <f>F88*E91</f>
        <v>58.62</v>
      </c>
      <c r="G91" s="1370"/>
      <c r="H91" s="1358">
        <f t="shared" ref="H91:H131" si="27">F91*G91</f>
        <v>0</v>
      </c>
      <c r="I91" s="1371"/>
      <c r="J91" s="1359">
        <f t="shared" ref="J91:J131" si="28">F91*I91</f>
        <v>0</v>
      </c>
      <c r="K91" s="1371"/>
      <c r="L91" s="1359">
        <f t="shared" si="22"/>
        <v>0</v>
      </c>
      <c r="M91" s="1359">
        <f t="shared" si="23"/>
        <v>0</v>
      </c>
    </row>
    <row r="92" spans="1:13" s="950" customFormat="1" ht="21.6" customHeight="1">
      <c r="A92" s="943">
        <f t="shared" si="26"/>
        <v>3.4000000000000004</v>
      </c>
      <c r="B92" s="1062"/>
      <c r="C92" s="952" t="s">
        <v>111</v>
      </c>
      <c r="D92" s="948" t="s">
        <v>64</v>
      </c>
      <c r="E92" s="953">
        <v>1.5E-3</v>
      </c>
      <c r="F92" s="949">
        <f>F88*E92</f>
        <v>8.7929999999999994E-2</v>
      </c>
      <c r="G92" s="1370"/>
      <c r="H92" s="1358">
        <f t="shared" si="27"/>
        <v>0</v>
      </c>
      <c r="I92" s="1371"/>
      <c r="J92" s="1359">
        <f t="shared" si="28"/>
        <v>0</v>
      </c>
      <c r="K92" s="1371"/>
      <c r="L92" s="1359">
        <f t="shared" si="22"/>
        <v>0</v>
      </c>
      <c r="M92" s="1359">
        <f t="shared" si="23"/>
        <v>0</v>
      </c>
    </row>
    <row r="93" spans="1:13" s="950" customFormat="1" ht="21.6" customHeight="1">
      <c r="A93" s="943">
        <f t="shared" si="26"/>
        <v>3.5000000000000004</v>
      </c>
      <c r="B93" s="1072"/>
      <c r="C93" s="593" t="s">
        <v>119</v>
      </c>
      <c r="D93" s="948" t="s">
        <v>14</v>
      </c>
      <c r="E93" s="951">
        <v>0.432</v>
      </c>
      <c r="F93" s="949">
        <f>F88*E93</f>
        <v>25.323839999999997</v>
      </c>
      <c r="G93" s="1372"/>
      <c r="H93" s="1358">
        <f t="shared" si="27"/>
        <v>0</v>
      </c>
      <c r="I93" s="1358"/>
      <c r="J93" s="1359">
        <f t="shared" si="28"/>
        <v>0</v>
      </c>
      <c r="K93" s="1371"/>
      <c r="L93" s="1359">
        <f t="shared" si="22"/>
        <v>0</v>
      </c>
      <c r="M93" s="1359">
        <f t="shared" si="23"/>
        <v>0</v>
      </c>
    </row>
    <row r="94" spans="1:13" s="576" customFormat="1" ht="63.6" customHeight="1">
      <c r="A94" s="947">
        <v>4</v>
      </c>
      <c r="B94" s="1070"/>
      <c r="C94" s="596" t="s">
        <v>662</v>
      </c>
      <c r="D94" s="569" t="s">
        <v>110</v>
      </c>
      <c r="E94" s="571"/>
      <c r="F94" s="571">
        <v>41.36</v>
      </c>
      <c r="G94" s="1360"/>
      <c r="H94" s="1358">
        <f t="shared" si="27"/>
        <v>0</v>
      </c>
      <c r="I94" s="1365"/>
      <c r="J94" s="1359">
        <f t="shared" si="28"/>
        <v>0</v>
      </c>
      <c r="K94" s="1365"/>
      <c r="L94" s="1359">
        <f t="shared" si="22"/>
        <v>0</v>
      </c>
      <c r="M94" s="1359">
        <f t="shared" ref="M94:M130" si="29">H94+J94+L94</f>
        <v>0</v>
      </c>
    </row>
    <row r="95" spans="1:13" s="950" customFormat="1" ht="21.6" customHeight="1">
      <c r="A95" s="943">
        <f>A94+0.1</f>
        <v>4.0999999999999996</v>
      </c>
      <c r="B95" s="1071"/>
      <c r="C95" s="889" t="s">
        <v>12</v>
      </c>
      <c r="D95" s="948" t="s">
        <v>13</v>
      </c>
      <c r="E95" s="949">
        <v>1.83</v>
      </c>
      <c r="F95" s="949">
        <f>F94*E95</f>
        <v>75.688800000000001</v>
      </c>
      <c r="G95" s="1370"/>
      <c r="H95" s="1358">
        <f t="shared" si="27"/>
        <v>0</v>
      </c>
      <c r="I95" s="1359"/>
      <c r="J95" s="1359">
        <f t="shared" si="28"/>
        <v>0</v>
      </c>
      <c r="K95" s="1371"/>
      <c r="L95" s="1359">
        <f t="shared" ref="L95:L130" si="30">F95*K95</f>
        <v>0</v>
      </c>
      <c r="M95" s="1359">
        <f t="shared" si="29"/>
        <v>0</v>
      </c>
    </row>
    <row r="96" spans="1:13" s="950" customFormat="1" ht="21.6" customHeight="1">
      <c r="A96" s="943">
        <f>A95+0.1</f>
        <v>4.1999999999999993</v>
      </c>
      <c r="B96" s="1071"/>
      <c r="C96" s="593" t="s">
        <v>117</v>
      </c>
      <c r="D96" s="948" t="s">
        <v>14</v>
      </c>
      <c r="E96" s="951">
        <v>3.5999999999999997E-2</v>
      </c>
      <c r="F96" s="949">
        <f>F94*E96</f>
        <v>1.4889599999999998</v>
      </c>
      <c r="G96" s="1370"/>
      <c r="H96" s="1358">
        <f t="shared" si="27"/>
        <v>0</v>
      </c>
      <c r="I96" s="1371"/>
      <c r="J96" s="1359">
        <f t="shared" si="28"/>
        <v>0</v>
      </c>
      <c r="K96" s="1358"/>
      <c r="L96" s="1359">
        <f t="shared" si="30"/>
        <v>0</v>
      </c>
      <c r="M96" s="1359">
        <f t="shared" si="29"/>
        <v>0</v>
      </c>
    </row>
    <row r="97" spans="1:13" s="950" customFormat="1" ht="36.6" customHeight="1">
      <c r="A97" s="943">
        <f t="shared" ref="A97:A99" si="31">A96+0.1</f>
        <v>4.2999999999999989</v>
      </c>
      <c r="B97" s="1064"/>
      <c r="C97" s="952" t="s">
        <v>663</v>
      </c>
      <c r="D97" s="948" t="s">
        <v>110</v>
      </c>
      <c r="E97" s="951">
        <v>1</v>
      </c>
      <c r="F97" s="949">
        <f>F94*E97</f>
        <v>41.36</v>
      </c>
      <c r="G97" s="1370"/>
      <c r="H97" s="1358">
        <f t="shared" si="27"/>
        <v>0</v>
      </c>
      <c r="I97" s="1371"/>
      <c r="J97" s="1359">
        <f t="shared" si="28"/>
        <v>0</v>
      </c>
      <c r="K97" s="1371"/>
      <c r="L97" s="1359">
        <f t="shared" si="30"/>
        <v>0</v>
      </c>
      <c r="M97" s="1359">
        <f t="shared" si="29"/>
        <v>0</v>
      </c>
    </row>
    <row r="98" spans="1:13" s="950" customFormat="1" ht="21.6" customHeight="1">
      <c r="A98" s="943">
        <f t="shared" si="31"/>
        <v>4.3999999999999986</v>
      </c>
      <c r="B98" s="1062"/>
      <c r="C98" s="952" t="s">
        <v>111</v>
      </c>
      <c r="D98" s="948" t="s">
        <v>64</v>
      </c>
      <c r="E98" s="953">
        <v>1.5E-3</v>
      </c>
      <c r="F98" s="949">
        <f>F94*E98</f>
        <v>6.2039999999999998E-2</v>
      </c>
      <c r="G98" s="1370"/>
      <c r="H98" s="1358">
        <f t="shared" si="27"/>
        <v>0</v>
      </c>
      <c r="I98" s="1371"/>
      <c r="J98" s="1359">
        <f t="shared" si="28"/>
        <v>0</v>
      </c>
      <c r="K98" s="1371"/>
      <c r="L98" s="1359">
        <f t="shared" si="30"/>
        <v>0</v>
      </c>
      <c r="M98" s="1359">
        <f t="shared" si="29"/>
        <v>0</v>
      </c>
    </row>
    <row r="99" spans="1:13" s="950" customFormat="1" ht="21.6" customHeight="1">
      <c r="A99" s="943">
        <f t="shared" si="31"/>
        <v>4.4999999999999982</v>
      </c>
      <c r="B99" s="1072"/>
      <c r="C99" s="593" t="s">
        <v>119</v>
      </c>
      <c r="D99" s="948" t="s">
        <v>14</v>
      </c>
      <c r="E99" s="951">
        <v>0.432</v>
      </c>
      <c r="F99" s="949">
        <f>F94*E99</f>
        <v>17.867519999999999</v>
      </c>
      <c r="G99" s="1372"/>
      <c r="H99" s="1358">
        <f t="shared" si="27"/>
        <v>0</v>
      </c>
      <c r="I99" s="1358"/>
      <c r="J99" s="1359">
        <f t="shared" si="28"/>
        <v>0</v>
      </c>
      <c r="K99" s="1371"/>
      <c r="L99" s="1359">
        <f t="shared" si="30"/>
        <v>0</v>
      </c>
      <c r="M99" s="1359">
        <f t="shared" si="29"/>
        <v>0</v>
      </c>
    </row>
    <row r="100" spans="1:13" s="955" customFormat="1" ht="49.9" customHeight="1">
      <c r="A100" s="883">
        <v>5</v>
      </c>
      <c r="B100" s="1073"/>
      <c r="C100" s="954" t="s">
        <v>576</v>
      </c>
      <c r="D100" s="588" t="s">
        <v>832</v>
      </c>
      <c r="E100" s="886"/>
      <c r="F100" s="899">
        <v>6.72</v>
      </c>
      <c r="G100" s="1373"/>
      <c r="H100" s="901">
        <f t="shared" si="27"/>
        <v>0</v>
      </c>
      <c r="I100" s="1374"/>
      <c r="J100" s="1375">
        <f t="shared" si="28"/>
        <v>0</v>
      </c>
      <c r="K100" s="1374"/>
      <c r="L100" s="1375">
        <f t="shared" si="30"/>
        <v>0</v>
      </c>
      <c r="M100" s="1375">
        <f t="shared" si="29"/>
        <v>0</v>
      </c>
    </row>
    <row r="101" spans="1:13" s="603" customFormat="1" ht="19.899999999999999" customHeight="1">
      <c r="A101" s="590">
        <f>A100+0.1</f>
        <v>5.0999999999999996</v>
      </c>
      <c r="B101" s="1066"/>
      <c r="C101" s="956" t="s">
        <v>50</v>
      </c>
      <c r="D101" s="592" t="s">
        <v>13</v>
      </c>
      <c r="E101" s="886">
        <v>2.06</v>
      </c>
      <c r="F101" s="892">
        <f>F100*E101</f>
        <v>13.8432</v>
      </c>
      <c r="G101" s="1373"/>
      <c r="H101" s="901">
        <f t="shared" si="27"/>
        <v>0</v>
      </c>
      <c r="I101" s="901"/>
      <c r="J101" s="1375">
        <f t="shared" si="28"/>
        <v>0</v>
      </c>
      <c r="K101" s="901"/>
      <c r="L101" s="1375">
        <f t="shared" si="30"/>
        <v>0</v>
      </c>
      <c r="M101" s="1375">
        <f t="shared" si="29"/>
        <v>0</v>
      </c>
    </row>
    <row r="102" spans="1:13" s="958" customFormat="1" ht="49.9" customHeight="1">
      <c r="A102" s="883">
        <v>6</v>
      </c>
      <c r="B102" s="1074"/>
      <c r="C102" s="957" t="s">
        <v>726</v>
      </c>
      <c r="D102" s="884" t="s">
        <v>829</v>
      </c>
      <c r="E102" s="898"/>
      <c r="F102" s="899">
        <v>0.84</v>
      </c>
      <c r="G102" s="1376"/>
      <c r="H102" s="901">
        <f t="shared" si="27"/>
        <v>0</v>
      </c>
      <c r="I102" s="1377"/>
      <c r="J102" s="1375">
        <f t="shared" si="28"/>
        <v>0</v>
      </c>
      <c r="K102" s="1377"/>
      <c r="L102" s="1375">
        <f t="shared" si="30"/>
        <v>0</v>
      </c>
      <c r="M102" s="1375">
        <f t="shared" si="29"/>
        <v>0</v>
      </c>
    </row>
    <row r="103" spans="1:13" s="960" customFormat="1" ht="19.899999999999999" customHeight="1">
      <c r="A103" s="590">
        <f>A102+0.1</f>
        <v>6.1</v>
      </c>
      <c r="B103" s="1066"/>
      <c r="C103" s="956" t="s">
        <v>50</v>
      </c>
      <c r="D103" s="592" t="s">
        <v>13</v>
      </c>
      <c r="E103" s="959">
        <f>18/10</f>
        <v>1.8</v>
      </c>
      <c r="F103" s="900">
        <f>E103*F102</f>
        <v>1.512</v>
      </c>
      <c r="G103" s="1373"/>
      <c r="H103" s="901">
        <f t="shared" si="27"/>
        <v>0</v>
      </c>
      <c r="I103" s="1378"/>
      <c r="J103" s="1375">
        <f t="shared" si="28"/>
        <v>0</v>
      </c>
      <c r="K103" s="1378"/>
      <c r="L103" s="1375">
        <f t="shared" si="30"/>
        <v>0</v>
      </c>
      <c r="M103" s="1375">
        <f t="shared" si="29"/>
        <v>0</v>
      </c>
    </row>
    <row r="104" spans="1:13" s="960" customFormat="1" ht="19.899999999999999" customHeight="1">
      <c r="A104" s="590">
        <f>A103+0.1</f>
        <v>6.1999999999999993</v>
      </c>
      <c r="B104" s="1075"/>
      <c r="C104" s="956" t="s">
        <v>59</v>
      </c>
      <c r="D104" s="591" t="s">
        <v>830</v>
      </c>
      <c r="E104" s="959">
        <f>11/10</f>
        <v>1.1000000000000001</v>
      </c>
      <c r="F104" s="892">
        <f>E104*F102</f>
        <v>0.92400000000000004</v>
      </c>
      <c r="G104" s="1373"/>
      <c r="H104" s="901">
        <f t="shared" si="27"/>
        <v>0</v>
      </c>
      <c r="I104" s="1378"/>
      <c r="J104" s="1375">
        <f t="shared" si="28"/>
        <v>0</v>
      </c>
      <c r="K104" s="1378"/>
      <c r="L104" s="1375">
        <f t="shared" si="30"/>
        <v>0</v>
      </c>
      <c r="M104" s="1375">
        <f t="shared" si="29"/>
        <v>0</v>
      </c>
    </row>
    <row r="105" spans="1:13" s="958" customFormat="1" ht="49.9" customHeight="1">
      <c r="A105" s="883">
        <v>5</v>
      </c>
      <c r="B105" s="1074"/>
      <c r="C105" s="961" t="s">
        <v>261</v>
      </c>
      <c r="D105" s="884" t="s">
        <v>829</v>
      </c>
      <c r="E105" s="898"/>
      <c r="F105" s="899">
        <v>2.02</v>
      </c>
      <c r="G105" s="1376"/>
      <c r="H105" s="901">
        <f t="shared" si="27"/>
        <v>0</v>
      </c>
      <c r="I105" s="1377"/>
      <c r="J105" s="1375">
        <f t="shared" si="28"/>
        <v>0</v>
      </c>
      <c r="K105" s="1377"/>
      <c r="L105" s="1375">
        <f t="shared" si="30"/>
        <v>0</v>
      </c>
      <c r="M105" s="1375">
        <f t="shared" si="29"/>
        <v>0</v>
      </c>
    </row>
    <row r="106" spans="1:13" s="960" customFormat="1" ht="19.899999999999999" customHeight="1">
      <c r="A106" s="590">
        <f>A105+0.1</f>
        <v>5.0999999999999996</v>
      </c>
      <c r="B106" s="1066"/>
      <c r="C106" s="956" t="s">
        <v>50</v>
      </c>
      <c r="D106" s="592" t="s">
        <v>13</v>
      </c>
      <c r="E106" s="959">
        <f>18/10</f>
        <v>1.8</v>
      </c>
      <c r="F106" s="900">
        <f>E106*F105</f>
        <v>3.6360000000000001</v>
      </c>
      <c r="G106" s="1373"/>
      <c r="H106" s="901">
        <f t="shared" si="27"/>
        <v>0</v>
      </c>
      <c r="I106" s="1378"/>
      <c r="J106" s="1375">
        <f t="shared" si="28"/>
        <v>0</v>
      </c>
      <c r="K106" s="1378"/>
      <c r="L106" s="1375">
        <f t="shared" si="30"/>
        <v>0</v>
      </c>
      <c r="M106" s="1375">
        <f t="shared" si="29"/>
        <v>0</v>
      </c>
    </row>
    <row r="107" spans="1:13" s="960" customFormat="1" ht="19.899999999999999" customHeight="1">
      <c r="A107" s="590">
        <f>A106+0.1</f>
        <v>5.1999999999999993</v>
      </c>
      <c r="B107" s="1076"/>
      <c r="C107" s="956" t="s">
        <v>218</v>
      </c>
      <c r="D107" s="591" t="s">
        <v>830</v>
      </c>
      <c r="E107" s="959">
        <f>11/10</f>
        <v>1.1000000000000001</v>
      </c>
      <c r="F107" s="892">
        <f>E107*F105</f>
        <v>2.2220000000000004</v>
      </c>
      <c r="G107" s="1373"/>
      <c r="H107" s="901">
        <f t="shared" si="27"/>
        <v>0</v>
      </c>
      <c r="I107" s="1378"/>
      <c r="J107" s="1375">
        <f t="shared" si="28"/>
        <v>0</v>
      </c>
      <c r="K107" s="1378"/>
      <c r="L107" s="1375">
        <f t="shared" si="30"/>
        <v>0</v>
      </c>
      <c r="M107" s="1375">
        <f t="shared" si="29"/>
        <v>0</v>
      </c>
    </row>
    <row r="108" spans="1:13" s="603" customFormat="1" ht="49.9" customHeight="1">
      <c r="A108" s="962">
        <v>6</v>
      </c>
      <c r="B108" s="1077"/>
      <c r="C108" s="957" t="s">
        <v>416</v>
      </c>
      <c r="D108" s="884" t="s">
        <v>16</v>
      </c>
      <c r="E108" s="963"/>
      <c r="F108" s="964">
        <f>4.7*1.85</f>
        <v>8.6950000000000003</v>
      </c>
      <c r="G108" s="1376"/>
      <c r="H108" s="901">
        <f t="shared" si="27"/>
        <v>0</v>
      </c>
      <c r="I108" s="901"/>
      <c r="J108" s="1375">
        <f t="shared" si="28"/>
        <v>0</v>
      </c>
      <c r="K108" s="901"/>
      <c r="L108" s="1375">
        <f t="shared" si="30"/>
        <v>0</v>
      </c>
      <c r="M108" s="1375">
        <f t="shared" si="29"/>
        <v>0</v>
      </c>
    </row>
    <row r="109" spans="1:13" s="603" customFormat="1" ht="19.899999999999999" customHeight="1">
      <c r="A109" s="590">
        <f>A108+0.1</f>
        <v>6.1</v>
      </c>
      <c r="B109" s="1066"/>
      <c r="C109" s="956" t="s">
        <v>219</v>
      </c>
      <c r="D109" s="591" t="s">
        <v>16</v>
      </c>
      <c r="E109" s="892">
        <v>1</v>
      </c>
      <c r="F109" s="886">
        <f>E109*F108</f>
        <v>8.6950000000000003</v>
      </c>
      <c r="G109" s="1373"/>
      <c r="H109" s="901">
        <f t="shared" si="27"/>
        <v>0</v>
      </c>
      <c r="I109" s="901"/>
      <c r="J109" s="1375">
        <f t="shared" si="28"/>
        <v>0</v>
      </c>
      <c r="K109" s="901"/>
      <c r="L109" s="1375">
        <f t="shared" si="30"/>
        <v>0</v>
      </c>
      <c r="M109" s="1375">
        <f t="shared" si="29"/>
        <v>0</v>
      </c>
    </row>
    <row r="110" spans="1:13" s="560" customFormat="1" ht="47.25" customHeight="1">
      <c r="A110" s="918">
        <v>4</v>
      </c>
      <c r="B110" s="1077"/>
      <c r="C110" s="599" t="s">
        <v>725</v>
      </c>
      <c r="D110" s="569" t="s">
        <v>61</v>
      </c>
      <c r="E110" s="571"/>
      <c r="F110" s="573">
        <f>5.88</f>
        <v>5.88</v>
      </c>
      <c r="G110" s="1379"/>
      <c r="H110" s="901">
        <f t="shared" si="27"/>
        <v>0</v>
      </c>
      <c r="I110" s="586"/>
      <c r="J110" s="1378">
        <f t="shared" si="28"/>
        <v>0</v>
      </c>
      <c r="K110" s="586"/>
      <c r="L110" s="1378">
        <f t="shared" si="30"/>
        <v>0</v>
      </c>
      <c r="M110" s="1378">
        <f t="shared" si="29"/>
        <v>0</v>
      </c>
    </row>
    <row r="111" spans="1:13" s="560" customFormat="1" ht="22.5" customHeight="1">
      <c r="A111" s="880">
        <f t="shared" ref="A111:A118" si="32">A110+0.1</f>
        <v>4.0999999999999996</v>
      </c>
      <c r="B111" s="1064"/>
      <c r="C111" s="600" t="s">
        <v>12</v>
      </c>
      <c r="D111" s="598" t="s">
        <v>13</v>
      </c>
      <c r="E111" s="886">
        <v>3.78</v>
      </c>
      <c r="F111" s="564">
        <f>E111*F110</f>
        <v>22.226399999999998</v>
      </c>
      <c r="G111" s="1380"/>
      <c r="H111" s="901">
        <f t="shared" si="27"/>
        <v>0</v>
      </c>
      <c r="I111" s="901"/>
      <c r="J111" s="1378">
        <f t="shared" si="28"/>
        <v>0</v>
      </c>
      <c r="K111" s="1381"/>
      <c r="L111" s="1378">
        <f t="shared" si="30"/>
        <v>0</v>
      </c>
      <c r="M111" s="1378">
        <f t="shared" si="29"/>
        <v>0</v>
      </c>
    </row>
    <row r="112" spans="1:13" s="560" customFormat="1" ht="22.5" customHeight="1">
      <c r="A112" s="880">
        <f t="shared" si="32"/>
        <v>4.1999999999999993</v>
      </c>
      <c r="B112" s="1064"/>
      <c r="C112" s="600" t="s">
        <v>266</v>
      </c>
      <c r="D112" s="586" t="s">
        <v>14</v>
      </c>
      <c r="E112" s="886">
        <v>0.92</v>
      </c>
      <c r="F112" s="565">
        <f>E112*F110</f>
        <v>5.4096000000000002</v>
      </c>
      <c r="G112" s="1380"/>
      <c r="H112" s="901">
        <f t="shared" si="27"/>
        <v>0</v>
      </c>
      <c r="I112" s="586"/>
      <c r="J112" s="1378">
        <f t="shared" si="28"/>
        <v>0</v>
      </c>
      <c r="K112" s="1382"/>
      <c r="L112" s="1378">
        <f t="shared" si="30"/>
        <v>0</v>
      </c>
      <c r="M112" s="1378">
        <f t="shared" si="29"/>
        <v>0</v>
      </c>
    </row>
    <row r="113" spans="1:13" s="560" customFormat="1" ht="22.5" customHeight="1">
      <c r="A113" s="880">
        <f t="shared" si="32"/>
        <v>4.2999999999999989</v>
      </c>
      <c r="B113" s="1062"/>
      <c r="C113" s="567" t="s">
        <v>74</v>
      </c>
      <c r="D113" s="586" t="s">
        <v>830</v>
      </c>
      <c r="E113" s="886">
        <v>1.0149999999999999</v>
      </c>
      <c r="F113" s="565">
        <f>E113*F110</f>
        <v>5.9681999999999995</v>
      </c>
      <c r="G113" s="1380"/>
      <c r="H113" s="901">
        <f t="shared" si="27"/>
        <v>0</v>
      </c>
      <c r="I113" s="586"/>
      <c r="J113" s="1378">
        <f t="shared" si="28"/>
        <v>0</v>
      </c>
      <c r="K113" s="586"/>
      <c r="L113" s="1378">
        <f t="shared" si="30"/>
        <v>0</v>
      </c>
      <c r="M113" s="1378">
        <f t="shared" si="29"/>
        <v>0</v>
      </c>
    </row>
    <row r="114" spans="1:13" s="560" customFormat="1" ht="22.5" customHeight="1">
      <c r="A114" s="880">
        <f t="shared" si="32"/>
        <v>4.3999999999999986</v>
      </c>
      <c r="B114" s="1062"/>
      <c r="C114" s="567" t="s">
        <v>728</v>
      </c>
      <c r="D114" s="586" t="s">
        <v>104</v>
      </c>
      <c r="E114" s="886"/>
      <c r="F114" s="565">
        <v>0.14199999999999999</v>
      </c>
      <c r="G114" s="1380"/>
      <c r="H114" s="901">
        <f t="shared" si="27"/>
        <v>0</v>
      </c>
      <c r="I114" s="586"/>
      <c r="J114" s="1378"/>
      <c r="K114" s="586"/>
      <c r="L114" s="1378"/>
      <c r="M114" s="1378">
        <f t="shared" si="29"/>
        <v>0</v>
      </c>
    </row>
    <row r="115" spans="1:13" s="560" customFormat="1" ht="22.5" customHeight="1">
      <c r="A115" s="880">
        <f t="shared" si="32"/>
        <v>4.4999999999999982</v>
      </c>
      <c r="B115" s="1062"/>
      <c r="C115" s="567" t="s">
        <v>727</v>
      </c>
      <c r="D115" s="586" t="s">
        <v>104</v>
      </c>
      <c r="E115" s="886"/>
      <c r="F115" s="565">
        <f>30.44/1000</f>
        <v>3.0440000000000002E-2</v>
      </c>
      <c r="G115" s="1380"/>
      <c r="H115" s="901">
        <f t="shared" si="27"/>
        <v>0</v>
      </c>
      <c r="I115" s="586"/>
      <c r="J115" s="1378"/>
      <c r="K115" s="586"/>
      <c r="L115" s="1378"/>
      <c r="M115" s="1378">
        <f t="shared" si="29"/>
        <v>0</v>
      </c>
    </row>
    <row r="116" spans="1:13" s="560" customFormat="1" ht="22.5" customHeight="1">
      <c r="A116" s="880">
        <f t="shared" si="32"/>
        <v>4.5999999999999979</v>
      </c>
      <c r="B116" s="1062"/>
      <c r="C116" s="903" t="s">
        <v>18</v>
      </c>
      <c r="D116" s="566" t="s">
        <v>831</v>
      </c>
      <c r="E116" s="886">
        <f>70.3/100</f>
        <v>0.70299999999999996</v>
      </c>
      <c r="F116" s="565">
        <f>E116*F110</f>
        <v>4.1336399999999998</v>
      </c>
      <c r="G116" s="1380"/>
      <c r="H116" s="901">
        <f t="shared" si="27"/>
        <v>0</v>
      </c>
      <c r="I116" s="586"/>
      <c r="J116" s="1378">
        <f t="shared" si="28"/>
        <v>0</v>
      </c>
      <c r="K116" s="586"/>
      <c r="L116" s="1378">
        <f t="shared" si="30"/>
        <v>0</v>
      </c>
      <c r="M116" s="1378">
        <f t="shared" si="29"/>
        <v>0</v>
      </c>
    </row>
    <row r="117" spans="1:13" s="560" customFormat="1" ht="22.5" customHeight="1">
      <c r="A117" s="880">
        <f t="shared" si="32"/>
        <v>4.6999999999999975</v>
      </c>
      <c r="B117" s="1078"/>
      <c r="C117" s="567" t="s">
        <v>19</v>
      </c>
      <c r="D117" s="586" t="s">
        <v>830</v>
      </c>
      <c r="E117" s="902">
        <f>1.14/100</f>
        <v>1.1399999999999999E-2</v>
      </c>
      <c r="F117" s="921">
        <f>E117*F110</f>
        <v>6.7031999999999994E-2</v>
      </c>
      <c r="G117" s="1380"/>
      <c r="H117" s="901">
        <f t="shared" si="27"/>
        <v>0</v>
      </c>
      <c r="I117" s="586"/>
      <c r="J117" s="1378">
        <f t="shared" si="28"/>
        <v>0</v>
      </c>
      <c r="K117" s="586"/>
      <c r="L117" s="1378">
        <f t="shared" si="30"/>
        <v>0</v>
      </c>
      <c r="M117" s="1378">
        <f t="shared" si="29"/>
        <v>0</v>
      </c>
    </row>
    <row r="118" spans="1:13" s="560" customFormat="1" ht="22.5" customHeight="1">
      <c r="A118" s="880">
        <f t="shared" si="32"/>
        <v>4.7999999999999972</v>
      </c>
      <c r="B118" s="1064"/>
      <c r="C118" s="567" t="s">
        <v>333</v>
      </c>
      <c r="D118" s="566" t="s">
        <v>14</v>
      </c>
      <c r="E118" s="966">
        <v>0.6</v>
      </c>
      <c r="F118" s="565">
        <f>E118*F110</f>
        <v>3.528</v>
      </c>
      <c r="G118" s="1380"/>
      <c r="H118" s="901">
        <f t="shared" si="27"/>
        <v>0</v>
      </c>
      <c r="I118" s="586"/>
      <c r="J118" s="1378">
        <f t="shared" si="28"/>
        <v>0</v>
      </c>
      <c r="K118" s="586"/>
      <c r="L118" s="1378">
        <f t="shared" si="30"/>
        <v>0</v>
      </c>
      <c r="M118" s="1378">
        <f t="shared" si="29"/>
        <v>0</v>
      </c>
    </row>
    <row r="119" spans="1:13" s="560" customFormat="1" ht="58.15" customHeight="1">
      <c r="A119" s="967">
        <v>5</v>
      </c>
      <c r="B119" s="1079"/>
      <c r="C119" s="969" t="s">
        <v>729</v>
      </c>
      <c r="D119" s="968" t="s">
        <v>107</v>
      </c>
      <c r="E119" s="970"/>
      <c r="F119" s="971">
        <v>161.66</v>
      </c>
      <c r="G119" s="1383"/>
      <c r="H119" s="901">
        <f t="shared" si="27"/>
        <v>0</v>
      </c>
      <c r="I119" s="1384"/>
      <c r="J119" s="1378">
        <f t="shared" si="28"/>
        <v>0</v>
      </c>
      <c r="K119" s="1384"/>
      <c r="L119" s="1378">
        <f t="shared" si="30"/>
        <v>0</v>
      </c>
      <c r="M119" s="1378">
        <f t="shared" si="29"/>
        <v>0</v>
      </c>
    </row>
    <row r="120" spans="1:13" s="1279" customFormat="1" ht="25.5" customHeight="1">
      <c r="A120" s="880">
        <v>1.2</v>
      </c>
      <c r="B120" s="1064"/>
      <c r="C120" s="600" t="s">
        <v>12</v>
      </c>
      <c r="D120" s="598" t="s">
        <v>13</v>
      </c>
      <c r="E120" s="975">
        <v>5.75</v>
      </c>
      <c r="F120" s="972">
        <f>F119*E120</f>
        <v>929.54499999999996</v>
      </c>
      <c r="G120" s="1383"/>
      <c r="H120" s="901">
        <f t="shared" si="27"/>
        <v>0</v>
      </c>
      <c r="I120" s="1384"/>
      <c r="J120" s="1378">
        <f t="shared" si="28"/>
        <v>0</v>
      </c>
      <c r="K120" s="1384"/>
      <c r="L120" s="1378">
        <f t="shared" si="30"/>
        <v>0</v>
      </c>
      <c r="M120" s="1378">
        <f t="shared" si="29"/>
        <v>0</v>
      </c>
    </row>
    <row r="121" spans="1:13" s="560" customFormat="1" ht="18" customHeight="1">
      <c r="A121" s="880">
        <v>1.3000000000000003</v>
      </c>
      <c r="B121" s="1080"/>
      <c r="C121" s="974" t="s">
        <v>460</v>
      </c>
      <c r="D121" s="973" t="s">
        <v>107</v>
      </c>
      <c r="E121" s="975">
        <v>1</v>
      </c>
      <c r="F121" s="972">
        <v>113.24000000000001</v>
      </c>
      <c r="G121" s="1383"/>
      <c r="H121" s="901">
        <f t="shared" si="27"/>
        <v>0</v>
      </c>
      <c r="I121" s="1384"/>
      <c r="J121" s="1378">
        <f t="shared" si="28"/>
        <v>0</v>
      </c>
      <c r="K121" s="1384"/>
      <c r="L121" s="1378">
        <f t="shared" si="30"/>
        <v>0</v>
      </c>
      <c r="M121" s="1378">
        <f t="shared" si="29"/>
        <v>0</v>
      </c>
    </row>
    <row r="122" spans="1:13" s="560" customFormat="1" ht="18" customHeight="1">
      <c r="A122" s="880">
        <v>1.4000000000000004</v>
      </c>
      <c r="B122" s="1080"/>
      <c r="C122" s="974" t="s">
        <v>461</v>
      </c>
      <c r="D122" s="973" t="s">
        <v>107</v>
      </c>
      <c r="E122" s="975">
        <v>1</v>
      </c>
      <c r="F122" s="972">
        <v>48.419999999999995</v>
      </c>
      <c r="G122" s="1383"/>
      <c r="H122" s="901">
        <f t="shared" si="27"/>
        <v>0</v>
      </c>
      <c r="I122" s="1384"/>
      <c r="J122" s="1378">
        <f t="shared" si="28"/>
        <v>0</v>
      </c>
      <c r="K122" s="1384"/>
      <c r="L122" s="1378">
        <f t="shared" si="30"/>
        <v>0</v>
      </c>
      <c r="M122" s="1378">
        <f t="shared" si="29"/>
        <v>0</v>
      </c>
    </row>
    <row r="123" spans="1:13" s="560" customFormat="1" ht="18" customHeight="1">
      <c r="A123" s="880">
        <v>1.5000000000000004</v>
      </c>
      <c r="B123" s="1060"/>
      <c r="C123" s="974" t="s">
        <v>455</v>
      </c>
      <c r="D123" s="973" t="s">
        <v>349</v>
      </c>
      <c r="E123" s="976">
        <v>6</v>
      </c>
      <c r="F123" s="972">
        <v>969.96</v>
      </c>
      <c r="G123" s="1357"/>
      <c r="H123" s="901">
        <f t="shared" si="27"/>
        <v>0</v>
      </c>
      <c r="I123" s="1384"/>
      <c r="J123" s="1378">
        <f t="shared" si="28"/>
        <v>0</v>
      </c>
      <c r="K123" s="1384"/>
      <c r="L123" s="1378">
        <f t="shared" si="30"/>
        <v>0</v>
      </c>
      <c r="M123" s="1378">
        <f t="shared" si="29"/>
        <v>0</v>
      </c>
    </row>
    <row r="124" spans="1:13" s="560" customFormat="1" ht="18" customHeight="1">
      <c r="A124" s="880">
        <v>1.6000000000000005</v>
      </c>
      <c r="B124" s="1080"/>
      <c r="C124" s="889" t="s">
        <v>119</v>
      </c>
      <c r="D124" s="586" t="s">
        <v>1</v>
      </c>
      <c r="E124" s="975">
        <v>4.2999999999999997E-2</v>
      </c>
      <c r="F124" s="972">
        <v>6.9513799999999994</v>
      </c>
      <c r="G124" s="1383"/>
      <c r="H124" s="901">
        <f t="shared" si="27"/>
        <v>0</v>
      </c>
      <c r="I124" s="1384"/>
      <c r="J124" s="1378">
        <f t="shared" si="28"/>
        <v>0</v>
      </c>
      <c r="K124" s="1384"/>
      <c r="L124" s="1378">
        <f t="shared" si="30"/>
        <v>0</v>
      </c>
      <c r="M124" s="1378">
        <f t="shared" si="29"/>
        <v>0</v>
      </c>
    </row>
    <row r="125" spans="1:13" s="560" customFormat="1" ht="66" customHeight="1">
      <c r="A125" s="947">
        <v>6</v>
      </c>
      <c r="B125" s="1070"/>
      <c r="C125" s="596" t="s">
        <v>618</v>
      </c>
      <c r="D125" s="569" t="s">
        <v>828</v>
      </c>
      <c r="E125" s="571"/>
      <c r="F125" s="971">
        <v>136.6</v>
      </c>
      <c r="G125" s="1379"/>
      <c r="H125" s="901">
        <f t="shared" si="27"/>
        <v>0</v>
      </c>
      <c r="I125" s="922"/>
      <c r="J125" s="1378">
        <f t="shared" si="28"/>
        <v>0</v>
      </c>
      <c r="K125" s="922"/>
      <c r="L125" s="1378">
        <f t="shared" si="30"/>
        <v>0</v>
      </c>
      <c r="M125" s="1378">
        <f t="shared" si="29"/>
        <v>0</v>
      </c>
    </row>
    <row r="126" spans="1:13" s="560" customFormat="1" ht="24" customHeight="1">
      <c r="A126" s="943">
        <v>6.1</v>
      </c>
      <c r="B126" s="1071"/>
      <c r="C126" s="889" t="s">
        <v>69</v>
      </c>
      <c r="D126" s="598" t="s">
        <v>13</v>
      </c>
      <c r="E126" s="929">
        <v>0.91</v>
      </c>
      <c r="F126" s="945">
        <v>124.306</v>
      </c>
      <c r="G126" s="1385"/>
      <c r="H126" s="901">
        <f t="shared" si="27"/>
        <v>0</v>
      </c>
      <c r="I126" s="586"/>
      <c r="J126" s="1378">
        <f t="shared" si="28"/>
        <v>0</v>
      </c>
      <c r="K126" s="586"/>
      <c r="L126" s="1378">
        <f t="shared" si="30"/>
        <v>0</v>
      </c>
      <c r="M126" s="1378">
        <f t="shared" si="29"/>
        <v>0</v>
      </c>
    </row>
    <row r="127" spans="1:13" s="560" customFormat="1" ht="24" customHeight="1">
      <c r="A127" s="943">
        <v>6.1999999999999993</v>
      </c>
      <c r="B127" s="1071"/>
      <c r="C127" s="593" t="s">
        <v>117</v>
      </c>
      <c r="D127" s="586" t="s">
        <v>14</v>
      </c>
      <c r="E127" s="929">
        <v>1E-3</v>
      </c>
      <c r="F127" s="929">
        <v>0.1366</v>
      </c>
      <c r="G127" s="1380"/>
      <c r="H127" s="901">
        <f t="shared" si="27"/>
        <v>0</v>
      </c>
      <c r="I127" s="586"/>
      <c r="J127" s="1378">
        <f t="shared" si="28"/>
        <v>0</v>
      </c>
      <c r="K127" s="1386"/>
      <c r="L127" s="1378">
        <f t="shared" si="30"/>
        <v>0</v>
      </c>
      <c r="M127" s="1378">
        <f t="shared" si="29"/>
        <v>0</v>
      </c>
    </row>
    <row r="128" spans="1:13" s="560" customFormat="1" ht="24" customHeight="1">
      <c r="A128" s="943">
        <v>6.2999999999999989</v>
      </c>
      <c r="B128" s="1064"/>
      <c r="C128" s="889" t="s">
        <v>603</v>
      </c>
      <c r="D128" s="586" t="s">
        <v>21</v>
      </c>
      <c r="E128" s="965">
        <v>0.63</v>
      </c>
      <c r="F128" s="945">
        <v>86.057999999999993</v>
      </c>
      <c r="G128" s="1387"/>
      <c r="H128" s="901">
        <f t="shared" si="27"/>
        <v>0</v>
      </c>
      <c r="I128" s="586"/>
      <c r="J128" s="1378">
        <f t="shared" si="28"/>
        <v>0</v>
      </c>
      <c r="K128" s="586"/>
      <c r="L128" s="1378">
        <f t="shared" si="30"/>
        <v>0</v>
      </c>
      <c r="M128" s="1378">
        <f t="shared" si="29"/>
        <v>0</v>
      </c>
    </row>
    <row r="129" spans="1:13" s="560" customFormat="1" ht="24" customHeight="1">
      <c r="A129" s="943">
        <v>6.3999999999999986</v>
      </c>
      <c r="B129" s="1064"/>
      <c r="C129" s="889" t="s">
        <v>604</v>
      </c>
      <c r="D129" s="586" t="s">
        <v>21</v>
      </c>
      <c r="E129" s="965">
        <v>0.79</v>
      </c>
      <c r="F129" s="945">
        <v>107.914</v>
      </c>
      <c r="G129" s="1387"/>
      <c r="H129" s="901">
        <f t="shared" si="27"/>
        <v>0</v>
      </c>
      <c r="I129" s="586"/>
      <c r="J129" s="1378">
        <f t="shared" si="28"/>
        <v>0</v>
      </c>
      <c r="K129" s="586"/>
      <c r="L129" s="1378">
        <f t="shared" si="30"/>
        <v>0</v>
      </c>
      <c r="M129" s="1378">
        <f t="shared" si="29"/>
        <v>0</v>
      </c>
    </row>
    <row r="130" spans="1:13" s="560" customFormat="1" ht="24" customHeight="1">
      <c r="A130" s="943">
        <v>6.4999999999999982</v>
      </c>
      <c r="B130" s="1072"/>
      <c r="C130" s="593" t="s">
        <v>119</v>
      </c>
      <c r="D130" s="598" t="s">
        <v>14</v>
      </c>
      <c r="E130" s="928">
        <v>1.6000000000000001E-3</v>
      </c>
      <c r="F130" s="945">
        <v>0.21856</v>
      </c>
      <c r="G130" s="1388"/>
      <c r="H130" s="901">
        <f t="shared" si="27"/>
        <v>0</v>
      </c>
      <c r="I130" s="586"/>
      <c r="J130" s="1378">
        <f t="shared" si="28"/>
        <v>0</v>
      </c>
      <c r="K130" s="586"/>
      <c r="L130" s="1378">
        <f t="shared" si="30"/>
        <v>0</v>
      </c>
      <c r="M130" s="1378">
        <f t="shared" si="29"/>
        <v>0</v>
      </c>
    </row>
    <row r="131" spans="1:13" ht="24" customHeight="1">
      <c r="A131" s="880"/>
      <c r="B131" s="1060"/>
      <c r="C131" s="596" t="s">
        <v>724</v>
      </c>
      <c r="D131" s="586"/>
      <c r="E131" s="921"/>
      <c r="F131" s="882"/>
      <c r="G131" s="1357"/>
      <c r="H131" s="901">
        <f t="shared" si="27"/>
        <v>0</v>
      </c>
      <c r="I131" s="1359"/>
      <c r="J131" s="1378">
        <f t="shared" si="28"/>
        <v>0</v>
      </c>
      <c r="K131" s="1358"/>
      <c r="L131" s="1359">
        <f t="shared" ref="L131:L186" si="33">F131*K131</f>
        <v>0</v>
      </c>
      <c r="M131" s="1359">
        <f t="shared" ref="M131:M185" si="34">H131+J131+L131</f>
        <v>0</v>
      </c>
    </row>
    <row r="132" spans="1:13" s="958" customFormat="1" ht="49.9" customHeight="1">
      <c r="A132" s="588" t="s">
        <v>44</v>
      </c>
      <c r="B132" s="1074"/>
      <c r="C132" s="954" t="s">
        <v>436</v>
      </c>
      <c r="D132" s="588" t="s">
        <v>204</v>
      </c>
      <c r="E132" s="898"/>
      <c r="F132" s="899">
        <v>1</v>
      </c>
      <c r="G132" s="1360"/>
      <c r="H132" s="1358">
        <f t="shared" ref="H132:H182" si="35">F132*G132</f>
        <v>0</v>
      </c>
      <c r="I132" s="1361"/>
      <c r="J132" s="1359">
        <f t="shared" ref="J132:J182" si="36">F132*I132</f>
        <v>0</v>
      </c>
      <c r="K132" s="1361"/>
      <c r="L132" s="1359">
        <f t="shared" si="33"/>
        <v>0</v>
      </c>
      <c r="M132" s="1359">
        <f t="shared" si="34"/>
        <v>0</v>
      </c>
    </row>
    <row r="133" spans="1:13" s="960" customFormat="1" ht="24.75" customHeight="1">
      <c r="A133" s="590">
        <f>A132+0.1</f>
        <v>1.1000000000000001</v>
      </c>
      <c r="B133" s="1066"/>
      <c r="C133" s="889" t="s">
        <v>12</v>
      </c>
      <c r="D133" s="591" t="s">
        <v>204</v>
      </c>
      <c r="E133" s="959">
        <v>1</v>
      </c>
      <c r="F133" s="900">
        <f>E133*F132</f>
        <v>1</v>
      </c>
      <c r="G133" s="1357"/>
      <c r="H133" s="1358">
        <f t="shared" si="35"/>
        <v>0</v>
      </c>
      <c r="I133" s="1359"/>
      <c r="J133" s="1359">
        <f t="shared" si="36"/>
        <v>0</v>
      </c>
      <c r="K133" s="1359"/>
      <c r="L133" s="1359">
        <f t="shared" si="33"/>
        <v>0</v>
      </c>
      <c r="M133" s="1359">
        <f t="shared" si="34"/>
        <v>0</v>
      </c>
    </row>
    <row r="134" spans="1:13" s="960" customFormat="1" ht="24.75" customHeight="1">
      <c r="A134" s="590">
        <f>A133+0.1</f>
        <v>1.2000000000000002</v>
      </c>
      <c r="B134" s="1066"/>
      <c r="C134" s="956" t="s">
        <v>605</v>
      </c>
      <c r="D134" s="591" t="s">
        <v>204</v>
      </c>
      <c r="E134" s="900">
        <v>1</v>
      </c>
      <c r="F134" s="894">
        <f>F132*E134</f>
        <v>1</v>
      </c>
      <c r="G134" s="1357"/>
      <c r="H134" s="1358">
        <f t="shared" si="35"/>
        <v>0</v>
      </c>
      <c r="I134" s="1359"/>
      <c r="J134" s="1359">
        <f t="shared" si="36"/>
        <v>0</v>
      </c>
      <c r="K134" s="1359"/>
      <c r="L134" s="1359">
        <f t="shared" si="33"/>
        <v>0</v>
      </c>
      <c r="M134" s="1359">
        <f t="shared" si="34"/>
        <v>0</v>
      </c>
    </row>
    <row r="135" spans="1:13" s="560" customFormat="1" ht="24.75" customHeight="1">
      <c r="A135" s="880"/>
      <c r="B135" s="1081"/>
      <c r="C135" s="925" t="s">
        <v>730</v>
      </c>
      <c r="D135" s="924"/>
      <c r="E135" s="979"/>
      <c r="F135" s="932"/>
      <c r="G135" s="1366"/>
      <c r="H135" s="1358">
        <f t="shared" si="35"/>
        <v>0</v>
      </c>
      <c r="I135" s="1359"/>
      <c r="J135" s="1359">
        <f t="shared" si="36"/>
        <v>0</v>
      </c>
      <c r="K135" s="1358"/>
      <c r="L135" s="1359">
        <f t="shared" si="33"/>
        <v>0</v>
      </c>
      <c r="M135" s="1359">
        <f t="shared" si="34"/>
        <v>0</v>
      </c>
    </row>
    <row r="136" spans="1:13" s="560" customFormat="1" ht="50.1" customHeight="1">
      <c r="A136" s="595" t="s">
        <v>44</v>
      </c>
      <c r="B136" s="1082"/>
      <c r="C136" s="925" t="s">
        <v>737</v>
      </c>
      <c r="D136" s="923" t="s">
        <v>49</v>
      </c>
      <c r="E136" s="980"/>
      <c r="F136" s="981">
        <v>16</v>
      </c>
      <c r="G136" s="1364"/>
      <c r="H136" s="1358">
        <f t="shared" si="35"/>
        <v>0</v>
      </c>
      <c r="I136" s="1359"/>
      <c r="J136" s="1359">
        <f t="shared" si="36"/>
        <v>0</v>
      </c>
      <c r="K136" s="1358"/>
      <c r="L136" s="1359">
        <f t="shared" si="33"/>
        <v>0</v>
      </c>
      <c r="M136" s="1359">
        <f t="shared" si="34"/>
        <v>0</v>
      </c>
    </row>
    <row r="137" spans="1:13" s="560" customFormat="1" ht="20.100000000000001" customHeight="1">
      <c r="A137" s="880">
        <f>A136+0.1</f>
        <v>1.1000000000000001</v>
      </c>
      <c r="B137" s="1065"/>
      <c r="C137" s="889" t="s">
        <v>12</v>
      </c>
      <c r="D137" s="598" t="s">
        <v>49</v>
      </c>
      <c r="E137" s="564">
        <v>1</v>
      </c>
      <c r="F137" s="565">
        <f>E137*F136</f>
        <v>16</v>
      </c>
      <c r="G137" s="1357"/>
      <c r="H137" s="1358">
        <f t="shared" si="35"/>
        <v>0</v>
      </c>
      <c r="I137" s="1359"/>
      <c r="J137" s="1359">
        <f t="shared" si="36"/>
        <v>0</v>
      </c>
      <c r="K137" s="1358"/>
      <c r="L137" s="1359">
        <f t="shared" si="33"/>
        <v>0</v>
      </c>
      <c r="M137" s="1359">
        <f t="shared" si="34"/>
        <v>0</v>
      </c>
    </row>
    <row r="138" spans="1:13" ht="20.100000000000001" customHeight="1">
      <c r="A138" s="880">
        <f>A137+0.1</f>
        <v>1.2000000000000002</v>
      </c>
      <c r="B138" s="1065"/>
      <c r="C138" s="982" t="s">
        <v>265</v>
      </c>
      <c r="D138" s="598" t="s">
        <v>49</v>
      </c>
      <c r="E138" s="881" t="s">
        <v>20</v>
      </c>
      <c r="F138" s="565">
        <f>F136</f>
        <v>16</v>
      </c>
      <c r="G138" s="1357"/>
      <c r="H138" s="1358">
        <f t="shared" si="35"/>
        <v>0</v>
      </c>
      <c r="I138" s="1359"/>
      <c r="J138" s="1359">
        <f t="shared" si="36"/>
        <v>0</v>
      </c>
      <c r="K138" s="1359"/>
      <c r="L138" s="1359">
        <f t="shared" si="33"/>
        <v>0</v>
      </c>
      <c r="M138" s="1359">
        <f t="shared" si="34"/>
        <v>0</v>
      </c>
    </row>
    <row r="139" spans="1:13" s="560" customFormat="1" ht="50.1" customHeight="1">
      <c r="A139" s="595" t="s">
        <v>45</v>
      </c>
      <c r="B139" s="1082"/>
      <c r="C139" s="925" t="s">
        <v>441</v>
      </c>
      <c r="D139" s="923" t="s">
        <v>49</v>
      </c>
      <c r="E139" s="926"/>
      <c r="F139" s="981">
        <v>6</v>
      </c>
      <c r="G139" s="1364"/>
      <c r="H139" s="1358">
        <f t="shared" si="35"/>
        <v>0</v>
      </c>
      <c r="I139" s="1359"/>
      <c r="J139" s="1359">
        <f t="shared" si="36"/>
        <v>0</v>
      </c>
      <c r="K139" s="1358"/>
      <c r="L139" s="1359">
        <f t="shared" si="33"/>
        <v>0</v>
      </c>
      <c r="M139" s="1359">
        <f t="shared" si="34"/>
        <v>0</v>
      </c>
    </row>
    <row r="140" spans="1:13" s="560" customFormat="1" ht="20.100000000000001" customHeight="1">
      <c r="A140" s="880">
        <f>A139+0.1</f>
        <v>2.1</v>
      </c>
      <c r="B140" s="1065"/>
      <c r="C140" s="889" t="s">
        <v>12</v>
      </c>
      <c r="D140" s="598" t="s">
        <v>49</v>
      </c>
      <c r="E140" s="564">
        <v>1</v>
      </c>
      <c r="F140" s="565">
        <f>E140*F139</f>
        <v>6</v>
      </c>
      <c r="G140" s="1357"/>
      <c r="H140" s="1358">
        <f t="shared" si="35"/>
        <v>0</v>
      </c>
      <c r="I140" s="1359"/>
      <c r="J140" s="1359">
        <f t="shared" si="36"/>
        <v>0</v>
      </c>
      <c r="K140" s="1358"/>
      <c r="L140" s="1359">
        <f t="shared" si="33"/>
        <v>0</v>
      </c>
      <c r="M140" s="1359">
        <f t="shared" si="34"/>
        <v>0</v>
      </c>
    </row>
    <row r="141" spans="1:13" ht="20.100000000000001" customHeight="1">
      <c r="A141" s="880">
        <f>A140+0.1</f>
        <v>2.2000000000000002</v>
      </c>
      <c r="B141" s="1065"/>
      <c r="C141" s="982" t="s">
        <v>629</v>
      </c>
      <c r="D141" s="598" t="s">
        <v>49</v>
      </c>
      <c r="E141" s="881" t="s">
        <v>20</v>
      </c>
      <c r="F141" s="565">
        <f>F139</f>
        <v>6</v>
      </c>
      <c r="G141" s="1357"/>
      <c r="H141" s="1358">
        <f t="shared" si="35"/>
        <v>0</v>
      </c>
      <c r="I141" s="1359"/>
      <c r="J141" s="1359">
        <f t="shared" si="36"/>
        <v>0</v>
      </c>
      <c r="K141" s="1359"/>
      <c r="L141" s="1359">
        <f t="shared" si="33"/>
        <v>0</v>
      </c>
      <c r="M141" s="1359">
        <f t="shared" si="34"/>
        <v>0</v>
      </c>
    </row>
    <row r="142" spans="1:13" s="560" customFormat="1" ht="50.1" customHeight="1">
      <c r="A142" s="595" t="s">
        <v>46</v>
      </c>
      <c r="B142" s="1082"/>
      <c r="C142" s="925" t="s">
        <v>738</v>
      </c>
      <c r="D142" s="923" t="s">
        <v>49</v>
      </c>
      <c r="E142" s="926"/>
      <c r="F142" s="981">
        <v>7</v>
      </c>
      <c r="G142" s="1364"/>
      <c r="H142" s="1358">
        <f t="shared" si="35"/>
        <v>0</v>
      </c>
      <c r="I142" s="1359"/>
      <c r="J142" s="1359">
        <f t="shared" si="36"/>
        <v>0</v>
      </c>
      <c r="K142" s="1358"/>
      <c r="L142" s="1359">
        <f t="shared" si="33"/>
        <v>0</v>
      </c>
      <c r="M142" s="1359">
        <f t="shared" si="34"/>
        <v>0</v>
      </c>
    </row>
    <row r="143" spans="1:13" s="560" customFormat="1" ht="20.100000000000001" customHeight="1">
      <c r="A143" s="880">
        <f>A142+0.1</f>
        <v>3.1</v>
      </c>
      <c r="B143" s="1065"/>
      <c r="C143" s="889" t="s">
        <v>12</v>
      </c>
      <c r="D143" s="598" t="s">
        <v>49</v>
      </c>
      <c r="E143" s="564">
        <v>1</v>
      </c>
      <c r="F143" s="565">
        <f>E143*F142</f>
        <v>7</v>
      </c>
      <c r="G143" s="1357"/>
      <c r="H143" s="1358">
        <f t="shared" si="35"/>
        <v>0</v>
      </c>
      <c r="I143" s="1359"/>
      <c r="J143" s="1359">
        <f t="shared" si="36"/>
        <v>0</v>
      </c>
      <c r="K143" s="1358"/>
      <c r="L143" s="1359">
        <f t="shared" si="33"/>
        <v>0</v>
      </c>
      <c r="M143" s="1359">
        <f t="shared" si="34"/>
        <v>0</v>
      </c>
    </row>
    <row r="144" spans="1:13" ht="20.100000000000001" customHeight="1">
      <c r="A144" s="880">
        <f>A143+0.1</f>
        <v>3.2</v>
      </c>
      <c r="B144" s="1065"/>
      <c r="C144" s="982" t="s">
        <v>739</v>
      </c>
      <c r="D144" s="598" t="s">
        <v>49</v>
      </c>
      <c r="E144" s="881" t="s">
        <v>20</v>
      </c>
      <c r="F144" s="565">
        <f>F142</f>
        <v>7</v>
      </c>
      <c r="G144" s="1357"/>
      <c r="H144" s="1358">
        <f t="shared" si="35"/>
        <v>0</v>
      </c>
      <c r="I144" s="1359"/>
      <c r="J144" s="1359">
        <f t="shared" si="36"/>
        <v>0</v>
      </c>
      <c r="K144" s="1359"/>
      <c r="L144" s="1359">
        <f t="shared" si="33"/>
        <v>0</v>
      </c>
      <c r="M144" s="1359">
        <f t="shared" si="34"/>
        <v>0</v>
      </c>
    </row>
    <row r="145" spans="1:13" s="560" customFormat="1" ht="52.5" customHeight="1">
      <c r="A145" s="923" t="s">
        <v>47</v>
      </c>
      <c r="B145" s="1082"/>
      <c r="C145" s="925" t="s">
        <v>308</v>
      </c>
      <c r="D145" s="923" t="s">
        <v>204</v>
      </c>
      <c r="E145" s="926"/>
      <c r="F145" s="981">
        <v>1</v>
      </c>
      <c r="G145" s="1364"/>
      <c r="H145" s="1358">
        <f t="shared" si="35"/>
        <v>0</v>
      </c>
      <c r="I145" s="1359"/>
      <c r="J145" s="1359">
        <f t="shared" si="36"/>
        <v>0</v>
      </c>
      <c r="K145" s="1358"/>
      <c r="L145" s="1359">
        <f t="shared" si="33"/>
        <v>0</v>
      </c>
      <c r="M145" s="1359">
        <f t="shared" si="34"/>
        <v>0</v>
      </c>
    </row>
    <row r="146" spans="1:13" ht="20.100000000000001" customHeight="1">
      <c r="A146" s="880">
        <f>A145+0.1</f>
        <v>4.0999999999999996</v>
      </c>
      <c r="B146" s="1065"/>
      <c r="C146" s="982" t="s">
        <v>309</v>
      </c>
      <c r="D146" s="598" t="s">
        <v>204</v>
      </c>
      <c r="E146" s="881" t="s">
        <v>20</v>
      </c>
      <c r="F146" s="573">
        <v>1</v>
      </c>
      <c r="G146" s="1357"/>
      <c r="H146" s="1358">
        <f t="shared" si="35"/>
        <v>0</v>
      </c>
      <c r="I146" s="1359"/>
      <c r="J146" s="1359">
        <f t="shared" si="36"/>
        <v>0</v>
      </c>
      <c r="K146" s="1359"/>
      <c r="L146" s="1359">
        <f t="shared" si="33"/>
        <v>0</v>
      </c>
      <c r="M146" s="1359">
        <f t="shared" si="34"/>
        <v>0</v>
      </c>
    </row>
    <row r="147" spans="1:13" s="560" customFormat="1" ht="36.75" customHeight="1">
      <c r="A147" s="923" t="s">
        <v>48</v>
      </c>
      <c r="B147" s="1082"/>
      <c r="C147" s="925" t="s">
        <v>442</v>
      </c>
      <c r="D147" s="923" t="s">
        <v>204</v>
      </c>
      <c r="E147" s="926"/>
      <c r="F147" s="981">
        <v>1</v>
      </c>
      <c r="G147" s="1364"/>
      <c r="H147" s="1358">
        <f t="shared" si="35"/>
        <v>0</v>
      </c>
      <c r="I147" s="1359"/>
      <c r="J147" s="1359">
        <f t="shared" si="36"/>
        <v>0</v>
      </c>
      <c r="K147" s="1358"/>
      <c r="L147" s="1359">
        <f t="shared" si="33"/>
        <v>0</v>
      </c>
      <c r="M147" s="1359">
        <f t="shared" si="34"/>
        <v>0</v>
      </c>
    </row>
    <row r="148" spans="1:13" ht="24" customHeight="1">
      <c r="A148" s="880">
        <f>A147+0.1</f>
        <v>5.0999999999999996</v>
      </c>
      <c r="B148" s="1065"/>
      <c r="C148" s="982" t="s">
        <v>443</v>
      </c>
      <c r="D148" s="598" t="s">
        <v>204</v>
      </c>
      <c r="E148" s="881" t="s">
        <v>20</v>
      </c>
      <c r="F148" s="573">
        <v>1</v>
      </c>
      <c r="G148" s="1357"/>
      <c r="H148" s="1358">
        <f t="shared" si="35"/>
        <v>0</v>
      </c>
      <c r="I148" s="1359"/>
      <c r="J148" s="1359">
        <f t="shared" si="36"/>
        <v>0</v>
      </c>
      <c r="K148" s="1359"/>
      <c r="L148" s="1359">
        <f t="shared" si="33"/>
        <v>0</v>
      </c>
      <c r="M148" s="1359">
        <f t="shared" si="34"/>
        <v>0</v>
      </c>
    </row>
    <row r="149" spans="1:13" s="560" customFormat="1" ht="37.5" customHeight="1">
      <c r="A149" s="595" t="s">
        <v>127</v>
      </c>
      <c r="B149" s="1082"/>
      <c r="C149" s="925" t="s">
        <v>656</v>
      </c>
      <c r="D149" s="923" t="s">
        <v>49</v>
      </c>
      <c r="E149" s="926"/>
      <c r="F149" s="981">
        <v>3</v>
      </c>
      <c r="G149" s="1364"/>
      <c r="H149" s="1358">
        <f t="shared" si="35"/>
        <v>0</v>
      </c>
      <c r="I149" s="1359"/>
      <c r="J149" s="1359">
        <f t="shared" si="36"/>
        <v>0</v>
      </c>
      <c r="K149" s="1358"/>
      <c r="L149" s="1359">
        <f t="shared" si="33"/>
        <v>0</v>
      </c>
      <c r="M149" s="1359">
        <f t="shared" si="34"/>
        <v>0</v>
      </c>
    </row>
    <row r="150" spans="1:13" s="560" customFormat="1" ht="24" customHeight="1">
      <c r="A150" s="880">
        <f>A149+0.1</f>
        <v>6.1</v>
      </c>
      <c r="B150" s="1065"/>
      <c r="C150" s="889" t="s">
        <v>12</v>
      </c>
      <c r="D150" s="598" t="s">
        <v>49</v>
      </c>
      <c r="E150" s="564">
        <v>1</v>
      </c>
      <c r="F150" s="565">
        <f>E150*F149</f>
        <v>3</v>
      </c>
      <c r="G150" s="1357"/>
      <c r="H150" s="1358">
        <f t="shared" si="35"/>
        <v>0</v>
      </c>
      <c r="I150" s="1359"/>
      <c r="J150" s="1359">
        <f t="shared" si="36"/>
        <v>0</v>
      </c>
      <c r="K150" s="1358"/>
      <c r="L150" s="1359">
        <f t="shared" si="33"/>
        <v>0</v>
      </c>
      <c r="M150" s="1359">
        <f t="shared" si="34"/>
        <v>0</v>
      </c>
    </row>
    <row r="151" spans="1:13" ht="24.75" customHeight="1">
      <c r="A151" s="880">
        <f>A150+0.1</f>
        <v>6.1999999999999993</v>
      </c>
      <c r="B151" s="1065"/>
      <c r="C151" s="982" t="s">
        <v>657</v>
      </c>
      <c r="D151" s="598" t="s">
        <v>49</v>
      </c>
      <c r="E151" s="881" t="s">
        <v>20</v>
      </c>
      <c r="F151" s="565">
        <f>F149</f>
        <v>3</v>
      </c>
      <c r="G151" s="1357"/>
      <c r="H151" s="1358">
        <f t="shared" si="35"/>
        <v>0</v>
      </c>
      <c r="I151" s="1359"/>
      <c r="J151" s="1359">
        <f t="shared" si="36"/>
        <v>0</v>
      </c>
      <c r="K151" s="1359"/>
      <c r="L151" s="1359">
        <f t="shared" si="33"/>
        <v>0</v>
      </c>
      <c r="M151" s="1359">
        <f t="shared" si="34"/>
        <v>0</v>
      </c>
    </row>
    <row r="152" spans="1:13" s="606" customFormat="1" ht="54.6" customHeight="1">
      <c r="A152" s="983"/>
      <c r="B152" s="1072"/>
      <c r="C152" s="602" t="s">
        <v>868</v>
      </c>
      <c r="D152" s="598"/>
      <c r="E152" s="965"/>
      <c r="F152" s="945"/>
      <c r="G152" s="1357"/>
      <c r="H152" s="1358">
        <f t="shared" si="35"/>
        <v>0</v>
      </c>
      <c r="I152" s="1358"/>
      <c r="J152" s="1359">
        <f t="shared" si="36"/>
        <v>0</v>
      </c>
      <c r="K152" s="1358"/>
      <c r="L152" s="1359">
        <f t="shared" si="33"/>
        <v>0</v>
      </c>
      <c r="M152" s="1359">
        <f t="shared" si="34"/>
        <v>0</v>
      </c>
    </row>
    <row r="153" spans="1:13" s="576" customFormat="1" ht="55.9" customHeight="1">
      <c r="A153" s="947">
        <v>1</v>
      </c>
      <c r="B153" s="1070"/>
      <c r="C153" s="602" t="s">
        <v>869</v>
      </c>
      <c r="D153" s="569" t="s">
        <v>43</v>
      </c>
      <c r="E153" s="571"/>
      <c r="F153" s="571">
        <v>107.5</v>
      </c>
      <c r="G153" s="1360"/>
      <c r="H153" s="1358">
        <f t="shared" ref="H153:H171" si="37">F153*G153</f>
        <v>0</v>
      </c>
      <c r="I153" s="1365"/>
      <c r="J153" s="1359">
        <f t="shared" ref="J153:J171" si="38">F153*I153</f>
        <v>0</v>
      </c>
      <c r="K153" s="1365"/>
      <c r="L153" s="1359">
        <f t="shared" ref="L153:L171" si="39">F153*K153</f>
        <v>0</v>
      </c>
      <c r="M153" s="1359">
        <f t="shared" ref="M153:M171" si="40">H153+J153+L153</f>
        <v>0</v>
      </c>
    </row>
    <row r="154" spans="1:13" s="576" customFormat="1" ht="19.899999999999999" customHeight="1">
      <c r="A154" s="984">
        <f>A153+0.1</f>
        <v>1.1000000000000001</v>
      </c>
      <c r="B154" s="1071"/>
      <c r="C154" s="889" t="s">
        <v>12</v>
      </c>
      <c r="D154" s="598" t="s">
        <v>13</v>
      </c>
      <c r="E154" s="985">
        <f>25.8/100</f>
        <v>0.25800000000000001</v>
      </c>
      <c r="F154" s="945">
        <f>F153*E154</f>
        <v>27.734999999999999</v>
      </c>
      <c r="G154" s="1362"/>
      <c r="H154" s="1358">
        <f t="shared" si="37"/>
        <v>0</v>
      </c>
      <c r="I154" s="1358"/>
      <c r="J154" s="1359">
        <f t="shared" si="38"/>
        <v>0</v>
      </c>
      <c r="K154" s="1358"/>
      <c r="L154" s="1359">
        <f t="shared" si="39"/>
        <v>0</v>
      </c>
      <c r="M154" s="1359">
        <f t="shared" si="40"/>
        <v>0</v>
      </c>
    </row>
    <row r="155" spans="1:13" s="576" customFormat="1" ht="19.899999999999999" customHeight="1">
      <c r="A155" s="984">
        <f>A154+0.1</f>
        <v>1.2000000000000002</v>
      </c>
      <c r="B155" s="1071"/>
      <c r="C155" s="593" t="s">
        <v>117</v>
      </c>
      <c r="D155" s="986" t="s">
        <v>14</v>
      </c>
      <c r="E155" s="987">
        <f>0.16/100</f>
        <v>1.6000000000000001E-3</v>
      </c>
      <c r="F155" s="977">
        <f>F153*E155</f>
        <v>0.17200000000000001</v>
      </c>
      <c r="G155" s="1357"/>
      <c r="H155" s="1358">
        <f t="shared" si="37"/>
        <v>0</v>
      </c>
      <c r="I155" s="1358"/>
      <c r="J155" s="1359">
        <f t="shared" si="38"/>
        <v>0</v>
      </c>
      <c r="K155" s="1358"/>
      <c r="L155" s="1359">
        <f t="shared" si="39"/>
        <v>0</v>
      </c>
      <c r="M155" s="1359">
        <f t="shared" si="40"/>
        <v>0</v>
      </c>
    </row>
    <row r="156" spans="1:13" s="576" customFormat="1" ht="60" customHeight="1">
      <c r="A156" s="947">
        <v>2</v>
      </c>
      <c r="B156" s="1070"/>
      <c r="C156" s="596" t="s">
        <v>315</v>
      </c>
      <c r="D156" s="569" t="s">
        <v>104</v>
      </c>
      <c r="E156" s="571"/>
      <c r="F156" s="573">
        <f>F153*0.01*1.8</f>
        <v>1.9350000000000001</v>
      </c>
      <c r="G156" s="1360"/>
      <c r="H156" s="1358">
        <f t="shared" si="37"/>
        <v>0</v>
      </c>
      <c r="I156" s="1365"/>
      <c r="J156" s="1359">
        <f t="shared" si="38"/>
        <v>0</v>
      </c>
      <c r="K156" s="1365"/>
      <c r="L156" s="1359">
        <f t="shared" si="39"/>
        <v>0</v>
      </c>
      <c r="M156" s="1359">
        <f t="shared" si="40"/>
        <v>0</v>
      </c>
    </row>
    <row r="157" spans="1:13" s="576" customFormat="1" ht="19.899999999999999" customHeight="1">
      <c r="A157" s="984">
        <f>A156+0.1</f>
        <v>2.1</v>
      </c>
      <c r="B157" s="1071"/>
      <c r="C157" s="889" t="s">
        <v>12</v>
      </c>
      <c r="D157" s="598" t="s">
        <v>13</v>
      </c>
      <c r="E157" s="988">
        <v>0.53</v>
      </c>
      <c r="F157" s="989">
        <f>F156*E157</f>
        <v>1.0255500000000002</v>
      </c>
      <c r="G157" s="1357"/>
      <c r="H157" s="1358">
        <f t="shared" si="37"/>
        <v>0</v>
      </c>
      <c r="I157" s="1358"/>
      <c r="J157" s="1359">
        <f t="shared" si="38"/>
        <v>0</v>
      </c>
      <c r="K157" s="1358"/>
      <c r="L157" s="1359">
        <f t="shared" si="39"/>
        <v>0</v>
      </c>
      <c r="M157" s="1359">
        <f t="shared" si="40"/>
        <v>0</v>
      </c>
    </row>
    <row r="158" spans="1:13" s="576" customFormat="1" ht="19.899999999999999" customHeight="1">
      <c r="A158" s="984">
        <f>A157+0.1</f>
        <v>2.2000000000000002</v>
      </c>
      <c r="B158" s="1072"/>
      <c r="C158" s="587" t="s">
        <v>158</v>
      </c>
      <c r="D158" s="566" t="s">
        <v>104</v>
      </c>
      <c r="E158" s="990">
        <v>1</v>
      </c>
      <c r="F158" s="989">
        <f>F156*E158</f>
        <v>1.9350000000000001</v>
      </c>
      <c r="G158" s="1357"/>
      <c r="H158" s="1358">
        <f t="shared" si="37"/>
        <v>0</v>
      </c>
      <c r="I158" s="1358"/>
      <c r="J158" s="1359">
        <f t="shared" si="38"/>
        <v>0</v>
      </c>
      <c r="K158" s="1358"/>
      <c r="L158" s="1359">
        <f t="shared" si="39"/>
        <v>0</v>
      </c>
      <c r="M158" s="1359">
        <f t="shared" si="40"/>
        <v>0</v>
      </c>
    </row>
    <row r="159" spans="1:13" s="560" customFormat="1" ht="65.25" customHeight="1">
      <c r="A159" s="569">
        <v>4</v>
      </c>
      <c r="B159" s="1061"/>
      <c r="C159" s="599" t="s">
        <v>335</v>
      </c>
      <c r="D159" s="569" t="s">
        <v>828</v>
      </c>
      <c r="E159" s="571"/>
      <c r="F159" s="573">
        <f>F166*0.05</f>
        <v>5.375</v>
      </c>
      <c r="G159" s="1360"/>
      <c r="H159" s="1358">
        <f t="shared" si="37"/>
        <v>0</v>
      </c>
      <c r="I159" s="1361"/>
      <c r="J159" s="1359">
        <f t="shared" si="38"/>
        <v>0</v>
      </c>
      <c r="K159" s="1365"/>
      <c r="L159" s="1359">
        <f t="shared" si="39"/>
        <v>0</v>
      </c>
      <c r="M159" s="1359">
        <f t="shared" si="40"/>
        <v>0</v>
      </c>
    </row>
    <row r="160" spans="1:13" s="995" customFormat="1" ht="21.75" customHeight="1">
      <c r="A160" s="991">
        <f>A159+0.1</f>
        <v>4.0999999999999996</v>
      </c>
      <c r="B160" s="1062"/>
      <c r="C160" s="889" t="s">
        <v>12</v>
      </c>
      <c r="D160" s="992" t="s">
        <v>13</v>
      </c>
      <c r="E160" s="993">
        <v>5.7</v>
      </c>
      <c r="F160" s="994">
        <f>E160*F159</f>
        <v>30.637499999999999</v>
      </c>
      <c r="G160" s="1360"/>
      <c r="H160" s="1358">
        <f t="shared" si="37"/>
        <v>0</v>
      </c>
      <c r="I160" s="1358"/>
      <c r="J160" s="1359">
        <f t="shared" si="38"/>
        <v>0</v>
      </c>
      <c r="K160" s="1358"/>
      <c r="L160" s="1359">
        <f t="shared" si="39"/>
        <v>0</v>
      </c>
      <c r="M160" s="1359">
        <f t="shared" si="40"/>
        <v>0</v>
      </c>
    </row>
    <row r="161" spans="1:13" s="995" customFormat="1" ht="21.75" customHeight="1">
      <c r="A161" s="991">
        <f>A160+0.1</f>
        <v>4.1999999999999993</v>
      </c>
      <c r="B161" s="1062"/>
      <c r="C161" s="600" t="s">
        <v>51</v>
      </c>
      <c r="D161" s="586" t="s">
        <v>14</v>
      </c>
      <c r="E161" s="996">
        <v>0.17</v>
      </c>
      <c r="F161" s="994">
        <f>E161*F159</f>
        <v>0.91375000000000006</v>
      </c>
      <c r="G161" s="1360"/>
      <c r="H161" s="1358">
        <f t="shared" si="37"/>
        <v>0</v>
      </c>
      <c r="I161" s="1361"/>
      <c r="J161" s="1359">
        <f t="shared" si="38"/>
        <v>0</v>
      </c>
      <c r="K161" s="1363"/>
      <c r="L161" s="1359">
        <f t="shared" si="39"/>
        <v>0</v>
      </c>
      <c r="M161" s="1359">
        <f t="shared" si="40"/>
        <v>0</v>
      </c>
    </row>
    <row r="162" spans="1:13" s="995" customFormat="1" ht="21.75" customHeight="1">
      <c r="A162" s="991">
        <f>A161+0.1</f>
        <v>4.2999999999999989</v>
      </c>
      <c r="B162" s="1083"/>
      <c r="C162" s="997" t="s">
        <v>336</v>
      </c>
      <c r="D162" s="998" t="s">
        <v>833</v>
      </c>
      <c r="E162" s="993">
        <v>1</v>
      </c>
      <c r="F162" s="994">
        <f>E162*F159</f>
        <v>5.375</v>
      </c>
      <c r="G162" s="1362"/>
      <c r="H162" s="1358">
        <f t="shared" si="37"/>
        <v>0</v>
      </c>
      <c r="I162" s="1361"/>
      <c r="J162" s="1359">
        <f t="shared" si="38"/>
        <v>0</v>
      </c>
      <c r="K162" s="1358"/>
      <c r="L162" s="1359">
        <f t="shared" si="39"/>
        <v>0</v>
      </c>
      <c r="M162" s="1359">
        <f t="shared" si="40"/>
        <v>0</v>
      </c>
    </row>
    <row r="163" spans="1:13" s="995" customFormat="1" ht="21.75" customHeight="1">
      <c r="A163" s="991">
        <f t="shared" ref="A163:A165" si="41">A162+0.1</f>
        <v>4.3999999999999986</v>
      </c>
      <c r="B163" s="1083"/>
      <c r="C163" s="997" t="s">
        <v>323</v>
      </c>
      <c r="D163" s="998" t="s">
        <v>15</v>
      </c>
      <c r="E163" s="993">
        <v>0.1</v>
      </c>
      <c r="F163" s="994">
        <f>F159*E163</f>
        <v>0.53749999999999998</v>
      </c>
      <c r="G163" s="1362"/>
      <c r="H163" s="1358">
        <f t="shared" si="37"/>
        <v>0</v>
      </c>
      <c r="I163" s="1361"/>
      <c r="J163" s="1359">
        <f t="shared" si="38"/>
        <v>0</v>
      </c>
      <c r="K163" s="1358"/>
      <c r="L163" s="1359">
        <f t="shared" si="39"/>
        <v>0</v>
      </c>
      <c r="M163" s="1359">
        <f t="shared" si="40"/>
        <v>0</v>
      </c>
    </row>
    <row r="164" spans="1:13" s="995" customFormat="1" ht="21.75" customHeight="1">
      <c r="A164" s="991">
        <f t="shared" si="41"/>
        <v>4.4999999999999982</v>
      </c>
      <c r="B164" s="1060"/>
      <c r="C164" s="999" t="s">
        <v>83</v>
      </c>
      <c r="D164" s="998" t="s">
        <v>21</v>
      </c>
      <c r="E164" s="993">
        <v>6</v>
      </c>
      <c r="F164" s="994">
        <f>E164*F159</f>
        <v>32.25</v>
      </c>
      <c r="G164" s="1357"/>
      <c r="H164" s="1358">
        <f t="shared" si="37"/>
        <v>0</v>
      </c>
      <c r="I164" s="1361"/>
      <c r="J164" s="1359">
        <f t="shared" si="38"/>
        <v>0</v>
      </c>
      <c r="K164" s="1358"/>
      <c r="L164" s="1359">
        <f t="shared" si="39"/>
        <v>0</v>
      </c>
      <c r="M164" s="1359">
        <f t="shared" si="40"/>
        <v>0</v>
      </c>
    </row>
    <row r="165" spans="1:13" s="995" customFormat="1" ht="21.75" customHeight="1">
      <c r="A165" s="991">
        <f t="shared" si="41"/>
        <v>4.5999999999999979</v>
      </c>
      <c r="B165" s="1084"/>
      <c r="C165" s="999" t="s">
        <v>119</v>
      </c>
      <c r="D165" s="992" t="s">
        <v>14</v>
      </c>
      <c r="E165" s="996">
        <v>0.09</v>
      </c>
      <c r="F165" s="994">
        <f>E165*F159</f>
        <v>0.48374999999999996</v>
      </c>
      <c r="G165" s="1357"/>
      <c r="H165" s="1358">
        <f t="shared" si="37"/>
        <v>0</v>
      </c>
      <c r="I165" s="1361"/>
      <c r="J165" s="1359">
        <f t="shared" si="38"/>
        <v>0</v>
      </c>
      <c r="K165" s="1358"/>
      <c r="L165" s="1359">
        <f t="shared" si="39"/>
        <v>0</v>
      </c>
      <c r="M165" s="1359">
        <f t="shared" si="40"/>
        <v>0</v>
      </c>
    </row>
    <row r="166" spans="1:13" s="1000" customFormat="1" ht="50.1" customHeight="1">
      <c r="A166" s="595" t="s">
        <v>48</v>
      </c>
      <c r="B166" s="1063"/>
      <c r="C166" s="599" t="s">
        <v>334</v>
      </c>
      <c r="D166" s="595" t="s">
        <v>828</v>
      </c>
      <c r="E166" s="919"/>
      <c r="F166" s="573">
        <v>107.5</v>
      </c>
      <c r="G166" s="1360"/>
      <c r="H166" s="1358">
        <f t="shared" si="37"/>
        <v>0</v>
      </c>
      <c r="I166" s="1358"/>
      <c r="J166" s="1359">
        <f t="shared" si="38"/>
        <v>0</v>
      </c>
      <c r="K166" s="1361"/>
      <c r="L166" s="1359">
        <f t="shared" si="39"/>
        <v>0</v>
      </c>
      <c r="M166" s="1359">
        <f t="shared" si="40"/>
        <v>0</v>
      </c>
    </row>
    <row r="167" spans="1:13" s="606" customFormat="1" ht="21.75" customHeight="1">
      <c r="A167" s="880">
        <f t="shared" ref="A167:A171" si="42">A166+0.1</f>
        <v>5.0999999999999996</v>
      </c>
      <c r="B167" s="1064"/>
      <c r="C167" s="889" t="s">
        <v>12</v>
      </c>
      <c r="D167" s="598" t="s">
        <v>13</v>
      </c>
      <c r="E167" s="882">
        <v>0.74099999999999999</v>
      </c>
      <c r="F167" s="575">
        <f>E167*F166</f>
        <v>79.657499999999999</v>
      </c>
      <c r="G167" s="1357"/>
      <c r="H167" s="1358">
        <f t="shared" si="37"/>
        <v>0</v>
      </c>
      <c r="I167" s="1358"/>
      <c r="J167" s="1359">
        <f t="shared" si="38"/>
        <v>0</v>
      </c>
      <c r="K167" s="1358"/>
      <c r="L167" s="1359">
        <f t="shared" si="39"/>
        <v>0</v>
      </c>
      <c r="M167" s="1359">
        <f t="shared" si="40"/>
        <v>0</v>
      </c>
    </row>
    <row r="168" spans="1:13" s="606" customFormat="1" ht="21.75" customHeight="1">
      <c r="A168" s="880">
        <f t="shared" si="42"/>
        <v>5.1999999999999993</v>
      </c>
      <c r="B168" s="1064"/>
      <c r="C168" s="600" t="s">
        <v>51</v>
      </c>
      <c r="D168" s="586" t="s">
        <v>14</v>
      </c>
      <c r="E168" s="921">
        <v>1E-3</v>
      </c>
      <c r="F168" s="921">
        <f>E168*F166</f>
        <v>0.1075</v>
      </c>
      <c r="G168" s="1357"/>
      <c r="H168" s="1358">
        <f t="shared" si="37"/>
        <v>0</v>
      </c>
      <c r="I168" s="1358"/>
      <c r="J168" s="1359">
        <f t="shared" si="38"/>
        <v>0</v>
      </c>
      <c r="K168" s="1358"/>
      <c r="L168" s="1359">
        <f t="shared" si="39"/>
        <v>0</v>
      </c>
      <c r="M168" s="1359">
        <f t="shared" si="40"/>
        <v>0</v>
      </c>
    </row>
    <row r="169" spans="1:13" s="606" customFormat="1" ht="21.75" customHeight="1">
      <c r="A169" s="880">
        <f t="shared" si="42"/>
        <v>5.2999999999999989</v>
      </c>
      <c r="B169" s="1078"/>
      <c r="C169" s="567" t="s">
        <v>664</v>
      </c>
      <c r="D169" s="566" t="s">
        <v>21</v>
      </c>
      <c r="E169" s="882" t="s">
        <v>91</v>
      </c>
      <c r="F169" s="565">
        <f>F166*0.2</f>
        <v>21.5</v>
      </c>
      <c r="G169" s="1357"/>
      <c r="H169" s="1358">
        <f t="shared" si="37"/>
        <v>0</v>
      </c>
      <c r="I169" s="1358"/>
      <c r="J169" s="1359">
        <f t="shared" si="38"/>
        <v>0</v>
      </c>
      <c r="K169" s="1358"/>
      <c r="L169" s="1359">
        <f t="shared" si="39"/>
        <v>0</v>
      </c>
      <c r="M169" s="1359">
        <f t="shared" si="40"/>
        <v>0</v>
      </c>
    </row>
    <row r="170" spans="1:13" s="606" customFormat="1" ht="21.75" customHeight="1">
      <c r="A170" s="880">
        <f t="shared" si="42"/>
        <v>5.3999999999999986</v>
      </c>
      <c r="B170" s="1078"/>
      <c r="C170" s="567" t="s">
        <v>665</v>
      </c>
      <c r="D170" s="566" t="s">
        <v>21</v>
      </c>
      <c r="E170" s="565" t="s">
        <v>91</v>
      </c>
      <c r="F170" s="565">
        <f>F166*0.2</f>
        <v>21.5</v>
      </c>
      <c r="G170" s="1357"/>
      <c r="H170" s="1358">
        <f t="shared" si="37"/>
        <v>0</v>
      </c>
      <c r="I170" s="1358"/>
      <c r="J170" s="1359">
        <f t="shared" si="38"/>
        <v>0</v>
      </c>
      <c r="K170" s="1358"/>
      <c r="L170" s="1359">
        <f t="shared" si="39"/>
        <v>0</v>
      </c>
      <c r="M170" s="1359">
        <f t="shared" si="40"/>
        <v>0</v>
      </c>
    </row>
    <row r="171" spans="1:13" s="1000" customFormat="1" ht="21.75" customHeight="1">
      <c r="A171" s="880">
        <f t="shared" si="42"/>
        <v>5.4999999999999982</v>
      </c>
      <c r="B171" s="1064"/>
      <c r="C171" s="567" t="s">
        <v>333</v>
      </c>
      <c r="D171" s="586" t="s">
        <v>1</v>
      </c>
      <c r="E171" s="921">
        <v>1.7000000000000001E-2</v>
      </c>
      <c r="F171" s="882">
        <f>E171*F166</f>
        <v>1.8275000000000001</v>
      </c>
      <c r="G171" s="1357"/>
      <c r="H171" s="1358">
        <f t="shared" si="37"/>
        <v>0</v>
      </c>
      <c r="I171" s="1358"/>
      <c r="J171" s="1359">
        <f t="shared" si="38"/>
        <v>0</v>
      </c>
      <c r="K171" s="1361"/>
      <c r="L171" s="1359">
        <f t="shared" si="39"/>
        <v>0</v>
      </c>
      <c r="M171" s="1359">
        <f t="shared" si="40"/>
        <v>0</v>
      </c>
    </row>
    <row r="172" spans="1:13" s="606" customFormat="1" ht="48" customHeight="1">
      <c r="A172" s="983"/>
      <c r="B172" s="1072"/>
      <c r="C172" s="602" t="s">
        <v>736</v>
      </c>
      <c r="D172" s="598"/>
      <c r="E172" s="965"/>
      <c r="F172" s="945"/>
      <c r="G172" s="1357"/>
      <c r="H172" s="1358">
        <f t="shared" si="35"/>
        <v>0</v>
      </c>
      <c r="I172" s="1358"/>
      <c r="J172" s="1359">
        <f t="shared" si="36"/>
        <v>0</v>
      </c>
      <c r="K172" s="1358"/>
      <c r="L172" s="1359">
        <f t="shared" si="33"/>
        <v>0</v>
      </c>
      <c r="M172" s="1359">
        <f t="shared" si="34"/>
        <v>0</v>
      </c>
    </row>
    <row r="173" spans="1:13" s="576" customFormat="1" ht="60" customHeight="1">
      <c r="A173" s="947">
        <v>1</v>
      </c>
      <c r="B173" s="1070"/>
      <c r="C173" s="596" t="s">
        <v>311</v>
      </c>
      <c r="D173" s="569" t="s">
        <v>828</v>
      </c>
      <c r="E173" s="571"/>
      <c r="F173" s="571">
        <f>27.4+64.3</f>
        <v>91.699999999999989</v>
      </c>
      <c r="G173" s="1360"/>
      <c r="H173" s="1358">
        <f t="shared" si="35"/>
        <v>0</v>
      </c>
      <c r="I173" s="1365"/>
      <c r="J173" s="1359">
        <f t="shared" si="36"/>
        <v>0</v>
      </c>
      <c r="K173" s="1365"/>
      <c r="L173" s="1359">
        <f t="shared" si="33"/>
        <v>0</v>
      </c>
      <c r="M173" s="1359">
        <f t="shared" si="34"/>
        <v>0</v>
      </c>
    </row>
    <row r="174" spans="1:13" s="946" customFormat="1" ht="21.75" customHeight="1">
      <c r="A174" s="984">
        <f>A173+0.1</f>
        <v>1.1000000000000001</v>
      </c>
      <c r="B174" s="1071"/>
      <c r="C174" s="889" t="s">
        <v>12</v>
      </c>
      <c r="D174" s="598" t="s">
        <v>13</v>
      </c>
      <c r="E174" s="985">
        <v>1.01</v>
      </c>
      <c r="F174" s="945">
        <f>E174*F173</f>
        <v>92.61699999999999</v>
      </c>
      <c r="G174" s="1357"/>
      <c r="H174" s="1358">
        <f t="shared" si="35"/>
        <v>0</v>
      </c>
      <c r="I174" s="1358"/>
      <c r="J174" s="1359">
        <f t="shared" si="36"/>
        <v>0</v>
      </c>
      <c r="K174" s="1358"/>
      <c r="L174" s="1359">
        <f t="shared" si="33"/>
        <v>0</v>
      </c>
      <c r="M174" s="1359">
        <f t="shared" si="34"/>
        <v>0</v>
      </c>
    </row>
    <row r="175" spans="1:13" s="946" customFormat="1" ht="21.75" customHeight="1">
      <c r="A175" s="984">
        <f>A174+0.1</f>
        <v>1.2000000000000002</v>
      </c>
      <c r="B175" s="1071"/>
      <c r="C175" s="593" t="s">
        <v>117</v>
      </c>
      <c r="D175" s="586" t="s">
        <v>14</v>
      </c>
      <c r="E175" s="985">
        <v>2.7E-2</v>
      </c>
      <c r="F175" s="965">
        <f>E175*F173</f>
        <v>2.4758999999999998</v>
      </c>
      <c r="G175" s="1357"/>
      <c r="H175" s="1358">
        <f t="shared" si="35"/>
        <v>0</v>
      </c>
      <c r="I175" s="1358"/>
      <c r="J175" s="1359">
        <f t="shared" si="36"/>
        <v>0</v>
      </c>
      <c r="K175" s="1358"/>
      <c r="L175" s="1359">
        <f t="shared" si="33"/>
        <v>0</v>
      </c>
      <c r="M175" s="1359">
        <f t="shared" si="34"/>
        <v>0</v>
      </c>
    </row>
    <row r="176" spans="1:13" s="946" customFormat="1" ht="21.75" customHeight="1">
      <c r="A176" s="984">
        <f>A175+0.1</f>
        <v>1.3000000000000003</v>
      </c>
      <c r="B176" s="1064"/>
      <c r="C176" s="889" t="s">
        <v>101</v>
      </c>
      <c r="D176" s="586" t="s">
        <v>62</v>
      </c>
      <c r="E176" s="985">
        <v>4.1000000000000002E-2</v>
      </c>
      <c r="F176" s="945">
        <f>E176*F173</f>
        <v>3.7596999999999996</v>
      </c>
      <c r="G176" s="1389"/>
      <c r="H176" s="1358">
        <f t="shared" si="35"/>
        <v>0</v>
      </c>
      <c r="I176" s="1358"/>
      <c r="J176" s="1359">
        <f t="shared" si="36"/>
        <v>0</v>
      </c>
      <c r="K176" s="1390"/>
      <c r="L176" s="1359">
        <f t="shared" si="33"/>
        <v>0</v>
      </c>
      <c r="M176" s="1359">
        <f t="shared" si="34"/>
        <v>0</v>
      </c>
    </row>
    <row r="177" spans="1:13" s="950" customFormat="1" ht="21.75" customHeight="1">
      <c r="A177" s="984">
        <f>A176+0.1</f>
        <v>1.4000000000000004</v>
      </c>
      <c r="B177" s="1062"/>
      <c r="C177" s="593" t="s">
        <v>99</v>
      </c>
      <c r="D177" s="566" t="s">
        <v>61</v>
      </c>
      <c r="E177" s="928">
        <v>2.3800000000000002E-2</v>
      </c>
      <c r="F177" s="945">
        <f>E177*F173</f>
        <v>2.1824599999999998</v>
      </c>
      <c r="G177" s="1389"/>
      <c r="H177" s="1358">
        <f t="shared" si="35"/>
        <v>0</v>
      </c>
      <c r="I177" s="1358"/>
      <c r="J177" s="1359">
        <f t="shared" si="36"/>
        <v>0</v>
      </c>
      <c r="K177" s="1358"/>
      <c r="L177" s="1359">
        <f t="shared" si="33"/>
        <v>0</v>
      </c>
      <c r="M177" s="1359">
        <f t="shared" si="34"/>
        <v>0</v>
      </c>
    </row>
    <row r="178" spans="1:13" s="950" customFormat="1" ht="21.75" customHeight="1">
      <c r="A178" s="984">
        <f>A177+0.1</f>
        <v>1.5000000000000004</v>
      </c>
      <c r="B178" s="1072"/>
      <c r="C178" s="593" t="s">
        <v>119</v>
      </c>
      <c r="D178" s="598" t="s">
        <v>14</v>
      </c>
      <c r="E178" s="985">
        <v>3.0000000000000001E-3</v>
      </c>
      <c r="F178" s="945">
        <f>E178*F173</f>
        <v>0.27509999999999996</v>
      </c>
      <c r="G178" s="1357"/>
      <c r="H178" s="1358">
        <f t="shared" si="35"/>
        <v>0</v>
      </c>
      <c r="I178" s="1358"/>
      <c r="J178" s="1359">
        <f t="shared" si="36"/>
        <v>0</v>
      </c>
      <c r="K178" s="1358"/>
      <c r="L178" s="1359">
        <f t="shared" si="33"/>
        <v>0</v>
      </c>
      <c r="M178" s="1359">
        <f t="shared" si="34"/>
        <v>0</v>
      </c>
    </row>
    <row r="179" spans="1:13" s="560" customFormat="1" ht="59.25" customHeight="1">
      <c r="A179" s="569">
        <v>2</v>
      </c>
      <c r="B179" s="1061"/>
      <c r="C179" s="599" t="s">
        <v>335</v>
      </c>
      <c r="D179" s="569" t="s">
        <v>828</v>
      </c>
      <c r="E179" s="571"/>
      <c r="F179" s="571">
        <f>26.9+64.3</f>
        <v>91.199999999999989</v>
      </c>
      <c r="G179" s="1360"/>
      <c r="H179" s="1358">
        <f t="shared" si="35"/>
        <v>0</v>
      </c>
      <c r="I179" s="1361"/>
      <c r="J179" s="1359">
        <f t="shared" si="36"/>
        <v>0</v>
      </c>
      <c r="K179" s="1365"/>
      <c r="L179" s="1359">
        <f t="shared" si="33"/>
        <v>0</v>
      </c>
      <c r="M179" s="1359">
        <f t="shared" si="34"/>
        <v>0</v>
      </c>
    </row>
    <row r="180" spans="1:13" s="995" customFormat="1" ht="20.100000000000001" customHeight="1">
      <c r="A180" s="991">
        <f>A179+0.1</f>
        <v>2.1</v>
      </c>
      <c r="B180" s="1062"/>
      <c r="C180" s="889" t="s">
        <v>12</v>
      </c>
      <c r="D180" s="992" t="s">
        <v>13</v>
      </c>
      <c r="E180" s="993">
        <v>5.7</v>
      </c>
      <c r="F180" s="994">
        <f>E180*F179</f>
        <v>519.83999999999992</v>
      </c>
      <c r="G180" s="1360"/>
      <c r="H180" s="1358">
        <f t="shared" si="35"/>
        <v>0</v>
      </c>
      <c r="I180" s="1358"/>
      <c r="J180" s="1359">
        <f t="shared" si="36"/>
        <v>0</v>
      </c>
      <c r="K180" s="1358"/>
      <c r="L180" s="1359">
        <f t="shared" si="33"/>
        <v>0</v>
      </c>
      <c r="M180" s="1359">
        <f t="shared" si="34"/>
        <v>0</v>
      </c>
    </row>
    <row r="181" spans="1:13" s="995" customFormat="1" ht="26.25" customHeight="1">
      <c r="A181" s="991">
        <f>A180+0.1</f>
        <v>2.2000000000000002</v>
      </c>
      <c r="B181" s="1062"/>
      <c r="C181" s="600" t="s">
        <v>51</v>
      </c>
      <c r="D181" s="586" t="s">
        <v>14</v>
      </c>
      <c r="E181" s="996">
        <v>0.17</v>
      </c>
      <c r="F181" s="994">
        <f>E181*F179</f>
        <v>15.504</v>
      </c>
      <c r="G181" s="1360"/>
      <c r="H181" s="1358">
        <f t="shared" si="35"/>
        <v>0</v>
      </c>
      <c r="I181" s="1361"/>
      <c r="J181" s="1359">
        <f t="shared" si="36"/>
        <v>0</v>
      </c>
      <c r="K181" s="1363"/>
      <c r="L181" s="1359">
        <f t="shared" si="33"/>
        <v>0</v>
      </c>
      <c r="M181" s="1359">
        <f t="shared" si="34"/>
        <v>0</v>
      </c>
    </row>
    <row r="182" spans="1:13" s="995" customFormat="1" ht="26.25" customHeight="1">
      <c r="A182" s="991">
        <f>A181+0.1</f>
        <v>2.3000000000000003</v>
      </c>
      <c r="B182" s="1083"/>
      <c r="C182" s="997" t="s">
        <v>336</v>
      </c>
      <c r="D182" s="998" t="s">
        <v>11</v>
      </c>
      <c r="E182" s="993"/>
      <c r="F182" s="994">
        <v>26.9</v>
      </c>
      <c r="G182" s="1362"/>
      <c r="H182" s="1358">
        <f t="shared" si="35"/>
        <v>0</v>
      </c>
      <c r="I182" s="1361"/>
      <c r="J182" s="1359">
        <f t="shared" si="36"/>
        <v>0</v>
      </c>
      <c r="K182" s="1358"/>
      <c r="L182" s="1359">
        <f t="shared" si="33"/>
        <v>0</v>
      </c>
      <c r="M182" s="1359">
        <f t="shared" si="34"/>
        <v>0</v>
      </c>
    </row>
    <row r="183" spans="1:13" s="995" customFormat="1" ht="26.25" customHeight="1">
      <c r="A183" s="991">
        <f t="shared" ref="A183:A185" si="43">A182+0.1</f>
        <v>2.4000000000000004</v>
      </c>
      <c r="B183" s="1083"/>
      <c r="C183" s="997" t="s">
        <v>323</v>
      </c>
      <c r="D183" s="998" t="s">
        <v>15</v>
      </c>
      <c r="E183" s="993"/>
      <c r="F183" s="994">
        <f>(F179-F182)*0.1</f>
        <v>6.4299999999999988</v>
      </c>
      <c r="G183" s="1362"/>
      <c r="H183" s="1358">
        <f t="shared" ref="H183:H191" si="44">F183*G183</f>
        <v>0</v>
      </c>
      <c r="I183" s="1361"/>
      <c r="J183" s="1359">
        <f t="shared" ref="J183:J191" si="45">F183*I183</f>
        <v>0</v>
      </c>
      <c r="K183" s="1358"/>
      <c r="L183" s="1359">
        <f t="shared" si="33"/>
        <v>0</v>
      </c>
      <c r="M183" s="1359">
        <f t="shared" si="34"/>
        <v>0</v>
      </c>
    </row>
    <row r="184" spans="1:13" s="995" customFormat="1" ht="26.25" customHeight="1">
      <c r="A184" s="991">
        <f t="shared" si="43"/>
        <v>2.5000000000000004</v>
      </c>
      <c r="B184" s="1060"/>
      <c r="C184" s="999" t="s">
        <v>83</v>
      </c>
      <c r="D184" s="998" t="s">
        <v>21</v>
      </c>
      <c r="E184" s="993">
        <v>6</v>
      </c>
      <c r="F184" s="994">
        <f>E184*F179</f>
        <v>547.19999999999993</v>
      </c>
      <c r="G184" s="1357"/>
      <c r="H184" s="1358">
        <f t="shared" si="44"/>
        <v>0</v>
      </c>
      <c r="I184" s="1361"/>
      <c r="J184" s="1359">
        <f t="shared" si="45"/>
        <v>0</v>
      </c>
      <c r="K184" s="1358"/>
      <c r="L184" s="1359">
        <f t="shared" si="33"/>
        <v>0</v>
      </c>
      <c r="M184" s="1359">
        <f t="shared" si="34"/>
        <v>0</v>
      </c>
    </row>
    <row r="185" spans="1:13" s="995" customFormat="1" ht="26.25" customHeight="1">
      <c r="A185" s="991">
        <f t="shared" si="43"/>
        <v>2.6000000000000005</v>
      </c>
      <c r="B185" s="1084"/>
      <c r="C185" s="999" t="s">
        <v>119</v>
      </c>
      <c r="D185" s="992" t="s">
        <v>14</v>
      </c>
      <c r="E185" s="996">
        <v>0.09</v>
      </c>
      <c r="F185" s="994">
        <f>E185*F179</f>
        <v>8.2079999999999984</v>
      </c>
      <c r="G185" s="1357"/>
      <c r="H185" s="1358">
        <f t="shared" si="44"/>
        <v>0</v>
      </c>
      <c r="I185" s="1361"/>
      <c r="J185" s="1359">
        <f t="shared" si="45"/>
        <v>0</v>
      </c>
      <c r="K185" s="1358"/>
      <c r="L185" s="1359">
        <f t="shared" si="33"/>
        <v>0</v>
      </c>
      <c r="M185" s="1359">
        <f t="shared" si="34"/>
        <v>0</v>
      </c>
    </row>
    <row r="186" spans="1:13" s="1000" customFormat="1" ht="50.1" customHeight="1">
      <c r="A186" s="595" t="s">
        <v>46</v>
      </c>
      <c r="B186" s="1063"/>
      <c r="C186" s="599" t="s">
        <v>334</v>
      </c>
      <c r="D186" s="595" t="s">
        <v>828</v>
      </c>
      <c r="E186" s="919"/>
      <c r="F186" s="571">
        <f>27.4+64.3</f>
        <v>91.699999999999989</v>
      </c>
      <c r="G186" s="1360"/>
      <c r="H186" s="1358">
        <f t="shared" si="44"/>
        <v>0</v>
      </c>
      <c r="I186" s="1358"/>
      <c r="J186" s="1359">
        <f t="shared" si="45"/>
        <v>0</v>
      </c>
      <c r="K186" s="1361"/>
      <c r="L186" s="1359">
        <f t="shared" si="33"/>
        <v>0</v>
      </c>
      <c r="M186" s="1359">
        <f t="shared" ref="M186:M191" si="46">H186+J186+L186</f>
        <v>0</v>
      </c>
    </row>
    <row r="187" spans="1:13" s="606" customFormat="1" ht="18.75" customHeight="1">
      <c r="A187" s="880">
        <f t="shared" ref="A187:A191" si="47">A186+0.1</f>
        <v>3.1</v>
      </c>
      <c r="B187" s="1064"/>
      <c r="C187" s="889" t="s">
        <v>12</v>
      </c>
      <c r="D187" s="598" t="s">
        <v>13</v>
      </c>
      <c r="E187" s="882">
        <v>0.74099999999999999</v>
      </c>
      <c r="F187" s="575">
        <f>E187*F186</f>
        <v>67.949699999999993</v>
      </c>
      <c r="G187" s="1357"/>
      <c r="H187" s="1358">
        <f t="shared" si="44"/>
        <v>0</v>
      </c>
      <c r="I187" s="1358"/>
      <c r="J187" s="1359">
        <f t="shared" si="45"/>
        <v>0</v>
      </c>
      <c r="K187" s="1358"/>
      <c r="L187" s="1359">
        <f t="shared" ref="L187:L191" si="48">F187*K187</f>
        <v>0</v>
      </c>
      <c r="M187" s="1359">
        <f t="shared" si="46"/>
        <v>0</v>
      </c>
    </row>
    <row r="188" spans="1:13" s="606" customFormat="1" ht="18.75" customHeight="1">
      <c r="A188" s="880">
        <f t="shared" si="47"/>
        <v>3.2</v>
      </c>
      <c r="B188" s="1064"/>
      <c r="C188" s="600" t="s">
        <v>51</v>
      </c>
      <c r="D188" s="586" t="s">
        <v>14</v>
      </c>
      <c r="E188" s="921">
        <v>1E-3</v>
      </c>
      <c r="F188" s="921">
        <f>E188*F186</f>
        <v>9.169999999999999E-2</v>
      </c>
      <c r="G188" s="1357"/>
      <c r="H188" s="1358">
        <f t="shared" si="44"/>
        <v>0</v>
      </c>
      <c r="I188" s="1358"/>
      <c r="J188" s="1359">
        <f t="shared" si="45"/>
        <v>0</v>
      </c>
      <c r="K188" s="1358"/>
      <c r="L188" s="1359">
        <f t="shared" si="48"/>
        <v>0</v>
      </c>
      <c r="M188" s="1359">
        <f t="shared" si="46"/>
        <v>0</v>
      </c>
    </row>
    <row r="189" spans="1:13" s="606" customFormat="1" ht="18.75" customHeight="1">
      <c r="A189" s="880">
        <f t="shared" si="47"/>
        <v>3.3000000000000003</v>
      </c>
      <c r="B189" s="1078"/>
      <c r="C189" s="567" t="s">
        <v>664</v>
      </c>
      <c r="D189" s="566" t="s">
        <v>21</v>
      </c>
      <c r="E189" s="882" t="s">
        <v>91</v>
      </c>
      <c r="F189" s="565">
        <f>F186*0.2</f>
        <v>18.34</v>
      </c>
      <c r="G189" s="1357"/>
      <c r="H189" s="1358">
        <f t="shared" si="44"/>
        <v>0</v>
      </c>
      <c r="I189" s="1358"/>
      <c r="J189" s="1359">
        <f t="shared" si="45"/>
        <v>0</v>
      </c>
      <c r="K189" s="1358"/>
      <c r="L189" s="1359">
        <f t="shared" si="48"/>
        <v>0</v>
      </c>
      <c r="M189" s="1359">
        <f t="shared" si="46"/>
        <v>0</v>
      </c>
    </row>
    <row r="190" spans="1:13" s="606" customFormat="1" ht="18.75" customHeight="1">
      <c r="A190" s="880">
        <f t="shared" si="47"/>
        <v>3.4000000000000004</v>
      </c>
      <c r="B190" s="1078"/>
      <c r="C190" s="567" t="s">
        <v>665</v>
      </c>
      <c r="D190" s="566" t="s">
        <v>21</v>
      </c>
      <c r="E190" s="565" t="s">
        <v>91</v>
      </c>
      <c r="F190" s="565">
        <f>F186*0.2</f>
        <v>18.34</v>
      </c>
      <c r="G190" s="1357"/>
      <c r="H190" s="1358">
        <f t="shared" si="44"/>
        <v>0</v>
      </c>
      <c r="I190" s="1358"/>
      <c r="J190" s="1359">
        <f t="shared" si="45"/>
        <v>0</v>
      </c>
      <c r="K190" s="1358"/>
      <c r="L190" s="1359">
        <f t="shared" si="48"/>
        <v>0</v>
      </c>
      <c r="M190" s="1359">
        <f t="shared" si="46"/>
        <v>0</v>
      </c>
    </row>
    <row r="191" spans="1:13" s="1000" customFormat="1" ht="18.75" customHeight="1">
      <c r="A191" s="880">
        <f t="shared" si="47"/>
        <v>3.5000000000000004</v>
      </c>
      <c r="B191" s="1064"/>
      <c r="C191" s="567" t="s">
        <v>333</v>
      </c>
      <c r="D191" s="586" t="s">
        <v>1</v>
      </c>
      <c r="E191" s="921">
        <v>1.7000000000000001E-2</v>
      </c>
      <c r="F191" s="882">
        <f>E191*F186</f>
        <v>1.5589</v>
      </c>
      <c r="G191" s="1357"/>
      <c r="H191" s="1358">
        <f t="shared" si="44"/>
        <v>0</v>
      </c>
      <c r="I191" s="1358"/>
      <c r="J191" s="1359">
        <f t="shared" si="45"/>
        <v>0</v>
      </c>
      <c r="K191" s="1361"/>
      <c r="L191" s="1359">
        <f t="shared" si="48"/>
        <v>0</v>
      </c>
      <c r="M191" s="1359">
        <f t="shared" si="46"/>
        <v>0</v>
      </c>
    </row>
    <row r="192" spans="1:13" s="560" customFormat="1" ht="20.100000000000001" customHeight="1">
      <c r="A192" s="880"/>
      <c r="B192" s="1062"/>
      <c r="C192" s="596" t="s">
        <v>733</v>
      </c>
      <c r="D192" s="598"/>
      <c r="E192" s="564"/>
      <c r="F192" s="882"/>
      <c r="G192" s="1357"/>
      <c r="H192" s="1358">
        <f t="shared" ref="H192:H233" si="49">F192*G192</f>
        <v>0</v>
      </c>
      <c r="I192" s="1359"/>
      <c r="J192" s="1359">
        <f t="shared" ref="J192:J233" si="50">F192*I192</f>
        <v>0</v>
      </c>
      <c r="K192" s="1358"/>
      <c r="L192" s="1359">
        <f t="shared" ref="L192:L233" si="51">F192*K192</f>
        <v>0</v>
      </c>
      <c r="M192" s="1359">
        <f t="shared" ref="M192:M233" si="52">H192+J192+L192</f>
        <v>0</v>
      </c>
    </row>
    <row r="193" spans="1:13" s="955" customFormat="1" ht="44.25" customHeight="1">
      <c r="A193" s="883">
        <v>1</v>
      </c>
      <c r="B193" s="1073"/>
      <c r="C193" s="954" t="s">
        <v>214</v>
      </c>
      <c r="D193" s="588" t="s">
        <v>832</v>
      </c>
      <c r="E193" s="886"/>
      <c r="F193" s="899">
        <v>13</v>
      </c>
      <c r="G193" s="1357"/>
      <c r="H193" s="1358">
        <f t="shared" si="49"/>
        <v>0</v>
      </c>
      <c r="I193" s="1391"/>
      <c r="J193" s="1359">
        <f t="shared" si="50"/>
        <v>0</v>
      </c>
      <c r="K193" s="1391"/>
      <c r="L193" s="1359">
        <f t="shared" si="51"/>
        <v>0</v>
      </c>
      <c r="M193" s="1359">
        <f t="shared" si="52"/>
        <v>0</v>
      </c>
    </row>
    <row r="194" spans="1:13" s="603" customFormat="1" ht="19.899999999999999" customHeight="1">
      <c r="A194" s="590">
        <f>A193+0.1</f>
        <v>1.1000000000000001</v>
      </c>
      <c r="B194" s="1066"/>
      <c r="C194" s="889" t="s">
        <v>12</v>
      </c>
      <c r="D194" s="592" t="s">
        <v>13</v>
      </c>
      <c r="E194" s="886">
        <v>2.06</v>
      </c>
      <c r="F194" s="892">
        <f>F193*E194</f>
        <v>26.78</v>
      </c>
      <c r="G194" s="1357"/>
      <c r="H194" s="1358">
        <f t="shared" si="49"/>
        <v>0</v>
      </c>
      <c r="I194" s="1359"/>
      <c r="J194" s="1359">
        <f t="shared" si="50"/>
        <v>0</v>
      </c>
      <c r="K194" s="1358"/>
      <c r="L194" s="1359">
        <f t="shared" si="51"/>
        <v>0</v>
      </c>
      <c r="M194" s="1359">
        <f t="shared" si="52"/>
        <v>0</v>
      </c>
    </row>
    <row r="195" spans="1:13" s="603" customFormat="1" ht="32.25" customHeight="1">
      <c r="A195" s="962">
        <v>2</v>
      </c>
      <c r="B195" s="1077"/>
      <c r="C195" s="957" t="s">
        <v>477</v>
      </c>
      <c r="D195" s="884" t="s">
        <v>16</v>
      </c>
      <c r="E195" s="963"/>
      <c r="F195" s="964">
        <f>9*1.25</f>
        <v>11.25</v>
      </c>
      <c r="G195" s="1360"/>
      <c r="H195" s="1358">
        <f t="shared" si="49"/>
        <v>0</v>
      </c>
      <c r="I195" s="1358"/>
      <c r="J195" s="1359">
        <f t="shared" si="50"/>
        <v>0</v>
      </c>
      <c r="K195" s="1358"/>
      <c r="L195" s="1359">
        <f t="shared" si="51"/>
        <v>0</v>
      </c>
      <c r="M195" s="1359">
        <f t="shared" si="52"/>
        <v>0</v>
      </c>
    </row>
    <row r="196" spans="1:13" s="603" customFormat="1" ht="19.899999999999999" customHeight="1">
      <c r="A196" s="590">
        <f>A195+0.1</f>
        <v>2.1</v>
      </c>
      <c r="B196" s="1066"/>
      <c r="C196" s="956" t="s">
        <v>219</v>
      </c>
      <c r="D196" s="591" t="s">
        <v>16</v>
      </c>
      <c r="E196" s="892">
        <v>1</v>
      </c>
      <c r="F196" s="886">
        <f>E196*F195</f>
        <v>11.25</v>
      </c>
      <c r="G196" s="1357"/>
      <c r="H196" s="1358">
        <f t="shared" si="49"/>
        <v>0</v>
      </c>
      <c r="I196" s="1358"/>
      <c r="J196" s="1359">
        <f t="shared" si="50"/>
        <v>0</v>
      </c>
      <c r="K196" s="1358"/>
      <c r="L196" s="1359">
        <f t="shared" si="51"/>
        <v>0</v>
      </c>
      <c r="M196" s="1359">
        <f t="shared" si="52"/>
        <v>0</v>
      </c>
    </row>
    <row r="197" spans="1:13" s="561" customFormat="1" ht="59.25" customHeight="1">
      <c r="A197" s="601">
        <v>3</v>
      </c>
      <c r="B197" s="1061"/>
      <c r="C197" s="570" t="s">
        <v>73</v>
      </c>
      <c r="D197" s="569" t="s">
        <v>15</v>
      </c>
      <c r="E197" s="573"/>
      <c r="F197" s="573">
        <v>4</v>
      </c>
      <c r="G197" s="1357"/>
      <c r="H197" s="1358">
        <f t="shared" si="49"/>
        <v>0</v>
      </c>
      <c r="I197" s="1359"/>
      <c r="J197" s="1359">
        <f t="shared" si="50"/>
        <v>0</v>
      </c>
      <c r="K197" s="1359"/>
      <c r="L197" s="1359">
        <f t="shared" si="51"/>
        <v>0</v>
      </c>
      <c r="M197" s="1359">
        <f t="shared" si="52"/>
        <v>0</v>
      </c>
    </row>
    <row r="198" spans="1:13" s="561" customFormat="1" ht="19.899999999999999" customHeight="1">
      <c r="A198" s="601">
        <f>A197+0.1</f>
        <v>3.1</v>
      </c>
      <c r="B198" s="1066"/>
      <c r="C198" s="889" t="s">
        <v>12</v>
      </c>
      <c r="D198" s="566" t="s">
        <v>13</v>
      </c>
      <c r="E198" s="565">
        <v>1.21</v>
      </c>
      <c r="F198" s="565">
        <f>E198*F197</f>
        <v>4.84</v>
      </c>
      <c r="G198" s="1367"/>
      <c r="H198" s="1358">
        <f t="shared" si="49"/>
        <v>0</v>
      </c>
      <c r="I198" s="1359"/>
      <c r="J198" s="1359">
        <f t="shared" si="50"/>
        <v>0</v>
      </c>
      <c r="K198" s="1359"/>
      <c r="L198" s="1359">
        <f t="shared" si="51"/>
        <v>0</v>
      </c>
      <c r="M198" s="1359">
        <f t="shared" si="52"/>
        <v>0</v>
      </c>
    </row>
    <row r="199" spans="1:13" s="561" customFormat="1" ht="31.5" customHeight="1">
      <c r="A199" s="1001">
        <v>4</v>
      </c>
      <c r="B199" s="1085"/>
      <c r="C199" s="1003" t="s">
        <v>346</v>
      </c>
      <c r="D199" s="1002" t="s">
        <v>347</v>
      </c>
      <c r="E199" s="1004"/>
      <c r="F199" s="1004">
        <v>10.5</v>
      </c>
      <c r="G199" s="1392"/>
      <c r="H199" s="1358">
        <f t="shared" si="49"/>
        <v>0</v>
      </c>
      <c r="I199" s="1393"/>
      <c r="J199" s="1359">
        <f t="shared" si="50"/>
        <v>0</v>
      </c>
      <c r="K199" s="1394"/>
      <c r="L199" s="1359">
        <f t="shared" si="51"/>
        <v>0</v>
      </c>
      <c r="M199" s="1359">
        <f t="shared" si="52"/>
        <v>0</v>
      </c>
    </row>
    <row r="200" spans="1:13" s="561" customFormat="1">
      <c r="A200" s="991">
        <f>A199+0.1</f>
        <v>4.0999999999999996</v>
      </c>
      <c r="B200" s="1086"/>
      <c r="C200" s="889" t="s">
        <v>12</v>
      </c>
      <c r="D200" s="1005" t="s">
        <v>13</v>
      </c>
      <c r="E200" s="1006">
        <v>0.89</v>
      </c>
      <c r="F200" s="1006">
        <f>F199*E200</f>
        <v>9.3450000000000006</v>
      </c>
      <c r="G200" s="1395"/>
      <c r="H200" s="1358">
        <f t="shared" si="49"/>
        <v>0</v>
      </c>
      <c r="I200" s="1359"/>
      <c r="J200" s="1359">
        <f t="shared" si="50"/>
        <v>0</v>
      </c>
      <c r="K200" s="1393"/>
      <c r="L200" s="1359">
        <f t="shared" si="51"/>
        <v>0</v>
      </c>
      <c r="M200" s="1359">
        <f t="shared" si="52"/>
        <v>0</v>
      </c>
    </row>
    <row r="201" spans="1:13" s="561" customFormat="1">
      <c r="A201" s="991">
        <f t="shared" ref="A201:A203" si="53">A200+0.1</f>
        <v>4.1999999999999993</v>
      </c>
      <c r="B201" s="1087"/>
      <c r="C201" s="1007" t="s">
        <v>51</v>
      </c>
      <c r="D201" s="1005" t="s">
        <v>14</v>
      </c>
      <c r="E201" s="1008">
        <v>0.37</v>
      </c>
      <c r="F201" s="1006">
        <f>F199*E201</f>
        <v>3.8849999999999998</v>
      </c>
      <c r="G201" s="1395"/>
      <c r="H201" s="1358">
        <f t="shared" si="49"/>
        <v>0</v>
      </c>
      <c r="I201" s="1393"/>
      <c r="J201" s="1359">
        <f t="shared" si="50"/>
        <v>0</v>
      </c>
      <c r="K201" s="1393"/>
      <c r="L201" s="1359">
        <f t="shared" si="51"/>
        <v>0</v>
      </c>
      <c r="M201" s="1359">
        <f t="shared" si="52"/>
        <v>0</v>
      </c>
    </row>
    <row r="202" spans="1:13" s="561" customFormat="1">
      <c r="A202" s="991">
        <f t="shared" si="53"/>
        <v>4.2999999999999989</v>
      </c>
      <c r="B202" s="1087"/>
      <c r="C202" s="1007" t="s">
        <v>59</v>
      </c>
      <c r="D202" s="1005" t="s">
        <v>347</v>
      </c>
      <c r="E202" s="1008">
        <v>1.1499999999999999</v>
      </c>
      <c r="F202" s="1006">
        <f>F199*E202</f>
        <v>12.074999999999999</v>
      </c>
      <c r="G202" s="1395"/>
      <c r="H202" s="1358">
        <f t="shared" si="49"/>
        <v>0</v>
      </c>
      <c r="I202" s="1393"/>
      <c r="J202" s="1359">
        <f t="shared" si="50"/>
        <v>0</v>
      </c>
      <c r="K202" s="1393"/>
      <c r="L202" s="1359">
        <f t="shared" si="51"/>
        <v>0</v>
      </c>
      <c r="M202" s="1359">
        <f t="shared" si="52"/>
        <v>0</v>
      </c>
    </row>
    <row r="203" spans="1:13" s="561" customFormat="1">
      <c r="A203" s="991">
        <f t="shared" si="53"/>
        <v>4.3999999999999986</v>
      </c>
      <c r="B203" s="1087"/>
      <c r="C203" s="1007" t="s">
        <v>198</v>
      </c>
      <c r="D203" s="1005" t="s">
        <v>14</v>
      </c>
      <c r="E203" s="1008">
        <v>0.02</v>
      </c>
      <c r="F203" s="1006">
        <f>F199*E203</f>
        <v>0.21</v>
      </c>
      <c r="G203" s="1395"/>
      <c r="H203" s="1358">
        <f t="shared" si="49"/>
        <v>0</v>
      </c>
      <c r="I203" s="1393"/>
      <c r="J203" s="1359">
        <f t="shared" si="50"/>
        <v>0</v>
      </c>
      <c r="K203" s="1393"/>
      <c r="L203" s="1359">
        <f t="shared" si="51"/>
        <v>0</v>
      </c>
      <c r="M203" s="1359">
        <f t="shared" si="52"/>
        <v>0</v>
      </c>
    </row>
    <row r="204" spans="1:13" s="1010" customFormat="1" ht="38.25" customHeight="1">
      <c r="A204" s="1001">
        <v>6</v>
      </c>
      <c r="B204" s="1088"/>
      <c r="C204" s="1009" t="s">
        <v>870</v>
      </c>
      <c r="D204" s="1002" t="s">
        <v>347</v>
      </c>
      <c r="E204" s="1004"/>
      <c r="F204" s="1004">
        <v>24.6</v>
      </c>
      <c r="G204" s="1392"/>
      <c r="H204" s="1358">
        <f t="shared" si="49"/>
        <v>0</v>
      </c>
      <c r="I204" s="1393"/>
      <c r="J204" s="1359">
        <f t="shared" si="50"/>
        <v>0</v>
      </c>
      <c r="K204" s="1394"/>
      <c r="L204" s="1359">
        <f t="shared" si="51"/>
        <v>0</v>
      </c>
      <c r="M204" s="1359">
        <f t="shared" si="52"/>
        <v>0</v>
      </c>
    </row>
    <row r="205" spans="1:13" s="1010" customFormat="1" ht="19.899999999999999" customHeight="1">
      <c r="A205" s="991">
        <f>A204+0.1</f>
        <v>6.1</v>
      </c>
      <c r="B205" s="1087"/>
      <c r="C205" s="889" t="s">
        <v>12</v>
      </c>
      <c r="D205" s="1005" t="s">
        <v>13</v>
      </c>
      <c r="E205" s="1008">
        <v>8.01</v>
      </c>
      <c r="F205" s="1006">
        <f>F204*E205</f>
        <v>197.04599999999999</v>
      </c>
      <c r="G205" s="1395"/>
      <c r="H205" s="1358">
        <f t="shared" si="49"/>
        <v>0</v>
      </c>
      <c r="I205" s="1359"/>
      <c r="J205" s="1359">
        <f t="shared" si="50"/>
        <v>0</v>
      </c>
      <c r="K205" s="1393"/>
      <c r="L205" s="1359">
        <f t="shared" si="51"/>
        <v>0</v>
      </c>
      <c r="M205" s="1359">
        <f t="shared" si="52"/>
        <v>0</v>
      </c>
    </row>
    <row r="206" spans="1:13" s="1010" customFormat="1" ht="19.899999999999999" customHeight="1">
      <c r="A206" s="991">
        <f t="shared" ref="A206:A210" si="54">A205+0.1</f>
        <v>6.1999999999999993</v>
      </c>
      <c r="B206" s="1087"/>
      <c r="C206" s="1007" t="s">
        <v>51</v>
      </c>
      <c r="D206" s="1005" t="s">
        <v>14</v>
      </c>
      <c r="E206" s="1008">
        <v>1.23</v>
      </c>
      <c r="F206" s="1006">
        <f>F204*E206</f>
        <v>30.258000000000003</v>
      </c>
      <c r="G206" s="1395"/>
      <c r="H206" s="1358">
        <f t="shared" si="49"/>
        <v>0</v>
      </c>
      <c r="I206" s="1393"/>
      <c r="J206" s="1359">
        <f t="shared" si="50"/>
        <v>0</v>
      </c>
      <c r="K206" s="1393"/>
      <c r="L206" s="1359">
        <f t="shared" si="51"/>
        <v>0</v>
      </c>
      <c r="M206" s="1359">
        <f t="shared" si="52"/>
        <v>0</v>
      </c>
    </row>
    <row r="207" spans="1:13" s="1010" customFormat="1" ht="19.899999999999999" customHeight="1">
      <c r="A207" s="991">
        <f t="shared" si="54"/>
        <v>6.2999999999999989</v>
      </c>
      <c r="B207" s="1092"/>
      <c r="C207" s="1022" t="s">
        <v>762</v>
      </c>
      <c r="D207" s="1005" t="s">
        <v>177</v>
      </c>
      <c r="E207" s="1008" t="s">
        <v>20</v>
      </c>
      <c r="F207" s="1006">
        <v>175.5</v>
      </c>
      <c r="G207" s="1395"/>
      <c r="H207" s="1358">
        <f t="shared" si="49"/>
        <v>0</v>
      </c>
      <c r="I207" s="1393"/>
      <c r="J207" s="1359"/>
      <c r="K207" s="1393"/>
      <c r="L207" s="1359">
        <f t="shared" si="51"/>
        <v>0</v>
      </c>
      <c r="M207" s="1359">
        <f t="shared" si="52"/>
        <v>0</v>
      </c>
    </row>
    <row r="208" spans="1:13" s="1010" customFormat="1" ht="19.899999999999999" customHeight="1">
      <c r="A208" s="991">
        <f>A207+0.1</f>
        <v>6.3999999999999986</v>
      </c>
      <c r="B208" s="1090"/>
      <c r="C208" s="1281" t="s">
        <v>871</v>
      </c>
      <c r="D208" s="1280" t="s">
        <v>131</v>
      </c>
      <c r="E208" s="1008"/>
      <c r="F208" s="1006">
        <v>1.3</v>
      </c>
      <c r="G208" s="1395"/>
      <c r="H208" s="1358">
        <f t="shared" ref="H208" si="55">F208*G208</f>
        <v>0</v>
      </c>
      <c r="I208" s="1393"/>
      <c r="J208" s="1359"/>
      <c r="K208" s="1393"/>
      <c r="L208" s="1359">
        <f t="shared" ref="L208" si="56">F208*K208</f>
        <v>0</v>
      </c>
      <c r="M208" s="1359">
        <f t="shared" ref="M208" si="57">H208+J208+L208</f>
        <v>0</v>
      </c>
    </row>
    <row r="209" spans="1:13" s="1010" customFormat="1" ht="19.899999999999999" customHeight="1">
      <c r="A209" s="991">
        <f t="shared" si="54"/>
        <v>6.4999999999999982</v>
      </c>
      <c r="B209" s="1062"/>
      <c r="C209" s="903" t="s">
        <v>18</v>
      </c>
      <c r="D209" s="1005" t="s">
        <v>107</v>
      </c>
      <c r="E209" s="1008">
        <v>1.28</v>
      </c>
      <c r="F209" s="1006">
        <f>F204*E209</f>
        <v>31.488000000000003</v>
      </c>
      <c r="G209" s="1380"/>
      <c r="H209" s="1358">
        <f t="shared" si="49"/>
        <v>0</v>
      </c>
      <c r="I209" s="1393"/>
      <c r="J209" s="1359">
        <f t="shared" si="50"/>
        <v>0</v>
      </c>
      <c r="K209" s="1393"/>
      <c r="L209" s="1359">
        <f t="shared" si="51"/>
        <v>0</v>
      </c>
      <c r="M209" s="1359">
        <f t="shared" si="52"/>
        <v>0</v>
      </c>
    </row>
    <row r="210" spans="1:13" s="1010" customFormat="1" ht="19.899999999999999" customHeight="1">
      <c r="A210" s="991">
        <f t="shared" si="54"/>
        <v>6.5999999999999979</v>
      </c>
      <c r="B210" s="1087"/>
      <c r="C210" s="1007" t="s">
        <v>198</v>
      </c>
      <c r="D210" s="1005" t="s">
        <v>14</v>
      </c>
      <c r="E210" s="1006">
        <v>2.96</v>
      </c>
      <c r="F210" s="1006">
        <f>F204*E210</f>
        <v>72.816000000000003</v>
      </c>
      <c r="G210" s="1395"/>
      <c r="H210" s="1358">
        <f t="shared" si="49"/>
        <v>0</v>
      </c>
      <c r="I210" s="1393"/>
      <c r="J210" s="1359">
        <f t="shared" si="50"/>
        <v>0</v>
      </c>
      <c r="K210" s="1393"/>
      <c r="L210" s="1359">
        <f t="shared" si="51"/>
        <v>0</v>
      </c>
      <c r="M210" s="1359">
        <f t="shared" si="52"/>
        <v>0</v>
      </c>
    </row>
    <row r="211" spans="1:13" s="561" customFormat="1" ht="61.5" customHeight="1">
      <c r="A211" s="918">
        <v>7</v>
      </c>
      <c r="B211" s="1061"/>
      <c r="C211" s="570" t="s">
        <v>239</v>
      </c>
      <c r="D211" s="601" t="s">
        <v>121</v>
      </c>
      <c r="E211" s="1011"/>
      <c r="F211" s="1012">
        <v>210</v>
      </c>
      <c r="G211" s="1396"/>
      <c r="H211" s="1358">
        <f t="shared" si="49"/>
        <v>0</v>
      </c>
      <c r="I211" s="1361"/>
      <c r="J211" s="1359">
        <f t="shared" si="50"/>
        <v>0</v>
      </c>
      <c r="K211" s="1361"/>
      <c r="L211" s="1359">
        <f t="shared" si="51"/>
        <v>0</v>
      </c>
      <c r="M211" s="1359">
        <f t="shared" si="52"/>
        <v>0</v>
      </c>
    </row>
    <row r="212" spans="1:13" s="561" customFormat="1" ht="19.899999999999999" customHeight="1">
      <c r="A212" s="597">
        <f>A211+0.1</f>
        <v>7.1</v>
      </c>
      <c r="B212" s="1066"/>
      <c r="C212" s="889" t="s">
        <v>12</v>
      </c>
      <c r="D212" s="566" t="s">
        <v>60</v>
      </c>
      <c r="E212" s="1013">
        <f>33.6/100</f>
        <v>0.33600000000000002</v>
      </c>
      <c r="F212" s="1014">
        <f>E212*F211</f>
        <v>70.56</v>
      </c>
      <c r="G212" s="1367"/>
      <c r="H212" s="1358">
        <f t="shared" si="49"/>
        <v>0</v>
      </c>
      <c r="I212" s="1359"/>
      <c r="J212" s="1359">
        <f t="shared" si="50"/>
        <v>0</v>
      </c>
      <c r="K212" s="1359"/>
      <c r="L212" s="1359">
        <f t="shared" si="51"/>
        <v>0</v>
      </c>
      <c r="M212" s="1359">
        <f t="shared" si="52"/>
        <v>0</v>
      </c>
    </row>
    <row r="213" spans="1:13" s="561" customFormat="1" ht="19.899999999999999" customHeight="1">
      <c r="A213" s="597">
        <f t="shared" ref="A213:A215" si="58">A212+0.1</f>
        <v>7.1999999999999993</v>
      </c>
      <c r="B213" s="1066"/>
      <c r="C213" s="1015" t="s">
        <v>140</v>
      </c>
      <c r="D213" s="566" t="s">
        <v>14</v>
      </c>
      <c r="E213" s="1016">
        <f>1.5/100</f>
        <v>1.4999999999999999E-2</v>
      </c>
      <c r="F213" s="1014">
        <f>F211*E213</f>
        <v>3.15</v>
      </c>
      <c r="G213" s="1367"/>
      <c r="H213" s="1358">
        <f t="shared" si="49"/>
        <v>0</v>
      </c>
      <c r="I213" s="1359"/>
      <c r="J213" s="1359">
        <f t="shared" si="50"/>
        <v>0</v>
      </c>
      <c r="K213" s="1358"/>
      <c r="L213" s="1359">
        <f t="shared" si="51"/>
        <v>0</v>
      </c>
      <c r="M213" s="1359">
        <f t="shared" si="52"/>
        <v>0</v>
      </c>
    </row>
    <row r="214" spans="1:13" s="561" customFormat="1" ht="19.899999999999999" customHeight="1">
      <c r="A214" s="597">
        <f t="shared" si="58"/>
        <v>7.2999999999999989</v>
      </c>
      <c r="B214" s="1089"/>
      <c r="C214" s="567" t="s">
        <v>238</v>
      </c>
      <c r="D214" s="566" t="s">
        <v>104</v>
      </c>
      <c r="E214" s="1016">
        <f>0.24/100</f>
        <v>2.3999999999999998E-3</v>
      </c>
      <c r="F214" s="1014">
        <f>F211*E214</f>
        <v>0.504</v>
      </c>
      <c r="G214" s="1367"/>
      <c r="H214" s="1358">
        <f t="shared" si="49"/>
        <v>0</v>
      </c>
      <c r="I214" s="1359"/>
      <c r="J214" s="1359">
        <f t="shared" si="50"/>
        <v>0</v>
      </c>
      <c r="K214" s="1359"/>
      <c r="L214" s="1359">
        <f t="shared" si="51"/>
        <v>0</v>
      </c>
      <c r="M214" s="1359">
        <f t="shared" si="52"/>
        <v>0</v>
      </c>
    </row>
    <row r="215" spans="1:13" s="561" customFormat="1" ht="19.899999999999999" customHeight="1">
      <c r="A215" s="597">
        <f t="shared" si="58"/>
        <v>7.3999999999999986</v>
      </c>
      <c r="B215" s="1090"/>
      <c r="C215" s="567" t="s">
        <v>65</v>
      </c>
      <c r="D215" s="566" t="s">
        <v>14</v>
      </c>
      <c r="E215" s="1016">
        <f>2.28/100</f>
        <v>2.2799999999999997E-2</v>
      </c>
      <c r="F215" s="1014">
        <f>F211*E215</f>
        <v>4.7879999999999994</v>
      </c>
      <c r="G215" s="1367"/>
      <c r="H215" s="1358">
        <f t="shared" si="49"/>
        <v>0</v>
      </c>
      <c r="I215" s="1359"/>
      <c r="J215" s="1359">
        <f t="shared" si="50"/>
        <v>0</v>
      </c>
      <c r="K215" s="1359"/>
      <c r="L215" s="1359">
        <f t="shared" si="51"/>
        <v>0</v>
      </c>
      <c r="M215" s="1359">
        <f t="shared" si="52"/>
        <v>0</v>
      </c>
    </row>
    <row r="216" spans="1:13" s="1010" customFormat="1" ht="42" customHeight="1">
      <c r="A216" s="1017">
        <v>8</v>
      </c>
      <c r="B216" s="1091"/>
      <c r="C216" s="1003" t="s">
        <v>740</v>
      </c>
      <c r="D216" s="1018" t="s">
        <v>64</v>
      </c>
      <c r="E216" s="1019"/>
      <c r="F216" s="1019">
        <f>2.243+4.486</f>
        <v>6.7289999999999992</v>
      </c>
      <c r="G216" s="1397"/>
      <c r="H216" s="1358">
        <f t="shared" si="49"/>
        <v>0</v>
      </c>
      <c r="I216" s="1393"/>
      <c r="J216" s="1359">
        <f t="shared" si="50"/>
        <v>0</v>
      </c>
      <c r="K216" s="1398"/>
      <c r="L216" s="1359">
        <f t="shared" si="51"/>
        <v>0</v>
      </c>
      <c r="M216" s="1359">
        <f t="shared" si="52"/>
        <v>0</v>
      </c>
    </row>
    <row r="217" spans="1:13" s="1010" customFormat="1" ht="19.899999999999999" customHeight="1">
      <c r="A217" s="991">
        <f>A216+0.1</f>
        <v>8.1</v>
      </c>
      <c r="B217" s="1087"/>
      <c r="C217" s="889" t="s">
        <v>12</v>
      </c>
      <c r="D217" s="1005" t="s">
        <v>64</v>
      </c>
      <c r="E217" s="1008">
        <f>34.9*0.5</f>
        <v>17.45</v>
      </c>
      <c r="F217" s="1006">
        <f>F216*E217</f>
        <v>117.42104999999998</v>
      </c>
      <c r="G217" s="1395"/>
      <c r="H217" s="1358">
        <f t="shared" si="49"/>
        <v>0</v>
      </c>
      <c r="I217" s="1359"/>
      <c r="J217" s="1359">
        <f t="shared" si="50"/>
        <v>0</v>
      </c>
      <c r="K217" s="1393"/>
      <c r="L217" s="1359">
        <f t="shared" si="51"/>
        <v>0</v>
      </c>
      <c r="M217" s="1359">
        <f t="shared" si="52"/>
        <v>0</v>
      </c>
    </row>
    <row r="218" spans="1:13" s="1010" customFormat="1" ht="19.899999999999999" customHeight="1">
      <c r="A218" s="991">
        <f t="shared" ref="A218:A221" si="59">A217+0.1</f>
        <v>8.1999999999999993</v>
      </c>
      <c r="B218" s="1087"/>
      <c r="C218" s="1007" t="s">
        <v>51</v>
      </c>
      <c r="D218" s="1005" t="s">
        <v>14</v>
      </c>
      <c r="E218" s="1008">
        <v>4.07</v>
      </c>
      <c r="F218" s="1006">
        <f>F216*E218</f>
        <v>27.387029999999999</v>
      </c>
      <c r="G218" s="1395"/>
      <c r="H218" s="1358">
        <f t="shared" si="49"/>
        <v>0</v>
      </c>
      <c r="I218" s="1393"/>
      <c r="J218" s="1359">
        <f t="shared" si="50"/>
        <v>0</v>
      </c>
      <c r="K218" s="1393"/>
      <c r="L218" s="1359">
        <f t="shared" si="51"/>
        <v>0</v>
      </c>
      <c r="M218" s="1359">
        <f t="shared" si="52"/>
        <v>0</v>
      </c>
    </row>
    <row r="219" spans="1:13" s="1010" customFormat="1" ht="19.899999999999999" customHeight="1">
      <c r="A219" s="991">
        <f t="shared" si="59"/>
        <v>8.2999999999999989</v>
      </c>
      <c r="B219" s="1087"/>
      <c r="C219" s="1007" t="s">
        <v>348</v>
      </c>
      <c r="D219" s="1005" t="s">
        <v>64</v>
      </c>
      <c r="E219" s="1008">
        <v>1</v>
      </c>
      <c r="F219" s="1020">
        <f>F216*E219</f>
        <v>6.7289999999999992</v>
      </c>
      <c r="G219" s="1395"/>
      <c r="H219" s="1358">
        <f t="shared" si="49"/>
        <v>0</v>
      </c>
      <c r="I219" s="1393"/>
      <c r="J219" s="1359">
        <f t="shared" si="50"/>
        <v>0</v>
      </c>
      <c r="K219" s="1393"/>
      <c r="L219" s="1359">
        <f t="shared" si="51"/>
        <v>0</v>
      </c>
      <c r="M219" s="1359">
        <f t="shared" si="52"/>
        <v>0</v>
      </c>
    </row>
    <row r="220" spans="1:13" s="1010" customFormat="1" ht="19.899999999999999" customHeight="1">
      <c r="A220" s="991">
        <f t="shared" si="59"/>
        <v>8.3999999999999986</v>
      </c>
      <c r="B220" s="1087"/>
      <c r="C220" s="1007" t="s">
        <v>79</v>
      </c>
      <c r="D220" s="1005" t="s">
        <v>349</v>
      </c>
      <c r="E220" s="1008">
        <v>15.2</v>
      </c>
      <c r="F220" s="1006">
        <f>F216*E220</f>
        <v>102.28079999999999</v>
      </c>
      <c r="G220" s="1395"/>
      <c r="H220" s="1358">
        <f t="shared" si="49"/>
        <v>0</v>
      </c>
      <c r="I220" s="1393"/>
      <c r="J220" s="1359">
        <f t="shared" si="50"/>
        <v>0</v>
      </c>
      <c r="K220" s="1393"/>
      <c r="L220" s="1359">
        <f t="shared" si="51"/>
        <v>0</v>
      </c>
      <c r="M220" s="1359">
        <f t="shared" si="52"/>
        <v>0</v>
      </c>
    </row>
    <row r="221" spans="1:13" s="1010" customFormat="1" ht="19.899999999999999" customHeight="1">
      <c r="A221" s="991">
        <f t="shared" si="59"/>
        <v>8.4999999999999982</v>
      </c>
      <c r="B221" s="1092"/>
      <c r="C221" s="1022" t="s">
        <v>198</v>
      </c>
      <c r="D221" s="1021" t="s">
        <v>14</v>
      </c>
      <c r="E221" s="1023">
        <v>2.78</v>
      </c>
      <c r="F221" s="1024">
        <f>F216*E221</f>
        <v>18.706619999999997</v>
      </c>
      <c r="G221" s="1395"/>
      <c r="H221" s="1358">
        <f t="shared" si="49"/>
        <v>0</v>
      </c>
      <c r="I221" s="1393"/>
      <c r="J221" s="1359">
        <f t="shared" si="50"/>
        <v>0</v>
      </c>
      <c r="K221" s="1399"/>
      <c r="L221" s="1359">
        <f t="shared" si="51"/>
        <v>0</v>
      </c>
      <c r="M221" s="1359">
        <f t="shared" si="52"/>
        <v>0</v>
      </c>
    </row>
    <row r="222" spans="1:13" s="1029" customFormat="1" ht="50.1" customHeight="1">
      <c r="A222" s="1025" t="s">
        <v>128</v>
      </c>
      <c r="B222" s="1093"/>
      <c r="C222" s="1026" t="s">
        <v>22</v>
      </c>
      <c r="D222" s="1025" t="s">
        <v>828</v>
      </c>
      <c r="E222" s="1027"/>
      <c r="F222" s="1028">
        <v>186</v>
      </c>
      <c r="G222" s="1360"/>
      <c r="H222" s="1358">
        <f t="shared" si="49"/>
        <v>0</v>
      </c>
      <c r="I222" s="1361"/>
      <c r="J222" s="1359">
        <f t="shared" si="50"/>
        <v>0</v>
      </c>
      <c r="K222" s="1361"/>
      <c r="L222" s="1359">
        <f t="shared" si="51"/>
        <v>0</v>
      </c>
      <c r="M222" s="1359">
        <f t="shared" si="52"/>
        <v>0</v>
      </c>
    </row>
    <row r="223" spans="1:13" s="995" customFormat="1" ht="20.100000000000001" customHeight="1">
      <c r="A223" s="991">
        <f>A222+0.1</f>
        <v>9.1</v>
      </c>
      <c r="B223" s="1071"/>
      <c r="C223" s="889" t="s">
        <v>12</v>
      </c>
      <c r="D223" s="598" t="s">
        <v>13</v>
      </c>
      <c r="E223" s="1030">
        <v>3.1E-2</v>
      </c>
      <c r="F223" s="1031">
        <f>E223*F222</f>
        <v>5.766</v>
      </c>
      <c r="G223" s="1357"/>
      <c r="H223" s="1358">
        <f t="shared" si="49"/>
        <v>0</v>
      </c>
      <c r="I223" s="1359"/>
      <c r="J223" s="1359">
        <f t="shared" si="50"/>
        <v>0</v>
      </c>
      <c r="K223" s="1358"/>
      <c r="L223" s="1359">
        <f t="shared" si="51"/>
        <v>0</v>
      </c>
      <c r="M223" s="1359">
        <f t="shared" si="52"/>
        <v>0</v>
      </c>
    </row>
    <row r="224" spans="1:13" s="995" customFormat="1" ht="20.100000000000001" customHeight="1">
      <c r="A224" s="991">
        <f>A223+0.1</f>
        <v>9.1999999999999993</v>
      </c>
      <c r="B224" s="1071"/>
      <c r="C224" s="593" t="s">
        <v>117</v>
      </c>
      <c r="D224" s="586" t="s">
        <v>14</v>
      </c>
      <c r="E224" s="1030">
        <v>2E-3</v>
      </c>
      <c r="F224" s="1032">
        <f>E224*F222</f>
        <v>0.372</v>
      </c>
      <c r="G224" s="1362"/>
      <c r="H224" s="1358">
        <f t="shared" si="49"/>
        <v>0</v>
      </c>
      <c r="I224" s="1361"/>
      <c r="J224" s="1359">
        <f t="shared" si="50"/>
        <v>0</v>
      </c>
      <c r="K224" s="1358"/>
      <c r="L224" s="1359">
        <f t="shared" si="51"/>
        <v>0</v>
      </c>
      <c r="M224" s="1359">
        <f t="shared" si="52"/>
        <v>0</v>
      </c>
    </row>
    <row r="225" spans="1:13" s="995" customFormat="1" ht="20.100000000000001" customHeight="1">
      <c r="A225" s="991">
        <f>A224+0.1</f>
        <v>9.2999999999999989</v>
      </c>
      <c r="B225" s="1083"/>
      <c r="C225" s="895" t="s">
        <v>24</v>
      </c>
      <c r="D225" s="998" t="s">
        <v>21</v>
      </c>
      <c r="E225" s="1030">
        <v>0.15</v>
      </c>
      <c r="F225" s="1031">
        <f>E225*F222</f>
        <v>27.9</v>
      </c>
      <c r="G225" s="1357"/>
      <c r="H225" s="1358">
        <f t="shared" si="49"/>
        <v>0</v>
      </c>
      <c r="I225" s="1361"/>
      <c r="J225" s="1359">
        <f t="shared" si="50"/>
        <v>0</v>
      </c>
      <c r="K225" s="1358"/>
      <c r="L225" s="1359">
        <f t="shared" si="51"/>
        <v>0</v>
      </c>
      <c r="M225" s="1359">
        <f t="shared" si="52"/>
        <v>0</v>
      </c>
    </row>
    <row r="226" spans="1:13" s="995" customFormat="1" ht="20.100000000000001" customHeight="1">
      <c r="A226" s="991">
        <f>A225+0.1</f>
        <v>9.3999999999999986</v>
      </c>
      <c r="B226" s="1083"/>
      <c r="C226" s="895" t="s">
        <v>25</v>
      </c>
      <c r="D226" s="998" t="s">
        <v>21</v>
      </c>
      <c r="E226" s="1030">
        <v>1.4999999999999999E-2</v>
      </c>
      <c r="F226" s="1031">
        <f>F222*E226</f>
        <v>2.79</v>
      </c>
      <c r="G226" s="1357"/>
      <c r="H226" s="1358">
        <f t="shared" si="49"/>
        <v>0</v>
      </c>
      <c r="I226" s="1361"/>
      <c r="J226" s="1359">
        <f t="shared" si="50"/>
        <v>0</v>
      </c>
      <c r="K226" s="1358"/>
      <c r="L226" s="1359">
        <f t="shared" si="51"/>
        <v>0</v>
      </c>
      <c r="M226" s="1359">
        <f t="shared" si="52"/>
        <v>0</v>
      </c>
    </row>
    <row r="227" spans="1:13" s="1029" customFormat="1" ht="50.1" customHeight="1">
      <c r="A227" s="1025" t="s">
        <v>129</v>
      </c>
      <c r="B227" s="1093"/>
      <c r="C227" s="1026" t="s">
        <v>26</v>
      </c>
      <c r="D227" s="1025" t="s">
        <v>828</v>
      </c>
      <c r="E227" s="1027"/>
      <c r="F227" s="1028">
        <v>186</v>
      </c>
      <c r="G227" s="1360"/>
      <c r="H227" s="1358">
        <f t="shared" si="49"/>
        <v>0</v>
      </c>
      <c r="I227" s="1361"/>
      <c r="J227" s="1359">
        <f t="shared" si="50"/>
        <v>0</v>
      </c>
      <c r="K227" s="1361"/>
      <c r="L227" s="1359">
        <f t="shared" si="51"/>
        <v>0</v>
      </c>
      <c r="M227" s="1359">
        <f t="shared" si="52"/>
        <v>0</v>
      </c>
    </row>
    <row r="228" spans="1:13" s="995" customFormat="1" ht="20.100000000000001" customHeight="1">
      <c r="A228" s="991">
        <f>A227+0.1</f>
        <v>10.1</v>
      </c>
      <c r="B228" s="1071"/>
      <c r="C228" s="889" t="s">
        <v>12</v>
      </c>
      <c r="D228" s="598" t="s">
        <v>13</v>
      </c>
      <c r="E228" s="1030">
        <v>0.68</v>
      </c>
      <c r="F228" s="1031">
        <f>E228*F227</f>
        <v>126.48</v>
      </c>
      <c r="G228" s="1357"/>
      <c r="H228" s="1358">
        <f t="shared" si="49"/>
        <v>0</v>
      </c>
      <c r="I228" s="1359"/>
      <c r="J228" s="1359">
        <f t="shared" si="50"/>
        <v>0</v>
      </c>
      <c r="K228" s="1358"/>
      <c r="L228" s="1359">
        <f t="shared" si="51"/>
        <v>0</v>
      </c>
      <c r="M228" s="1359">
        <f t="shared" si="52"/>
        <v>0</v>
      </c>
    </row>
    <row r="229" spans="1:13" s="995" customFormat="1" ht="20.100000000000001" customHeight="1">
      <c r="A229" s="991">
        <f>A228+0.1</f>
        <v>10.199999999999999</v>
      </c>
      <c r="B229" s="1071"/>
      <c r="C229" s="593" t="s">
        <v>117</v>
      </c>
      <c r="D229" s="586" t="s">
        <v>14</v>
      </c>
      <c r="E229" s="1032">
        <v>2.9999999999999997E-4</v>
      </c>
      <c r="F229" s="1032">
        <f>E229*F227</f>
        <v>5.5799999999999995E-2</v>
      </c>
      <c r="G229" s="1362"/>
      <c r="H229" s="1358">
        <f t="shared" si="49"/>
        <v>0</v>
      </c>
      <c r="I229" s="1361"/>
      <c r="J229" s="1359">
        <f t="shared" si="50"/>
        <v>0</v>
      </c>
      <c r="K229" s="1358"/>
      <c r="L229" s="1359">
        <f t="shared" si="51"/>
        <v>0</v>
      </c>
      <c r="M229" s="1359">
        <f t="shared" si="52"/>
        <v>0</v>
      </c>
    </row>
    <row r="230" spans="1:13" s="995" customFormat="1" ht="20.100000000000001" customHeight="1">
      <c r="A230" s="991">
        <f>A229+0.1</f>
        <v>10.299999999999999</v>
      </c>
      <c r="B230" s="1083"/>
      <c r="C230" s="895" t="s">
        <v>246</v>
      </c>
      <c r="D230" s="998" t="s">
        <v>21</v>
      </c>
      <c r="E230" s="1030">
        <v>0.246</v>
      </c>
      <c r="F230" s="1031">
        <f>E230*F227</f>
        <v>45.756</v>
      </c>
      <c r="G230" s="1357"/>
      <c r="H230" s="1358">
        <f t="shared" si="49"/>
        <v>0</v>
      </c>
      <c r="I230" s="1361"/>
      <c r="J230" s="1359">
        <f t="shared" si="50"/>
        <v>0</v>
      </c>
      <c r="K230" s="1358"/>
      <c r="L230" s="1359">
        <f t="shared" si="51"/>
        <v>0</v>
      </c>
      <c r="M230" s="1359">
        <f t="shared" si="52"/>
        <v>0</v>
      </c>
    </row>
    <row r="231" spans="1:13" s="995" customFormat="1" ht="20.100000000000001" customHeight="1">
      <c r="A231" s="991">
        <f>A230+0.1</f>
        <v>10.399999999999999</v>
      </c>
      <c r="B231" s="1083"/>
      <c r="C231" s="895" t="s">
        <v>28</v>
      </c>
      <c r="D231" s="998" t="s">
        <v>21</v>
      </c>
      <c r="E231" s="1030">
        <f>2.7/100</f>
        <v>2.7000000000000003E-2</v>
      </c>
      <c r="F231" s="1031">
        <f>F227*E231</f>
        <v>5.0220000000000002</v>
      </c>
      <c r="G231" s="1357"/>
      <c r="H231" s="1358">
        <f t="shared" si="49"/>
        <v>0</v>
      </c>
      <c r="I231" s="1361"/>
      <c r="J231" s="1359">
        <f t="shared" si="50"/>
        <v>0</v>
      </c>
      <c r="K231" s="1358"/>
      <c r="L231" s="1359">
        <f t="shared" si="51"/>
        <v>0</v>
      </c>
      <c r="M231" s="1359">
        <f t="shared" si="52"/>
        <v>0</v>
      </c>
    </row>
    <row r="232" spans="1:13" s="1034" customFormat="1" ht="20.100000000000001" customHeight="1">
      <c r="A232" s="991">
        <f>A231+0.1</f>
        <v>10.499999999999998</v>
      </c>
      <c r="B232" s="1072"/>
      <c r="C232" s="1033" t="s">
        <v>119</v>
      </c>
      <c r="D232" s="992" t="s">
        <v>14</v>
      </c>
      <c r="E232" s="1032">
        <v>1.9E-3</v>
      </c>
      <c r="F232" s="1030">
        <f>E232*F227</f>
        <v>0.35339999999999999</v>
      </c>
      <c r="G232" s="1357"/>
      <c r="H232" s="1358">
        <f t="shared" si="49"/>
        <v>0</v>
      </c>
      <c r="I232" s="1361"/>
      <c r="J232" s="1359">
        <f t="shared" si="50"/>
        <v>0</v>
      </c>
      <c r="K232" s="1358"/>
      <c r="L232" s="1359">
        <f t="shared" si="51"/>
        <v>0</v>
      </c>
      <c r="M232" s="1359">
        <f t="shared" si="52"/>
        <v>0</v>
      </c>
    </row>
    <row r="233" spans="1:13" s="1034" customFormat="1" ht="20.100000000000001" customHeight="1">
      <c r="A233" s="991"/>
      <c r="B233" s="1072"/>
      <c r="C233" s="1026" t="s">
        <v>734</v>
      </c>
      <c r="D233" s="992"/>
      <c r="E233" s="1032"/>
      <c r="F233" s="1030"/>
      <c r="G233" s="1357"/>
      <c r="H233" s="1358">
        <f t="shared" si="49"/>
        <v>0</v>
      </c>
      <c r="I233" s="1361"/>
      <c r="J233" s="1359">
        <f t="shared" si="50"/>
        <v>0</v>
      </c>
      <c r="K233" s="1358"/>
      <c r="L233" s="1359">
        <f t="shared" si="51"/>
        <v>0</v>
      </c>
      <c r="M233" s="1359">
        <f t="shared" si="52"/>
        <v>0</v>
      </c>
    </row>
    <row r="234" spans="1:13" s="1034" customFormat="1" ht="46.9" customHeight="1">
      <c r="A234" s="1001">
        <v>1</v>
      </c>
      <c r="B234" s="1085"/>
      <c r="C234" s="1003" t="s">
        <v>346</v>
      </c>
      <c r="D234" s="1002" t="s">
        <v>347</v>
      </c>
      <c r="E234" s="1004"/>
      <c r="F234" s="1004">
        <v>0.15</v>
      </c>
      <c r="G234" s="1392"/>
      <c r="H234" s="1358">
        <f t="shared" ref="H234:H238" si="60">F234*G234</f>
        <v>0</v>
      </c>
      <c r="I234" s="1393"/>
      <c r="J234" s="1359">
        <f t="shared" ref="J234:J238" si="61">F234*I234</f>
        <v>0</v>
      </c>
      <c r="K234" s="1394"/>
      <c r="L234" s="1359">
        <f t="shared" ref="L234:L238" si="62">F234*K234</f>
        <v>0</v>
      </c>
      <c r="M234" s="1359">
        <f t="shared" ref="M234:M238" si="63">H234+J234+L234</f>
        <v>0</v>
      </c>
    </row>
    <row r="235" spans="1:13" s="1034" customFormat="1" ht="20.100000000000001" customHeight="1">
      <c r="A235" s="991">
        <f>A234+0.1</f>
        <v>1.1000000000000001</v>
      </c>
      <c r="B235" s="1086"/>
      <c r="C235" s="889" t="s">
        <v>12</v>
      </c>
      <c r="D235" s="1005" t="s">
        <v>13</v>
      </c>
      <c r="E235" s="1006">
        <v>0.89</v>
      </c>
      <c r="F235" s="1006">
        <f>F234*E235</f>
        <v>0.13350000000000001</v>
      </c>
      <c r="G235" s="1395"/>
      <c r="H235" s="1358">
        <f t="shared" si="60"/>
        <v>0</v>
      </c>
      <c r="I235" s="1359"/>
      <c r="J235" s="1359">
        <f t="shared" si="61"/>
        <v>0</v>
      </c>
      <c r="K235" s="1393"/>
      <c r="L235" s="1359">
        <f t="shared" si="62"/>
        <v>0</v>
      </c>
      <c r="M235" s="1359">
        <f t="shared" si="63"/>
        <v>0</v>
      </c>
    </row>
    <row r="236" spans="1:13" s="1034" customFormat="1" ht="20.100000000000001" customHeight="1">
      <c r="A236" s="991">
        <f t="shared" ref="A236:A238" si="64">A235+0.1</f>
        <v>1.2000000000000002</v>
      </c>
      <c r="B236" s="1087"/>
      <c r="C236" s="1007" t="s">
        <v>51</v>
      </c>
      <c r="D236" s="1005" t="s">
        <v>14</v>
      </c>
      <c r="E236" s="1008">
        <v>0.37</v>
      </c>
      <c r="F236" s="1006">
        <f>F234*E236</f>
        <v>5.5500000000000001E-2</v>
      </c>
      <c r="G236" s="1395"/>
      <c r="H236" s="1358">
        <f t="shared" si="60"/>
        <v>0</v>
      </c>
      <c r="I236" s="1393"/>
      <c r="J236" s="1359">
        <f t="shared" si="61"/>
        <v>0</v>
      </c>
      <c r="K236" s="1393"/>
      <c r="L236" s="1359">
        <f t="shared" si="62"/>
        <v>0</v>
      </c>
      <c r="M236" s="1359">
        <f t="shared" si="63"/>
        <v>0</v>
      </c>
    </row>
    <row r="237" spans="1:13" s="1034" customFormat="1" ht="20.100000000000001" customHeight="1">
      <c r="A237" s="991">
        <f t="shared" si="64"/>
        <v>1.3000000000000003</v>
      </c>
      <c r="B237" s="1087"/>
      <c r="C237" s="1007" t="s">
        <v>59</v>
      </c>
      <c r="D237" s="1005" t="s">
        <v>347</v>
      </c>
      <c r="E237" s="1008">
        <v>1.1499999999999999</v>
      </c>
      <c r="F237" s="1006">
        <f>F234*E237</f>
        <v>0.17249999999999999</v>
      </c>
      <c r="G237" s="1395"/>
      <c r="H237" s="1358">
        <f t="shared" si="60"/>
        <v>0</v>
      </c>
      <c r="I237" s="1393"/>
      <c r="J237" s="1359">
        <f t="shared" si="61"/>
        <v>0</v>
      </c>
      <c r="K237" s="1393"/>
      <c r="L237" s="1359">
        <f t="shared" si="62"/>
        <v>0</v>
      </c>
      <c r="M237" s="1359">
        <f t="shared" si="63"/>
        <v>0</v>
      </c>
    </row>
    <row r="238" spans="1:13" s="1034" customFormat="1" ht="20.100000000000001" customHeight="1">
      <c r="A238" s="991">
        <f t="shared" si="64"/>
        <v>1.4000000000000004</v>
      </c>
      <c r="B238" s="1087"/>
      <c r="C238" s="1007" t="s">
        <v>198</v>
      </c>
      <c r="D238" s="1005" t="s">
        <v>14</v>
      </c>
      <c r="E238" s="1008">
        <v>0.02</v>
      </c>
      <c r="F238" s="1006">
        <f>F234*E238</f>
        <v>3.0000000000000001E-3</v>
      </c>
      <c r="G238" s="1395"/>
      <c r="H238" s="1358">
        <f t="shared" si="60"/>
        <v>0</v>
      </c>
      <c r="I238" s="1393"/>
      <c r="J238" s="1359">
        <f t="shared" si="61"/>
        <v>0</v>
      </c>
      <c r="K238" s="1393"/>
      <c r="L238" s="1359">
        <f t="shared" si="62"/>
        <v>0</v>
      </c>
      <c r="M238" s="1359">
        <f t="shared" si="63"/>
        <v>0</v>
      </c>
    </row>
    <row r="239" spans="1:13" s="561" customFormat="1" ht="49.9" customHeight="1">
      <c r="A239" s="918">
        <v>2</v>
      </c>
      <c r="B239" s="1061"/>
      <c r="C239" s="957" t="s">
        <v>706</v>
      </c>
      <c r="D239" s="601" t="s">
        <v>137</v>
      </c>
      <c r="E239" s="1011"/>
      <c r="F239" s="1035">
        <v>1.05</v>
      </c>
      <c r="G239" s="1400"/>
      <c r="H239" s="901">
        <f t="shared" ref="H239:H247" si="65">F239*G239</f>
        <v>0</v>
      </c>
      <c r="I239" s="586"/>
      <c r="J239" s="1375"/>
      <c r="K239" s="586"/>
      <c r="L239" s="1375"/>
      <c r="M239" s="1375">
        <f t="shared" ref="M239:M247" si="66">H239+J239+L239</f>
        <v>0</v>
      </c>
    </row>
    <row r="240" spans="1:13" s="561" customFormat="1" ht="19.899999999999999" customHeight="1">
      <c r="A240" s="601">
        <f>A239+0.1</f>
        <v>2.1</v>
      </c>
      <c r="B240" s="1066"/>
      <c r="C240" s="567" t="s">
        <v>253</v>
      </c>
      <c r="D240" s="597" t="s">
        <v>60</v>
      </c>
      <c r="E240" s="1036">
        <f>1.15*8.06</f>
        <v>9.2690000000000001</v>
      </c>
      <c r="F240" s="1013">
        <f>E240*F239</f>
        <v>9.73245</v>
      </c>
      <c r="G240" s="1401"/>
      <c r="H240" s="901">
        <f t="shared" si="65"/>
        <v>0</v>
      </c>
      <c r="I240" s="1402"/>
      <c r="J240" s="1375">
        <f t="shared" ref="J240:J241" si="67">F240*I240</f>
        <v>0</v>
      </c>
      <c r="K240" s="1402"/>
      <c r="L240" s="1375">
        <f t="shared" ref="L240:L241" si="68">F240*K240</f>
        <v>0</v>
      </c>
      <c r="M240" s="1375">
        <f t="shared" si="66"/>
        <v>0</v>
      </c>
    </row>
    <row r="241" spans="1:13" s="561" customFormat="1" ht="19.899999999999999" customHeight="1">
      <c r="A241" s="601">
        <f t="shared" ref="A241:A247" si="69">A240+0.1</f>
        <v>2.2000000000000002</v>
      </c>
      <c r="B241" s="1066"/>
      <c r="C241" s="567" t="s">
        <v>266</v>
      </c>
      <c r="D241" s="597" t="s">
        <v>62</v>
      </c>
      <c r="E241" s="1036">
        <v>1.23</v>
      </c>
      <c r="F241" s="1013">
        <f>E241*F239</f>
        <v>1.2915000000000001</v>
      </c>
      <c r="G241" s="1401"/>
      <c r="H241" s="901">
        <f t="shared" si="65"/>
        <v>0</v>
      </c>
      <c r="I241" s="1402"/>
      <c r="J241" s="1375">
        <f t="shared" si="67"/>
        <v>0</v>
      </c>
      <c r="K241" s="901"/>
      <c r="L241" s="1375">
        <f t="shared" si="68"/>
        <v>0</v>
      </c>
      <c r="M241" s="1375">
        <f t="shared" si="66"/>
        <v>0</v>
      </c>
    </row>
    <row r="242" spans="1:13" s="561" customFormat="1" ht="19.899999999999999" customHeight="1">
      <c r="A242" s="601">
        <f t="shared" si="69"/>
        <v>2.3000000000000003</v>
      </c>
      <c r="B242" s="1094"/>
      <c r="C242" s="567" t="s">
        <v>707</v>
      </c>
      <c r="D242" s="597" t="s">
        <v>137</v>
      </c>
      <c r="E242" s="1036">
        <v>1.0149999999999999</v>
      </c>
      <c r="F242" s="1013">
        <f>F239*E242</f>
        <v>1.06575</v>
      </c>
      <c r="G242" s="1400"/>
      <c r="H242" s="901">
        <f t="shared" si="65"/>
        <v>0</v>
      </c>
      <c r="I242" s="586"/>
      <c r="J242" s="1375"/>
      <c r="K242" s="586"/>
      <c r="L242" s="1375"/>
      <c r="M242" s="1375">
        <f t="shared" si="66"/>
        <v>0</v>
      </c>
    </row>
    <row r="243" spans="1:13" s="561" customFormat="1" ht="19.899999999999999" customHeight="1">
      <c r="A243" s="601">
        <f t="shared" si="69"/>
        <v>2.4000000000000004</v>
      </c>
      <c r="B243" s="1094"/>
      <c r="C243" s="1026" t="s">
        <v>667</v>
      </c>
      <c r="D243" s="992" t="s">
        <v>64</v>
      </c>
      <c r="E243" s="1036"/>
      <c r="F243" s="1030">
        <f>22.18/1000</f>
        <v>2.2179999999999998E-2</v>
      </c>
      <c r="G243" s="1400"/>
      <c r="H243" s="901">
        <f t="shared" si="65"/>
        <v>0</v>
      </c>
      <c r="I243" s="586"/>
      <c r="J243" s="1375"/>
      <c r="K243" s="586"/>
      <c r="L243" s="1375"/>
      <c r="M243" s="1375">
        <f t="shared" si="66"/>
        <v>0</v>
      </c>
    </row>
    <row r="244" spans="1:13" s="561" customFormat="1" ht="19.899999999999999" customHeight="1">
      <c r="A244" s="601">
        <f t="shared" si="69"/>
        <v>2.5000000000000004</v>
      </c>
      <c r="B244" s="1062"/>
      <c r="C244" s="1026" t="s">
        <v>666</v>
      </c>
      <c r="D244" s="992" t="s">
        <v>64</v>
      </c>
      <c r="E244" s="1036"/>
      <c r="F244" s="1030">
        <f>23.8/1000</f>
        <v>2.3800000000000002E-2</v>
      </c>
      <c r="G244" s="1380"/>
      <c r="H244" s="901">
        <f t="shared" si="65"/>
        <v>0</v>
      </c>
      <c r="I244" s="586"/>
      <c r="J244" s="1375"/>
      <c r="K244" s="586"/>
      <c r="L244" s="1375"/>
      <c r="M244" s="1375">
        <f t="shared" si="66"/>
        <v>0</v>
      </c>
    </row>
    <row r="245" spans="1:13" s="561" customFormat="1" ht="19.899999999999999" customHeight="1">
      <c r="A245" s="601">
        <f t="shared" si="69"/>
        <v>2.6000000000000005</v>
      </c>
      <c r="B245" s="1062"/>
      <c r="C245" s="903" t="s">
        <v>18</v>
      </c>
      <c r="D245" s="597" t="s">
        <v>43</v>
      </c>
      <c r="E245" s="1036">
        <v>1.28</v>
      </c>
      <c r="F245" s="1013">
        <f>F239*E245</f>
        <v>1.3440000000000001</v>
      </c>
      <c r="G245" s="1380"/>
      <c r="H245" s="901">
        <f t="shared" si="65"/>
        <v>0</v>
      </c>
      <c r="I245" s="586"/>
      <c r="J245" s="1375"/>
      <c r="K245" s="586"/>
      <c r="L245" s="1375"/>
      <c r="M245" s="1375">
        <f t="shared" si="66"/>
        <v>0</v>
      </c>
    </row>
    <row r="246" spans="1:13" s="561" customFormat="1" ht="19.899999999999999" customHeight="1">
      <c r="A246" s="601">
        <f t="shared" si="69"/>
        <v>2.7000000000000006</v>
      </c>
      <c r="B246" s="1094"/>
      <c r="C246" s="567" t="s">
        <v>581</v>
      </c>
      <c r="D246" s="597" t="s">
        <v>137</v>
      </c>
      <c r="E246" s="1036">
        <f>(0.24+0.63+3.09)/100</f>
        <v>3.9599999999999996E-2</v>
      </c>
      <c r="F246" s="1013">
        <f>F239*E246</f>
        <v>4.1579999999999999E-2</v>
      </c>
      <c r="G246" s="1400"/>
      <c r="H246" s="901">
        <f t="shared" si="65"/>
        <v>0</v>
      </c>
      <c r="I246" s="586"/>
      <c r="J246" s="1375"/>
      <c r="K246" s="586"/>
      <c r="L246" s="1375"/>
      <c r="M246" s="1375">
        <f t="shared" si="66"/>
        <v>0</v>
      </c>
    </row>
    <row r="247" spans="1:13" s="561" customFormat="1" ht="19.899999999999999" customHeight="1">
      <c r="A247" s="601">
        <f t="shared" si="69"/>
        <v>2.8000000000000007</v>
      </c>
      <c r="B247" s="1094"/>
      <c r="C247" s="567" t="s">
        <v>579</v>
      </c>
      <c r="D247" s="597" t="s">
        <v>14</v>
      </c>
      <c r="E247" s="1036">
        <v>2.09</v>
      </c>
      <c r="F247" s="1013">
        <f>E247*F239</f>
        <v>2.1945000000000001</v>
      </c>
      <c r="G247" s="1400"/>
      <c r="H247" s="901">
        <f t="shared" si="65"/>
        <v>0</v>
      </c>
      <c r="I247" s="586"/>
      <c r="J247" s="1375"/>
      <c r="K247" s="586"/>
      <c r="L247" s="1375"/>
      <c r="M247" s="1375">
        <f t="shared" si="66"/>
        <v>0</v>
      </c>
    </row>
    <row r="248" spans="1:13" s="958" customFormat="1" ht="57.75" customHeight="1">
      <c r="A248" s="883">
        <v>3</v>
      </c>
      <c r="B248" s="1074"/>
      <c r="C248" s="957" t="s">
        <v>708</v>
      </c>
      <c r="D248" s="588" t="s">
        <v>11</v>
      </c>
      <c r="E248" s="898"/>
      <c r="F248" s="1037">
        <v>1</v>
      </c>
      <c r="G248" s="1360"/>
      <c r="H248" s="1358">
        <f t="shared" ref="H248:H274" si="70">F248*G248</f>
        <v>0</v>
      </c>
      <c r="I248" s="1361"/>
      <c r="J248" s="1359">
        <f t="shared" ref="J248:J272" si="71">F248*I248</f>
        <v>0</v>
      </c>
      <c r="K248" s="1361"/>
      <c r="L248" s="1359">
        <f t="shared" ref="L248:L272" si="72">F248*K248</f>
        <v>0</v>
      </c>
      <c r="M248" s="1359">
        <f t="shared" ref="M248:M274" si="73">H248+J248+L248</f>
        <v>0</v>
      </c>
    </row>
    <row r="249" spans="1:13" s="960" customFormat="1" ht="19.899999999999999" customHeight="1">
      <c r="A249" s="590">
        <f>A248+0.1</f>
        <v>3.1</v>
      </c>
      <c r="B249" s="1066"/>
      <c r="C249" s="889" t="s">
        <v>12</v>
      </c>
      <c r="D249" s="592" t="s">
        <v>13</v>
      </c>
      <c r="E249" s="959">
        <v>12.6</v>
      </c>
      <c r="F249" s="892">
        <f>E249*F248</f>
        <v>12.6</v>
      </c>
      <c r="G249" s="1357"/>
      <c r="H249" s="1358">
        <f t="shared" si="70"/>
        <v>0</v>
      </c>
      <c r="I249" s="1359"/>
      <c r="J249" s="1359">
        <f t="shared" si="71"/>
        <v>0</v>
      </c>
      <c r="K249" s="1359"/>
      <c r="L249" s="1359">
        <f t="shared" si="72"/>
        <v>0</v>
      </c>
      <c r="M249" s="1359">
        <f t="shared" si="73"/>
        <v>0</v>
      </c>
    </row>
    <row r="250" spans="1:13" s="960" customFormat="1" ht="19.899999999999999" customHeight="1">
      <c r="A250" s="590">
        <f>A249+0.1</f>
        <v>3.2</v>
      </c>
      <c r="B250" s="1066"/>
      <c r="C250" s="1015" t="s">
        <v>140</v>
      </c>
      <c r="D250" s="901" t="s">
        <v>14</v>
      </c>
      <c r="E250" s="959">
        <v>2.08</v>
      </c>
      <c r="F250" s="892">
        <f>E250*F248</f>
        <v>2.08</v>
      </c>
      <c r="G250" s="1357"/>
      <c r="H250" s="1358">
        <f t="shared" si="70"/>
        <v>0</v>
      </c>
      <c r="I250" s="1359"/>
      <c r="J250" s="1359">
        <f t="shared" si="71"/>
        <v>0</v>
      </c>
      <c r="K250" s="1358"/>
      <c r="L250" s="1359">
        <f t="shared" si="72"/>
        <v>0</v>
      </c>
      <c r="M250" s="1359">
        <f t="shared" si="73"/>
        <v>0</v>
      </c>
    </row>
    <row r="251" spans="1:13" s="960" customFormat="1" ht="19.899999999999999" customHeight="1">
      <c r="A251" s="590">
        <f>A250+0.1</f>
        <v>3.3000000000000003</v>
      </c>
      <c r="B251" s="1066"/>
      <c r="C251" s="956" t="s">
        <v>709</v>
      </c>
      <c r="D251" s="592" t="s">
        <v>11</v>
      </c>
      <c r="E251" s="959">
        <v>1</v>
      </c>
      <c r="F251" s="892">
        <f>E251*F248</f>
        <v>1</v>
      </c>
      <c r="G251" s="1357"/>
      <c r="H251" s="1358">
        <f t="shared" si="70"/>
        <v>0</v>
      </c>
      <c r="I251" s="1359"/>
      <c r="J251" s="1359">
        <f t="shared" si="71"/>
        <v>0</v>
      </c>
      <c r="K251" s="1359"/>
      <c r="L251" s="1359">
        <f t="shared" si="72"/>
        <v>0</v>
      </c>
      <c r="M251" s="1359">
        <f t="shared" si="73"/>
        <v>0</v>
      </c>
    </row>
    <row r="252" spans="1:13" s="960" customFormat="1" ht="19.899999999999999" customHeight="1">
      <c r="A252" s="590">
        <f>A251+0.1</f>
        <v>3.4000000000000004</v>
      </c>
      <c r="B252" s="1090"/>
      <c r="C252" s="567" t="s">
        <v>65</v>
      </c>
      <c r="D252" s="566" t="s">
        <v>14</v>
      </c>
      <c r="E252" s="959">
        <v>7.01</v>
      </c>
      <c r="F252" s="900">
        <f>E252*F248</f>
        <v>7.01</v>
      </c>
      <c r="G252" s="1367"/>
      <c r="H252" s="1358">
        <f t="shared" si="70"/>
        <v>0</v>
      </c>
      <c r="I252" s="1359"/>
      <c r="J252" s="1359">
        <f t="shared" si="71"/>
        <v>0</v>
      </c>
      <c r="K252" s="1359"/>
      <c r="L252" s="1359">
        <f t="shared" si="72"/>
        <v>0</v>
      </c>
      <c r="M252" s="1359">
        <f t="shared" si="73"/>
        <v>0</v>
      </c>
    </row>
    <row r="253" spans="1:13" s="603" customFormat="1" ht="49.9" customHeight="1">
      <c r="A253" s="883">
        <v>4</v>
      </c>
      <c r="B253" s="1077"/>
      <c r="C253" s="1038" t="s">
        <v>616</v>
      </c>
      <c r="D253" s="884" t="s">
        <v>204</v>
      </c>
      <c r="E253" s="886"/>
      <c r="F253" s="899">
        <v>1</v>
      </c>
      <c r="G253" s="1360"/>
      <c r="H253" s="1358">
        <f t="shared" si="70"/>
        <v>0</v>
      </c>
      <c r="I253" s="1358"/>
      <c r="J253" s="1359">
        <f t="shared" si="71"/>
        <v>0</v>
      </c>
      <c r="K253" s="1358"/>
      <c r="L253" s="1359">
        <f t="shared" si="72"/>
        <v>0</v>
      </c>
      <c r="M253" s="1359">
        <f t="shared" si="73"/>
        <v>0</v>
      </c>
    </row>
    <row r="254" spans="1:13" s="603" customFormat="1" ht="19.899999999999999" customHeight="1">
      <c r="A254" s="590">
        <f>A253+0.1</f>
        <v>4.0999999999999996</v>
      </c>
      <c r="B254" s="1066"/>
      <c r="C254" s="889" t="s">
        <v>12</v>
      </c>
      <c r="D254" s="592" t="s">
        <v>13</v>
      </c>
      <c r="E254" s="1039">
        <v>1.54</v>
      </c>
      <c r="F254" s="886">
        <f>E254*F253</f>
        <v>1.54</v>
      </c>
      <c r="G254" s="1357"/>
      <c r="H254" s="1358">
        <f t="shared" si="70"/>
        <v>0</v>
      </c>
      <c r="I254" s="1359"/>
      <c r="J254" s="1359">
        <f t="shared" si="71"/>
        <v>0</v>
      </c>
      <c r="K254" s="1358"/>
      <c r="L254" s="1359">
        <f t="shared" si="72"/>
        <v>0</v>
      </c>
      <c r="M254" s="1359">
        <f t="shared" si="73"/>
        <v>0</v>
      </c>
    </row>
    <row r="255" spans="1:13" s="603" customFormat="1" ht="19.899999999999999" customHeight="1">
      <c r="A255" s="590">
        <f>A254+0.1</f>
        <v>4.1999999999999993</v>
      </c>
      <c r="B255" s="1066"/>
      <c r="C255" s="1015" t="s">
        <v>140</v>
      </c>
      <c r="D255" s="901" t="s">
        <v>14</v>
      </c>
      <c r="E255" s="1039">
        <v>0.09</v>
      </c>
      <c r="F255" s="886">
        <f>E255*F253</f>
        <v>0.09</v>
      </c>
      <c r="G255" s="1357"/>
      <c r="H255" s="1358">
        <f t="shared" si="70"/>
        <v>0</v>
      </c>
      <c r="I255" s="1358"/>
      <c r="J255" s="1359">
        <f t="shared" si="71"/>
        <v>0</v>
      </c>
      <c r="K255" s="1358"/>
      <c r="L255" s="1359">
        <f t="shared" si="72"/>
        <v>0</v>
      </c>
      <c r="M255" s="1359">
        <f t="shared" si="73"/>
        <v>0</v>
      </c>
    </row>
    <row r="256" spans="1:13" s="960" customFormat="1" ht="19.899999999999999" customHeight="1">
      <c r="A256" s="590">
        <f>A255+0.1</f>
        <v>4.2999999999999989</v>
      </c>
      <c r="B256" s="1066"/>
      <c r="C256" s="1040" t="s">
        <v>617</v>
      </c>
      <c r="D256" s="592" t="s">
        <v>49</v>
      </c>
      <c r="E256" s="959">
        <v>1</v>
      </c>
      <c r="F256" s="900">
        <f>E256*F253</f>
        <v>1</v>
      </c>
      <c r="G256" s="1357"/>
      <c r="H256" s="1358">
        <f t="shared" si="70"/>
        <v>0</v>
      </c>
      <c r="I256" s="1359"/>
      <c r="J256" s="1359">
        <f t="shared" si="71"/>
        <v>0</v>
      </c>
      <c r="K256" s="1359"/>
      <c r="L256" s="1359">
        <f t="shared" si="72"/>
        <v>0</v>
      </c>
      <c r="M256" s="1359">
        <f t="shared" si="73"/>
        <v>0</v>
      </c>
    </row>
    <row r="257" spans="1:13" s="603" customFormat="1" ht="19.899999999999999" customHeight="1">
      <c r="A257" s="590">
        <f>A256+0.1</f>
        <v>4.3999999999999986</v>
      </c>
      <c r="B257" s="1090"/>
      <c r="C257" s="567" t="s">
        <v>65</v>
      </c>
      <c r="D257" s="566" t="s">
        <v>14</v>
      </c>
      <c r="E257" s="1041">
        <v>1.4E-2</v>
      </c>
      <c r="F257" s="886">
        <f>E257*F253</f>
        <v>1.4E-2</v>
      </c>
      <c r="G257" s="1367"/>
      <c r="H257" s="1358">
        <f t="shared" si="70"/>
        <v>0</v>
      </c>
      <c r="I257" s="1358"/>
      <c r="J257" s="1359">
        <f t="shared" si="71"/>
        <v>0</v>
      </c>
      <c r="K257" s="1358"/>
      <c r="L257" s="1359">
        <f t="shared" si="72"/>
        <v>0</v>
      </c>
      <c r="M257" s="1359">
        <f t="shared" si="73"/>
        <v>0</v>
      </c>
    </row>
    <row r="258" spans="1:13" s="561" customFormat="1" ht="60" customHeight="1">
      <c r="A258" s="601">
        <v>5</v>
      </c>
      <c r="B258" s="1061"/>
      <c r="C258" s="570" t="s">
        <v>214</v>
      </c>
      <c r="D258" s="569" t="s">
        <v>15</v>
      </c>
      <c r="E258" s="573"/>
      <c r="F258" s="1042">
        <v>21.6</v>
      </c>
      <c r="G258" s="1357"/>
      <c r="H258" s="1358">
        <f t="shared" si="70"/>
        <v>0</v>
      </c>
      <c r="I258" s="1358"/>
      <c r="J258" s="1359">
        <f t="shared" si="71"/>
        <v>0</v>
      </c>
      <c r="K258" s="1358"/>
      <c r="L258" s="1359">
        <f t="shared" si="72"/>
        <v>0</v>
      </c>
      <c r="M258" s="1359">
        <f t="shared" si="73"/>
        <v>0</v>
      </c>
    </row>
    <row r="259" spans="1:13" s="561" customFormat="1" ht="19.899999999999999" customHeight="1">
      <c r="A259" s="601">
        <f>A258+0.1</f>
        <v>5.0999999999999996</v>
      </c>
      <c r="B259" s="1066"/>
      <c r="C259" s="889" t="s">
        <v>12</v>
      </c>
      <c r="D259" s="566" t="s">
        <v>13</v>
      </c>
      <c r="E259" s="565">
        <v>2.06</v>
      </c>
      <c r="F259" s="978">
        <f>E259*F258</f>
        <v>44.496000000000002</v>
      </c>
      <c r="G259" s="1357"/>
      <c r="H259" s="1358">
        <f t="shared" si="70"/>
        <v>0</v>
      </c>
      <c r="I259" s="1359"/>
      <c r="J259" s="1359">
        <f t="shared" si="71"/>
        <v>0</v>
      </c>
      <c r="K259" s="1358"/>
      <c r="L259" s="1359">
        <f t="shared" si="72"/>
        <v>0</v>
      </c>
      <c r="M259" s="1359">
        <f t="shared" si="73"/>
        <v>0</v>
      </c>
    </row>
    <row r="260" spans="1:13" s="1010" customFormat="1" ht="49.9" customHeight="1">
      <c r="A260" s="601">
        <v>6</v>
      </c>
      <c r="B260" s="1095"/>
      <c r="C260" s="1044" t="s">
        <v>668</v>
      </c>
      <c r="D260" s="1045" t="s">
        <v>177</v>
      </c>
      <c r="E260" s="1046"/>
      <c r="F260" s="919">
        <v>15</v>
      </c>
      <c r="G260" s="1360"/>
      <c r="H260" s="1358">
        <f t="shared" si="70"/>
        <v>0</v>
      </c>
      <c r="I260" s="1358"/>
      <c r="J260" s="1359">
        <f t="shared" si="71"/>
        <v>0</v>
      </c>
      <c r="K260" s="1358"/>
      <c r="L260" s="1359">
        <f t="shared" si="72"/>
        <v>0</v>
      </c>
      <c r="M260" s="1359">
        <f t="shared" si="73"/>
        <v>0</v>
      </c>
    </row>
    <row r="261" spans="1:13" s="1010" customFormat="1" ht="19.899999999999999" customHeight="1">
      <c r="A261" s="601">
        <f>A260+0.1</f>
        <v>6.1</v>
      </c>
      <c r="B261" s="1066"/>
      <c r="C261" s="889" t="s">
        <v>12</v>
      </c>
      <c r="D261" s="566" t="s">
        <v>13</v>
      </c>
      <c r="E261" s="1047">
        <f>245*0.001</f>
        <v>0.245</v>
      </c>
      <c r="F261" s="1047">
        <f>F260*E261</f>
        <v>3.6749999999999998</v>
      </c>
      <c r="G261" s="1357"/>
      <c r="H261" s="1358">
        <f t="shared" si="70"/>
        <v>0</v>
      </c>
      <c r="I261" s="1359"/>
      <c r="J261" s="1359">
        <f t="shared" si="71"/>
        <v>0</v>
      </c>
      <c r="K261" s="1358"/>
      <c r="L261" s="1359">
        <f t="shared" si="72"/>
        <v>0</v>
      </c>
      <c r="M261" s="1359">
        <f t="shared" si="73"/>
        <v>0</v>
      </c>
    </row>
    <row r="262" spans="1:13" s="1010" customFormat="1" ht="19.899999999999999" customHeight="1">
      <c r="A262" s="601">
        <f t="shared" ref="A262:A264" si="74">A261+0.1</f>
        <v>6.1999999999999993</v>
      </c>
      <c r="B262" s="1066"/>
      <c r="C262" s="1015" t="s">
        <v>140</v>
      </c>
      <c r="D262" s="592" t="s">
        <v>14</v>
      </c>
      <c r="E262" s="1047">
        <v>0.84</v>
      </c>
      <c r="F262" s="1047">
        <f>F260*E262</f>
        <v>12.6</v>
      </c>
      <c r="G262" s="1357"/>
      <c r="H262" s="1358">
        <f t="shared" si="70"/>
        <v>0</v>
      </c>
      <c r="I262" s="1358"/>
      <c r="J262" s="1359">
        <f t="shared" si="71"/>
        <v>0</v>
      </c>
      <c r="K262" s="1358"/>
      <c r="L262" s="1359">
        <f t="shared" si="72"/>
        <v>0</v>
      </c>
      <c r="M262" s="1359">
        <f t="shared" si="73"/>
        <v>0</v>
      </c>
    </row>
    <row r="263" spans="1:13" s="1010" customFormat="1" ht="19.899999999999999" customHeight="1">
      <c r="A263" s="601">
        <f t="shared" si="74"/>
        <v>6.2999999999999989</v>
      </c>
      <c r="B263" s="1095"/>
      <c r="C263" s="1048" t="s">
        <v>669</v>
      </c>
      <c r="D263" s="1043" t="s">
        <v>55</v>
      </c>
      <c r="E263" s="1047">
        <v>1.01</v>
      </c>
      <c r="F263" s="1047">
        <f>F260*E263</f>
        <v>15.15</v>
      </c>
      <c r="G263" s="1357"/>
      <c r="H263" s="1358">
        <f t="shared" si="70"/>
        <v>0</v>
      </c>
      <c r="I263" s="1358"/>
      <c r="J263" s="1359">
        <f t="shared" si="71"/>
        <v>0</v>
      </c>
      <c r="K263" s="1358"/>
      <c r="L263" s="1359">
        <f t="shared" si="72"/>
        <v>0</v>
      </c>
      <c r="M263" s="1359">
        <f t="shared" si="73"/>
        <v>0</v>
      </c>
    </row>
    <row r="264" spans="1:13" s="1010" customFormat="1" ht="19.899999999999999" customHeight="1">
      <c r="A264" s="601">
        <f t="shared" si="74"/>
        <v>6.3999999999999986</v>
      </c>
      <c r="B264" s="1090"/>
      <c r="C264" s="567" t="s">
        <v>65</v>
      </c>
      <c r="D264" s="566" t="s">
        <v>14</v>
      </c>
      <c r="E264" s="1047">
        <f>8.88*0.001</f>
        <v>8.8800000000000007E-3</v>
      </c>
      <c r="F264" s="1047">
        <f>F260*E264</f>
        <v>0.13320000000000001</v>
      </c>
      <c r="G264" s="1367"/>
      <c r="H264" s="1358">
        <f t="shared" si="70"/>
        <v>0</v>
      </c>
      <c r="I264" s="1358"/>
      <c r="J264" s="1359">
        <f t="shared" si="71"/>
        <v>0</v>
      </c>
      <c r="K264" s="1358"/>
      <c r="L264" s="1359">
        <f t="shared" si="72"/>
        <v>0</v>
      </c>
      <c r="M264" s="1359">
        <f t="shared" si="73"/>
        <v>0</v>
      </c>
    </row>
    <row r="265" spans="1:13" s="561" customFormat="1" ht="61.5" customHeight="1">
      <c r="A265" s="601">
        <v>7</v>
      </c>
      <c r="B265" s="1061"/>
      <c r="C265" s="570" t="s">
        <v>141</v>
      </c>
      <c r="D265" s="569" t="s">
        <v>138</v>
      </c>
      <c r="E265" s="573"/>
      <c r="F265" s="1049">
        <v>0.13500000000000001</v>
      </c>
      <c r="G265" s="1357"/>
      <c r="H265" s="1358">
        <f t="shared" si="70"/>
        <v>0</v>
      </c>
      <c r="I265" s="1359"/>
      <c r="J265" s="1359">
        <f t="shared" si="71"/>
        <v>0</v>
      </c>
      <c r="K265" s="1359"/>
      <c r="L265" s="1359">
        <f t="shared" si="72"/>
        <v>0</v>
      </c>
      <c r="M265" s="1359">
        <f t="shared" si="73"/>
        <v>0</v>
      </c>
    </row>
    <row r="266" spans="1:13" s="561" customFormat="1" ht="19.899999999999999" customHeight="1">
      <c r="A266" s="601">
        <f>A265+0.1</f>
        <v>7.1</v>
      </c>
      <c r="B266" s="1066"/>
      <c r="C266" s="889" t="s">
        <v>12</v>
      </c>
      <c r="D266" s="566" t="s">
        <v>13</v>
      </c>
      <c r="E266" s="565">
        <v>2.1</v>
      </c>
      <c r="F266" s="565">
        <f>E266*F265</f>
        <v>0.28350000000000003</v>
      </c>
      <c r="G266" s="1367"/>
      <c r="H266" s="1358">
        <f t="shared" si="70"/>
        <v>0</v>
      </c>
      <c r="I266" s="1359"/>
      <c r="J266" s="1359">
        <f t="shared" si="71"/>
        <v>0</v>
      </c>
      <c r="K266" s="1359"/>
      <c r="L266" s="1359">
        <f t="shared" si="72"/>
        <v>0</v>
      </c>
      <c r="M266" s="1359">
        <f t="shared" si="73"/>
        <v>0</v>
      </c>
    </row>
    <row r="267" spans="1:13" s="1010" customFormat="1" ht="49.9" customHeight="1">
      <c r="A267" s="1050" t="s">
        <v>123</v>
      </c>
      <c r="B267" s="1096"/>
      <c r="C267" s="1051" t="s">
        <v>741</v>
      </c>
      <c r="D267" s="1050" t="s">
        <v>245</v>
      </c>
      <c r="E267" s="1052"/>
      <c r="F267" s="919">
        <v>1</v>
      </c>
      <c r="G267" s="1360"/>
      <c r="H267" s="1358">
        <f t="shared" si="70"/>
        <v>0</v>
      </c>
      <c r="I267" s="1365"/>
      <c r="J267" s="1359">
        <f t="shared" si="71"/>
        <v>0</v>
      </c>
      <c r="K267" s="1365"/>
      <c r="L267" s="1359">
        <f t="shared" si="72"/>
        <v>0</v>
      </c>
      <c r="M267" s="1359">
        <f t="shared" si="73"/>
        <v>0</v>
      </c>
    </row>
    <row r="268" spans="1:13" s="1010" customFormat="1" ht="19.899999999999999" customHeight="1">
      <c r="A268" s="598">
        <f>A267+0.1</f>
        <v>8.1</v>
      </c>
      <c r="B268" s="1066"/>
      <c r="C268" s="889" t="s">
        <v>12</v>
      </c>
      <c r="D268" s="598" t="s">
        <v>213</v>
      </c>
      <c r="E268" s="881">
        <v>17</v>
      </c>
      <c r="F268" s="881">
        <f>F267*E268</f>
        <v>17</v>
      </c>
      <c r="G268" s="1357"/>
      <c r="H268" s="1358">
        <f t="shared" si="70"/>
        <v>0</v>
      </c>
      <c r="I268" s="1359"/>
      <c r="J268" s="1359">
        <f t="shared" si="71"/>
        <v>0</v>
      </c>
      <c r="K268" s="1358"/>
      <c r="L268" s="1359">
        <f t="shared" si="72"/>
        <v>0</v>
      </c>
      <c r="M268" s="1359">
        <f t="shared" si="73"/>
        <v>0</v>
      </c>
    </row>
    <row r="269" spans="1:13" s="1010" customFormat="1" ht="19.899999999999999" customHeight="1">
      <c r="A269" s="598">
        <f t="shared" ref="A269:A272" si="75">A268+0.1</f>
        <v>8.1999999999999993</v>
      </c>
      <c r="B269" s="1064"/>
      <c r="C269" s="600" t="s">
        <v>243</v>
      </c>
      <c r="D269" s="598" t="s">
        <v>131</v>
      </c>
      <c r="E269" s="881">
        <v>0.05</v>
      </c>
      <c r="F269" s="881">
        <f>E269*F267</f>
        <v>0.05</v>
      </c>
      <c r="G269" s="1357"/>
      <c r="H269" s="1358">
        <f t="shared" si="70"/>
        <v>0</v>
      </c>
      <c r="I269" s="1358"/>
      <c r="J269" s="1359">
        <f t="shared" si="71"/>
        <v>0</v>
      </c>
      <c r="K269" s="1358"/>
      <c r="L269" s="1359">
        <f t="shared" si="72"/>
        <v>0</v>
      </c>
      <c r="M269" s="1359">
        <f t="shared" si="73"/>
        <v>0</v>
      </c>
    </row>
    <row r="270" spans="1:13" s="1010" customFormat="1" ht="19.899999999999999" customHeight="1">
      <c r="A270" s="598">
        <f t="shared" si="75"/>
        <v>8.2999999999999989</v>
      </c>
      <c r="B270" s="1064"/>
      <c r="C270" s="600" t="s">
        <v>244</v>
      </c>
      <c r="D270" s="598" t="s">
        <v>131</v>
      </c>
      <c r="E270" s="881">
        <v>0.2</v>
      </c>
      <c r="F270" s="881">
        <f>E270*F267</f>
        <v>0.2</v>
      </c>
      <c r="G270" s="1357"/>
      <c r="H270" s="1358">
        <f t="shared" si="70"/>
        <v>0</v>
      </c>
      <c r="I270" s="1358"/>
      <c r="J270" s="1359">
        <f t="shared" si="71"/>
        <v>0</v>
      </c>
      <c r="K270" s="1358"/>
      <c r="L270" s="1359">
        <f t="shared" si="72"/>
        <v>0</v>
      </c>
      <c r="M270" s="1359">
        <f t="shared" si="73"/>
        <v>0</v>
      </c>
    </row>
    <row r="271" spans="1:13" s="1010" customFormat="1" ht="19.899999999999999" customHeight="1">
      <c r="A271" s="598">
        <f t="shared" si="75"/>
        <v>8.3999999999999986</v>
      </c>
      <c r="B271" s="1063"/>
      <c r="C271" s="600" t="s">
        <v>242</v>
      </c>
      <c r="D271" s="598" t="s">
        <v>21</v>
      </c>
      <c r="E271" s="881">
        <v>7.8</v>
      </c>
      <c r="F271" s="881">
        <f>E271*F267</f>
        <v>7.8</v>
      </c>
      <c r="G271" s="1357"/>
      <c r="H271" s="1358">
        <f t="shared" si="70"/>
        <v>0</v>
      </c>
      <c r="I271" s="1358"/>
      <c r="J271" s="1359">
        <f t="shared" si="71"/>
        <v>0</v>
      </c>
      <c r="K271" s="1358"/>
      <c r="L271" s="1359">
        <f t="shared" si="72"/>
        <v>0</v>
      </c>
      <c r="M271" s="1359">
        <f t="shared" si="73"/>
        <v>0</v>
      </c>
    </row>
    <row r="272" spans="1:13" s="1010" customFormat="1" ht="19.899999999999999" customHeight="1">
      <c r="A272" s="598">
        <f t="shared" si="75"/>
        <v>8.4999999999999982</v>
      </c>
      <c r="B272" s="1090"/>
      <c r="C272" s="567" t="s">
        <v>65</v>
      </c>
      <c r="D272" s="566" t="s">
        <v>14</v>
      </c>
      <c r="E272" s="881">
        <v>1.08</v>
      </c>
      <c r="F272" s="881">
        <f>E272*F267</f>
        <v>1.08</v>
      </c>
      <c r="G272" s="1367"/>
      <c r="H272" s="1358">
        <f t="shared" si="70"/>
        <v>0</v>
      </c>
      <c r="I272" s="1358"/>
      <c r="J272" s="1359">
        <f t="shared" si="71"/>
        <v>0</v>
      </c>
      <c r="K272" s="1358"/>
      <c r="L272" s="1359">
        <f t="shared" si="72"/>
        <v>0</v>
      </c>
      <c r="M272" s="1359">
        <f t="shared" si="73"/>
        <v>0</v>
      </c>
    </row>
    <row r="273" spans="1:13" s="1010" customFormat="1" ht="19.899999999999999" customHeight="1">
      <c r="A273" s="598"/>
      <c r="B273" s="1090"/>
      <c r="C273" s="570" t="s">
        <v>735</v>
      </c>
      <c r="D273" s="566"/>
      <c r="E273" s="881"/>
      <c r="F273" s="881"/>
      <c r="G273" s="1367"/>
      <c r="H273" s="1358"/>
      <c r="I273" s="1358"/>
      <c r="J273" s="1359"/>
      <c r="K273" s="1358"/>
      <c r="L273" s="1359"/>
      <c r="M273" s="1359"/>
    </row>
    <row r="274" spans="1:13" s="1053" customFormat="1" ht="57.6" customHeight="1">
      <c r="A274" s="595" t="s">
        <v>44</v>
      </c>
      <c r="B274" s="1097"/>
      <c r="C274" s="570" t="s">
        <v>672</v>
      </c>
      <c r="D274" s="569" t="s">
        <v>11</v>
      </c>
      <c r="E274" s="919"/>
      <c r="F274" s="919">
        <v>51</v>
      </c>
      <c r="G274" s="1396"/>
      <c r="H274" s="1365">
        <f t="shared" si="70"/>
        <v>0</v>
      </c>
      <c r="I274" s="1365"/>
      <c r="J274" s="1361">
        <f>F274*I274</f>
        <v>0</v>
      </c>
      <c r="K274" s="1365"/>
      <c r="L274" s="1361"/>
      <c r="M274" s="1359">
        <f t="shared" si="73"/>
        <v>0</v>
      </c>
    </row>
    <row r="275" spans="1:13" s="1010" customFormat="1" ht="57.6" customHeight="1">
      <c r="A275" s="595" t="s">
        <v>45</v>
      </c>
      <c r="B275" s="1097"/>
      <c r="C275" s="570" t="s">
        <v>673</v>
      </c>
      <c r="D275" s="569" t="s">
        <v>11</v>
      </c>
      <c r="E275" s="919"/>
      <c r="F275" s="919">
        <v>10</v>
      </c>
      <c r="G275" s="1396"/>
      <c r="H275" s="1365">
        <f t="shared" ref="H275:H279" si="76">F275*G275</f>
        <v>0</v>
      </c>
      <c r="I275" s="1365"/>
      <c r="J275" s="1361">
        <f t="shared" ref="J275:J279" si="77">F275*I275</f>
        <v>0</v>
      </c>
      <c r="K275" s="1365"/>
      <c r="L275" s="1361"/>
      <c r="M275" s="1359">
        <f t="shared" ref="M275:M279" si="78">H275+J275+L275</f>
        <v>0</v>
      </c>
    </row>
    <row r="276" spans="1:13" s="1010" customFormat="1" ht="57.6" customHeight="1">
      <c r="A276" s="595" t="s">
        <v>46</v>
      </c>
      <c r="B276" s="1097"/>
      <c r="C276" s="570" t="s">
        <v>674</v>
      </c>
      <c r="D276" s="569" t="s">
        <v>11</v>
      </c>
      <c r="E276" s="919"/>
      <c r="F276" s="919">
        <v>18</v>
      </c>
      <c r="G276" s="1396"/>
      <c r="H276" s="1365">
        <f t="shared" si="76"/>
        <v>0</v>
      </c>
      <c r="I276" s="1365"/>
      <c r="J276" s="1361">
        <f t="shared" si="77"/>
        <v>0</v>
      </c>
      <c r="K276" s="1365"/>
      <c r="L276" s="1361"/>
      <c r="M276" s="1359">
        <f t="shared" si="78"/>
        <v>0</v>
      </c>
    </row>
    <row r="277" spans="1:13" s="1010" customFormat="1" ht="57.6" customHeight="1">
      <c r="A277" s="595" t="s">
        <v>47</v>
      </c>
      <c r="B277" s="1097"/>
      <c r="C277" s="570" t="s">
        <v>676</v>
      </c>
      <c r="D277" s="569" t="s">
        <v>11</v>
      </c>
      <c r="E277" s="919"/>
      <c r="F277" s="919">
        <v>18</v>
      </c>
      <c r="G277" s="1396"/>
      <c r="H277" s="1365">
        <f t="shared" si="76"/>
        <v>0</v>
      </c>
      <c r="I277" s="1365"/>
      <c r="J277" s="1361">
        <f t="shared" si="77"/>
        <v>0</v>
      </c>
      <c r="K277" s="1365"/>
      <c r="L277" s="1361"/>
      <c r="M277" s="1359">
        <f t="shared" si="78"/>
        <v>0</v>
      </c>
    </row>
    <row r="278" spans="1:13" s="1010" customFormat="1" ht="57.6" customHeight="1">
      <c r="A278" s="595" t="s">
        <v>48</v>
      </c>
      <c r="B278" s="1097"/>
      <c r="C278" s="570" t="s">
        <v>675</v>
      </c>
      <c r="D278" s="569" t="s">
        <v>11</v>
      </c>
      <c r="E278" s="919"/>
      <c r="F278" s="919">
        <v>17</v>
      </c>
      <c r="G278" s="1396"/>
      <c r="H278" s="1365">
        <f t="shared" si="76"/>
        <v>0</v>
      </c>
      <c r="I278" s="1365"/>
      <c r="J278" s="1361">
        <f t="shared" si="77"/>
        <v>0</v>
      </c>
      <c r="K278" s="1365"/>
      <c r="L278" s="1361"/>
      <c r="M278" s="1359">
        <f t="shared" si="78"/>
        <v>0</v>
      </c>
    </row>
    <row r="279" spans="1:13" s="1010" customFormat="1" ht="57.6" customHeight="1">
      <c r="A279" s="595" t="s">
        <v>127</v>
      </c>
      <c r="B279" s="1097"/>
      <c r="C279" s="570" t="s">
        <v>677</v>
      </c>
      <c r="D279" s="569" t="s">
        <v>11</v>
      </c>
      <c r="E279" s="919"/>
      <c r="F279" s="919">
        <v>80</v>
      </c>
      <c r="G279" s="1396"/>
      <c r="H279" s="1365">
        <f t="shared" si="76"/>
        <v>0</v>
      </c>
      <c r="I279" s="1365"/>
      <c r="J279" s="1361">
        <f t="shared" si="77"/>
        <v>0</v>
      </c>
      <c r="K279" s="1365"/>
      <c r="L279" s="1361"/>
      <c r="M279" s="1359">
        <f t="shared" si="78"/>
        <v>0</v>
      </c>
    </row>
    <row r="280" spans="1:13" ht="21.6" customHeight="1">
      <c r="A280" s="588"/>
      <c r="B280" s="1066"/>
      <c r="C280" s="602" t="s">
        <v>191</v>
      </c>
      <c r="D280" s="588" t="s">
        <v>1</v>
      </c>
      <c r="E280" s="904"/>
      <c r="F280" s="564"/>
      <c r="G280" s="1357"/>
      <c r="H280" s="1365">
        <f>SUM(H8:H279)</f>
        <v>0</v>
      </c>
      <c r="I280" s="1358"/>
      <c r="J280" s="1365">
        <f>SUM(J8:J279)</f>
        <v>0</v>
      </c>
      <c r="K280" s="1358"/>
      <c r="L280" s="1365">
        <f>SUM(L8:L279)</f>
        <v>0</v>
      </c>
      <c r="M280" s="1365">
        <f>SUM(M8:M279)</f>
        <v>0</v>
      </c>
    </row>
    <row r="281" spans="1:13" ht="21.6" customHeight="1">
      <c r="A281" s="588"/>
      <c r="B281" s="1066"/>
      <c r="C281" s="567" t="s">
        <v>247</v>
      </c>
      <c r="D281" s="578" t="s">
        <v>874</v>
      </c>
      <c r="E281" s="564"/>
      <c r="F281" s="568">
        <v>0</v>
      </c>
      <c r="G281" s="1357"/>
      <c r="H281" s="1358"/>
      <c r="I281" s="1358"/>
      <c r="J281" s="1359"/>
      <c r="K281" s="1359"/>
      <c r="L281" s="1359"/>
      <c r="M281" s="1359">
        <f>H280*F281</f>
        <v>0</v>
      </c>
    </row>
    <row r="282" spans="1:13" ht="21.6" customHeight="1">
      <c r="A282" s="588"/>
      <c r="B282" s="1066"/>
      <c r="C282" s="567" t="s">
        <v>39</v>
      </c>
      <c r="D282" s="566"/>
      <c r="E282" s="564"/>
      <c r="F282" s="568"/>
      <c r="G282" s="1357"/>
      <c r="H282" s="1358"/>
      <c r="I282" s="1358"/>
      <c r="J282" s="1359"/>
      <c r="K282" s="1359"/>
      <c r="L282" s="1359"/>
      <c r="M282" s="1359">
        <f>M281+M280</f>
        <v>0</v>
      </c>
    </row>
    <row r="283" spans="1:13" ht="21.6" customHeight="1">
      <c r="A283" s="588"/>
      <c r="B283" s="1066"/>
      <c r="C283" s="593" t="s">
        <v>193</v>
      </c>
      <c r="D283" s="592" t="s">
        <v>874</v>
      </c>
      <c r="E283" s="905"/>
      <c r="F283" s="568">
        <v>0</v>
      </c>
      <c r="G283" s="1357"/>
      <c r="H283" s="1359"/>
      <c r="I283" s="1358"/>
      <c r="J283" s="1358"/>
      <c r="K283" s="1358"/>
      <c r="L283" s="1358"/>
      <c r="M283" s="1359">
        <f>M282*F283</f>
        <v>0</v>
      </c>
    </row>
    <row r="284" spans="1:13" ht="21.6" customHeight="1">
      <c r="A284" s="588"/>
      <c r="B284" s="1066"/>
      <c r="C284" s="593" t="s">
        <v>29</v>
      </c>
      <c r="D284" s="592"/>
      <c r="E284" s="905"/>
      <c r="F284" s="1405"/>
      <c r="G284" s="1360"/>
      <c r="H284" s="1361"/>
      <c r="I284" s="1358"/>
      <c r="J284" s="1358"/>
      <c r="K284" s="1358"/>
      <c r="L284" s="1358"/>
      <c r="M284" s="1361">
        <f>M283+M282</f>
        <v>0</v>
      </c>
    </row>
    <row r="285" spans="1:13" ht="21.6" customHeight="1">
      <c r="A285" s="588"/>
      <c r="B285" s="1074"/>
      <c r="C285" s="593" t="s">
        <v>30</v>
      </c>
      <c r="D285" s="592" t="s">
        <v>874</v>
      </c>
      <c r="E285" s="905"/>
      <c r="F285" s="568">
        <v>0</v>
      </c>
      <c r="G285" s="1357"/>
      <c r="H285" s="1359"/>
      <c r="I285" s="1358"/>
      <c r="J285" s="1358"/>
      <c r="K285" s="1358"/>
      <c r="L285" s="1358"/>
      <c r="M285" s="1359">
        <f>M284*F285</f>
        <v>0</v>
      </c>
    </row>
    <row r="286" spans="1:13" ht="21.6" customHeight="1">
      <c r="A286" s="592"/>
      <c r="B286" s="1074"/>
      <c r="C286" s="602" t="s">
        <v>31</v>
      </c>
      <c r="D286" s="588"/>
      <c r="E286" s="905"/>
      <c r="F286" s="906"/>
      <c r="G286" s="1360"/>
      <c r="H286" s="1361"/>
      <c r="I286" s="1358"/>
      <c r="J286" s="1358"/>
      <c r="K286" s="1358"/>
      <c r="L286" s="1358"/>
      <c r="M286" s="1361">
        <f>SUM(M284:M285)</f>
        <v>0</v>
      </c>
    </row>
    <row r="287" spans="1:13">
      <c r="C287" s="907"/>
      <c r="D287" s="907"/>
      <c r="E287" s="907"/>
      <c r="F287" s="907"/>
      <c r="G287" s="1056"/>
      <c r="H287" s="908"/>
    </row>
    <row r="289" spans="1:8" ht="15.75" customHeight="1">
      <c r="A289" s="909"/>
      <c r="B289" s="1099"/>
      <c r="C289" s="911"/>
      <c r="D289" s="909"/>
      <c r="E289" s="912"/>
      <c r="F289" s="913"/>
      <c r="G289" s="1057"/>
      <c r="H289" s="915"/>
    </row>
    <row r="290" spans="1:8">
      <c r="A290" s="909"/>
      <c r="B290" s="1100"/>
      <c r="C290" s="907"/>
      <c r="D290" s="916"/>
      <c r="E290" s="916"/>
      <c r="F290" s="916"/>
      <c r="G290" s="1058"/>
    </row>
    <row r="291" spans="1:8" ht="15" customHeight="1">
      <c r="B291" s="1101"/>
      <c r="C291" s="907"/>
      <c r="D291" s="907"/>
      <c r="E291" s="907"/>
      <c r="F291" s="907"/>
      <c r="G291" s="1056"/>
      <c r="H291" s="908"/>
    </row>
    <row r="295" spans="1:8" ht="15" customHeight="1">
      <c r="C295" s="1595"/>
      <c r="D295" s="1595"/>
      <c r="E295" s="1595"/>
      <c r="F295" s="1595"/>
      <c r="G295" s="1595"/>
      <c r="H295" s="1595"/>
    </row>
  </sheetData>
  <protectedRanges>
    <protectedRange sqref="G61:G62 I61 K61:K62" name="Range1"/>
    <protectedRange sqref="K214:K215 K211:K212 K193:K198 G193:G198 I211 I193 G211:G218 I195:I197 I213:I215 G222:G233 G204:G208" name="Range1_1"/>
    <protectedRange sqref="K256:K261 K248:K249 K251:K254 K263:K266 G272:G279 I248 I250:I253 I255:I258 I262:I265 I260 G248:G266" name="Range1_2"/>
    <protectedRange sqref="K132:K134 I132:I134 G132:G134" name="Range1_3"/>
    <protectedRange sqref="K239:K240 K242:K247 I239:I247 G239:G243 G246:G247" name="Range1_4"/>
    <protectedRange sqref="G110:G122 G209 G124:G130 G244:G245 I110:I130 K110:K130" name="Range1_5"/>
    <protectedRange sqref="K100:K109 G100:G109 I100:I109" name="Range1_6"/>
  </protectedRanges>
  <mergeCells count="14">
    <mergeCell ref="K5:L5"/>
    <mergeCell ref="M5:M6"/>
    <mergeCell ref="C295:H295"/>
    <mergeCell ref="A1:H1"/>
    <mergeCell ref="A2:J2"/>
    <mergeCell ref="A3:D3"/>
    <mergeCell ref="A4:H4"/>
    <mergeCell ref="A5:A6"/>
    <mergeCell ref="B5:B6"/>
    <mergeCell ref="C5:C6"/>
    <mergeCell ref="D5:D6"/>
    <mergeCell ref="E5:F5"/>
    <mergeCell ref="G5:H5"/>
    <mergeCell ref="I5:J5"/>
  </mergeCells>
  <pageMargins left="0.12" right="0.12" top="0.24" bottom="0.17" header="0.12" footer="0.12"/>
  <pageSetup paperSize="9" scale="57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4.9989318521683403E-2"/>
  </sheetPr>
  <dimension ref="A1:M48"/>
  <sheetViews>
    <sheetView zoomScale="70" zoomScaleNormal="70" workbookViewId="0">
      <selection activeCell="E6" sqref="E6"/>
    </sheetView>
  </sheetViews>
  <sheetFormatPr defaultColWidth="9.140625" defaultRowHeight="45.75" customHeight="1"/>
  <cols>
    <col min="1" max="1" width="8.28515625" style="604" customWidth="1"/>
    <col min="2" max="2" width="14.42578125" style="605" customWidth="1"/>
    <col min="3" max="3" width="70.140625" style="605" customWidth="1"/>
    <col min="4" max="4" width="17" style="605" customWidth="1"/>
    <col min="5" max="5" width="20.28515625" style="605" customWidth="1"/>
    <col min="6" max="6" width="13.140625" style="605" customWidth="1"/>
    <col min="7" max="7" width="13.5703125" style="875" customWidth="1"/>
    <col min="8" max="8" width="14.7109375" style="875" customWidth="1"/>
    <col min="9" max="9" width="14.28515625" style="875" customWidth="1"/>
    <col min="10" max="10" width="13" style="875" customWidth="1"/>
    <col min="11" max="11" width="11.28515625" style="875" customWidth="1"/>
    <col min="12" max="12" width="14.5703125" style="875" customWidth="1"/>
    <col min="13" max="13" width="14.42578125" style="875" customWidth="1"/>
    <col min="14" max="242" width="9.140625" style="605"/>
    <col min="243" max="243" width="5.85546875" style="605" customWidth="1"/>
    <col min="244" max="244" width="11.42578125" style="605" customWidth="1"/>
    <col min="245" max="245" width="41.42578125" style="605" customWidth="1"/>
    <col min="246" max="255" width="11.7109375" style="605" customWidth="1"/>
    <col min="256" max="498" width="9.140625" style="605"/>
    <col min="499" max="499" width="5.85546875" style="605" customWidth="1"/>
    <col min="500" max="500" width="11.42578125" style="605" customWidth="1"/>
    <col min="501" max="501" width="41.42578125" style="605" customWidth="1"/>
    <col min="502" max="511" width="11.7109375" style="605" customWidth="1"/>
    <col min="512" max="754" width="9.140625" style="605"/>
    <col min="755" max="755" width="5.85546875" style="605" customWidth="1"/>
    <col min="756" max="756" width="11.42578125" style="605" customWidth="1"/>
    <col min="757" max="757" width="41.42578125" style="605" customWidth="1"/>
    <col min="758" max="767" width="11.7109375" style="605" customWidth="1"/>
    <col min="768" max="1010" width="9.140625" style="605"/>
    <col min="1011" max="1011" width="5.85546875" style="605" customWidth="1"/>
    <col min="1012" max="1012" width="11.42578125" style="605" customWidth="1"/>
    <col min="1013" max="1013" width="41.42578125" style="605" customWidth="1"/>
    <col min="1014" max="1023" width="11.7109375" style="605" customWidth="1"/>
    <col min="1024" max="1266" width="9.140625" style="605"/>
    <col min="1267" max="1267" width="5.85546875" style="605" customWidth="1"/>
    <col min="1268" max="1268" width="11.42578125" style="605" customWidth="1"/>
    <col min="1269" max="1269" width="41.42578125" style="605" customWidth="1"/>
    <col min="1270" max="1279" width="11.7109375" style="605" customWidth="1"/>
    <col min="1280" max="1522" width="9.140625" style="605"/>
    <col min="1523" max="1523" width="5.85546875" style="605" customWidth="1"/>
    <col min="1524" max="1524" width="11.42578125" style="605" customWidth="1"/>
    <col min="1525" max="1525" width="41.42578125" style="605" customWidth="1"/>
    <col min="1526" max="1535" width="11.7109375" style="605" customWidth="1"/>
    <col min="1536" max="1778" width="9.140625" style="605"/>
    <col min="1779" max="1779" width="5.85546875" style="605" customWidth="1"/>
    <col min="1780" max="1780" width="11.42578125" style="605" customWidth="1"/>
    <col min="1781" max="1781" width="41.42578125" style="605" customWidth="1"/>
    <col min="1782" max="1791" width="11.7109375" style="605" customWidth="1"/>
    <col min="1792" max="2034" width="9.140625" style="605"/>
    <col min="2035" max="2035" width="5.85546875" style="605" customWidth="1"/>
    <col min="2036" max="2036" width="11.42578125" style="605" customWidth="1"/>
    <col min="2037" max="2037" width="41.42578125" style="605" customWidth="1"/>
    <col min="2038" max="2047" width="11.7109375" style="605" customWidth="1"/>
    <col min="2048" max="2290" width="9.140625" style="605"/>
    <col min="2291" max="2291" width="5.85546875" style="605" customWidth="1"/>
    <col min="2292" max="2292" width="11.42578125" style="605" customWidth="1"/>
    <col min="2293" max="2293" width="41.42578125" style="605" customWidth="1"/>
    <col min="2294" max="2303" width="11.7109375" style="605" customWidth="1"/>
    <col min="2304" max="2546" width="9.140625" style="605"/>
    <col min="2547" max="2547" width="5.85546875" style="605" customWidth="1"/>
    <col min="2548" max="2548" width="11.42578125" style="605" customWidth="1"/>
    <col min="2549" max="2549" width="41.42578125" style="605" customWidth="1"/>
    <col min="2550" max="2559" width="11.7109375" style="605" customWidth="1"/>
    <col min="2560" max="2802" width="9.140625" style="605"/>
    <col min="2803" max="2803" width="5.85546875" style="605" customWidth="1"/>
    <col min="2804" max="2804" width="11.42578125" style="605" customWidth="1"/>
    <col min="2805" max="2805" width="41.42578125" style="605" customWidth="1"/>
    <col min="2806" max="2815" width="11.7109375" style="605" customWidth="1"/>
    <col min="2816" max="3058" width="9.140625" style="605"/>
    <col min="3059" max="3059" width="5.85546875" style="605" customWidth="1"/>
    <col min="3060" max="3060" width="11.42578125" style="605" customWidth="1"/>
    <col min="3061" max="3061" width="41.42578125" style="605" customWidth="1"/>
    <col min="3062" max="3071" width="11.7109375" style="605" customWidth="1"/>
    <col min="3072" max="3314" width="9.140625" style="605"/>
    <col min="3315" max="3315" width="5.85546875" style="605" customWidth="1"/>
    <col min="3316" max="3316" width="11.42578125" style="605" customWidth="1"/>
    <col min="3317" max="3317" width="41.42578125" style="605" customWidth="1"/>
    <col min="3318" max="3327" width="11.7109375" style="605" customWidth="1"/>
    <col min="3328" max="3570" width="9.140625" style="605"/>
    <col min="3571" max="3571" width="5.85546875" style="605" customWidth="1"/>
    <col min="3572" max="3572" width="11.42578125" style="605" customWidth="1"/>
    <col min="3573" max="3573" width="41.42578125" style="605" customWidth="1"/>
    <col min="3574" max="3583" width="11.7109375" style="605" customWidth="1"/>
    <col min="3584" max="3826" width="9.140625" style="605"/>
    <col min="3827" max="3827" width="5.85546875" style="605" customWidth="1"/>
    <col min="3828" max="3828" width="11.42578125" style="605" customWidth="1"/>
    <col min="3829" max="3829" width="41.42578125" style="605" customWidth="1"/>
    <col min="3830" max="3839" width="11.7109375" style="605" customWidth="1"/>
    <col min="3840" max="4082" width="9.140625" style="605"/>
    <col min="4083" max="4083" width="5.85546875" style="605" customWidth="1"/>
    <col min="4084" max="4084" width="11.42578125" style="605" customWidth="1"/>
    <col min="4085" max="4085" width="41.42578125" style="605" customWidth="1"/>
    <col min="4086" max="4095" width="11.7109375" style="605" customWidth="1"/>
    <col min="4096" max="4338" width="9.140625" style="605"/>
    <col min="4339" max="4339" width="5.85546875" style="605" customWidth="1"/>
    <col min="4340" max="4340" width="11.42578125" style="605" customWidth="1"/>
    <col min="4341" max="4341" width="41.42578125" style="605" customWidth="1"/>
    <col min="4342" max="4351" width="11.7109375" style="605" customWidth="1"/>
    <col min="4352" max="4594" width="9.140625" style="605"/>
    <col min="4595" max="4595" width="5.85546875" style="605" customWidth="1"/>
    <col min="4596" max="4596" width="11.42578125" style="605" customWidth="1"/>
    <col min="4597" max="4597" width="41.42578125" style="605" customWidth="1"/>
    <col min="4598" max="4607" width="11.7109375" style="605" customWidth="1"/>
    <col min="4608" max="4850" width="9.140625" style="605"/>
    <col min="4851" max="4851" width="5.85546875" style="605" customWidth="1"/>
    <col min="4852" max="4852" width="11.42578125" style="605" customWidth="1"/>
    <col min="4853" max="4853" width="41.42578125" style="605" customWidth="1"/>
    <col min="4854" max="4863" width="11.7109375" style="605" customWidth="1"/>
    <col min="4864" max="5106" width="9.140625" style="605"/>
    <col min="5107" max="5107" width="5.85546875" style="605" customWidth="1"/>
    <col min="5108" max="5108" width="11.42578125" style="605" customWidth="1"/>
    <col min="5109" max="5109" width="41.42578125" style="605" customWidth="1"/>
    <col min="5110" max="5119" width="11.7109375" style="605" customWidth="1"/>
    <col min="5120" max="5362" width="9.140625" style="605"/>
    <col min="5363" max="5363" width="5.85546875" style="605" customWidth="1"/>
    <col min="5364" max="5364" width="11.42578125" style="605" customWidth="1"/>
    <col min="5365" max="5365" width="41.42578125" style="605" customWidth="1"/>
    <col min="5366" max="5375" width="11.7109375" style="605" customWidth="1"/>
    <col min="5376" max="5618" width="9.140625" style="605"/>
    <col min="5619" max="5619" width="5.85546875" style="605" customWidth="1"/>
    <col min="5620" max="5620" width="11.42578125" style="605" customWidth="1"/>
    <col min="5621" max="5621" width="41.42578125" style="605" customWidth="1"/>
    <col min="5622" max="5631" width="11.7109375" style="605" customWidth="1"/>
    <col min="5632" max="5874" width="9.140625" style="605"/>
    <col min="5875" max="5875" width="5.85546875" style="605" customWidth="1"/>
    <col min="5876" max="5876" width="11.42578125" style="605" customWidth="1"/>
    <col min="5877" max="5877" width="41.42578125" style="605" customWidth="1"/>
    <col min="5878" max="5887" width="11.7109375" style="605" customWidth="1"/>
    <col min="5888" max="6130" width="9.140625" style="605"/>
    <col min="6131" max="6131" width="5.85546875" style="605" customWidth="1"/>
    <col min="6132" max="6132" width="11.42578125" style="605" customWidth="1"/>
    <col min="6133" max="6133" width="41.42578125" style="605" customWidth="1"/>
    <col min="6134" max="6143" width="11.7109375" style="605" customWidth="1"/>
    <col min="6144" max="6386" width="9.140625" style="605"/>
    <col min="6387" max="6387" width="5.85546875" style="605" customWidth="1"/>
    <col min="6388" max="6388" width="11.42578125" style="605" customWidth="1"/>
    <col min="6389" max="6389" width="41.42578125" style="605" customWidth="1"/>
    <col min="6390" max="6399" width="11.7109375" style="605" customWidth="1"/>
    <col min="6400" max="6642" width="9.140625" style="605"/>
    <col min="6643" max="6643" width="5.85546875" style="605" customWidth="1"/>
    <col min="6644" max="6644" width="11.42578125" style="605" customWidth="1"/>
    <col min="6645" max="6645" width="41.42578125" style="605" customWidth="1"/>
    <col min="6646" max="6655" width="11.7109375" style="605" customWidth="1"/>
    <col min="6656" max="6898" width="9.140625" style="605"/>
    <col min="6899" max="6899" width="5.85546875" style="605" customWidth="1"/>
    <col min="6900" max="6900" width="11.42578125" style="605" customWidth="1"/>
    <col min="6901" max="6901" width="41.42578125" style="605" customWidth="1"/>
    <col min="6902" max="6911" width="11.7109375" style="605" customWidth="1"/>
    <col min="6912" max="7154" width="9.140625" style="605"/>
    <col min="7155" max="7155" width="5.85546875" style="605" customWidth="1"/>
    <col min="7156" max="7156" width="11.42578125" style="605" customWidth="1"/>
    <col min="7157" max="7157" width="41.42578125" style="605" customWidth="1"/>
    <col min="7158" max="7167" width="11.7109375" style="605" customWidth="1"/>
    <col min="7168" max="7410" width="9.140625" style="605"/>
    <col min="7411" max="7411" width="5.85546875" style="605" customWidth="1"/>
    <col min="7412" max="7412" width="11.42578125" style="605" customWidth="1"/>
    <col min="7413" max="7413" width="41.42578125" style="605" customWidth="1"/>
    <col min="7414" max="7423" width="11.7109375" style="605" customWidth="1"/>
    <col min="7424" max="7666" width="9.140625" style="605"/>
    <col min="7667" max="7667" width="5.85546875" style="605" customWidth="1"/>
    <col min="7668" max="7668" width="11.42578125" style="605" customWidth="1"/>
    <col min="7669" max="7669" width="41.42578125" style="605" customWidth="1"/>
    <col min="7670" max="7679" width="11.7109375" style="605" customWidth="1"/>
    <col min="7680" max="7922" width="9.140625" style="605"/>
    <col min="7923" max="7923" width="5.85546875" style="605" customWidth="1"/>
    <col min="7924" max="7924" width="11.42578125" style="605" customWidth="1"/>
    <col min="7925" max="7925" width="41.42578125" style="605" customWidth="1"/>
    <col min="7926" max="7935" width="11.7109375" style="605" customWidth="1"/>
    <col min="7936" max="8178" width="9.140625" style="605"/>
    <col min="8179" max="8179" width="5.85546875" style="605" customWidth="1"/>
    <col min="8180" max="8180" width="11.42578125" style="605" customWidth="1"/>
    <col min="8181" max="8181" width="41.42578125" style="605" customWidth="1"/>
    <col min="8182" max="8191" width="11.7109375" style="605" customWidth="1"/>
    <col min="8192" max="8434" width="9.140625" style="605"/>
    <col min="8435" max="8435" width="5.85546875" style="605" customWidth="1"/>
    <col min="8436" max="8436" width="11.42578125" style="605" customWidth="1"/>
    <col min="8437" max="8437" width="41.42578125" style="605" customWidth="1"/>
    <col min="8438" max="8447" width="11.7109375" style="605" customWidth="1"/>
    <col min="8448" max="8690" width="9.140625" style="605"/>
    <col min="8691" max="8691" width="5.85546875" style="605" customWidth="1"/>
    <col min="8692" max="8692" width="11.42578125" style="605" customWidth="1"/>
    <col min="8693" max="8693" width="41.42578125" style="605" customWidth="1"/>
    <col min="8694" max="8703" width="11.7109375" style="605" customWidth="1"/>
    <col min="8704" max="8946" width="9.140625" style="605"/>
    <col min="8947" max="8947" width="5.85546875" style="605" customWidth="1"/>
    <col min="8948" max="8948" width="11.42578125" style="605" customWidth="1"/>
    <col min="8949" max="8949" width="41.42578125" style="605" customWidth="1"/>
    <col min="8950" max="8959" width="11.7109375" style="605" customWidth="1"/>
    <col min="8960" max="9202" width="9.140625" style="605"/>
    <col min="9203" max="9203" width="5.85546875" style="605" customWidth="1"/>
    <col min="9204" max="9204" width="11.42578125" style="605" customWidth="1"/>
    <col min="9205" max="9205" width="41.42578125" style="605" customWidth="1"/>
    <col min="9206" max="9215" width="11.7109375" style="605" customWidth="1"/>
    <col min="9216" max="9458" width="9.140625" style="605"/>
    <col min="9459" max="9459" width="5.85546875" style="605" customWidth="1"/>
    <col min="9460" max="9460" width="11.42578125" style="605" customWidth="1"/>
    <col min="9461" max="9461" width="41.42578125" style="605" customWidth="1"/>
    <col min="9462" max="9471" width="11.7109375" style="605" customWidth="1"/>
    <col min="9472" max="9714" width="9.140625" style="605"/>
    <col min="9715" max="9715" width="5.85546875" style="605" customWidth="1"/>
    <col min="9716" max="9716" width="11.42578125" style="605" customWidth="1"/>
    <col min="9717" max="9717" width="41.42578125" style="605" customWidth="1"/>
    <col min="9718" max="9727" width="11.7109375" style="605" customWidth="1"/>
    <col min="9728" max="9970" width="9.140625" style="605"/>
    <col min="9971" max="9971" width="5.85546875" style="605" customWidth="1"/>
    <col min="9972" max="9972" width="11.42578125" style="605" customWidth="1"/>
    <col min="9973" max="9973" width="41.42578125" style="605" customWidth="1"/>
    <col min="9974" max="9983" width="11.7109375" style="605" customWidth="1"/>
    <col min="9984" max="10226" width="9.140625" style="605"/>
    <col min="10227" max="10227" width="5.85546875" style="605" customWidth="1"/>
    <col min="10228" max="10228" width="11.42578125" style="605" customWidth="1"/>
    <col min="10229" max="10229" width="41.42578125" style="605" customWidth="1"/>
    <col min="10230" max="10239" width="11.7109375" style="605" customWidth="1"/>
    <col min="10240" max="10482" width="9.140625" style="605"/>
    <col min="10483" max="10483" width="5.85546875" style="605" customWidth="1"/>
    <col min="10484" max="10484" width="11.42578125" style="605" customWidth="1"/>
    <col min="10485" max="10485" width="41.42578125" style="605" customWidth="1"/>
    <col min="10486" max="10495" width="11.7109375" style="605" customWidth="1"/>
    <col min="10496" max="10738" width="9.140625" style="605"/>
    <col min="10739" max="10739" width="5.85546875" style="605" customWidth="1"/>
    <col min="10740" max="10740" width="11.42578125" style="605" customWidth="1"/>
    <col min="10741" max="10741" width="41.42578125" style="605" customWidth="1"/>
    <col min="10742" max="10751" width="11.7109375" style="605" customWidth="1"/>
    <col min="10752" max="10994" width="9.140625" style="605"/>
    <col min="10995" max="10995" width="5.85546875" style="605" customWidth="1"/>
    <col min="10996" max="10996" width="11.42578125" style="605" customWidth="1"/>
    <col min="10997" max="10997" width="41.42578125" style="605" customWidth="1"/>
    <col min="10998" max="11007" width="11.7109375" style="605" customWidth="1"/>
    <col min="11008" max="11250" width="9.140625" style="605"/>
    <col min="11251" max="11251" width="5.85546875" style="605" customWidth="1"/>
    <col min="11252" max="11252" width="11.42578125" style="605" customWidth="1"/>
    <col min="11253" max="11253" width="41.42578125" style="605" customWidth="1"/>
    <col min="11254" max="11263" width="11.7109375" style="605" customWidth="1"/>
    <col min="11264" max="11506" width="9.140625" style="605"/>
    <col min="11507" max="11507" width="5.85546875" style="605" customWidth="1"/>
    <col min="11508" max="11508" width="11.42578125" style="605" customWidth="1"/>
    <col min="11509" max="11509" width="41.42578125" style="605" customWidth="1"/>
    <col min="11510" max="11519" width="11.7109375" style="605" customWidth="1"/>
    <col min="11520" max="11762" width="9.140625" style="605"/>
    <col min="11763" max="11763" width="5.85546875" style="605" customWidth="1"/>
    <col min="11764" max="11764" width="11.42578125" style="605" customWidth="1"/>
    <col min="11765" max="11765" width="41.42578125" style="605" customWidth="1"/>
    <col min="11766" max="11775" width="11.7109375" style="605" customWidth="1"/>
    <col min="11776" max="12018" width="9.140625" style="605"/>
    <col min="12019" max="12019" width="5.85546875" style="605" customWidth="1"/>
    <col min="12020" max="12020" width="11.42578125" style="605" customWidth="1"/>
    <col min="12021" max="12021" width="41.42578125" style="605" customWidth="1"/>
    <col min="12022" max="12031" width="11.7109375" style="605" customWidth="1"/>
    <col min="12032" max="12274" width="9.140625" style="605"/>
    <col min="12275" max="12275" width="5.85546875" style="605" customWidth="1"/>
    <col min="12276" max="12276" width="11.42578125" style="605" customWidth="1"/>
    <col min="12277" max="12277" width="41.42578125" style="605" customWidth="1"/>
    <col min="12278" max="12287" width="11.7109375" style="605" customWidth="1"/>
    <col min="12288" max="12530" width="9.140625" style="605"/>
    <col min="12531" max="12531" width="5.85546875" style="605" customWidth="1"/>
    <col min="12532" max="12532" width="11.42578125" style="605" customWidth="1"/>
    <col min="12533" max="12533" width="41.42578125" style="605" customWidth="1"/>
    <col min="12534" max="12543" width="11.7109375" style="605" customWidth="1"/>
    <col min="12544" max="12786" width="9.140625" style="605"/>
    <col min="12787" max="12787" width="5.85546875" style="605" customWidth="1"/>
    <col min="12788" max="12788" width="11.42578125" style="605" customWidth="1"/>
    <col min="12789" max="12789" width="41.42578125" style="605" customWidth="1"/>
    <col min="12790" max="12799" width="11.7109375" style="605" customWidth="1"/>
    <col min="12800" max="13042" width="9.140625" style="605"/>
    <col min="13043" max="13043" width="5.85546875" style="605" customWidth="1"/>
    <col min="13044" max="13044" width="11.42578125" style="605" customWidth="1"/>
    <col min="13045" max="13045" width="41.42578125" style="605" customWidth="1"/>
    <col min="13046" max="13055" width="11.7109375" style="605" customWidth="1"/>
    <col min="13056" max="13298" width="9.140625" style="605"/>
    <col min="13299" max="13299" width="5.85546875" style="605" customWidth="1"/>
    <col min="13300" max="13300" width="11.42578125" style="605" customWidth="1"/>
    <col min="13301" max="13301" width="41.42578125" style="605" customWidth="1"/>
    <col min="13302" max="13311" width="11.7109375" style="605" customWidth="1"/>
    <col min="13312" max="13554" width="9.140625" style="605"/>
    <col min="13555" max="13555" width="5.85546875" style="605" customWidth="1"/>
    <col min="13556" max="13556" width="11.42578125" style="605" customWidth="1"/>
    <col min="13557" max="13557" width="41.42578125" style="605" customWidth="1"/>
    <col min="13558" max="13567" width="11.7109375" style="605" customWidth="1"/>
    <col min="13568" max="13810" width="9.140625" style="605"/>
    <col min="13811" max="13811" width="5.85546875" style="605" customWidth="1"/>
    <col min="13812" max="13812" width="11.42578125" style="605" customWidth="1"/>
    <col min="13813" max="13813" width="41.42578125" style="605" customWidth="1"/>
    <col min="13814" max="13823" width="11.7109375" style="605" customWidth="1"/>
    <col min="13824" max="14066" width="9.140625" style="605"/>
    <col min="14067" max="14067" width="5.85546875" style="605" customWidth="1"/>
    <col min="14068" max="14068" width="11.42578125" style="605" customWidth="1"/>
    <col min="14069" max="14069" width="41.42578125" style="605" customWidth="1"/>
    <col min="14070" max="14079" width="11.7109375" style="605" customWidth="1"/>
    <col min="14080" max="14322" width="9.140625" style="605"/>
    <col min="14323" max="14323" width="5.85546875" style="605" customWidth="1"/>
    <col min="14324" max="14324" width="11.42578125" style="605" customWidth="1"/>
    <col min="14325" max="14325" width="41.42578125" style="605" customWidth="1"/>
    <col min="14326" max="14335" width="11.7109375" style="605" customWidth="1"/>
    <col min="14336" max="14578" width="9.140625" style="605"/>
    <col min="14579" max="14579" width="5.85546875" style="605" customWidth="1"/>
    <col min="14580" max="14580" width="11.42578125" style="605" customWidth="1"/>
    <col min="14581" max="14581" width="41.42578125" style="605" customWidth="1"/>
    <col min="14582" max="14591" width="11.7109375" style="605" customWidth="1"/>
    <col min="14592" max="14834" width="9.140625" style="605"/>
    <col min="14835" max="14835" width="5.85546875" style="605" customWidth="1"/>
    <col min="14836" max="14836" width="11.42578125" style="605" customWidth="1"/>
    <col min="14837" max="14837" width="41.42578125" style="605" customWidth="1"/>
    <col min="14838" max="14847" width="11.7109375" style="605" customWidth="1"/>
    <col min="14848" max="15090" width="9.140625" style="605"/>
    <col min="15091" max="15091" width="5.85546875" style="605" customWidth="1"/>
    <col min="15092" max="15092" width="11.42578125" style="605" customWidth="1"/>
    <col min="15093" max="15093" width="41.42578125" style="605" customWidth="1"/>
    <col min="15094" max="15103" width="11.7109375" style="605" customWidth="1"/>
    <col min="15104" max="15346" width="9.140625" style="605"/>
    <col min="15347" max="15347" width="5.85546875" style="605" customWidth="1"/>
    <col min="15348" max="15348" width="11.42578125" style="605" customWidth="1"/>
    <col min="15349" max="15349" width="41.42578125" style="605" customWidth="1"/>
    <col min="15350" max="15359" width="11.7109375" style="605" customWidth="1"/>
    <col min="15360" max="15602" width="9.140625" style="605"/>
    <col min="15603" max="15603" width="5.85546875" style="605" customWidth="1"/>
    <col min="15604" max="15604" width="11.42578125" style="605" customWidth="1"/>
    <col min="15605" max="15605" width="41.42578125" style="605" customWidth="1"/>
    <col min="15606" max="15615" width="11.7109375" style="605" customWidth="1"/>
    <col min="15616" max="15858" width="9.140625" style="605"/>
    <col min="15859" max="15859" width="5.85546875" style="605" customWidth="1"/>
    <col min="15860" max="15860" width="11.42578125" style="605" customWidth="1"/>
    <col min="15861" max="15861" width="41.42578125" style="605" customWidth="1"/>
    <col min="15862" max="15871" width="11.7109375" style="605" customWidth="1"/>
    <col min="15872" max="16114" width="9.140625" style="605"/>
    <col min="16115" max="16115" width="5.85546875" style="605" customWidth="1"/>
    <col min="16116" max="16116" width="11.42578125" style="605" customWidth="1"/>
    <col min="16117" max="16117" width="41.42578125" style="605" customWidth="1"/>
    <col min="16118" max="16127" width="11.7109375" style="605" customWidth="1"/>
    <col min="16128" max="16384" width="9.140625" style="605"/>
  </cols>
  <sheetData>
    <row r="1" spans="1:13" ht="45.75" customHeight="1">
      <c r="A1" s="1596" t="s">
        <v>469</v>
      </c>
      <c r="B1" s="1596"/>
      <c r="C1" s="1596"/>
      <c r="D1" s="1596"/>
      <c r="E1" s="1596"/>
      <c r="F1" s="1596"/>
      <c r="G1" s="1596"/>
      <c r="H1" s="1596"/>
    </row>
    <row r="2" spans="1:13" ht="45.75" customHeight="1">
      <c r="A2" s="1597" t="s">
        <v>653</v>
      </c>
      <c r="B2" s="1597"/>
      <c r="C2" s="1597"/>
      <c r="D2" s="1597"/>
      <c r="E2" s="1597"/>
      <c r="F2" s="1597"/>
      <c r="G2" s="1597"/>
      <c r="H2" s="1597"/>
      <c r="I2" s="1597"/>
      <c r="J2" s="1597"/>
    </row>
    <row r="3" spans="1:13" ht="45.75" customHeight="1">
      <c r="A3" s="1598" t="s">
        <v>0</v>
      </c>
      <c r="B3" s="1598"/>
      <c r="C3" s="1598"/>
      <c r="D3" s="1598"/>
      <c r="E3" s="876">
        <f>M39</f>
        <v>0</v>
      </c>
      <c r="F3" s="605" t="s">
        <v>1</v>
      </c>
    </row>
    <row r="4" spans="1:13" ht="45.75" customHeight="1">
      <c r="A4" s="1599"/>
      <c r="B4" s="1599"/>
      <c r="C4" s="1599"/>
      <c r="D4" s="1599"/>
      <c r="E4" s="1599"/>
      <c r="F4" s="1599"/>
      <c r="G4" s="1599"/>
      <c r="H4" s="1599"/>
    </row>
    <row r="5" spans="1:13" ht="45.75" customHeight="1">
      <c r="A5" s="1600"/>
      <c r="B5" s="1604" t="s">
        <v>2</v>
      </c>
      <c r="C5" s="1602" t="s">
        <v>3</v>
      </c>
      <c r="D5" s="1603" t="s">
        <v>4</v>
      </c>
      <c r="E5" s="1600" t="s">
        <v>5</v>
      </c>
      <c r="F5" s="1600"/>
      <c r="G5" s="1593" t="s">
        <v>6</v>
      </c>
      <c r="H5" s="1593"/>
      <c r="I5" s="1593" t="s">
        <v>66</v>
      </c>
      <c r="J5" s="1593"/>
      <c r="K5" s="1593" t="s">
        <v>72</v>
      </c>
      <c r="L5" s="1593"/>
      <c r="M5" s="1594" t="s">
        <v>67</v>
      </c>
    </row>
    <row r="6" spans="1:13" ht="57" customHeight="1">
      <c r="A6" s="1600"/>
      <c r="B6" s="1604"/>
      <c r="C6" s="1602"/>
      <c r="D6" s="1603"/>
      <c r="E6" s="585" t="s">
        <v>7</v>
      </c>
      <c r="F6" s="585" t="s">
        <v>8</v>
      </c>
      <c r="G6" s="877" t="s">
        <v>9</v>
      </c>
      <c r="H6" s="877" t="s">
        <v>10</v>
      </c>
      <c r="I6" s="877" t="s">
        <v>9</v>
      </c>
      <c r="J6" s="877" t="s">
        <v>10</v>
      </c>
      <c r="K6" s="877" t="s">
        <v>9</v>
      </c>
      <c r="L6" s="877" t="s">
        <v>10</v>
      </c>
      <c r="M6" s="1594"/>
    </row>
    <row r="7" spans="1:13" s="604" customFormat="1" ht="32.25" customHeight="1">
      <c r="A7" s="878">
        <v>1</v>
      </c>
      <c r="B7" s="878">
        <v>2</v>
      </c>
      <c r="C7" s="878">
        <v>3</v>
      </c>
      <c r="D7" s="878">
        <v>4</v>
      </c>
      <c r="E7" s="878">
        <v>5</v>
      </c>
      <c r="F7" s="878">
        <v>6</v>
      </c>
      <c r="G7" s="1404">
        <v>7</v>
      </c>
      <c r="H7" s="1404">
        <v>8</v>
      </c>
      <c r="I7" s="1404">
        <v>9</v>
      </c>
      <c r="J7" s="1404">
        <v>10</v>
      </c>
      <c r="K7" s="1404">
        <v>11</v>
      </c>
      <c r="L7" s="1404">
        <v>12</v>
      </c>
      <c r="M7" s="1404">
        <v>13</v>
      </c>
    </row>
    <row r="8" spans="1:13" ht="32.25" customHeight="1">
      <c r="A8" s="880"/>
      <c r="B8" s="566"/>
      <c r="C8" s="596" t="s">
        <v>705</v>
      </c>
      <c r="D8" s="598"/>
      <c r="E8" s="881"/>
      <c r="F8" s="882"/>
      <c r="G8" s="1406"/>
      <c r="H8" s="1406">
        <f t="shared" ref="H8:H32" si="0">F8*G8</f>
        <v>0</v>
      </c>
      <c r="I8" s="1407"/>
      <c r="J8" s="1407">
        <f t="shared" ref="J8:J32" si="1">F8*I8</f>
        <v>0</v>
      </c>
      <c r="K8" s="1407"/>
      <c r="L8" s="1407">
        <f t="shared" ref="L8:L32" si="2">F8*K8</f>
        <v>0</v>
      </c>
      <c r="M8" s="1407">
        <f t="shared" ref="M8:M32" si="3">H8+J8+L8</f>
        <v>0</v>
      </c>
    </row>
    <row r="9" spans="1:13" s="888" customFormat="1" ht="45.75" customHeight="1">
      <c r="A9" s="883">
        <v>1</v>
      </c>
      <c r="B9" s="884"/>
      <c r="C9" s="885" t="s">
        <v>503</v>
      </c>
      <c r="D9" s="884" t="s">
        <v>16</v>
      </c>
      <c r="E9" s="886"/>
      <c r="F9" s="887">
        <f>F13+F14</f>
        <v>2.8376000000000001</v>
      </c>
      <c r="G9" s="1406"/>
      <c r="H9" s="1406">
        <f t="shared" si="0"/>
        <v>0</v>
      </c>
      <c r="I9" s="1407"/>
      <c r="J9" s="1407">
        <f t="shared" si="1"/>
        <v>0</v>
      </c>
      <c r="K9" s="1407"/>
      <c r="L9" s="1407">
        <f t="shared" si="2"/>
        <v>0</v>
      </c>
      <c r="M9" s="1407">
        <f t="shared" si="3"/>
        <v>0</v>
      </c>
    </row>
    <row r="10" spans="1:13" s="888" customFormat="1" ht="24.75" customHeight="1">
      <c r="A10" s="590">
        <f t="shared" ref="A10:A22" si="4">A9+0.1</f>
        <v>1.1000000000000001</v>
      </c>
      <c r="B10" s="592"/>
      <c r="C10" s="889" t="s">
        <v>12</v>
      </c>
      <c r="D10" s="890" t="s">
        <v>16</v>
      </c>
      <c r="E10" s="891">
        <v>1</v>
      </c>
      <c r="F10" s="892">
        <f>F9*E10</f>
        <v>2.8376000000000001</v>
      </c>
      <c r="G10" s="1406"/>
      <c r="H10" s="1406">
        <f t="shared" si="0"/>
        <v>0</v>
      </c>
      <c r="I10" s="1407"/>
      <c r="J10" s="1407">
        <f t="shared" si="1"/>
        <v>0</v>
      </c>
      <c r="K10" s="1407"/>
      <c r="L10" s="1407">
        <f t="shared" si="2"/>
        <v>0</v>
      </c>
      <c r="M10" s="1407">
        <f t="shared" si="3"/>
        <v>0</v>
      </c>
    </row>
    <row r="11" spans="1:13" s="888" customFormat="1" ht="24.75" customHeight="1">
      <c r="A11" s="590">
        <f t="shared" si="4"/>
        <v>1.2000000000000002</v>
      </c>
      <c r="B11" s="592"/>
      <c r="C11" s="589" t="s">
        <v>168</v>
      </c>
      <c r="D11" s="890" t="s">
        <v>150</v>
      </c>
      <c r="E11" s="891">
        <f>1.02+0.31</f>
        <v>1.33</v>
      </c>
      <c r="F11" s="891">
        <f>F9*E11</f>
        <v>3.7740080000000003</v>
      </c>
      <c r="G11" s="1406"/>
      <c r="H11" s="1406">
        <f t="shared" si="0"/>
        <v>0</v>
      </c>
      <c r="I11" s="1407"/>
      <c r="J11" s="1407">
        <f t="shared" si="1"/>
        <v>0</v>
      </c>
      <c r="K11" s="1406"/>
      <c r="L11" s="1407">
        <f t="shared" si="2"/>
        <v>0</v>
      </c>
      <c r="M11" s="1407">
        <f t="shared" si="3"/>
        <v>0</v>
      </c>
    </row>
    <row r="12" spans="1:13" s="888" customFormat="1" ht="24.75" customHeight="1">
      <c r="A12" s="590">
        <f t="shared" si="4"/>
        <v>1.3000000000000003</v>
      </c>
      <c r="B12" s="592"/>
      <c r="C12" s="593" t="s">
        <v>117</v>
      </c>
      <c r="D12" s="591" t="s">
        <v>14</v>
      </c>
      <c r="E12" s="886">
        <v>4.3099999999999996</v>
      </c>
      <c r="F12" s="892">
        <f>E12*F9</f>
        <v>12.230055999999999</v>
      </c>
      <c r="G12" s="1406"/>
      <c r="H12" s="1406">
        <f t="shared" si="0"/>
        <v>0</v>
      </c>
      <c r="I12" s="1407"/>
      <c r="J12" s="1407">
        <f t="shared" si="1"/>
        <v>0</v>
      </c>
      <c r="K12" s="1406"/>
      <c r="L12" s="1407">
        <f t="shared" si="2"/>
        <v>0</v>
      </c>
      <c r="M12" s="1407">
        <f t="shared" si="3"/>
        <v>0</v>
      </c>
    </row>
    <row r="13" spans="1:13" s="888" customFormat="1" ht="24.75" customHeight="1">
      <c r="A13" s="590">
        <f t="shared" si="4"/>
        <v>1.4000000000000004</v>
      </c>
      <c r="B13" s="893"/>
      <c r="C13" s="589" t="s">
        <v>437</v>
      </c>
      <c r="D13" s="890" t="s">
        <v>16</v>
      </c>
      <c r="E13" s="891" t="s">
        <v>20</v>
      </c>
      <c r="F13" s="894">
        <f>140*18.84/1000</f>
        <v>2.6375999999999999</v>
      </c>
      <c r="G13" s="1406"/>
      <c r="H13" s="1406">
        <f t="shared" si="0"/>
        <v>0</v>
      </c>
      <c r="I13" s="1407"/>
      <c r="J13" s="1407">
        <f t="shared" si="1"/>
        <v>0</v>
      </c>
      <c r="K13" s="1407"/>
      <c r="L13" s="1407">
        <f t="shared" si="2"/>
        <v>0</v>
      </c>
      <c r="M13" s="1407">
        <f t="shared" si="3"/>
        <v>0</v>
      </c>
    </row>
    <row r="14" spans="1:13" s="888" customFormat="1" ht="24.75" customHeight="1">
      <c r="A14" s="590">
        <f t="shared" si="4"/>
        <v>1.5000000000000004</v>
      </c>
      <c r="B14" s="893"/>
      <c r="C14" s="895" t="s">
        <v>438</v>
      </c>
      <c r="D14" s="890" t="s">
        <v>16</v>
      </c>
      <c r="E14" s="891" t="s">
        <v>20</v>
      </c>
      <c r="F14" s="894">
        <v>0.2</v>
      </c>
      <c r="G14" s="1406"/>
      <c r="H14" s="1406">
        <f t="shared" si="0"/>
        <v>0</v>
      </c>
      <c r="I14" s="1407"/>
      <c r="J14" s="1407">
        <f t="shared" si="1"/>
        <v>0</v>
      </c>
      <c r="K14" s="1407"/>
      <c r="L14" s="1407">
        <f t="shared" si="2"/>
        <v>0</v>
      </c>
      <c r="M14" s="1407">
        <f t="shared" si="3"/>
        <v>0</v>
      </c>
    </row>
    <row r="15" spans="1:13" s="888" customFormat="1" ht="24.75" customHeight="1">
      <c r="A15" s="590">
        <f t="shared" si="4"/>
        <v>1.6000000000000005</v>
      </c>
      <c r="B15" s="591"/>
      <c r="C15" s="589" t="s">
        <v>169</v>
      </c>
      <c r="D15" s="890" t="s">
        <v>16</v>
      </c>
      <c r="E15" s="891" t="s">
        <v>20</v>
      </c>
      <c r="F15" s="894">
        <f>32.4/1000</f>
        <v>3.2399999999999998E-2</v>
      </c>
      <c r="G15" s="1406"/>
      <c r="H15" s="1406">
        <f t="shared" si="0"/>
        <v>0</v>
      </c>
      <c r="I15" s="1407"/>
      <c r="J15" s="1407">
        <f t="shared" si="1"/>
        <v>0</v>
      </c>
      <c r="K15" s="1407"/>
      <c r="L15" s="1407">
        <f t="shared" si="2"/>
        <v>0</v>
      </c>
      <c r="M15" s="1407">
        <f t="shared" si="3"/>
        <v>0</v>
      </c>
    </row>
    <row r="16" spans="1:13" s="888" customFormat="1" ht="24.75" customHeight="1">
      <c r="A16" s="590">
        <f t="shared" si="4"/>
        <v>1.7000000000000006</v>
      </c>
      <c r="B16" s="592"/>
      <c r="C16" s="589" t="s">
        <v>170</v>
      </c>
      <c r="D16" s="890" t="s">
        <v>16</v>
      </c>
      <c r="E16" s="891" t="s">
        <v>20</v>
      </c>
      <c r="F16" s="894">
        <v>0.09</v>
      </c>
      <c r="G16" s="1406"/>
      <c r="H16" s="1406">
        <f t="shared" si="0"/>
        <v>0</v>
      </c>
      <c r="I16" s="1407"/>
      <c r="J16" s="1407">
        <f t="shared" si="1"/>
        <v>0</v>
      </c>
      <c r="K16" s="1407"/>
      <c r="L16" s="1407">
        <f t="shared" si="2"/>
        <v>0</v>
      </c>
      <c r="M16" s="1407">
        <f t="shared" si="3"/>
        <v>0</v>
      </c>
    </row>
    <row r="17" spans="1:13" s="888" customFormat="1" ht="24.75" customHeight="1">
      <c r="A17" s="590">
        <f t="shared" si="4"/>
        <v>1.8000000000000007</v>
      </c>
      <c r="B17" s="896"/>
      <c r="C17" s="589" t="s">
        <v>79</v>
      </c>
      <c r="D17" s="591" t="s">
        <v>21</v>
      </c>
      <c r="E17" s="891">
        <v>3</v>
      </c>
      <c r="F17" s="891">
        <f>F9*E17</f>
        <v>8.5128000000000004</v>
      </c>
      <c r="G17" s="1406"/>
      <c r="H17" s="1406">
        <f t="shared" si="0"/>
        <v>0</v>
      </c>
      <c r="I17" s="1407"/>
      <c r="J17" s="1407">
        <f t="shared" si="1"/>
        <v>0</v>
      </c>
      <c r="K17" s="1407"/>
      <c r="L17" s="1407">
        <f t="shared" si="2"/>
        <v>0</v>
      </c>
      <c r="M17" s="1407">
        <f t="shared" si="3"/>
        <v>0</v>
      </c>
    </row>
    <row r="18" spans="1:13" s="888" customFormat="1" ht="24.75" customHeight="1">
      <c r="A18" s="590">
        <f t="shared" si="4"/>
        <v>1.9000000000000008</v>
      </c>
      <c r="B18" s="896"/>
      <c r="C18" s="589" t="s">
        <v>171</v>
      </c>
      <c r="D18" s="591" t="s">
        <v>21</v>
      </c>
      <c r="E18" s="897">
        <v>2</v>
      </c>
      <c r="F18" s="891">
        <f>F9*E18</f>
        <v>5.6752000000000002</v>
      </c>
      <c r="G18" s="1406"/>
      <c r="H18" s="1406">
        <f t="shared" si="0"/>
        <v>0</v>
      </c>
      <c r="I18" s="1407"/>
      <c r="J18" s="1407">
        <f t="shared" si="1"/>
        <v>0</v>
      </c>
      <c r="K18" s="1407"/>
      <c r="L18" s="1407">
        <f t="shared" si="2"/>
        <v>0</v>
      </c>
      <c r="M18" s="1407">
        <f t="shared" si="3"/>
        <v>0</v>
      </c>
    </row>
    <row r="19" spans="1:13" s="888" customFormat="1" ht="24.75" customHeight="1">
      <c r="A19" s="590">
        <f t="shared" si="4"/>
        <v>2.0000000000000009</v>
      </c>
      <c r="B19" s="592"/>
      <c r="C19" s="593" t="s">
        <v>119</v>
      </c>
      <c r="D19" s="591" t="s">
        <v>14</v>
      </c>
      <c r="E19" s="891">
        <v>2.78</v>
      </c>
      <c r="F19" s="891">
        <f>F9*E19</f>
        <v>7.888528</v>
      </c>
      <c r="G19" s="1406"/>
      <c r="H19" s="1406">
        <f t="shared" si="0"/>
        <v>0</v>
      </c>
      <c r="I19" s="1407"/>
      <c r="J19" s="1407">
        <f t="shared" si="1"/>
        <v>0</v>
      </c>
      <c r="K19" s="1407"/>
      <c r="L19" s="1407">
        <f t="shared" si="2"/>
        <v>0</v>
      </c>
      <c r="M19" s="1407">
        <f t="shared" si="3"/>
        <v>0</v>
      </c>
    </row>
    <row r="20" spans="1:13" s="888" customFormat="1" ht="45.75" customHeight="1">
      <c r="A20" s="883">
        <f>A9+1</f>
        <v>2</v>
      </c>
      <c r="B20" s="884"/>
      <c r="C20" s="885" t="s">
        <v>439</v>
      </c>
      <c r="D20" s="884" t="s">
        <v>177</v>
      </c>
      <c r="E20" s="886"/>
      <c r="F20" s="887">
        <v>415</v>
      </c>
      <c r="G20" s="1406"/>
      <c r="H20" s="1406">
        <f t="shared" si="0"/>
        <v>0</v>
      </c>
      <c r="I20" s="1407"/>
      <c r="J20" s="1407">
        <f t="shared" si="1"/>
        <v>0</v>
      </c>
      <c r="K20" s="1407"/>
      <c r="L20" s="1407">
        <f t="shared" si="2"/>
        <v>0</v>
      </c>
      <c r="M20" s="1407">
        <f t="shared" si="3"/>
        <v>0</v>
      </c>
    </row>
    <row r="21" spans="1:13" s="888" customFormat="1" ht="32.25" customHeight="1">
      <c r="A21" s="590">
        <f t="shared" si="4"/>
        <v>2.1</v>
      </c>
      <c r="B21" s="592"/>
      <c r="C21" s="889" t="s">
        <v>12</v>
      </c>
      <c r="D21" s="890" t="s">
        <v>177</v>
      </c>
      <c r="E21" s="891">
        <v>1</v>
      </c>
      <c r="F21" s="892">
        <f>F20*E21</f>
        <v>415</v>
      </c>
      <c r="G21" s="1406"/>
      <c r="H21" s="1406">
        <f t="shared" si="0"/>
        <v>0</v>
      </c>
      <c r="I21" s="1406"/>
      <c r="J21" s="1407">
        <f t="shared" si="1"/>
        <v>0</v>
      </c>
      <c r="K21" s="1407"/>
      <c r="L21" s="1407">
        <f t="shared" si="2"/>
        <v>0</v>
      </c>
      <c r="M21" s="1407">
        <f t="shared" si="3"/>
        <v>0</v>
      </c>
    </row>
    <row r="22" spans="1:13" s="888" customFormat="1" ht="32.25" customHeight="1">
      <c r="A22" s="590">
        <f t="shared" si="4"/>
        <v>2.2000000000000002</v>
      </c>
      <c r="B22" s="893"/>
      <c r="C22" s="589" t="s">
        <v>440</v>
      </c>
      <c r="D22" s="890" t="s">
        <v>177</v>
      </c>
      <c r="E22" s="891">
        <v>1</v>
      </c>
      <c r="F22" s="894">
        <f>F20*E22</f>
        <v>415</v>
      </c>
      <c r="G22" s="1406"/>
      <c r="H22" s="1406">
        <f t="shared" si="0"/>
        <v>0</v>
      </c>
      <c r="I22" s="1407"/>
      <c r="J22" s="1407">
        <f t="shared" si="1"/>
        <v>0</v>
      </c>
      <c r="K22" s="1407"/>
      <c r="L22" s="1407">
        <f t="shared" si="2"/>
        <v>0</v>
      </c>
      <c r="M22" s="1407">
        <f t="shared" si="3"/>
        <v>0</v>
      </c>
    </row>
    <row r="23" spans="1:13" s="888" customFormat="1" ht="45.75" customHeight="1">
      <c r="A23" s="588" t="s">
        <v>46</v>
      </c>
      <c r="B23" s="588"/>
      <c r="C23" s="602" t="s">
        <v>22</v>
      </c>
      <c r="D23" s="588" t="s">
        <v>828</v>
      </c>
      <c r="E23" s="898"/>
      <c r="F23" s="899">
        <v>102</v>
      </c>
      <c r="G23" s="1408"/>
      <c r="H23" s="1406">
        <f t="shared" si="0"/>
        <v>0</v>
      </c>
      <c r="I23" s="1407"/>
      <c r="J23" s="1407">
        <f t="shared" si="1"/>
        <v>0</v>
      </c>
      <c r="K23" s="1407"/>
      <c r="L23" s="1407">
        <f t="shared" si="2"/>
        <v>0</v>
      </c>
      <c r="M23" s="1407">
        <f t="shared" si="3"/>
        <v>0</v>
      </c>
    </row>
    <row r="24" spans="1:13" s="888" customFormat="1" ht="31.5" customHeight="1">
      <c r="A24" s="590">
        <f>A23+0.1</f>
        <v>3.1</v>
      </c>
      <c r="B24" s="592"/>
      <c r="C24" s="889" t="s">
        <v>12</v>
      </c>
      <c r="D24" s="592" t="s">
        <v>13</v>
      </c>
      <c r="E24" s="894">
        <v>7.7899999999999997E-2</v>
      </c>
      <c r="F24" s="900">
        <f>E24*F23</f>
        <v>7.9457999999999993</v>
      </c>
      <c r="G24" s="1406"/>
      <c r="H24" s="1406">
        <f t="shared" si="0"/>
        <v>0</v>
      </c>
      <c r="I24" s="1407"/>
      <c r="J24" s="1407">
        <f t="shared" si="1"/>
        <v>0</v>
      </c>
      <c r="K24" s="1407"/>
      <c r="L24" s="1407">
        <f t="shared" si="2"/>
        <v>0</v>
      </c>
      <c r="M24" s="1407">
        <f t="shared" si="3"/>
        <v>0</v>
      </c>
    </row>
    <row r="25" spans="1:13" s="888" customFormat="1" ht="31.5" customHeight="1">
      <c r="A25" s="590">
        <f>A24+0.1</f>
        <v>3.2</v>
      </c>
      <c r="B25" s="592"/>
      <c r="C25" s="593" t="s">
        <v>117</v>
      </c>
      <c r="D25" s="901" t="s">
        <v>14</v>
      </c>
      <c r="E25" s="894">
        <v>2E-3</v>
      </c>
      <c r="F25" s="902">
        <f>E25*F23</f>
        <v>0.20400000000000001</v>
      </c>
      <c r="G25" s="1406"/>
      <c r="H25" s="1406">
        <f t="shared" si="0"/>
        <v>0</v>
      </c>
      <c r="I25" s="1407"/>
      <c r="J25" s="1407">
        <f t="shared" si="1"/>
        <v>0</v>
      </c>
      <c r="K25" s="1406"/>
      <c r="L25" s="1407">
        <f t="shared" si="2"/>
        <v>0</v>
      </c>
      <c r="M25" s="1407">
        <f t="shared" si="3"/>
        <v>0</v>
      </c>
    </row>
    <row r="26" spans="1:13" s="888" customFormat="1" ht="31.5" customHeight="1">
      <c r="A26" s="590">
        <f>A25+0.1</f>
        <v>3.3000000000000003</v>
      </c>
      <c r="B26" s="591"/>
      <c r="C26" s="589" t="s">
        <v>24</v>
      </c>
      <c r="D26" s="901" t="s">
        <v>21</v>
      </c>
      <c r="E26" s="894">
        <v>8.5999999999999993E-2</v>
      </c>
      <c r="F26" s="900">
        <f>E26*F23</f>
        <v>8.7719999999999985</v>
      </c>
      <c r="G26" s="1406"/>
      <c r="H26" s="1406">
        <f t="shared" si="0"/>
        <v>0</v>
      </c>
      <c r="I26" s="1407"/>
      <c r="J26" s="1407">
        <f t="shared" si="1"/>
        <v>0</v>
      </c>
      <c r="K26" s="1407"/>
      <c r="L26" s="1407">
        <f t="shared" si="2"/>
        <v>0</v>
      </c>
      <c r="M26" s="1407">
        <f t="shared" si="3"/>
        <v>0</v>
      </c>
    </row>
    <row r="27" spans="1:13" s="888" customFormat="1" ht="45.75" customHeight="1">
      <c r="A27" s="588" t="s">
        <v>47</v>
      </c>
      <c r="B27" s="588"/>
      <c r="C27" s="602" t="s">
        <v>26</v>
      </c>
      <c r="D27" s="588" t="s">
        <v>828</v>
      </c>
      <c r="E27" s="898"/>
      <c r="F27" s="899">
        <v>102</v>
      </c>
      <c r="G27" s="1408"/>
      <c r="H27" s="1406">
        <f t="shared" si="0"/>
        <v>0</v>
      </c>
      <c r="I27" s="1407"/>
      <c r="J27" s="1407">
        <f t="shared" si="1"/>
        <v>0</v>
      </c>
      <c r="K27" s="1407"/>
      <c r="L27" s="1407">
        <f t="shared" si="2"/>
        <v>0</v>
      </c>
      <c r="M27" s="1407">
        <f t="shared" si="3"/>
        <v>0</v>
      </c>
    </row>
    <row r="28" spans="1:13" s="888" customFormat="1" ht="34.5" customHeight="1">
      <c r="A28" s="590">
        <f>A27+0.1</f>
        <v>4.0999999999999996</v>
      </c>
      <c r="B28" s="592"/>
      <c r="C28" s="889" t="s">
        <v>12</v>
      </c>
      <c r="D28" s="592" t="s">
        <v>13</v>
      </c>
      <c r="E28" s="894">
        <v>0.68</v>
      </c>
      <c r="F28" s="900">
        <f>E28*F27</f>
        <v>69.36</v>
      </c>
      <c r="G28" s="1406"/>
      <c r="H28" s="1406">
        <f t="shared" si="0"/>
        <v>0</v>
      </c>
      <c r="I28" s="1407"/>
      <c r="J28" s="1407">
        <f t="shared" si="1"/>
        <v>0</v>
      </c>
      <c r="K28" s="1407"/>
      <c r="L28" s="1407">
        <f t="shared" si="2"/>
        <v>0</v>
      </c>
      <c r="M28" s="1407">
        <f t="shared" si="3"/>
        <v>0</v>
      </c>
    </row>
    <row r="29" spans="1:13" s="888" customFormat="1" ht="34.5" customHeight="1">
      <c r="A29" s="590">
        <f>A28+0.1</f>
        <v>4.1999999999999993</v>
      </c>
      <c r="B29" s="592"/>
      <c r="C29" s="593" t="s">
        <v>117</v>
      </c>
      <c r="D29" s="901" t="s">
        <v>14</v>
      </c>
      <c r="E29" s="902">
        <v>2.9999999999999997E-4</v>
      </c>
      <c r="F29" s="902">
        <f>E29*F27</f>
        <v>3.0599999999999999E-2</v>
      </c>
      <c r="G29" s="1406"/>
      <c r="H29" s="1406">
        <f t="shared" si="0"/>
        <v>0</v>
      </c>
      <c r="I29" s="1407"/>
      <c r="J29" s="1407">
        <f t="shared" si="1"/>
        <v>0</v>
      </c>
      <c r="K29" s="1406"/>
      <c r="L29" s="1407">
        <f t="shared" si="2"/>
        <v>0</v>
      </c>
      <c r="M29" s="1407">
        <f t="shared" si="3"/>
        <v>0</v>
      </c>
    </row>
    <row r="30" spans="1:13" s="888" customFormat="1" ht="34.5" customHeight="1">
      <c r="A30" s="590">
        <f>A29+0.1</f>
        <v>4.2999999999999989</v>
      </c>
      <c r="B30" s="591"/>
      <c r="C30" s="903" t="s">
        <v>27</v>
      </c>
      <c r="D30" s="901" t="s">
        <v>21</v>
      </c>
      <c r="E30" s="894">
        <v>0.246</v>
      </c>
      <c r="F30" s="900">
        <f>E30*F27</f>
        <v>25.091999999999999</v>
      </c>
      <c r="G30" s="1406"/>
      <c r="H30" s="1406">
        <f t="shared" si="0"/>
        <v>0</v>
      </c>
      <c r="I30" s="1407"/>
      <c r="J30" s="1407">
        <f t="shared" si="1"/>
        <v>0</v>
      </c>
      <c r="K30" s="1407"/>
      <c r="L30" s="1407">
        <f t="shared" si="2"/>
        <v>0</v>
      </c>
      <c r="M30" s="1407">
        <f t="shared" si="3"/>
        <v>0</v>
      </c>
    </row>
    <row r="31" spans="1:13" s="888" customFormat="1" ht="34.5" customHeight="1">
      <c r="A31" s="590">
        <f>A30+0.1</f>
        <v>4.3999999999999986</v>
      </c>
      <c r="B31" s="591"/>
      <c r="C31" s="903" t="s">
        <v>28</v>
      </c>
      <c r="D31" s="901" t="s">
        <v>21</v>
      </c>
      <c r="E31" s="894">
        <f>2.7/100</f>
        <v>2.7000000000000003E-2</v>
      </c>
      <c r="F31" s="900">
        <f>F27*E31</f>
        <v>2.7540000000000004</v>
      </c>
      <c r="G31" s="1406"/>
      <c r="H31" s="1406">
        <f t="shared" si="0"/>
        <v>0</v>
      </c>
      <c r="I31" s="1407"/>
      <c r="J31" s="1407">
        <f t="shared" si="1"/>
        <v>0</v>
      </c>
      <c r="K31" s="1407"/>
      <c r="L31" s="1407">
        <f t="shared" si="2"/>
        <v>0</v>
      </c>
      <c r="M31" s="1407">
        <f t="shared" si="3"/>
        <v>0</v>
      </c>
    </row>
    <row r="32" spans="1:13" s="888" customFormat="1" ht="34.5" customHeight="1">
      <c r="A32" s="590">
        <f>A31+0.1</f>
        <v>4.4999999999999982</v>
      </c>
      <c r="B32" s="592"/>
      <c r="C32" s="593" t="s">
        <v>119</v>
      </c>
      <c r="D32" s="901" t="s">
        <v>1</v>
      </c>
      <c r="E32" s="902">
        <v>1.9E-3</v>
      </c>
      <c r="F32" s="894">
        <f>E32*F27</f>
        <v>0.1938</v>
      </c>
      <c r="G32" s="1406"/>
      <c r="H32" s="1406">
        <f t="shared" si="0"/>
        <v>0</v>
      </c>
      <c r="I32" s="1407"/>
      <c r="J32" s="1407">
        <f t="shared" si="1"/>
        <v>0</v>
      </c>
      <c r="K32" s="1407"/>
      <c r="L32" s="1407">
        <f t="shared" si="2"/>
        <v>0</v>
      </c>
      <c r="M32" s="1407">
        <f t="shared" si="3"/>
        <v>0</v>
      </c>
    </row>
    <row r="33" spans="1:13" ht="34.5" customHeight="1">
      <c r="A33" s="588"/>
      <c r="B33" s="592"/>
      <c r="C33" s="602" t="s">
        <v>191</v>
      </c>
      <c r="D33" s="588" t="s">
        <v>1</v>
      </c>
      <c r="E33" s="904"/>
      <c r="F33" s="564"/>
      <c r="G33" s="1406"/>
      <c r="H33" s="1408">
        <f>SUM(H8:H32)</f>
        <v>0</v>
      </c>
      <c r="I33" s="1406"/>
      <c r="J33" s="1408">
        <f>SUM(J8:J32)</f>
        <v>0</v>
      </c>
      <c r="K33" s="1406"/>
      <c r="L33" s="1408">
        <f>SUM(L8:L32)</f>
        <v>0</v>
      </c>
      <c r="M33" s="1408">
        <f>SUM(M8:M32)</f>
        <v>0</v>
      </c>
    </row>
    <row r="34" spans="1:13" ht="34.5" customHeight="1">
      <c r="A34" s="588"/>
      <c r="B34" s="592"/>
      <c r="C34" s="567" t="s">
        <v>247</v>
      </c>
      <c r="D34" s="578" t="s">
        <v>874</v>
      </c>
      <c r="E34" s="564"/>
      <c r="F34" s="1410">
        <v>0</v>
      </c>
      <c r="G34" s="1406"/>
      <c r="H34" s="1406"/>
      <c r="I34" s="1406"/>
      <c r="J34" s="1407"/>
      <c r="K34" s="1407"/>
      <c r="L34" s="1407"/>
      <c r="M34" s="1407">
        <f>H33*F34</f>
        <v>0</v>
      </c>
    </row>
    <row r="35" spans="1:13" ht="34.5" customHeight="1">
      <c r="A35" s="588"/>
      <c r="B35" s="592"/>
      <c r="C35" s="567" t="s">
        <v>39</v>
      </c>
      <c r="D35" s="566"/>
      <c r="E35" s="564"/>
      <c r="F35" s="1410"/>
      <c r="G35" s="1406"/>
      <c r="H35" s="1406"/>
      <c r="I35" s="1406"/>
      <c r="J35" s="1407"/>
      <c r="K35" s="1407"/>
      <c r="L35" s="1407"/>
      <c r="M35" s="1407">
        <f>M34+M33</f>
        <v>0</v>
      </c>
    </row>
    <row r="36" spans="1:13" ht="34.5" customHeight="1">
      <c r="A36" s="588"/>
      <c r="B36" s="592"/>
      <c r="C36" s="593" t="s">
        <v>193</v>
      </c>
      <c r="D36" s="592" t="s">
        <v>874</v>
      </c>
      <c r="E36" s="905"/>
      <c r="F36" s="1410">
        <v>0</v>
      </c>
      <c r="G36" s="1406"/>
      <c r="H36" s="1407"/>
      <c r="I36" s="1406"/>
      <c r="J36" s="1406"/>
      <c r="K36" s="1406"/>
      <c r="L36" s="1406"/>
      <c r="M36" s="1407">
        <f>M35*F36</f>
        <v>0</v>
      </c>
    </row>
    <row r="37" spans="1:13" ht="34.5" customHeight="1">
      <c r="A37" s="588"/>
      <c r="B37" s="592"/>
      <c r="C37" s="593" t="s">
        <v>29</v>
      </c>
      <c r="D37" s="592"/>
      <c r="E37" s="905"/>
      <c r="F37" s="1411"/>
      <c r="G37" s="1408"/>
      <c r="H37" s="1409"/>
      <c r="I37" s="1406"/>
      <c r="J37" s="1406"/>
      <c r="K37" s="1406"/>
      <c r="L37" s="1406"/>
      <c r="M37" s="1409">
        <f>M36+M35</f>
        <v>0</v>
      </c>
    </row>
    <row r="38" spans="1:13" ht="34.5" customHeight="1">
      <c r="A38" s="588"/>
      <c r="B38" s="588"/>
      <c r="C38" s="593" t="s">
        <v>30</v>
      </c>
      <c r="D38" s="592" t="s">
        <v>874</v>
      </c>
      <c r="E38" s="905"/>
      <c r="F38" s="1410">
        <v>0</v>
      </c>
      <c r="G38" s="1406"/>
      <c r="H38" s="1407"/>
      <c r="I38" s="1406"/>
      <c r="J38" s="1406"/>
      <c r="K38" s="1406"/>
      <c r="L38" s="1406"/>
      <c r="M38" s="1407">
        <f>M37*F38</f>
        <v>0</v>
      </c>
    </row>
    <row r="39" spans="1:13" ht="34.5" customHeight="1">
      <c r="A39" s="592"/>
      <c r="B39" s="588"/>
      <c r="C39" s="602" t="s">
        <v>31</v>
      </c>
      <c r="D39" s="588"/>
      <c r="E39" s="905"/>
      <c r="F39" s="906"/>
      <c r="G39" s="1408"/>
      <c r="H39" s="1409"/>
      <c r="I39" s="1406"/>
      <c r="J39" s="1406"/>
      <c r="K39" s="1406"/>
      <c r="L39" s="1406"/>
      <c r="M39" s="1409">
        <f>SUM(M37:M38)</f>
        <v>0</v>
      </c>
    </row>
    <row r="40" spans="1:13" ht="45.75" customHeight="1">
      <c r="C40" s="907"/>
      <c r="D40" s="907"/>
      <c r="E40" s="907"/>
      <c r="F40" s="907"/>
      <c r="G40" s="908"/>
      <c r="H40" s="908"/>
    </row>
    <row r="42" spans="1:13" ht="45.75" customHeight="1">
      <c r="A42" s="909"/>
      <c r="B42" s="910"/>
      <c r="C42" s="911"/>
      <c r="D42" s="909"/>
      <c r="E42" s="912"/>
      <c r="F42" s="913"/>
      <c r="G42" s="914"/>
      <c r="H42" s="915"/>
    </row>
    <row r="43" spans="1:13" ht="45.75" customHeight="1">
      <c r="A43" s="909"/>
      <c r="B43" s="916"/>
      <c r="C43" s="907"/>
      <c r="D43" s="916"/>
      <c r="E43" s="916"/>
      <c r="F43" s="916"/>
      <c r="G43" s="917"/>
    </row>
    <row r="44" spans="1:13" ht="45.75" customHeight="1">
      <c r="B44" s="907"/>
      <c r="C44" s="907"/>
      <c r="D44" s="907"/>
      <c r="E44" s="907"/>
      <c r="F44" s="907"/>
      <c r="G44" s="908"/>
      <c r="H44" s="908"/>
    </row>
    <row r="48" spans="1:13" ht="45.75" customHeight="1">
      <c r="C48" s="1595"/>
      <c r="D48" s="1595"/>
      <c r="E48" s="1595"/>
      <c r="F48" s="1595"/>
      <c r="G48" s="1595"/>
      <c r="H48" s="1595"/>
    </row>
  </sheetData>
  <mergeCells count="14">
    <mergeCell ref="K5:L5"/>
    <mergeCell ref="M5:M6"/>
    <mergeCell ref="C48:H48"/>
    <mergeCell ref="A1:H1"/>
    <mergeCell ref="A2:J2"/>
    <mergeCell ref="A3:D3"/>
    <mergeCell ref="A4:H4"/>
    <mergeCell ref="A5:A6"/>
    <mergeCell ref="B5:B6"/>
    <mergeCell ref="C5:C6"/>
    <mergeCell ref="D5:D6"/>
    <mergeCell ref="E5:F5"/>
    <mergeCell ref="G5:H5"/>
    <mergeCell ref="I5:J5"/>
  </mergeCells>
  <pageMargins left="0.12" right="0.12" top="0.75" bottom="0.75" header="0.3" footer="0.3"/>
  <pageSetup paperSize="9" scale="56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4.9989318521683403E-2"/>
  </sheetPr>
  <dimension ref="A1:G19"/>
  <sheetViews>
    <sheetView zoomScale="85" zoomScaleNormal="85" workbookViewId="0">
      <selection activeCell="G13" sqref="G13"/>
    </sheetView>
  </sheetViews>
  <sheetFormatPr defaultColWidth="9.140625" defaultRowHeight="15"/>
  <cols>
    <col min="1" max="1" width="3.85546875" style="43" customWidth="1"/>
    <col min="2" max="2" width="17.85546875" style="43" customWidth="1"/>
    <col min="3" max="3" width="50.5703125" style="43" customWidth="1"/>
    <col min="4" max="4" width="16.42578125" style="43" customWidth="1"/>
    <col min="5" max="5" width="19.42578125" style="43" customWidth="1"/>
    <col min="6" max="6" width="10.7109375" style="43" customWidth="1"/>
    <col min="7" max="7" width="13.28515625" style="43" customWidth="1"/>
    <col min="8" max="8" width="7.85546875" style="43" customWidth="1"/>
    <col min="9" max="252" width="9.140625" style="43"/>
    <col min="253" max="253" width="3.85546875" style="43" customWidth="1"/>
    <col min="254" max="254" width="11.85546875" style="43" customWidth="1"/>
    <col min="255" max="255" width="47.28515625" style="43" customWidth="1"/>
    <col min="256" max="259" width="13.28515625" style="43" customWidth="1"/>
    <col min="260" max="264" width="0" style="43" hidden="1" customWidth="1"/>
    <col min="265" max="508" width="9.140625" style="43"/>
    <col min="509" max="509" width="3.85546875" style="43" customWidth="1"/>
    <col min="510" max="510" width="11.85546875" style="43" customWidth="1"/>
    <col min="511" max="511" width="47.28515625" style="43" customWidth="1"/>
    <col min="512" max="515" width="13.28515625" style="43" customWidth="1"/>
    <col min="516" max="520" width="0" style="43" hidden="1" customWidth="1"/>
    <col min="521" max="764" width="9.140625" style="43"/>
    <col min="765" max="765" width="3.85546875" style="43" customWidth="1"/>
    <col min="766" max="766" width="11.85546875" style="43" customWidth="1"/>
    <col min="767" max="767" width="47.28515625" style="43" customWidth="1"/>
    <col min="768" max="771" width="13.28515625" style="43" customWidth="1"/>
    <col min="772" max="776" width="0" style="43" hidden="1" customWidth="1"/>
    <col min="777" max="1020" width="9.140625" style="43"/>
    <col min="1021" max="1021" width="3.85546875" style="43" customWidth="1"/>
    <col min="1022" max="1022" width="11.85546875" style="43" customWidth="1"/>
    <col min="1023" max="1023" width="47.28515625" style="43" customWidth="1"/>
    <col min="1024" max="1027" width="13.28515625" style="43" customWidth="1"/>
    <col min="1028" max="1032" width="0" style="43" hidden="1" customWidth="1"/>
    <col min="1033" max="1276" width="9.140625" style="43"/>
    <col min="1277" max="1277" width="3.85546875" style="43" customWidth="1"/>
    <col min="1278" max="1278" width="11.85546875" style="43" customWidth="1"/>
    <col min="1279" max="1279" width="47.28515625" style="43" customWidth="1"/>
    <col min="1280" max="1283" width="13.28515625" style="43" customWidth="1"/>
    <col min="1284" max="1288" width="0" style="43" hidden="1" customWidth="1"/>
    <col min="1289" max="1532" width="9.140625" style="43"/>
    <col min="1533" max="1533" width="3.85546875" style="43" customWidth="1"/>
    <col min="1534" max="1534" width="11.85546875" style="43" customWidth="1"/>
    <col min="1535" max="1535" width="47.28515625" style="43" customWidth="1"/>
    <col min="1536" max="1539" width="13.28515625" style="43" customWidth="1"/>
    <col min="1540" max="1544" width="0" style="43" hidden="1" customWidth="1"/>
    <col min="1545" max="1788" width="9.140625" style="43"/>
    <col min="1789" max="1789" width="3.85546875" style="43" customWidth="1"/>
    <col min="1790" max="1790" width="11.85546875" style="43" customWidth="1"/>
    <col min="1791" max="1791" width="47.28515625" style="43" customWidth="1"/>
    <col min="1792" max="1795" width="13.28515625" style="43" customWidth="1"/>
    <col min="1796" max="1800" width="0" style="43" hidden="1" customWidth="1"/>
    <col min="1801" max="2044" width="9.140625" style="43"/>
    <col min="2045" max="2045" width="3.85546875" style="43" customWidth="1"/>
    <col min="2046" max="2046" width="11.85546875" style="43" customWidth="1"/>
    <col min="2047" max="2047" width="47.28515625" style="43" customWidth="1"/>
    <col min="2048" max="2051" width="13.28515625" style="43" customWidth="1"/>
    <col min="2052" max="2056" width="0" style="43" hidden="1" customWidth="1"/>
    <col min="2057" max="2300" width="9.140625" style="43"/>
    <col min="2301" max="2301" width="3.85546875" style="43" customWidth="1"/>
    <col min="2302" max="2302" width="11.85546875" style="43" customWidth="1"/>
    <col min="2303" max="2303" width="47.28515625" style="43" customWidth="1"/>
    <col min="2304" max="2307" width="13.28515625" style="43" customWidth="1"/>
    <col min="2308" max="2312" width="0" style="43" hidden="1" customWidth="1"/>
    <col min="2313" max="2556" width="9.140625" style="43"/>
    <col min="2557" max="2557" width="3.85546875" style="43" customWidth="1"/>
    <col min="2558" max="2558" width="11.85546875" style="43" customWidth="1"/>
    <col min="2559" max="2559" width="47.28515625" style="43" customWidth="1"/>
    <col min="2560" max="2563" width="13.28515625" style="43" customWidth="1"/>
    <col min="2564" max="2568" width="0" style="43" hidden="1" customWidth="1"/>
    <col min="2569" max="2812" width="9.140625" style="43"/>
    <col min="2813" max="2813" width="3.85546875" style="43" customWidth="1"/>
    <col min="2814" max="2814" width="11.85546875" style="43" customWidth="1"/>
    <col min="2815" max="2815" width="47.28515625" style="43" customWidth="1"/>
    <col min="2816" max="2819" width="13.28515625" style="43" customWidth="1"/>
    <col min="2820" max="2824" width="0" style="43" hidden="1" customWidth="1"/>
    <col min="2825" max="3068" width="9.140625" style="43"/>
    <col min="3069" max="3069" width="3.85546875" style="43" customWidth="1"/>
    <col min="3070" max="3070" width="11.85546875" style="43" customWidth="1"/>
    <col min="3071" max="3071" width="47.28515625" style="43" customWidth="1"/>
    <col min="3072" max="3075" width="13.28515625" style="43" customWidth="1"/>
    <col min="3076" max="3080" width="0" style="43" hidden="1" customWidth="1"/>
    <col min="3081" max="3324" width="9.140625" style="43"/>
    <col min="3325" max="3325" width="3.85546875" style="43" customWidth="1"/>
    <col min="3326" max="3326" width="11.85546875" style="43" customWidth="1"/>
    <col min="3327" max="3327" width="47.28515625" style="43" customWidth="1"/>
    <col min="3328" max="3331" width="13.28515625" style="43" customWidth="1"/>
    <col min="3332" max="3336" width="0" style="43" hidden="1" customWidth="1"/>
    <col min="3337" max="3580" width="9.140625" style="43"/>
    <col min="3581" max="3581" width="3.85546875" style="43" customWidth="1"/>
    <col min="3582" max="3582" width="11.85546875" style="43" customWidth="1"/>
    <col min="3583" max="3583" width="47.28515625" style="43" customWidth="1"/>
    <col min="3584" max="3587" width="13.28515625" style="43" customWidth="1"/>
    <col min="3588" max="3592" width="0" style="43" hidden="1" customWidth="1"/>
    <col min="3593" max="3836" width="9.140625" style="43"/>
    <col min="3837" max="3837" width="3.85546875" style="43" customWidth="1"/>
    <col min="3838" max="3838" width="11.85546875" style="43" customWidth="1"/>
    <col min="3839" max="3839" width="47.28515625" style="43" customWidth="1"/>
    <col min="3840" max="3843" width="13.28515625" style="43" customWidth="1"/>
    <col min="3844" max="3848" width="0" style="43" hidden="1" customWidth="1"/>
    <col min="3849" max="4092" width="9.140625" style="43"/>
    <col min="4093" max="4093" width="3.85546875" style="43" customWidth="1"/>
    <col min="4094" max="4094" width="11.85546875" style="43" customWidth="1"/>
    <col min="4095" max="4095" width="47.28515625" style="43" customWidth="1"/>
    <col min="4096" max="4099" width="13.28515625" style="43" customWidth="1"/>
    <col min="4100" max="4104" width="0" style="43" hidden="1" customWidth="1"/>
    <col min="4105" max="4348" width="9.140625" style="43"/>
    <col min="4349" max="4349" width="3.85546875" style="43" customWidth="1"/>
    <col min="4350" max="4350" width="11.85546875" style="43" customWidth="1"/>
    <col min="4351" max="4351" width="47.28515625" style="43" customWidth="1"/>
    <col min="4352" max="4355" width="13.28515625" style="43" customWidth="1"/>
    <col min="4356" max="4360" width="0" style="43" hidden="1" customWidth="1"/>
    <col min="4361" max="4604" width="9.140625" style="43"/>
    <col min="4605" max="4605" width="3.85546875" style="43" customWidth="1"/>
    <col min="4606" max="4606" width="11.85546875" style="43" customWidth="1"/>
    <col min="4607" max="4607" width="47.28515625" style="43" customWidth="1"/>
    <col min="4608" max="4611" width="13.28515625" style="43" customWidth="1"/>
    <col min="4612" max="4616" width="0" style="43" hidden="1" customWidth="1"/>
    <col min="4617" max="4860" width="9.140625" style="43"/>
    <col min="4861" max="4861" width="3.85546875" style="43" customWidth="1"/>
    <col min="4862" max="4862" width="11.85546875" style="43" customWidth="1"/>
    <col min="4863" max="4863" width="47.28515625" style="43" customWidth="1"/>
    <col min="4864" max="4867" width="13.28515625" style="43" customWidth="1"/>
    <col min="4868" max="4872" width="0" style="43" hidden="1" customWidth="1"/>
    <col min="4873" max="5116" width="9.140625" style="43"/>
    <col min="5117" max="5117" width="3.85546875" style="43" customWidth="1"/>
    <col min="5118" max="5118" width="11.85546875" style="43" customWidth="1"/>
    <col min="5119" max="5119" width="47.28515625" style="43" customWidth="1"/>
    <col min="5120" max="5123" width="13.28515625" style="43" customWidth="1"/>
    <col min="5124" max="5128" width="0" style="43" hidden="1" customWidth="1"/>
    <col min="5129" max="5372" width="9.140625" style="43"/>
    <col min="5373" max="5373" width="3.85546875" style="43" customWidth="1"/>
    <col min="5374" max="5374" width="11.85546875" style="43" customWidth="1"/>
    <col min="5375" max="5375" width="47.28515625" style="43" customWidth="1"/>
    <col min="5376" max="5379" width="13.28515625" style="43" customWidth="1"/>
    <col min="5380" max="5384" width="0" style="43" hidden="1" customWidth="1"/>
    <col min="5385" max="5628" width="9.140625" style="43"/>
    <col min="5629" max="5629" width="3.85546875" style="43" customWidth="1"/>
    <col min="5630" max="5630" width="11.85546875" style="43" customWidth="1"/>
    <col min="5631" max="5631" width="47.28515625" style="43" customWidth="1"/>
    <col min="5632" max="5635" width="13.28515625" style="43" customWidth="1"/>
    <col min="5636" max="5640" width="0" style="43" hidden="1" customWidth="1"/>
    <col min="5641" max="5884" width="9.140625" style="43"/>
    <col min="5885" max="5885" width="3.85546875" style="43" customWidth="1"/>
    <col min="5886" max="5886" width="11.85546875" style="43" customWidth="1"/>
    <col min="5887" max="5887" width="47.28515625" style="43" customWidth="1"/>
    <col min="5888" max="5891" width="13.28515625" style="43" customWidth="1"/>
    <col min="5892" max="5896" width="0" style="43" hidden="1" customWidth="1"/>
    <col min="5897" max="6140" width="9.140625" style="43"/>
    <col min="6141" max="6141" width="3.85546875" style="43" customWidth="1"/>
    <col min="6142" max="6142" width="11.85546875" style="43" customWidth="1"/>
    <col min="6143" max="6143" width="47.28515625" style="43" customWidth="1"/>
    <col min="6144" max="6147" width="13.28515625" style="43" customWidth="1"/>
    <col min="6148" max="6152" width="0" style="43" hidden="1" customWidth="1"/>
    <col min="6153" max="6396" width="9.140625" style="43"/>
    <col min="6397" max="6397" width="3.85546875" style="43" customWidth="1"/>
    <col min="6398" max="6398" width="11.85546875" style="43" customWidth="1"/>
    <col min="6399" max="6399" width="47.28515625" style="43" customWidth="1"/>
    <col min="6400" max="6403" width="13.28515625" style="43" customWidth="1"/>
    <col min="6404" max="6408" width="0" style="43" hidden="1" customWidth="1"/>
    <col min="6409" max="6652" width="9.140625" style="43"/>
    <col min="6653" max="6653" width="3.85546875" style="43" customWidth="1"/>
    <col min="6654" max="6654" width="11.85546875" style="43" customWidth="1"/>
    <col min="6655" max="6655" width="47.28515625" style="43" customWidth="1"/>
    <col min="6656" max="6659" width="13.28515625" style="43" customWidth="1"/>
    <col min="6660" max="6664" width="0" style="43" hidden="1" customWidth="1"/>
    <col min="6665" max="6908" width="9.140625" style="43"/>
    <col min="6909" max="6909" width="3.85546875" style="43" customWidth="1"/>
    <col min="6910" max="6910" width="11.85546875" style="43" customWidth="1"/>
    <col min="6911" max="6911" width="47.28515625" style="43" customWidth="1"/>
    <col min="6912" max="6915" width="13.28515625" style="43" customWidth="1"/>
    <col min="6916" max="6920" width="0" style="43" hidden="1" customWidth="1"/>
    <col min="6921" max="7164" width="9.140625" style="43"/>
    <col min="7165" max="7165" width="3.85546875" style="43" customWidth="1"/>
    <col min="7166" max="7166" width="11.85546875" style="43" customWidth="1"/>
    <col min="7167" max="7167" width="47.28515625" style="43" customWidth="1"/>
    <col min="7168" max="7171" width="13.28515625" style="43" customWidth="1"/>
    <col min="7172" max="7176" width="0" style="43" hidden="1" customWidth="1"/>
    <col min="7177" max="7420" width="9.140625" style="43"/>
    <col min="7421" max="7421" width="3.85546875" style="43" customWidth="1"/>
    <col min="7422" max="7422" width="11.85546875" style="43" customWidth="1"/>
    <col min="7423" max="7423" width="47.28515625" style="43" customWidth="1"/>
    <col min="7424" max="7427" width="13.28515625" style="43" customWidth="1"/>
    <col min="7428" max="7432" width="0" style="43" hidden="1" customWidth="1"/>
    <col min="7433" max="7676" width="9.140625" style="43"/>
    <col min="7677" max="7677" width="3.85546875" style="43" customWidth="1"/>
    <col min="7678" max="7678" width="11.85546875" style="43" customWidth="1"/>
    <col min="7679" max="7679" width="47.28515625" style="43" customWidth="1"/>
    <col min="7680" max="7683" width="13.28515625" style="43" customWidth="1"/>
    <col min="7684" max="7688" width="0" style="43" hidden="1" customWidth="1"/>
    <col min="7689" max="7932" width="9.140625" style="43"/>
    <col min="7933" max="7933" width="3.85546875" style="43" customWidth="1"/>
    <col min="7934" max="7934" width="11.85546875" style="43" customWidth="1"/>
    <col min="7935" max="7935" width="47.28515625" style="43" customWidth="1"/>
    <col min="7936" max="7939" width="13.28515625" style="43" customWidth="1"/>
    <col min="7940" max="7944" width="0" style="43" hidden="1" customWidth="1"/>
    <col min="7945" max="8188" width="9.140625" style="43"/>
    <col min="8189" max="8189" width="3.85546875" style="43" customWidth="1"/>
    <col min="8190" max="8190" width="11.85546875" style="43" customWidth="1"/>
    <col min="8191" max="8191" width="47.28515625" style="43" customWidth="1"/>
    <col min="8192" max="8195" width="13.28515625" style="43" customWidth="1"/>
    <col min="8196" max="8200" width="0" style="43" hidden="1" customWidth="1"/>
    <col min="8201" max="8444" width="9.140625" style="43"/>
    <col min="8445" max="8445" width="3.85546875" style="43" customWidth="1"/>
    <col min="8446" max="8446" width="11.85546875" style="43" customWidth="1"/>
    <col min="8447" max="8447" width="47.28515625" style="43" customWidth="1"/>
    <col min="8448" max="8451" width="13.28515625" style="43" customWidth="1"/>
    <col min="8452" max="8456" width="0" style="43" hidden="1" customWidth="1"/>
    <col min="8457" max="8700" width="9.140625" style="43"/>
    <col min="8701" max="8701" width="3.85546875" style="43" customWidth="1"/>
    <col min="8702" max="8702" width="11.85546875" style="43" customWidth="1"/>
    <col min="8703" max="8703" width="47.28515625" style="43" customWidth="1"/>
    <col min="8704" max="8707" width="13.28515625" style="43" customWidth="1"/>
    <col min="8708" max="8712" width="0" style="43" hidden="1" customWidth="1"/>
    <col min="8713" max="8956" width="9.140625" style="43"/>
    <col min="8957" max="8957" width="3.85546875" style="43" customWidth="1"/>
    <col min="8958" max="8958" width="11.85546875" style="43" customWidth="1"/>
    <col min="8959" max="8959" width="47.28515625" style="43" customWidth="1"/>
    <col min="8960" max="8963" width="13.28515625" style="43" customWidth="1"/>
    <col min="8964" max="8968" width="0" style="43" hidden="1" customWidth="1"/>
    <col min="8969" max="9212" width="9.140625" style="43"/>
    <col min="9213" max="9213" width="3.85546875" style="43" customWidth="1"/>
    <col min="9214" max="9214" width="11.85546875" style="43" customWidth="1"/>
    <col min="9215" max="9215" width="47.28515625" style="43" customWidth="1"/>
    <col min="9216" max="9219" width="13.28515625" style="43" customWidth="1"/>
    <col min="9220" max="9224" width="0" style="43" hidden="1" customWidth="1"/>
    <col min="9225" max="9468" width="9.140625" style="43"/>
    <col min="9469" max="9469" width="3.85546875" style="43" customWidth="1"/>
    <col min="9470" max="9470" width="11.85546875" style="43" customWidth="1"/>
    <col min="9471" max="9471" width="47.28515625" style="43" customWidth="1"/>
    <col min="9472" max="9475" width="13.28515625" style="43" customWidth="1"/>
    <col min="9476" max="9480" width="0" style="43" hidden="1" customWidth="1"/>
    <col min="9481" max="9724" width="9.140625" style="43"/>
    <col min="9725" max="9725" width="3.85546875" style="43" customWidth="1"/>
    <col min="9726" max="9726" width="11.85546875" style="43" customWidth="1"/>
    <col min="9727" max="9727" width="47.28515625" style="43" customWidth="1"/>
    <col min="9728" max="9731" width="13.28515625" style="43" customWidth="1"/>
    <col min="9732" max="9736" width="0" style="43" hidden="1" customWidth="1"/>
    <col min="9737" max="9980" width="9.140625" style="43"/>
    <col min="9981" max="9981" width="3.85546875" style="43" customWidth="1"/>
    <col min="9982" max="9982" width="11.85546875" style="43" customWidth="1"/>
    <col min="9983" max="9983" width="47.28515625" style="43" customWidth="1"/>
    <col min="9984" max="9987" width="13.28515625" style="43" customWidth="1"/>
    <col min="9988" max="9992" width="0" style="43" hidden="1" customWidth="1"/>
    <col min="9993" max="10236" width="9.140625" style="43"/>
    <col min="10237" max="10237" width="3.85546875" style="43" customWidth="1"/>
    <col min="10238" max="10238" width="11.85546875" style="43" customWidth="1"/>
    <col min="10239" max="10239" width="47.28515625" style="43" customWidth="1"/>
    <col min="10240" max="10243" width="13.28515625" style="43" customWidth="1"/>
    <col min="10244" max="10248" width="0" style="43" hidden="1" customWidth="1"/>
    <col min="10249" max="10492" width="9.140625" style="43"/>
    <col min="10493" max="10493" width="3.85546875" style="43" customWidth="1"/>
    <col min="10494" max="10494" width="11.85546875" style="43" customWidth="1"/>
    <col min="10495" max="10495" width="47.28515625" style="43" customWidth="1"/>
    <col min="10496" max="10499" width="13.28515625" style="43" customWidth="1"/>
    <col min="10500" max="10504" width="0" style="43" hidden="1" customWidth="1"/>
    <col min="10505" max="10748" width="9.140625" style="43"/>
    <col min="10749" max="10749" width="3.85546875" style="43" customWidth="1"/>
    <col min="10750" max="10750" width="11.85546875" style="43" customWidth="1"/>
    <col min="10751" max="10751" width="47.28515625" style="43" customWidth="1"/>
    <col min="10752" max="10755" width="13.28515625" style="43" customWidth="1"/>
    <col min="10756" max="10760" width="0" style="43" hidden="1" customWidth="1"/>
    <col min="10761" max="11004" width="9.140625" style="43"/>
    <col min="11005" max="11005" width="3.85546875" style="43" customWidth="1"/>
    <col min="11006" max="11006" width="11.85546875" style="43" customWidth="1"/>
    <col min="11007" max="11007" width="47.28515625" style="43" customWidth="1"/>
    <col min="11008" max="11011" width="13.28515625" style="43" customWidth="1"/>
    <col min="11012" max="11016" width="0" style="43" hidden="1" customWidth="1"/>
    <col min="11017" max="11260" width="9.140625" style="43"/>
    <col min="11261" max="11261" width="3.85546875" style="43" customWidth="1"/>
    <col min="11262" max="11262" width="11.85546875" style="43" customWidth="1"/>
    <col min="11263" max="11263" width="47.28515625" style="43" customWidth="1"/>
    <col min="11264" max="11267" width="13.28515625" style="43" customWidth="1"/>
    <col min="11268" max="11272" width="0" style="43" hidden="1" customWidth="1"/>
    <col min="11273" max="11516" width="9.140625" style="43"/>
    <col min="11517" max="11517" width="3.85546875" style="43" customWidth="1"/>
    <col min="11518" max="11518" width="11.85546875" style="43" customWidth="1"/>
    <col min="11519" max="11519" width="47.28515625" style="43" customWidth="1"/>
    <col min="11520" max="11523" width="13.28515625" style="43" customWidth="1"/>
    <col min="11524" max="11528" width="0" style="43" hidden="1" customWidth="1"/>
    <col min="11529" max="11772" width="9.140625" style="43"/>
    <col min="11773" max="11773" width="3.85546875" style="43" customWidth="1"/>
    <col min="11774" max="11774" width="11.85546875" style="43" customWidth="1"/>
    <col min="11775" max="11775" width="47.28515625" style="43" customWidth="1"/>
    <col min="11776" max="11779" width="13.28515625" style="43" customWidth="1"/>
    <col min="11780" max="11784" width="0" style="43" hidden="1" customWidth="1"/>
    <col min="11785" max="12028" width="9.140625" style="43"/>
    <col min="12029" max="12029" width="3.85546875" style="43" customWidth="1"/>
    <col min="12030" max="12030" width="11.85546875" style="43" customWidth="1"/>
    <col min="12031" max="12031" width="47.28515625" style="43" customWidth="1"/>
    <col min="12032" max="12035" width="13.28515625" style="43" customWidth="1"/>
    <col min="12036" max="12040" width="0" style="43" hidden="1" customWidth="1"/>
    <col min="12041" max="12284" width="9.140625" style="43"/>
    <col min="12285" max="12285" width="3.85546875" style="43" customWidth="1"/>
    <col min="12286" max="12286" width="11.85546875" style="43" customWidth="1"/>
    <col min="12287" max="12287" width="47.28515625" style="43" customWidth="1"/>
    <col min="12288" max="12291" width="13.28515625" style="43" customWidth="1"/>
    <col min="12292" max="12296" width="0" style="43" hidden="1" customWidth="1"/>
    <col min="12297" max="12540" width="9.140625" style="43"/>
    <col min="12541" max="12541" width="3.85546875" style="43" customWidth="1"/>
    <col min="12542" max="12542" width="11.85546875" style="43" customWidth="1"/>
    <col min="12543" max="12543" width="47.28515625" style="43" customWidth="1"/>
    <col min="12544" max="12547" width="13.28515625" style="43" customWidth="1"/>
    <col min="12548" max="12552" width="0" style="43" hidden="1" customWidth="1"/>
    <col min="12553" max="12796" width="9.140625" style="43"/>
    <col min="12797" max="12797" width="3.85546875" style="43" customWidth="1"/>
    <col min="12798" max="12798" width="11.85546875" style="43" customWidth="1"/>
    <col min="12799" max="12799" width="47.28515625" style="43" customWidth="1"/>
    <col min="12800" max="12803" width="13.28515625" style="43" customWidth="1"/>
    <col min="12804" max="12808" width="0" style="43" hidden="1" customWidth="1"/>
    <col min="12809" max="13052" width="9.140625" style="43"/>
    <col min="13053" max="13053" width="3.85546875" style="43" customWidth="1"/>
    <col min="13054" max="13054" width="11.85546875" style="43" customWidth="1"/>
    <col min="13055" max="13055" width="47.28515625" style="43" customWidth="1"/>
    <col min="13056" max="13059" width="13.28515625" style="43" customWidth="1"/>
    <col min="13060" max="13064" width="0" style="43" hidden="1" customWidth="1"/>
    <col min="13065" max="13308" width="9.140625" style="43"/>
    <col min="13309" max="13309" width="3.85546875" style="43" customWidth="1"/>
    <col min="13310" max="13310" width="11.85546875" style="43" customWidth="1"/>
    <col min="13311" max="13311" width="47.28515625" style="43" customWidth="1"/>
    <col min="13312" max="13315" width="13.28515625" style="43" customWidth="1"/>
    <col min="13316" max="13320" width="0" style="43" hidden="1" customWidth="1"/>
    <col min="13321" max="13564" width="9.140625" style="43"/>
    <col min="13565" max="13565" width="3.85546875" style="43" customWidth="1"/>
    <col min="13566" max="13566" width="11.85546875" style="43" customWidth="1"/>
    <col min="13567" max="13567" width="47.28515625" style="43" customWidth="1"/>
    <col min="13568" max="13571" width="13.28515625" style="43" customWidth="1"/>
    <col min="13572" max="13576" width="0" style="43" hidden="1" customWidth="1"/>
    <col min="13577" max="13820" width="9.140625" style="43"/>
    <col min="13821" max="13821" width="3.85546875" style="43" customWidth="1"/>
    <col min="13822" max="13822" width="11.85546875" style="43" customWidth="1"/>
    <col min="13823" max="13823" width="47.28515625" style="43" customWidth="1"/>
    <col min="13824" max="13827" width="13.28515625" style="43" customWidth="1"/>
    <col min="13828" max="13832" width="0" style="43" hidden="1" customWidth="1"/>
    <col min="13833" max="14076" width="9.140625" style="43"/>
    <col min="14077" max="14077" width="3.85546875" style="43" customWidth="1"/>
    <col min="14078" max="14078" width="11.85546875" style="43" customWidth="1"/>
    <col min="14079" max="14079" width="47.28515625" style="43" customWidth="1"/>
    <col min="14080" max="14083" width="13.28515625" style="43" customWidth="1"/>
    <col min="14084" max="14088" width="0" style="43" hidden="1" customWidth="1"/>
    <col min="14089" max="14332" width="9.140625" style="43"/>
    <col min="14333" max="14333" width="3.85546875" style="43" customWidth="1"/>
    <col min="14334" max="14334" width="11.85546875" style="43" customWidth="1"/>
    <col min="14335" max="14335" width="47.28515625" style="43" customWidth="1"/>
    <col min="14336" max="14339" width="13.28515625" style="43" customWidth="1"/>
    <col min="14340" max="14344" width="0" style="43" hidden="1" customWidth="1"/>
    <col min="14345" max="14588" width="9.140625" style="43"/>
    <col min="14589" max="14589" width="3.85546875" style="43" customWidth="1"/>
    <col min="14590" max="14590" width="11.85546875" style="43" customWidth="1"/>
    <col min="14591" max="14591" width="47.28515625" style="43" customWidth="1"/>
    <col min="14592" max="14595" width="13.28515625" style="43" customWidth="1"/>
    <col min="14596" max="14600" width="0" style="43" hidden="1" customWidth="1"/>
    <col min="14601" max="14844" width="9.140625" style="43"/>
    <col min="14845" max="14845" width="3.85546875" style="43" customWidth="1"/>
    <col min="14846" max="14846" width="11.85546875" style="43" customWidth="1"/>
    <col min="14847" max="14847" width="47.28515625" style="43" customWidth="1"/>
    <col min="14848" max="14851" width="13.28515625" style="43" customWidth="1"/>
    <col min="14852" max="14856" width="0" style="43" hidden="1" customWidth="1"/>
    <col min="14857" max="15100" width="9.140625" style="43"/>
    <col min="15101" max="15101" width="3.85546875" style="43" customWidth="1"/>
    <col min="15102" max="15102" width="11.85546875" style="43" customWidth="1"/>
    <col min="15103" max="15103" width="47.28515625" style="43" customWidth="1"/>
    <col min="15104" max="15107" width="13.28515625" style="43" customWidth="1"/>
    <col min="15108" max="15112" width="0" style="43" hidden="1" customWidth="1"/>
    <col min="15113" max="15356" width="9.140625" style="43"/>
    <col min="15357" max="15357" width="3.85546875" style="43" customWidth="1"/>
    <col min="15358" max="15358" width="11.85546875" style="43" customWidth="1"/>
    <col min="15359" max="15359" width="47.28515625" style="43" customWidth="1"/>
    <col min="15360" max="15363" width="13.28515625" style="43" customWidth="1"/>
    <col min="15364" max="15368" width="0" style="43" hidden="1" customWidth="1"/>
    <col min="15369" max="15612" width="9.140625" style="43"/>
    <col min="15613" max="15613" width="3.85546875" style="43" customWidth="1"/>
    <col min="15614" max="15614" width="11.85546875" style="43" customWidth="1"/>
    <col min="15615" max="15615" width="47.28515625" style="43" customWidth="1"/>
    <col min="15616" max="15619" width="13.28515625" style="43" customWidth="1"/>
    <col min="15620" max="15624" width="0" style="43" hidden="1" customWidth="1"/>
    <col min="15625" max="15868" width="9.140625" style="43"/>
    <col min="15869" max="15869" width="3.85546875" style="43" customWidth="1"/>
    <col min="15870" max="15870" width="11.85546875" style="43" customWidth="1"/>
    <col min="15871" max="15871" width="47.28515625" style="43" customWidth="1"/>
    <col min="15872" max="15875" width="13.28515625" style="43" customWidth="1"/>
    <col min="15876" max="15880" width="0" style="43" hidden="1" customWidth="1"/>
    <col min="15881" max="16124" width="9.140625" style="43"/>
    <col min="16125" max="16125" width="3.85546875" style="43" customWidth="1"/>
    <col min="16126" max="16126" width="11.85546875" style="43" customWidth="1"/>
    <col min="16127" max="16127" width="47.28515625" style="43" customWidth="1"/>
    <col min="16128" max="16131" width="13.28515625" style="43" customWidth="1"/>
    <col min="16132" max="16136" width="0" style="43" hidden="1" customWidth="1"/>
    <col min="16137" max="16384" width="9.140625" style="43"/>
  </cols>
  <sheetData>
    <row r="1" spans="1:7" s="41" customFormat="1" ht="19.899999999999999" customHeight="1">
      <c r="A1" s="1609" t="s">
        <v>781</v>
      </c>
      <c r="B1" s="1609"/>
      <c r="C1" s="1609"/>
      <c r="D1" s="1609"/>
      <c r="E1" s="1609"/>
      <c r="F1" s="1609"/>
      <c r="G1" s="1609"/>
    </row>
    <row r="2" spans="1:7" s="41" customFormat="1" ht="27" customHeight="1">
      <c r="A2" s="1610" t="s">
        <v>387</v>
      </c>
      <c r="B2" s="1610"/>
      <c r="C2" s="1610"/>
      <c r="D2" s="1610"/>
      <c r="E2" s="1610"/>
      <c r="F2" s="1610"/>
      <c r="G2" s="1610"/>
    </row>
    <row r="3" spans="1:7" s="42" customFormat="1" ht="19.899999999999999" customHeight="1">
      <c r="A3" s="1611"/>
      <c r="B3" s="1611"/>
      <c r="C3" s="1611"/>
      <c r="D3" s="1611"/>
      <c r="E3" s="1611"/>
      <c r="F3" s="1611"/>
      <c r="G3" s="1611"/>
    </row>
    <row r="4" spans="1:7" ht="52.15" customHeight="1">
      <c r="A4" s="1612" t="s">
        <v>153</v>
      </c>
      <c r="B4" s="1613" t="s">
        <v>33</v>
      </c>
      <c r="C4" s="1615" t="s">
        <v>194</v>
      </c>
      <c r="D4" s="1617" t="s">
        <v>195</v>
      </c>
      <c r="E4" s="1618"/>
      <c r="F4" s="1618"/>
      <c r="G4" s="1619"/>
    </row>
    <row r="5" spans="1:7" ht="78">
      <c r="A5" s="1612"/>
      <c r="B5" s="1614"/>
      <c r="C5" s="1616"/>
      <c r="D5" s="437" t="s">
        <v>196</v>
      </c>
      <c r="E5" s="437" t="s">
        <v>197</v>
      </c>
      <c r="F5" s="437" t="s">
        <v>198</v>
      </c>
      <c r="G5" s="438" t="s">
        <v>199</v>
      </c>
    </row>
    <row r="6" spans="1:7" ht="19.899999999999999" customHeight="1">
      <c r="A6" s="439" t="s">
        <v>44</v>
      </c>
      <c r="B6" s="438" t="s">
        <v>592</v>
      </c>
      <c r="C6" s="440" t="s">
        <v>154</v>
      </c>
      <c r="D6" s="441">
        <f>'7-1'!M225</f>
        <v>0</v>
      </c>
      <c r="E6" s="441"/>
      <c r="F6" s="441"/>
      <c r="G6" s="441">
        <f>D6+E6</f>
        <v>0</v>
      </c>
    </row>
    <row r="7" spans="1:7" ht="19.899999999999999" customHeight="1">
      <c r="A7" s="439" t="s">
        <v>45</v>
      </c>
      <c r="B7" s="438" t="s">
        <v>593</v>
      </c>
      <c r="C7" s="442" t="s">
        <v>468</v>
      </c>
      <c r="D7" s="441">
        <f>'7-2'!M62</f>
        <v>0</v>
      </c>
      <c r="E7" s="441"/>
      <c r="F7" s="441"/>
      <c r="G7" s="441">
        <f>D7+E7</f>
        <v>0</v>
      </c>
    </row>
    <row r="8" spans="1:7" ht="19.899999999999999" customHeight="1">
      <c r="A8" s="439" t="s">
        <v>45</v>
      </c>
      <c r="B8" s="438" t="s">
        <v>594</v>
      </c>
      <c r="C8" s="442" t="s">
        <v>200</v>
      </c>
      <c r="D8" s="441"/>
      <c r="E8" s="441">
        <f>'7-3'!M44</f>
        <v>0</v>
      </c>
      <c r="F8" s="441"/>
      <c r="G8" s="441">
        <f>D8+E8</f>
        <v>0</v>
      </c>
    </row>
    <row r="9" spans="1:7" ht="19.899999999999999" customHeight="1">
      <c r="A9" s="438"/>
      <c r="B9" s="438"/>
      <c r="C9" s="443" t="s">
        <v>39</v>
      </c>
      <c r="D9" s="444">
        <f>SUM(D6:D8)</f>
        <v>0</v>
      </c>
      <c r="E9" s="444">
        <f>SUM(E6:E8)</f>
        <v>0</v>
      </c>
      <c r="F9" s="444">
        <f>SUM(F6:F7)</f>
        <v>0</v>
      </c>
      <c r="G9" s="444">
        <f>SUM(G6:G8)</f>
        <v>0</v>
      </c>
    </row>
    <row r="10" spans="1:7" ht="15.75">
      <c r="A10" s="436"/>
      <c r="B10" s="436"/>
      <c r="C10" s="436"/>
      <c r="D10" s="445"/>
      <c r="E10" s="436"/>
      <c r="F10" s="436"/>
      <c r="G10" s="436"/>
    </row>
    <row r="11" spans="1:7" ht="15.75">
      <c r="A11" s="446"/>
      <c r="B11" s="446"/>
      <c r="C11" s="1605"/>
      <c r="D11" s="1605"/>
      <c r="E11" s="1606"/>
      <c r="F11" s="1606"/>
      <c r="G11" s="446"/>
    </row>
    <row r="12" spans="1:7" ht="15.75">
      <c r="A12" s="436"/>
      <c r="B12" s="436"/>
      <c r="C12" s="1607"/>
      <c r="D12" s="1607"/>
      <c r="E12" s="1606"/>
      <c r="F12" s="1606"/>
      <c r="G12" s="436"/>
    </row>
    <row r="13" spans="1:7" ht="15.75">
      <c r="A13" s="436"/>
      <c r="B13" s="436"/>
      <c r="C13" s="447"/>
      <c r="D13" s="447"/>
      <c r="E13" s="448"/>
      <c r="F13" s="436"/>
      <c r="G13" s="436"/>
    </row>
    <row r="14" spans="1:7" ht="15.75">
      <c r="A14" s="436"/>
      <c r="B14" s="436"/>
      <c r="C14" s="448"/>
      <c r="D14" s="448"/>
      <c r="E14" s="1608"/>
      <c r="F14" s="1608"/>
      <c r="G14" s="436"/>
    </row>
    <row r="15" spans="1:7" ht="15.75">
      <c r="A15" s="436"/>
      <c r="B15" s="436"/>
      <c r="C15" s="436"/>
      <c r="D15" s="436"/>
      <c r="E15" s="436"/>
      <c r="F15" s="436"/>
      <c r="G15" s="436"/>
    </row>
    <row r="16" spans="1:7" ht="15.75">
      <c r="A16" s="436"/>
      <c r="B16" s="436"/>
      <c r="C16" s="436"/>
      <c r="D16" s="436"/>
      <c r="E16" s="436"/>
      <c r="F16" s="436"/>
      <c r="G16" s="436"/>
    </row>
    <row r="17" spans="1:7" ht="15.75">
      <c r="A17" s="436"/>
      <c r="B17" s="436"/>
      <c r="C17" s="436"/>
      <c r="D17" s="436"/>
      <c r="E17" s="436"/>
      <c r="F17" s="436"/>
      <c r="G17" s="436"/>
    </row>
    <row r="18" spans="1:7" ht="15.75">
      <c r="A18" s="436"/>
      <c r="B18" s="436"/>
      <c r="C18" s="436"/>
      <c r="D18" s="436"/>
      <c r="E18" s="436"/>
      <c r="F18" s="436"/>
      <c r="G18" s="436"/>
    </row>
    <row r="19" spans="1:7" ht="15.75">
      <c r="A19" s="436"/>
      <c r="B19" s="436"/>
      <c r="C19" s="436"/>
      <c r="D19" s="436"/>
      <c r="E19" s="436"/>
      <c r="F19" s="436"/>
      <c r="G19" s="436"/>
    </row>
  </sheetData>
  <mergeCells count="11">
    <mergeCell ref="C11:D11"/>
    <mergeCell ref="E11:F12"/>
    <mergeCell ref="C12:D12"/>
    <mergeCell ref="E14:F14"/>
    <mergeCell ref="A1:G1"/>
    <mergeCell ref="A2:G2"/>
    <mergeCell ref="A3:G3"/>
    <mergeCell ref="A4:A5"/>
    <mergeCell ref="B4:B5"/>
    <mergeCell ref="C4:C5"/>
    <mergeCell ref="D4:G4"/>
  </mergeCells>
  <pageMargins left="0.28000000000000003" right="0.12" top="0.75" bottom="0.75" header="0.3" footer="0.3"/>
  <pageSetup paperSize="9" scale="9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4.9989318521683403E-2"/>
  </sheetPr>
  <dimension ref="A1:M227"/>
  <sheetViews>
    <sheetView zoomScale="70" zoomScaleNormal="70" zoomScaleSheetLayoutView="70" workbookViewId="0">
      <selection activeCell="K13" sqref="K13"/>
    </sheetView>
  </sheetViews>
  <sheetFormatPr defaultRowHeight="17.25"/>
  <cols>
    <col min="1" max="1" width="5.7109375" style="685" customWidth="1"/>
    <col min="2" max="2" width="9.42578125" style="687" customWidth="1"/>
    <col min="3" max="3" width="61.28515625" style="863" customWidth="1"/>
    <col min="4" max="4" width="11.7109375" style="685" customWidth="1"/>
    <col min="5" max="5" width="13.5703125" style="685" customWidth="1"/>
    <col min="6" max="6" width="14" style="685" customWidth="1"/>
    <col min="7" max="7" width="10.7109375" style="687" customWidth="1"/>
    <col min="8" max="8" width="11.7109375" style="685" customWidth="1"/>
    <col min="9" max="9" width="8" style="685" customWidth="1"/>
    <col min="10" max="10" width="11.7109375" style="685" customWidth="1"/>
    <col min="11" max="11" width="8.5703125" style="685" customWidth="1"/>
    <col min="12" max="12" width="11.7109375" style="685" customWidth="1"/>
    <col min="13" max="13" width="12.28515625" style="685" customWidth="1"/>
    <col min="14" max="233" width="8.85546875" style="685"/>
    <col min="234" max="234" width="5.7109375" style="685" customWidth="1"/>
    <col min="235" max="235" width="9.85546875" style="685" customWidth="1"/>
    <col min="236" max="236" width="41.42578125" style="685" customWidth="1"/>
    <col min="237" max="241" width="10.7109375" style="685" customWidth="1"/>
    <col min="242" max="489" width="8.85546875" style="685"/>
    <col min="490" max="490" width="5.7109375" style="685" customWidth="1"/>
    <col min="491" max="491" width="9.85546875" style="685" customWidth="1"/>
    <col min="492" max="492" width="41.42578125" style="685" customWidth="1"/>
    <col min="493" max="497" width="10.7109375" style="685" customWidth="1"/>
    <col min="498" max="745" width="8.85546875" style="685"/>
    <col min="746" max="746" width="5.7109375" style="685" customWidth="1"/>
    <col min="747" max="747" width="9.85546875" style="685" customWidth="1"/>
    <col min="748" max="748" width="41.42578125" style="685" customWidth="1"/>
    <col min="749" max="753" width="10.7109375" style="685" customWidth="1"/>
    <col min="754" max="1001" width="8.85546875" style="685"/>
    <col min="1002" max="1002" width="5.7109375" style="685" customWidth="1"/>
    <col min="1003" max="1003" width="9.85546875" style="685" customWidth="1"/>
    <col min="1004" max="1004" width="41.42578125" style="685" customWidth="1"/>
    <col min="1005" max="1009" width="10.7109375" style="685" customWidth="1"/>
    <col min="1010" max="1257" width="8.85546875" style="685"/>
    <col min="1258" max="1258" width="5.7109375" style="685" customWidth="1"/>
    <col min="1259" max="1259" width="9.85546875" style="685" customWidth="1"/>
    <col min="1260" max="1260" width="41.42578125" style="685" customWidth="1"/>
    <col min="1261" max="1265" width="10.7109375" style="685" customWidth="1"/>
    <col min="1266" max="1513" width="8.85546875" style="685"/>
    <col min="1514" max="1514" width="5.7109375" style="685" customWidth="1"/>
    <col min="1515" max="1515" width="9.85546875" style="685" customWidth="1"/>
    <col min="1516" max="1516" width="41.42578125" style="685" customWidth="1"/>
    <col min="1517" max="1521" width="10.7109375" style="685" customWidth="1"/>
    <col min="1522" max="1769" width="8.85546875" style="685"/>
    <col min="1770" max="1770" width="5.7109375" style="685" customWidth="1"/>
    <col min="1771" max="1771" width="9.85546875" style="685" customWidth="1"/>
    <col min="1772" max="1772" width="41.42578125" style="685" customWidth="1"/>
    <col min="1773" max="1777" width="10.7109375" style="685" customWidth="1"/>
    <col min="1778" max="2025" width="8.85546875" style="685"/>
    <col min="2026" max="2026" width="5.7109375" style="685" customWidth="1"/>
    <col min="2027" max="2027" width="9.85546875" style="685" customWidth="1"/>
    <col min="2028" max="2028" width="41.42578125" style="685" customWidth="1"/>
    <col min="2029" max="2033" width="10.7109375" style="685" customWidth="1"/>
    <col min="2034" max="2281" width="8.85546875" style="685"/>
    <col min="2282" max="2282" width="5.7109375" style="685" customWidth="1"/>
    <col min="2283" max="2283" width="9.85546875" style="685" customWidth="1"/>
    <col min="2284" max="2284" width="41.42578125" style="685" customWidth="1"/>
    <col min="2285" max="2289" width="10.7109375" style="685" customWidth="1"/>
    <col min="2290" max="2537" width="8.85546875" style="685"/>
    <col min="2538" max="2538" width="5.7109375" style="685" customWidth="1"/>
    <col min="2539" max="2539" width="9.85546875" style="685" customWidth="1"/>
    <col min="2540" max="2540" width="41.42578125" style="685" customWidth="1"/>
    <col min="2541" max="2545" width="10.7109375" style="685" customWidth="1"/>
    <col min="2546" max="2793" width="8.85546875" style="685"/>
    <col min="2794" max="2794" width="5.7109375" style="685" customWidth="1"/>
    <col min="2795" max="2795" width="9.85546875" style="685" customWidth="1"/>
    <col min="2796" max="2796" width="41.42578125" style="685" customWidth="1"/>
    <col min="2797" max="2801" width="10.7109375" style="685" customWidth="1"/>
    <col min="2802" max="3049" width="8.85546875" style="685"/>
    <col min="3050" max="3050" width="5.7109375" style="685" customWidth="1"/>
    <col min="3051" max="3051" width="9.85546875" style="685" customWidth="1"/>
    <col min="3052" max="3052" width="41.42578125" style="685" customWidth="1"/>
    <col min="3053" max="3057" width="10.7109375" style="685" customWidth="1"/>
    <col min="3058" max="3305" width="8.85546875" style="685"/>
    <col min="3306" max="3306" width="5.7109375" style="685" customWidth="1"/>
    <col min="3307" max="3307" width="9.85546875" style="685" customWidth="1"/>
    <col min="3308" max="3308" width="41.42578125" style="685" customWidth="1"/>
    <col min="3309" max="3313" width="10.7109375" style="685" customWidth="1"/>
    <col min="3314" max="3561" width="8.85546875" style="685"/>
    <col min="3562" max="3562" width="5.7109375" style="685" customWidth="1"/>
    <col min="3563" max="3563" width="9.85546875" style="685" customWidth="1"/>
    <col min="3564" max="3564" width="41.42578125" style="685" customWidth="1"/>
    <col min="3565" max="3569" width="10.7109375" style="685" customWidth="1"/>
    <col min="3570" max="3817" width="8.85546875" style="685"/>
    <col min="3818" max="3818" width="5.7109375" style="685" customWidth="1"/>
    <col min="3819" max="3819" width="9.85546875" style="685" customWidth="1"/>
    <col min="3820" max="3820" width="41.42578125" style="685" customWidth="1"/>
    <col min="3821" max="3825" width="10.7109375" style="685" customWidth="1"/>
    <col min="3826" max="4073" width="8.85546875" style="685"/>
    <col min="4074" max="4074" width="5.7109375" style="685" customWidth="1"/>
    <col min="4075" max="4075" width="9.85546875" style="685" customWidth="1"/>
    <col min="4076" max="4076" width="41.42578125" style="685" customWidth="1"/>
    <col min="4077" max="4081" width="10.7109375" style="685" customWidth="1"/>
    <col min="4082" max="4329" width="8.85546875" style="685"/>
    <col min="4330" max="4330" width="5.7109375" style="685" customWidth="1"/>
    <col min="4331" max="4331" width="9.85546875" style="685" customWidth="1"/>
    <col min="4332" max="4332" width="41.42578125" style="685" customWidth="1"/>
    <col min="4333" max="4337" width="10.7109375" style="685" customWidth="1"/>
    <col min="4338" max="4585" width="8.85546875" style="685"/>
    <col min="4586" max="4586" width="5.7109375" style="685" customWidth="1"/>
    <col min="4587" max="4587" width="9.85546875" style="685" customWidth="1"/>
    <col min="4588" max="4588" width="41.42578125" style="685" customWidth="1"/>
    <col min="4589" max="4593" width="10.7109375" style="685" customWidth="1"/>
    <col min="4594" max="4841" width="8.85546875" style="685"/>
    <col min="4842" max="4842" width="5.7109375" style="685" customWidth="1"/>
    <col min="4843" max="4843" width="9.85546875" style="685" customWidth="1"/>
    <col min="4844" max="4844" width="41.42578125" style="685" customWidth="1"/>
    <col min="4845" max="4849" width="10.7109375" style="685" customWidth="1"/>
    <col min="4850" max="5097" width="8.85546875" style="685"/>
    <col min="5098" max="5098" width="5.7109375" style="685" customWidth="1"/>
    <col min="5099" max="5099" width="9.85546875" style="685" customWidth="1"/>
    <col min="5100" max="5100" width="41.42578125" style="685" customWidth="1"/>
    <col min="5101" max="5105" width="10.7109375" style="685" customWidth="1"/>
    <col min="5106" max="5353" width="8.85546875" style="685"/>
    <col min="5354" max="5354" width="5.7109375" style="685" customWidth="1"/>
    <col min="5355" max="5355" width="9.85546875" style="685" customWidth="1"/>
    <col min="5356" max="5356" width="41.42578125" style="685" customWidth="1"/>
    <col min="5357" max="5361" width="10.7109375" style="685" customWidth="1"/>
    <col min="5362" max="5609" width="8.85546875" style="685"/>
    <col min="5610" max="5610" width="5.7109375" style="685" customWidth="1"/>
    <col min="5611" max="5611" width="9.85546875" style="685" customWidth="1"/>
    <col min="5612" max="5612" width="41.42578125" style="685" customWidth="1"/>
    <col min="5613" max="5617" width="10.7109375" style="685" customWidth="1"/>
    <col min="5618" max="5865" width="8.85546875" style="685"/>
    <col min="5866" max="5866" width="5.7109375" style="685" customWidth="1"/>
    <col min="5867" max="5867" width="9.85546875" style="685" customWidth="1"/>
    <col min="5868" max="5868" width="41.42578125" style="685" customWidth="1"/>
    <col min="5869" max="5873" width="10.7109375" style="685" customWidth="1"/>
    <col min="5874" max="6121" width="8.85546875" style="685"/>
    <col min="6122" max="6122" width="5.7109375" style="685" customWidth="1"/>
    <col min="6123" max="6123" width="9.85546875" style="685" customWidth="1"/>
    <col min="6124" max="6124" width="41.42578125" style="685" customWidth="1"/>
    <col min="6125" max="6129" width="10.7109375" style="685" customWidth="1"/>
    <col min="6130" max="6377" width="8.85546875" style="685"/>
    <col min="6378" max="6378" width="5.7109375" style="685" customWidth="1"/>
    <col min="6379" max="6379" width="9.85546875" style="685" customWidth="1"/>
    <col min="6380" max="6380" width="41.42578125" style="685" customWidth="1"/>
    <col min="6381" max="6385" width="10.7109375" style="685" customWidth="1"/>
    <col min="6386" max="6633" width="8.85546875" style="685"/>
    <col min="6634" max="6634" width="5.7109375" style="685" customWidth="1"/>
    <col min="6635" max="6635" width="9.85546875" style="685" customWidth="1"/>
    <col min="6636" max="6636" width="41.42578125" style="685" customWidth="1"/>
    <col min="6637" max="6641" width="10.7109375" style="685" customWidth="1"/>
    <col min="6642" max="6889" width="8.85546875" style="685"/>
    <col min="6890" max="6890" width="5.7109375" style="685" customWidth="1"/>
    <col min="6891" max="6891" width="9.85546875" style="685" customWidth="1"/>
    <col min="6892" max="6892" width="41.42578125" style="685" customWidth="1"/>
    <col min="6893" max="6897" width="10.7109375" style="685" customWidth="1"/>
    <col min="6898" max="7145" width="8.85546875" style="685"/>
    <col min="7146" max="7146" width="5.7109375" style="685" customWidth="1"/>
    <col min="7147" max="7147" width="9.85546875" style="685" customWidth="1"/>
    <col min="7148" max="7148" width="41.42578125" style="685" customWidth="1"/>
    <col min="7149" max="7153" width="10.7109375" style="685" customWidth="1"/>
    <col min="7154" max="7401" width="8.85546875" style="685"/>
    <col min="7402" max="7402" width="5.7109375" style="685" customWidth="1"/>
    <col min="7403" max="7403" width="9.85546875" style="685" customWidth="1"/>
    <col min="7404" max="7404" width="41.42578125" style="685" customWidth="1"/>
    <col min="7405" max="7409" width="10.7109375" style="685" customWidth="1"/>
    <col min="7410" max="7657" width="8.85546875" style="685"/>
    <col min="7658" max="7658" width="5.7109375" style="685" customWidth="1"/>
    <col min="7659" max="7659" width="9.85546875" style="685" customWidth="1"/>
    <col min="7660" max="7660" width="41.42578125" style="685" customWidth="1"/>
    <col min="7661" max="7665" width="10.7109375" style="685" customWidth="1"/>
    <col min="7666" max="7913" width="8.85546875" style="685"/>
    <col min="7914" max="7914" width="5.7109375" style="685" customWidth="1"/>
    <col min="7915" max="7915" width="9.85546875" style="685" customWidth="1"/>
    <col min="7916" max="7916" width="41.42578125" style="685" customWidth="1"/>
    <col min="7917" max="7921" width="10.7109375" style="685" customWidth="1"/>
    <col min="7922" max="8169" width="8.85546875" style="685"/>
    <col min="8170" max="8170" width="5.7109375" style="685" customWidth="1"/>
    <col min="8171" max="8171" width="9.85546875" style="685" customWidth="1"/>
    <col min="8172" max="8172" width="41.42578125" style="685" customWidth="1"/>
    <col min="8173" max="8177" width="10.7109375" style="685" customWidth="1"/>
    <col min="8178" max="8425" width="8.85546875" style="685"/>
    <col min="8426" max="8426" width="5.7109375" style="685" customWidth="1"/>
    <col min="8427" max="8427" width="9.85546875" style="685" customWidth="1"/>
    <col min="8428" max="8428" width="41.42578125" style="685" customWidth="1"/>
    <col min="8429" max="8433" width="10.7109375" style="685" customWidth="1"/>
    <col min="8434" max="8681" width="8.85546875" style="685"/>
    <col min="8682" max="8682" width="5.7109375" style="685" customWidth="1"/>
    <col min="8683" max="8683" width="9.85546875" style="685" customWidth="1"/>
    <col min="8684" max="8684" width="41.42578125" style="685" customWidth="1"/>
    <col min="8685" max="8689" width="10.7109375" style="685" customWidth="1"/>
    <col min="8690" max="8937" width="8.85546875" style="685"/>
    <col min="8938" max="8938" width="5.7109375" style="685" customWidth="1"/>
    <col min="8939" max="8939" width="9.85546875" style="685" customWidth="1"/>
    <col min="8940" max="8940" width="41.42578125" style="685" customWidth="1"/>
    <col min="8941" max="8945" width="10.7109375" style="685" customWidth="1"/>
    <col min="8946" max="9193" width="8.85546875" style="685"/>
    <col min="9194" max="9194" width="5.7109375" style="685" customWidth="1"/>
    <col min="9195" max="9195" width="9.85546875" style="685" customWidth="1"/>
    <col min="9196" max="9196" width="41.42578125" style="685" customWidth="1"/>
    <col min="9197" max="9201" width="10.7109375" style="685" customWidth="1"/>
    <col min="9202" max="9449" width="8.85546875" style="685"/>
    <col min="9450" max="9450" width="5.7109375" style="685" customWidth="1"/>
    <col min="9451" max="9451" width="9.85546875" style="685" customWidth="1"/>
    <col min="9452" max="9452" width="41.42578125" style="685" customWidth="1"/>
    <col min="9453" max="9457" width="10.7109375" style="685" customWidth="1"/>
    <col min="9458" max="9705" width="8.85546875" style="685"/>
    <col min="9706" max="9706" width="5.7109375" style="685" customWidth="1"/>
    <col min="9707" max="9707" width="9.85546875" style="685" customWidth="1"/>
    <col min="9708" max="9708" width="41.42578125" style="685" customWidth="1"/>
    <col min="9709" max="9713" width="10.7109375" style="685" customWidth="1"/>
    <col min="9714" max="9961" width="8.85546875" style="685"/>
    <col min="9962" max="9962" width="5.7109375" style="685" customWidth="1"/>
    <col min="9963" max="9963" width="9.85546875" style="685" customWidth="1"/>
    <col min="9964" max="9964" width="41.42578125" style="685" customWidth="1"/>
    <col min="9965" max="9969" width="10.7109375" style="685" customWidth="1"/>
    <col min="9970" max="10217" width="8.85546875" style="685"/>
    <col min="10218" max="10218" width="5.7109375" style="685" customWidth="1"/>
    <col min="10219" max="10219" width="9.85546875" style="685" customWidth="1"/>
    <col min="10220" max="10220" width="41.42578125" style="685" customWidth="1"/>
    <col min="10221" max="10225" width="10.7109375" style="685" customWidth="1"/>
    <col min="10226" max="10473" width="8.85546875" style="685"/>
    <col min="10474" max="10474" width="5.7109375" style="685" customWidth="1"/>
    <col min="10475" max="10475" width="9.85546875" style="685" customWidth="1"/>
    <col min="10476" max="10476" width="41.42578125" style="685" customWidth="1"/>
    <col min="10477" max="10481" width="10.7109375" style="685" customWidth="1"/>
    <col min="10482" max="10729" width="8.85546875" style="685"/>
    <col min="10730" max="10730" width="5.7109375" style="685" customWidth="1"/>
    <col min="10731" max="10731" width="9.85546875" style="685" customWidth="1"/>
    <col min="10732" max="10732" width="41.42578125" style="685" customWidth="1"/>
    <col min="10733" max="10737" width="10.7109375" style="685" customWidth="1"/>
    <col min="10738" max="10985" width="8.85546875" style="685"/>
    <col min="10986" max="10986" width="5.7109375" style="685" customWidth="1"/>
    <col min="10987" max="10987" width="9.85546875" style="685" customWidth="1"/>
    <col min="10988" max="10988" width="41.42578125" style="685" customWidth="1"/>
    <col min="10989" max="10993" width="10.7109375" style="685" customWidth="1"/>
    <col min="10994" max="11241" width="8.85546875" style="685"/>
    <col min="11242" max="11242" width="5.7109375" style="685" customWidth="1"/>
    <col min="11243" max="11243" width="9.85546875" style="685" customWidth="1"/>
    <col min="11244" max="11244" width="41.42578125" style="685" customWidth="1"/>
    <col min="11245" max="11249" width="10.7109375" style="685" customWidth="1"/>
    <col min="11250" max="11497" width="8.85546875" style="685"/>
    <col min="11498" max="11498" width="5.7109375" style="685" customWidth="1"/>
    <col min="11499" max="11499" width="9.85546875" style="685" customWidth="1"/>
    <col min="11500" max="11500" width="41.42578125" style="685" customWidth="1"/>
    <col min="11501" max="11505" width="10.7109375" style="685" customWidth="1"/>
    <col min="11506" max="11753" width="8.85546875" style="685"/>
    <col min="11754" max="11754" width="5.7109375" style="685" customWidth="1"/>
    <col min="11755" max="11755" width="9.85546875" style="685" customWidth="1"/>
    <col min="11756" max="11756" width="41.42578125" style="685" customWidth="1"/>
    <col min="11757" max="11761" width="10.7109375" style="685" customWidth="1"/>
    <col min="11762" max="12009" width="8.85546875" style="685"/>
    <col min="12010" max="12010" width="5.7109375" style="685" customWidth="1"/>
    <col min="12011" max="12011" width="9.85546875" style="685" customWidth="1"/>
    <col min="12012" max="12012" width="41.42578125" style="685" customWidth="1"/>
    <col min="12013" max="12017" width="10.7109375" style="685" customWidth="1"/>
    <col min="12018" max="12265" width="8.85546875" style="685"/>
    <col min="12266" max="12266" width="5.7109375" style="685" customWidth="1"/>
    <col min="12267" max="12267" width="9.85546875" style="685" customWidth="1"/>
    <col min="12268" max="12268" width="41.42578125" style="685" customWidth="1"/>
    <col min="12269" max="12273" width="10.7109375" style="685" customWidth="1"/>
    <col min="12274" max="12521" width="8.85546875" style="685"/>
    <col min="12522" max="12522" width="5.7109375" style="685" customWidth="1"/>
    <col min="12523" max="12523" width="9.85546875" style="685" customWidth="1"/>
    <col min="12524" max="12524" width="41.42578125" style="685" customWidth="1"/>
    <col min="12525" max="12529" width="10.7109375" style="685" customWidth="1"/>
    <col min="12530" max="12777" width="8.85546875" style="685"/>
    <col min="12778" max="12778" width="5.7109375" style="685" customWidth="1"/>
    <col min="12779" max="12779" width="9.85546875" style="685" customWidth="1"/>
    <col min="12780" max="12780" width="41.42578125" style="685" customWidth="1"/>
    <col min="12781" max="12785" width="10.7109375" style="685" customWidth="1"/>
    <col min="12786" max="13033" width="8.85546875" style="685"/>
    <col min="13034" max="13034" width="5.7109375" style="685" customWidth="1"/>
    <col min="13035" max="13035" width="9.85546875" style="685" customWidth="1"/>
    <col min="13036" max="13036" width="41.42578125" style="685" customWidth="1"/>
    <col min="13037" max="13041" width="10.7109375" style="685" customWidth="1"/>
    <col min="13042" max="13289" width="8.85546875" style="685"/>
    <col min="13290" max="13290" width="5.7109375" style="685" customWidth="1"/>
    <col min="13291" max="13291" width="9.85546875" style="685" customWidth="1"/>
    <col min="13292" max="13292" width="41.42578125" style="685" customWidth="1"/>
    <col min="13293" max="13297" width="10.7109375" style="685" customWidth="1"/>
    <col min="13298" max="13545" width="8.85546875" style="685"/>
    <col min="13546" max="13546" width="5.7109375" style="685" customWidth="1"/>
    <col min="13547" max="13547" width="9.85546875" style="685" customWidth="1"/>
    <col min="13548" max="13548" width="41.42578125" style="685" customWidth="1"/>
    <col min="13549" max="13553" width="10.7109375" style="685" customWidth="1"/>
    <col min="13554" max="13801" width="8.85546875" style="685"/>
    <col min="13802" max="13802" width="5.7109375" style="685" customWidth="1"/>
    <col min="13803" max="13803" width="9.85546875" style="685" customWidth="1"/>
    <col min="13804" max="13804" width="41.42578125" style="685" customWidth="1"/>
    <col min="13805" max="13809" width="10.7109375" style="685" customWidth="1"/>
    <col min="13810" max="14057" width="8.85546875" style="685"/>
    <col min="14058" max="14058" width="5.7109375" style="685" customWidth="1"/>
    <col min="14059" max="14059" width="9.85546875" style="685" customWidth="1"/>
    <col min="14060" max="14060" width="41.42578125" style="685" customWidth="1"/>
    <col min="14061" max="14065" width="10.7109375" style="685" customWidth="1"/>
    <col min="14066" max="14313" width="8.85546875" style="685"/>
    <col min="14314" max="14314" width="5.7109375" style="685" customWidth="1"/>
    <col min="14315" max="14315" width="9.85546875" style="685" customWidth="1"/>
    <col min="14316" max="14316" width="41.42578125" style="685" customWidth="1"/>
    <col min="14317" max="14321" width="10.7109375" style="685" customWidth="1"/>
    <col min="14322" max="14569" width="8.85546875" style="685"/>
    <col min="14570" max="14570" width="5.7109375" style="685" customWidth="1"/>
    <col min="14571" max="14571" width="9.85546875" style="685" customWidth="1"/>
    <col min="14572" max="14572" width="41.42578125" style="685" customWidth="1"/>
    <col min="14573" max="14577" width="10.7109375" style="685" customWidth="1"/>
    <col min="14578" max="14825" width="8.85546875" style="685"/>
    <col min="14826" max="14826" width="5.7109375" style="685" customWidth="1"/>
    <col min="14827" max="14827" width="9.85546875" style="685" customWidth="1"/>
    <col min="14828" max="14828" width="41.42578125" style="685" customWidth="1"/>
    <col min="14829" max="14833" width="10.7109375" style="685" customWidth="1"/>
    <col min="14834" max="15081" width="8.85546875" style="685"/>
    <col min="15082" max="15082" width="5.7109375" style="685" customWidth="1"/>
    <col min="15083" max="15083" width="9.85546875" style="685" customWidth="1"/>
    <col min="15084" max="15084" width="41.42578125" style="685" customWidth="1"/>
    <col min="15085" max="15089" width="10.7109375" style="685" customWidth="1"/>
    <col min="15090" max="15337" width="8.85546875" style="685"/>
    <col min="15338" max="15338" width="5.7109375" style="685" customWidth="1"/>
    <col min="15339" max="15339" width="9.85546875" style="685" customWidth="1"/>
    <col min="15340" max="15340" width="41.42578125" style="685" customWidth="1"/>
    <col min="15341" max="15345" width="10.7109375" style="685" customWidth="1"/>
    <col min="15346" max="15593" width="8.85546875" style="685"/>
    <col min="15594" max="15594" width="5.7109375" style="685" customWidth="1"/>
    <col min="15595" max="15595" width="9.85546875" style="685" customWidth="1"/>
    <col min="15596" max="15596" width="41.42578125" style="685" customWidth="1"/>
    <col min="15597" max="15601" width="10.7109375" style="685" customWidth="1"/>
    <col min="15602" max="15849" width="8.85546875" style="685"/>
    <col min="15850" max="15850" width="5.7109375" style="685" customWidth="1"/>
    <col min="15851" max="15851" width="9.85546875" style="685" customWidth="1"/>
    <col min="15852" max="15852" width="41.42578125" style="685" customWidth="1"/>
    <col min="15853" max="15857" width="10.7109375" style="685" customWidth="1"/>
    <col min="15858" max="16105" width="8.85546875" style="685"/>
    <col min="16106" max="16106" width="5.7109375" style="685" customWidth="1"/>
    <col min="16107" max="16107" width="9.85546875" style="685" customWidth="1"/>
    <col min="16108" max="16108" width="41.42578125" style="685" customWidth="1"/>
    <col min="16109" max="16113" width="10.7109375" style="685" customWidth="1"/>
    <col min="16114" max="16371" width="8.85546875" style="685"/>
    <col min="16372" max="16384" width="8.85546875" style="685" customWidth="1"/>
  </cols>
  <sheetData>
    <row r="1" spans="1:13" ht="30" customHeight="1">
      <c r="A1" s="1622" t="s">
        <v>784</v>
      </c>
      <c r="B1" s="1622"/>
      <c r="C1" s="1622"/>
      <c r="D1" s="1622"/>
      <c r="E1" s="1622"/>
      <c r="F1" s="1622"/>
      <c r="G1" s="1622"/>
      <c r="H1" s="1622"/>
    </row>
    <row r="2" spans="1:13" ht="30" customHeight="1">
      <c r="A2" s="1623" t="s">
        <v>387</v>
      </c>
      <c r="B2" s="1624"/>
      <c r="C2" s="1624"/>
      <c r="D2" s="1624"/>
      <c r="E2" s="1624"/>
      <c r="F2" s="1624"/>
      <c r="G2" s="1624"/>
      <c r="H2" s="1624"/>
    </row>
    <row r="3" spans="1:13" ht="30" customHeight="1">
      <c r="A3" s="1625" t="s">
        <v>0</v>
      </c>
      <c r="B3" s="1625"/>
      <c r="C3" s="1625"/>
      <c r="D3" s="1625"/>
      <c r="E3" s="686">
        <f>M225</f>
        <v>0</v>
      </c>
      <c r="F3" s="685" t="s">
        <v>1</v>
      </c>
    </row>
    <row r="4" spans="1:13" ht="25.5" customHeight="1">
      <c r="A4" s="1577"/>
      <c r="B4" s="1577"/>
      <c r="C4" s="1578"/>
      <c r="D4" s="1577"/>
      <c r="E4" s="1577"/>
      <c r="F4" s="1577"/>
      <c r="G4" s="1577"/>
      <c r="H4" s="1577"/>
      <c r="I4" s="688"/>
      <c r="J4" s="688"/>
      <c r="K4" s="688"/>
      <c r="L4" s="688"/>
      <c r="M4" s="688"/>
    </row>
    <row r="5" spans="1:13" ht="32.25" customHeight="1">
      <c r="A5" s="1626"/>
      <c r="B5" s="1627" t="s">
        <v>2</v>
      </c>
      <c r="C5" s="1628" t="s">
        <v>3</v>
      </c>
      <c r="D5" s="1582" t="s">
        <v>4</v>
      </c>
      <c r="E5" s="1583" t="s">
        <v>5</v>
      </c>
      <c r="F5" s="1583"/>
      <c r="G5" s="1620" t="s">
        <v>6</v>
      </c>
      <c r="H5" s="1621"/>
      <c r="I5" s="1620" t="s">
        <v>66</v>
      </c>
      <c r="J5" s="1621"/>
      <c r="K5" s="1620" t="s">
        <v>72</v>
      </c>
      <c r="L5" s="1621"/>
      <c r="M5" s="1574" t="s">
        <v>67</v>
      </c>
    </row>
    <row r="6" spans="1:13" ht="88.5" customHeight="1">
      <c r="A6" s="1626"/>
      <c r="B6" s="1627"/>
      <c r="C6" s="1628"/>
      <c r="D6" s="1582"/>
      <c r="E6" s="689" t="s">
        <v>7</v>
      </c>
      <c r="F6" s="689" t="s">
        <v>8</v>
      </c>
      <c r="G6" s="690" t="s">
        <v>9</v>
      </c>
      <c r="H6" s="691" t="s">
        <v>10</v>
      </c>
      <c r="I6" s="692" t="s">
        <v>9</v>
      </c>
      <c r="J6" s="691" t="s">
        <v>10</v>
      </c>
      <c r="K6" s="692" t="s">
        <v>9</v>
      </c>
      <c r="L6" s="691" t="s">
        <v>10</v>
      </c>
      <c r="M6" s="1574"/>
    </row>
    <row r="7" spans="1:13" ht="18" customHeight="1">
      <c r="A7" s="693">
        <v>1</v>
      </c>
      <c r="B7" s="694">
        <v>2</v>
      </c>
      <c r="C7" s="695">
        <v>3</v>
      </c>
      <c r="D7" s="693">
        <v>4</v>
      </c>
      <c r="E7" s="692">
        <v>5</v>
      </c>
      <c r="F7" s="692">
        <v>6</v>
      </c>
      <c r="G7" s="690">
        <v>7</v>
      </c>
      <c r="H7" s="696">
        <v>8</v>
      </c>
      <c r="I7" s="692">
        <v>9</v>
      </c>
      <c r="J7" s="696">
        <v>10</v>
      </c>
      <c r="K7" s="692">
        <v>11</v>
      </c>
      <c r="L7" s="696">
        <v>12</v>
      </c>
      <c r="M7" s="696">
        <v>13</v>
      </c>
    </row>
    <row r="8" spans="1:13" ht="20.100000000000001" customHeight="1">
      <c r="A8" s="697"/>
      <c r="B8" s="698"/>
      <c r="C8" s="699" t="s">
        <v>155</v>
      </c>
      <c r="D8" s="700"/>
      <c r="E8" s="701"/>
      <c r="F8" s="697"/>
      <c r="G8" s="702"/>
      <c r="H8" s="703"/>
      <c r="I8" s="1414"/>
      <c r="J8" s="1414"/>
      <c r="K8" s="1414"/>
      <c r="L8" s="1414"/>
      <c r="M8" s="1414"/>
    </row>
    <row r="9" spans="1:13" s="711" customFormat="1" ht="59.25" customHeight="1">
      <c r="A9" s="704">
        <v>1</v>
      </c>
      <c r="B9" s="705"/>
      <c r="C9" s="706" t="s">
        <v>304</v>
      </c>
      <c r="D9" s="707" t="s">
        <v>817</v>
      </c>
      <c r="E9" s="708"/>
      <c r="F9" s="709">
        <v>10.7</v>
      </c>
      <c r="G9" s="721"/>
      <c r="H9" s="776"/>
      <c r="I9" s="1415"/>
      <c r="J9" s="1309">
        <f t="shared" ref="J9:J72" si="0">F9*I9</f>
        <v>0</v>
      </c>
      <c r="K9" s="1415"/>
      <c r="L9" s="1309">
        <f t="shared" ref="L9:L10" si="1">F9*K9</f>
        <v>0</v>
      </c>
      <c r="M9" s="1310">
        <f t="shared" ref="M9:M10" si="2">H9+J9+L9</f>
        <v>0</v>
      </c>
    </row>
    <row r="10" spans="1:13" s="716" customFormat="1" ht="20.100000000000001" customHeight="1">
      <c r="A10" s="697">
        <f>A9+0.1</f>
        <v>1.1000000000000001</v>
      </c>
      <c r="B10" s="712"/>
      <c r="C10" s="713" t="s">
        <v>69</v>
      </c>
      <c r="D10" s="700" t="s">
        <v>13</v>
      </c>
      <c r="E10" s="708">
        <v>2.06</v>
      </c>
      <c r="F10" s="714">
        <f>F9*E10</f>
        <v>22.041999999999998</v>
      </c>
      <c r="G10" s="721"/>
      <c r="H10" s="703">
        <f>F10*G10</f>
        <v>0</v>
      </c>
      <c r="I10" s="701"/>
      <c r="J10" s="1309">
        <f t="shared" si="0"/>
        <v>0</v>
      </c>
      <c r="K10" s="722"/>
      <c r="L10" s="1309">
        <f t="shared" si="1"/>
        <v>0</v>
      </c>
      <c r="M10" s="1310">
        <f t="shared" si="2"/>
        <v>0</v>
      </c>
    </row>
    <row r="11" spans="1:13" s="716" customFormat="1" ht="53.25" customHeight="1">
      <c r="A11" s="717">
        <v>2</v>
      </c>
      <c r="B11" s="718"/>
      <c r="C11" s="706" t="s">
        <v>157</v>
      </c>
      <c r="D11" s="719" t="s">
        <v>16</v>
      </c>
      <c r="E11" s="720"/>
      <c r="F11" s="709">
        <f>8.28*1.85</f>
        <v>15.318</v>
      </c>
      <c r="G11" s="718"/>
      <c r="H11" s="703">
        <f t="shared" ref="H11:H74" si="3">F11*G11</f>
        <v>0</v>
      </c>
      <c r="I11" s="722"/>
      <c r="J11" s="1309">
        <f t="shared" si="0"/>
        <v>0</v>
      </c>
      <c r="K11" s="722"/>
      <c r="L11" s="1309">
        <f t="shared" ref="L11:L74" si="4">F11*K11</f>
        <v>0</v>
      </c>
      <c r="M11" s="1310">
        <f t="shared" ref="M11:M74" si="5">H11+J11+L11</f>
        <v>0</v>
      </c>
    </row>
    <row r="12" spans="1:13" s="716" customFormat="1" ht="20.100000000000001" customHeight="1">
      <c r="A12" s="697">
        <f>A11+0.1</f>
        <v>2.1</v>
      </c>
      <c r="B12" s="721"/>
      <c r="C12" s="713" t="s">
        <v>158</v>
      </c>
      <c r="D12" s="722" t="s">
        <v>16</v>
      </c>
      <c r="E12" s="714">
        <v>1</v>
      </c>
      <c r="F12" s="708">
        <f>E12*F11</f>
        <v>15.318</v>
      </c>
      <c r="G12" s="1416"/>
      <c r="H12" s="703">
        <f t="shared" si="3"/>
        <v>0</v>
      </c>
      <c r="I12" s="722"/>
      <c r="J12" s="1309">
        <f t="shared" si="0"/>
        <v>0</v>
      </c>
      <c r="K12" s="703"/>
      <c r="L12" s="1309">
        <f t="shared" si="4"/>
        <v>0</v>
      </c>
      <c r="M12" s="1310">
        <f t="shared" si="5"/>
        <v>0</v>
      </c>
    </row>
    <row r="13" spans="1:13" s="711" customFormat="1" ht="64.5" customHeight="1">
      <c r="A13" s="704">
        <v>3</v>
      </c>
      <c r="B13" s="723"/>
      <c r="C13" s="706" t="s">
        <v>73</v>
      </c>
      <c r="D13" s="707" t="s">
        <v>817</v>
      </c>
      <c r="E13" s="708"/>
      <c r="F13" s="709">
        <f>10.764-8.8</f>
        <v>1.9639999999999986</v>
      </c>
      <c r="G13" s="721"/>
      <c r="H13" s="703">
        <f t="shared" si="3"/>
        <v>0</v>
      </c>
      <c r="I13" s="1415"/>
      <c r="J13" s="1309">
        <f t="shared" si="0"/>
        <v>0</v>
      </c>
      <c r="K13" s="1415"/>
      <c r="L13" s="1309">
        <f t="shared" si="4"/>
        <v>0</v>
      </c>
      <c r="M13" s="1310">
        <f t="shared" si="5"/>
        <v>0</v>
      </c>
    </row>
    <row r="14" spans="1:13" s="716" customFormat="1" ht="20.100000000000001" customHeight="1">
      <c r="A14" s="697">
        <f>A13+0.1</f>
        <v>3.1</v>
      </c>
      <c r="B14" s="721"/>
      <c r="C14" s="724" t="s">
        <v>159</v>
      </c>
      <c r="D14" s="725" t="s">
        <v>160</v>
      </c>
      <c r="E14" s="726">
        <f>9.21/1000+5*4.97/1000</f>
        <v>3.406E-2</v>
      </c>
      <c r="F14" s="714">
        <f>F13*E14</f>
        <v>6.6893839999999954E-2</v>
      </c>
      <c r="G14" s="702"/>
      <c r="H14" s="703">
        <f t="shared" si="3"/>
        <v>0</v>
      </c>
      <c r="I14" s="701"/>
      <c r="J14" s="1309">
        <f t="shared" si="0"/>
        <v>0</v>
      </c>
      <c r="K14" s="701"/>
      <c r="L14" s="1309">
        <f t="shared" si="4"/>
        <v>0</v>
      </c>
      <c r="M14" s="1310">
        <f t="shared" si="5"/>
        <v>0</v>
      </c>
    </row>
    <row r="15" spans="1:13" s="716" customFormat="1" ht="17.25" customHeight="1">
      <c r="A15" s="697"/>
      <c r="B15" s="721"/>
      <c r="C15" s="699" t="s">
        <v>161</v>
      </c>
      <c r="D15" s="700"/>
      <c r="E15" s="708"/>
      <c r="F15" s="714"/>
      <c r="G15" s="721"/>
      <c r="H15" s="703">
        <f t="shared" si="3"/>
        <v>0</v>
      </c>
      <c r="I15" s="722"/>
      <c r="J15" s="1309">
        <f t="shared" si="0"/>
        <v>0</v>
      </c>
      <c r="K15" s="722"/>
      <c r="L15" s="1309">
        <f t="shared" si="4"/>
        <v>0</v>
      </c>
      <c r="M15" s="1310">
        <f t="shared" si="5"/>
        <v>0</v>
      </c>
    </row>
    <row r="16" spans="1:13" s="710" customFormat="1" ht="60" customHeight="1">
      <c r="A16" s="727">
        <v>1</v>
      </c>
      <c r="B16" s="728"/>
      <c r="C16" s="729" t="s">
        <v>277</v>
      </c>
      <c r="D16" s="730" t="s">
        <v>61</v>
      </c>
      <c r="E16" s="731"/>
      <c r="F16" s="731">
        <v>3</v>
      </c>
      <c r="G16" s="1417"/>
      <c r="H16" s="703">
        <f t="shared" si="3"/>
        <v>0</v>
      </c>
      <c r="I16" s="730"/>
      <c r="J16" s="1309">
        <f t="shared" si="0"/>
        <v>0</v>
      </c>
      <c r="K16" s="730"/>
      <c r="L16" s="1309">
        <f t="shared" si="4"/>
        <v>0</v>
      </c>
      <c r="M16" s="1310">
        <f t="shared" si="5"/>
        <v>0</v>
      </c>
    </row>
    <row r="17" spans="1:13" s="688" customFormat="1" ht="19.899999999999999" customHeight="1">
      <c r="A17" s="732">
        <f>A16+0.1</f>
        <v>1.1000000000000001</v>
      </c>
      <c r="B17" s="733"/>
      <c r="C17" s="734" t="s">
        <v>69</v>
      </c>
      <c r="D17" s="735" t="s">
        <v>13</v>
      </c>
      <c r="E17" s="736">
        <v>3.16</v>
      </c>
      <c r="F17" s="737">
        <f>E17*F16</f>
        <v>9.48</v>
      </c>
      <c r="G17" s="1418"/>
      <c r="H17" s="703">
        <f t="shared" si="3"/>
        <v>0</v>
      </c>
      <c r="I17" s="1168"/>
      <c r="J17" s="1309">
        <f t="shared" si="0"/>
        <v>0</v>
      </c>
      <c r="K17" s="742"/>
      <c r="L17" s="1309">
        <f t="shared" si="4"/>
        <v>0</v>
      </c>
      <c r="M17" s="1310">
        <f t="shared" si="5"/>
        <v>0</v>
      </c>
    </row>
    <row r="18" spans="1:13" s="740" customFormat="1" ht="19.899999999999999" customHeight="1">
      <c r="A18" s="732">
        <f>A17+0.1</f>
        <v>1.2000000000000002</v>
      </c>
      <c r="B18" s="694"/>
      <c r="C18" s="734" t="s">
        <v>59</v>
      </c>
      <c r="D18" s="693" t="s">
        <v>61</v>
      </c>
      <c r="E18" s="736">
        <v>1.25</v>
      </c>
      <c r="F18" s="738">
        <f>E18*F16</f>
        <v>3.75</v>
      </c>
      <c r="G18" s="1419"/>
      <c r="H18" s="703">
        <f t="shared" si="3"/>
        <v>0</v>
      </c>
      <c r="I18" s="693"/>
      <c r="J18" s="1309">
        <f t="shared" si="0"/>
        <v>0</v>
      </c>
      <c r="K18" s="693"/>
      <c r="L18" s="1309">
        <f t="shared" si="4"/>
        <v>0</v>
      </c>
      <c r="M18" s="1310">
        <f t="shared" si="5"/>
        <v>0</v>
      </c>
    </row>
    <row r="19" spans="1:13" s="740" customFormat="1" ht="19.899999999999999" customHeight="1">
      <c r="A19" s="732">
        <f>A18+0.1</f>
        <v>1.3000000000000003</v>
      </c>
      <c r="B19" s="741"/>
      <c r="C19" s="713" t="s">
        <v>119</v>
      </c>
      <c r="D19" s="742" t="s">
        <v>1</v>
      </c>
      <c r="E19" s="743">
        <v>1E-3</v>
      </c>
      <c r="F19" s="743">
        <f>E19*F16</f>
        <v>3.0000000000000001E-3</v>
      </c>
      <c r="G19" s="1416"/>
      <c r="H19" s="703">
        <f t="shared" si="3"/>
        <v>0</v>
      </c>
      <c r="I19" s="693"/>
      <c r="J19" s="1309">
        <f t="shared" si="0"/>
        <v>0</v>
      </c>
      <c r="K19" s="693"/>
      <c r="L19" s="1309">
        <f t="shared" si="4"/>
        <v>0</v>
      </c>
      <c r="M19" s="1310">
        <f t="shared" si="5"/>
        <v>0</v>
      </c>
    </row>
    <row r="20" spans="1:13" s="750" customFormat="1" ht="50.1" customHeight="1">
      <c r="A20" s="744">
        <v>2</v>
      </c>
      <c r="B20" s="745"/>
      <c r="C20" s="746" t="s">
        <v>394</v>
      </c>
      <c r="D20" s="747" t="s">
        <v>61</v>
      </c>
      <c r="E20" s="748"/>
      <c r="F20" s="749">
        <v>13.2</v>
      </c>
      <c r="G20" s="1420"/>
      <c r="H20" s="703">
        <f t="shared" si="3"/>
        <v>0</v>
      </c>
      <c r="I20" s="1421"/>
      <c r="J20" s="1309">
        <f t="shared" si="0"/>
        <v>0</v>
      </c>
      <c r="K20" s="1422"/>
      <c r="L20" s="1309">
        <f t="shared" si="4"/>
        <v>0</v>
      </c>
      <c r="M20" s="1310">
        <f t="shared" si="5"/>
        <v>0</v>
      </c>
    </row>
    <row r="21" spans="1:13" s="750" customFormat="1" ht="18" customHeight="1">
      <c r="A21" s="751">
        <f t="shared" ref="A21:A27" si="6">A20+0.1</f>
        <v>2.1</v>
      </c>
      <c r="B21" s="752"/>
      <c r="C21" s="753" t="s">
        <v>12</v>
      </c>
      <c r="D21" s="754" t="s">
        <v>13</v>
      </c>
      <c r="E21" s="755">
        <v>4.5</v>
      </c>
      <c r="F21" s="755">
        <f>E21*F20</f>
        <v>59.4</v>
      </c>
      <c r="G21" s="1423"/>
      <c r="H21" s="703">
        <f t="shared" si="3"/>
        <v>0</v>
      </c>
      <c r="I21" s="757"/>
      <c r="J21" s="1309">
        <f t="shared" si="0"/>
        <v>0</v>
      </c>
      <c r="K21" s="1424"/>
      <c r="L21" s="1309">
        <f t="shared" si="4"/>
        <v>0</v>
      </c>
      <c r="M21" s="1310">
        <f t="shared" si="5"/>
        <v>0</v>
      </c>
    </row>
    <row r="22" spans="1:13" s="750" customFormat="1" ht="18" customHeight="1">
      <c r="A22" s="751">
        <f t="shared" si="6"/>
        <v>2.2000000000000002</v>
      </c>
      <c r="B22" s="752"/>
      <c r="C22" s="753" t="s">
        <v>266</v>
      </c>
      <c r="D22" s="757" t="s">
        <v>14</v>
      </c>
      <c r="E22" s="755">
        <v>0.37</v>
      </c>
      <c r="F22" s="756">
        <f>E22*F20</f>
        <v>4.8839999999999995</v>
      </c>
      <c r="G22" s="1423"/>
      <c r="H22" s="703">
        <f t="shared" si="3"/>
        <v>0</v>
      </c>
      <c r="I22" s="1422"/>
      <c r="J22" s="1309">
        <f t="shared" si="0"/>
        <v>0</v>
      </c>
      <c r="K22" s="1425"/>
      <c r="L22" s="1309">
        <f t="shared" si="4"/>
        <v>0</v>
      </c>
      <c r="M22" s="1310">
        <f t="shared" si="5"/>
        <v>0</v>
      </c>
    </row>
    <row r="23" spans="1:13" s="750" customFormat="1" ht="18" customHeight="1">
      <c r="A23" s="751">
        <f t="shared" si="6"/>
        <v>2.3000000000000003</v>
      </c>
      <c r="B23" s="759"/>
      <c r="C23" s="760" t="s">
        <v>395</v>
      </c>
      <c r="D23" s="757" t="s">
        <v>818</v>
      </c>
      <c r="E23" s="755">
        <v>1.02</v>
      </c>
      <c r="F23" s="756">
        <f>E23*F20</f>
        <v>13.463999999999999</v>
      </c>
      <c r="G23" s="1426"/>
      <c r="H23" s="703">
        <f t="shared" si="3"/>
        <v>0</v>
      </c>
      <c r="I23" s="1422"/>
      <c r="J23" s="1309">
        <f t="shared" si="0"/>
        <v>0</v>
      </c>
      <c r="K23" s="1422"/>
      <c r="L23" s="1309">
        <f t="shared" si="4"/>
        <v>0</v>
      </c>
      <c r="M23" s="1310">
        <f t="shared" si="5"/>
        <v>0</v>
      </c>
    </row>
    <row r="24" spans="1:13" s="750" customFormat="1" ht="18" customHeight="1">
      <c r="A24" s="751">
        <f t="shared" si="6"/>
        <v>2.4000000000000004</v>
      </c>
      <c r="B24" s="752"/>
      <c r="C24" s="760" t="s">
        <v>475</v>
      </c>
      <c r="D24" s="757" t="s">
        <v>104</v>
      </c>
      <c r="E24" s="755" t="s">
        <v>20</v>
      </c>
      <c r="F24" s="756">
        <f>F20*0.06</f>
        <v>0.79199999999999993</v>
      </c>
      <c r="G24" s="1426"/>
      <c r="H24" s="703">
        <f t="shared" si="3"/>
        <v>0</v>
      </c>
      <c r="I24" s="1422"/>
      <c r="J24" s="1309">
        <f t="shared" si="0"/>
        <v>0</v>
      </c>
      <c r="K24" s="1422"/>
      <c r="L24" s="1309">
        <f t="shared" si="4"/>
        <v>0</v>
      </c>
      <c r="M24" s="1310">
        <f t="shared" si="5"/>
        <v>0</v>
      </c>
    </row>
    <row r="25" spans="1:13" s="750" customFormat="1" ht="18" customHeight="1">
      <c r="A25" s="751">
        <f t="shared" si="6"/>
        <v>2.5000000000000004</v>
      </c>
      <c r="B25" s="759"/>
      <c r="C25" s="761" t="s">
        <v>18</v>
      </c>
      <c r="D25" s="762" t="s">
        <v>819</v>
      </c>
      <c r="E25" s="755">
        <v>1.61</v>
      </c>
      <c r="F25" s="756">
        <f>E25*F20</f>
        <v>21.251999999999999</v>
      </c>
      <c r="G25" s="1423"/>
      <c r="H25" s="703">
        <f t="shared" si="3"/>
        <v>0</v>
      </c>
      <c r="I25" s="1427"/>
      <c r="J25" s="1309">
        <f t="shared" si="0"/>
        <v>0</v>
      </c>
      <c r="K25" s="1422"/>
      <c r="L25" s="1309">
        <f t="shared" si="4"/>
        <v>0</v>
      </c>
      <c r="M25" s="1310">
        <f t="shared" si="5"/>
        <v>0</v>
      </c>
    </row>
    <row r="26" spans="1:13" s="750" customFormat="1" ht="18" customHeight="1">
      <c r="A26" s="751">
        <f t="shared" si="6"/>
        <v>2.6000000000000005</v>
      </c>
      <c r="B26" s="763"/>
      <c r="C26" s="760" t="s">
        <v>19</v>
      </c>
      <c r="D26" s="757" t="s">
        <v>818</v>
      </c>
      <c r="E26" s="764">
        <v>1.72E-2</v>
      </c>
      <c r="F26" s="764">
        <f>E26*F20</f>
        <v>0.22703999999999999</v>
      </c>
      <c r="G26" s="1423"/>
      <c r="H26" s="703">
        <f t="shared" si="3"/>
        <v>0</v>
      </c>
      <c r="I26" s="1428"/>
      <c r="J26" s="1309">
        <f t="shared" si="0"/>
        <v>0</v>
      </c>
      <c r="K26" s="1422"/>
      <c r="L26" s="1309">
        <f t="shared" si="4"/>
        <v>0</v>
      </c>
      <c r="M26" s="1310">
        <f t="shared" si="5"/>
        <v>0</v>
      </c>
    </row>
    <row r="27" spans="1:13" s="750" customFormat="1" ht="18" customHeight="1">
      <c r="A27" s="751">
        <f t="shared" si="6"/>
        <v>2.7000000000000006</v>
      </c>
      <c r="B27" s="752"/>
      <c r="C27" s="760" t="s">
        <v>333</v>
      </c>
      <c r="D27" s="762" t="s">
        <v>14</v>
      </c>
      <c r="E27" s="755">
        <v>0.28000000000000003</v>
      </c>
      <c r="F27" s="756">
        <f>E27*F20</f>
        <v>3.6960000000000002</v>
      </c>
      <c r="G27" s="1423"/>
      <c r="H27" s="703">
        <f t="shared" si="3"/>
        <v>0</v>
      </c>
      <c r="I27" s="1421"/>
      <c r="J27" s="1309">
        <f t="shared" si="0"/>
        <v>0</v>
      </c>
      <c r="K27" s="1422"/>
      <c r="L27" s="1309">
        <f t="shared" si="4"/>
        <v>0</v>
      </c>
      <c r="M27" s="1310">
        <f t="shared" si="5"/>
        <v>0</v>
      </c>
    </row>
    <row r="28" spans="1:13" s="770" customFormat="1" ht="50.1" customHeight="1">
      <c r="A28" s="765" t="s">
        <v>46</v>
      </c>
      <c r="B28" s="766"/>
      <c r="C28" s="746" t="s">
        <v>396</v>
      </c>
      <c r="D28" s="767" t="s">
        <v>820</v>
      </c>
      <c r="E28" s="768"/>
      <c r="F28" s="769">
        <v>0.48</v>
      </c>
      <c r="G28" s="1429"/>
      <c r="H28" s="703">
        <f t="shared" si="3"/>
        <v>0</v>
      </c>
      <c r="I28" s="1466"/>
      <c r="J28" s="1309">
        <f t="shared" si="0"/>
        <v>0</v>
      </c>
      <c r="K28" s="1466"/>
      <c r="L28" s="1309">
        <f t="shared" si="4"/>
        <v>0</v>
      </c>
      <c r="M28" s="1310">
        <f t="shared" si="5"/>
        <v>0</v>
      </c>
    </row>
    <row r="29" spans="1:13" s="773" customFormat="1" ht="18" customHeight="1">
      <c r="A29" s="751">
        <f t="shared" ref="A29:A37" si="7">A28+0.1</f>
        <v>3.1</v>
      </c>
      <c r="B29" s="752"/>
      <c r="C29" s="753" t="s">
        <v>381</v>
      </c>
      <c r="D29" s="754" t="s">
        <v>13</v>
      </c>
      <c r="E29" s="771">
        <v>12.4</v>
      </c>
      <c r="F29" s="772">
        <f>E29*F28</f>
        <v>5.952</v>
      </c>
      <c r="G29" s="1430"/>
      <c r="H29" s="703">
        <f t="shared" si="3"/>
        <v>0</v>
      </c>
      <c r="I29" s="757"/>
      <c r="J29" s="1309">
        <f t="shared" si="0"/>
        <v>0</v>
      </c>
      <c r="K29" s="1467"/>
      <c r="L29" s="1309">
        <f t="shared" si="4"/>
        <v>0</v>
      </c>
      <c r="M29" s="1310">
        <f t="shared" si="5"/>
        <v>0</v>
      </c>
    </row>
    <row r="30" spans="1:13" s="773" customFormat="1" ht="18" customHeight="1">
      <c r="A30" s="751">
        <f t="shared" si="7"/>
        <v>3.2</v>
      </c>
      <c r="B30" s="752"/>
      <c r="C30" s="753" t="s">
        <v>51</v>
      </c>
      <c r="D30" s="757" t="s">
        <v>14</v>
      </c>
      <c r="E30" s="771">
        <v>0.28000000000000003</v>
      </c>
      <c r="F30" s="772">
        <f>F28*E30</f>
        <v>0.13440000000000002</v>
      </c>
      <c r="G30" s="1430"/>
      <c r="H30" s="703">
        <f t="shared" si="3"/>
        <v>0</v>
      </c>
      <c r="I30" s="1467"/>
      <c r="J30" s="1309">
        <f t="shared" si="0"/>
        <v>0</v>
      </c>
      <c r="K30" s="1425"/>
      <c r="L30" s="1309">
        <f t="shared" si="4"/>
        <v>0</v>
      </c>
      <c r="M30" s="1310">
        <f t="shared" si="5"/>
        <v>0</v>
      </c>
    </row>
    <row r="31" spans="1:13" s="773" customFormat="1" ht="18" customHeight="1">
      <c r="A31" s="751">
        <f t="shared" si="7"/>
        <v>3.3000000000000003</v>
      </c>
      <c r="B31" s="752"/>
      <c r="C31" s="753" t="s">
        <v>397</v>
      </c>
      <c r="D31" s="757" t="s">
        <v>818</v>
      </c>
      <c r="E31" s="771">
        <v>1.02</v>
      </c>
      <c r="F31" s="772">
        <f>F28*E31</f>
        <v>0.48959999999999998</v>
      </c>
      <c r="G31" s="1430"/>
      <c r="H31" s="703">
        <f t="shared" si="3"/>
        <v>0</v>
      </c>
      <c r="I31" s="1467"/>
      <c r="J31" s="1309">
        <f t="shared" si="0"/>
        <v>0</v>
      </c>
      <c r="K31" s="1467"/>
      <c r="L31" s="1309">
        <f t="shared" si="4"/>
        <v>0</v>
      </c>
      <c r="M31" s="1310">
        <f t="shared" si="5"/>
        <v>0</v>
      </c>
    </row>
    <row r="32" spans="1:13" s="773" customFormat="1" ht="18" customHeight="1">
      <c r="A32" s="751">
        <f t="shared" si="7"/>
        <v>3.4000000000000004</v>
      </c>
      <c r="B32" s="752"/>
      <c r="C32" s="760" t="s">
        <v>401</v>
      </c>
      <c r="D32" s="757" t="s">
        <v>104</v>
      </c>
      <c r="E32" s="755" t="s">
        <v>20</v>
      </c>
      <c r="F32" s="774">
        <f>F28*0.1</f>
        <v>4.8000000000000001E-2</v>
      </c>
      <c r="G32" s="721"/>
      <c r="H32" s="703">
        <f t="shared" si="3"/>
        <v>0</v>
      </c>
      <c r="I32" s="1467"/>
      <c r="J32" s="1309">
        <f t="shared" si="0"/>
        <v>0</v>
      </c>
      <c r="K32" s="1467"/>
      <c r="L32" s="1309">
        <f t="shared" si="4"/>
        <v>0</v>
      </c>
      <c r="M32" s="1310">
        <f t="shared" si="5"/>
        <v>0</v>
      </c>
    </row>
    <row r="33" spans="1:13" s="773" customFormat="1" ht="18" customHeight="1">
      <c r="A33" s="751">
        <f t="shared" si="7"/>
        <v>3.5000000000000004</v>
      </c>
      <c r="B33" s="759"/>
      <c r="C33" s="761" t="s">
        <v>18</v>
      </c>
      <c r="D33" s="754" t="s">
        <v>819</v>
      </c>
      <c r="E33" s="758">
        <v>2.42</v>
      </c>
      <c r="F33" s="772">
        <f>E33*F28</f>
        <v>1.1616</v>
      </c>
      <c r="G33" s="1423"/>
      <c r="H33" s="703">
        <f t="shared" si="3"/>
        <v>0</v>
      </c>
      <c r="I33" s="1467"/>
      <c r="J33" s="1309">
        <f t="shared" si="0"/>
        <v>0</v>
      </c>
      <c r="K33" s="1467"/>
      <c r="L33" s="1309">
        <f t="shared" si="4"/>
        <v>0</v>
      </c>
      <c r="M33" s="1310">
        <f t="shared" si="5"/>
        <v>0</v>
      </c>
    </row>
    <row r="34" spans="1:13" s="750" customFormat="1" ht="18" customHeight="1">
      <c r="A34" s="751">
        <f t="shared" si="7"/>
        <v>3.6000000000000005</v>
      </c>
      <c r="B34" s="752"/>
      <c r="C34" s="760" t="s">
        <v>398</v>
      </c>
      <c r="D34" s="757" t="s">
        <v>818</v>
      </c>
      <c r="E34" s="764">
        <v>5.8099999999999999E-2</v>
      </c>
      <c r="F34" s="764">
        <f>E34*F28</f>
        <v>2.7888E-2</v>
      </c>
      <c r="G34" s="1423"/>
      <c r="H34" s="703">
        <f t="shared" si="3"/>
        <v>0</v>
      </c>
      <c r="I34" s="1428"/>
      <c r="J34" s="1309">
        <f t="shared" si="0"/>
        <v>0</v>
      </c>
      <c r="K34" s="1422"/>
      <c r="L34" s="1309">
        <f t="shared" si="4"/>
        <v>0</v>
      </c>
      <c r="M34" s="1310">
        <f t="shared" si="5"/>
        <v>0</v>
      </c>
    </row>
    <row r="35" spans="1:13" s="750" customFormat="1" ht="18" customHeight="1">
      <c r="A35" s="751">
        <f t="shared" si="7"/>
        <v>3.7000000000000006</v>
      </c>
      <c r="B35" s="763"/>
      <c r="C35" s="760" t="s">
        <v>399</v>
      </c>
      <c r="D35" s="757" t="s">
        <v>818</v>
      </c>
      <c r="E35" s="764">
        <v>6.7000000000000002E-3</v>
      </c>
      <c r="F35" s="764">
        <f>E35*F28</f>
        <v>3.2160000000000001E-3</v>
      </c>
      <c r="G35" s="1423"/>
      <c r="H35" s="703">
        <f t="shared" si="3"/>
        <v>0</v>
      </c>
      <c r="I35" s="1428"/>
      <c r="J35" s="1309">
        <f t="shared" si="0"/>
        <v>0</v>
      </c>
      <c r="K35" s="1422"/>
      <c r="L35" s="1309">
        <f t="shared" si="4"/>
        <v>0</v>
      </c>
      <c r="M35" s="1310">
        <f t="shared" si="5"/>
        <v>0</v>
      </c>
    </row>
    <row r="36" spans="1:13" s="773" customFormat="1" ht="18" customHeight="1">
      <c r="A36" s="751">
        <f t="shared" si="7"/>
        <v>3.8000000000000007</v>
      </c>
      <c r="B36" s="752"/>
      <c r="C36" s="753" t="s">
        <v>400</v>
      </c>
      <c r="D36" s="754" t="s">
        <v>64</v>
      </c>
      <c r="E36" s="775">
        <v>1.5E-3</v>
      </c>
      <c r="F36" s="775">
        <f>F28*E36</f>
        <v>7.1999999999999994E-4</v>
      </c>
      <c r="G36" s="1430"/>
      <c r="H36" s="703">
        <f t="shared" si="3"/>
        <v>0</v>
      </c>
      <c r="I36" s="1467"/>
      <c r="J36" s="1309">
        <f t="shared" si="0"/>
        <v>0</v>
      </c>
      <c r="K36" s="1467"/>
      <c r="L36" s="1309">
        <f t="shared" si="4"/>
        <v>0</v>
      </c>
      <c r="M36" s="1310">
        <f t="shared" si="5"/>
        <v>0</v>
      </c>
    </row>
    <row r="37" spans="1:13" s="773" customFormat="1" ht="18" customHeight="1">
      <c r="A37" s="751">
        <f t="shared" si="7"/>
        <v>3.9000000000000008</v>
      </c>
      <c r="B37" s="752"/>
      <c r="C37" s="753" t="s">
        <v>119</v>
      </c>
      <c r="D37" s="754" t="s">
        <v>14</v>
      </c>
      <c r="E37" s="771">
        <v>0.6</v>
      </c>
      <c r="F37" s="772">
        <f>F28*E37</f>
        <v>0.28799999999999998</v>
      </c>
      <c r="G37" s="1430"/>
      <c r="H37" s="703">
        <f t="shared" si="3"/>
        <v>0</v>
      </c>
      <c r="I37" s="1467"/>
      <c r="J37" s="1309">
        <f t="shared" si="0"/>
        <v>0</v>
      </c>
      <c r="K37" s="1467"/>
      <c r="L37" s="1309">
        <f t="shared" si="4"/>
        <v>0</v>
      </c>
      <c r="M37" s="1310">
        <f t="shared" si="5"/>
        <v>0</v>
      </c>
    </row>
    <row r="38" spans="1:13" s="716" customFormat="1" ht="72" customHeight="1">
      <c r="A38" s="704">
        <v>4</v>
      </c>
      <c r="B38" s="718"/>
      <c r="C38" s="699" t="s">
        <v>162</v>
      </c>
      <c r="D38" s="776" t="s">
        <v>821</v>
      </c>
      <c r="E38" s="720"/>
      <c r="F38" s="709">
        <v>9.0500000000000007</v>
      </c>
      <c r="G38" s="1431"/>
      <c r="H38" s="703">
        <f t="shared" si="3"/>
        <v>0</v>
      </c>
      <c r="I38" s="722"/>
      <c r="J38" s="1309">
        <f t="shared" si="0"/>
        <v>0</v>
      </c>
      <c r="K38" s="722"/>
      <c r="L38" s="1309">
        <f t="shared" si="4"/>
        <v>0</v>
      </c>
      <c r="M38" s="1310">
        <f t="shared" si="5"/>
        <v>0</v>
      </c>
    </row>
    <row r="39" spans="1:13" s="716" customFormat="1" ht="20.100000000000001" customHeight="1">
      <c r="A39" s="697">
        <f t="shared" ref="A39:A48" si="8">A38+0.1</f>
        <v>4.0999999999999996</v>
      </c>
      <c r="B39" s="712"/>
      <c r="C39" s="713" t="s">
        <v>69</v>
      </c>
      <c r="D39" s="700" t="s">
        <v>13</v>
      </c>
      <c r="E39" s="714">
        <v>8.4</v>
      </c>
      <c r="F39" s="714">
        <f>F38*E39</f>
        <v>76.02000000000001</v>
      </c>
      <c r="G39" s="1416"/>
      <c r="H39" s="703">
        <f t="shared" si="3"/>
        <v>0</v>
      </c>
      <c r="I39" s="701"/>
      <c r="J39" s="1309">
        <f t="shared" si="0"/>
        <v>0</v>
      </c>
      <c r="K39" s="722"/>
      <c r="L39" s="1309">
        <f t="shared" si="4"/>
        <v>0</v>
      </c>
      <c r="M39" s="1310">
        <f t="shared" si="5"/>
        <v>0</v>
      </c>
    </row>
    <row r="40" spans="1:13" s="716" customFormat="1" ht="20.100000000000001" customHeight="1">
      <c r="A40" s="697">
        <f t="shared" si="8"/>
        <v>4.1999999999999993</v>
      </c>
      <c r="B40" s="712"/>
      <c r="C40" s="713" t="s">
        <v>117</v>
      </c>
      <c r="D40" s="703" t="s">
        <v>14</v>
      </c>
      <c r="E40" s="708">
        <v>0.81</v>
      </c>
      <c r="F40" s="714">
        <f>F38*E40</f>
        <v>7.3305000000000007</v>
      </c>
      <c r="G40" s="1416"/>
      <c r="H40" s="703">
        <f t="shared" si="3"/>
        <v>0</v>
      </c>
      <c r="I40" s="722"/>
      <c r="J40" s="1309">
        <f t="shared" si="0"/>
        <v>0</v>
      </c>
      <c r="K40" s="703"/>
      <c r="L40" s="1309">
        <f t="shared" si="4"/>
        <v>0</v>
      </c>
      <c r="M40" s="1310">
        <f t="shared" si="5"/>
        <v>0</v>
      </c>
    </row>
    <row r="41" spans="1:13" s="716" customFormat="1" ht="20.100000000000001" customHeight="1">
      <c r="A41" s="697">
        <f t="shared" si="8"/>
        <v>4.2999999999999989</v>
      </c>
      <c r="B41" s="712"/>
      <c r="C41" s="761" t="s">
        <v>75</v>
      </c>
      <c r="D41" s="722" t="s">
        <v>15</v>
      </c>
      <c r="E41" s="708">
        <v>1.0149999999999999</v>
      </c>
      <c r="F41" s="714">
        <f>E41*F38</f>
        <v>9.1857500000000005</v>
      </c>
      <c r="G41" s="1432"/>
      <c r="H41" s="703">
        <f t="shared" si="3"/>
        <v>0</v>
      </c>
      <c r="I41" s="722"/>
      <c r="J41" s="1309">
        <f t="shared" si="0"/>
        <v>0</v>
      </c>
      <c r="K41" s="722"/>
      <c r="L41" s="1309">
        <f t="shared" si="4"/>
        <v>0</v>
      </c>
      <c r="M41" s="1310">
        <f t="shared" si="5"/>
        <v>0</v>
      </c>
    </row>
    <row r="42" spans="1:13" s="716" customFormat="1" ht="20.100000000000001" customHeight="1">
      <c r="A42" s="697">
        <f t="shared" si="8"/>
        <v>4.3999999999999986</v>
      </c>
      <c r="B42" s="752"/>
      <c r="C42" s="760" t="s">
        <v>475</v>
      </c>
      <c r="D42" s="757" t="s">
        <v>104</v>
      </c>
      <c r="E42" s="755" t="s">
        <v>20</v>
      </c>
      <c r="F42" s="714">
        <v>0.06</v>
      </c>
      <c r="G42" s="1426"/>
      <c r="H42" s="703">
        <f t="shared" si="3"/>
        <v>0</v>
      </c>
      <c r="I42" s="722"/>
      <c r="J42" s="1309">
        <f t="shared" si="0"/>
        <v>0</v>
      </c>
      <c r="K42" s="722"/>
      <c r="L42" s="1309">
        <f t="shared" si="4"/>
        <v>0</v>
      </c>
      <c r="M42" s="1310">
        <f t="shared" si="5"/>
        <v>0</v>
      </c>
    </row>
    <row r="43" spans="1:13" ht="20.100000000000001" customHeight="1">
      <c r="A43" s="697">
        <f t="shared" si="8"/>
        <v>4.4999999999999982</v>
      </c>
      <c r="B43" s="752"/>
      <c r="C43" s="760" t="s">
        <v>401</v>
      </c>
      <c r="D43" s="757" t="s">
        <v>104</v>
      </c>
      <c r="E43" s="755" t="s">
        <v>20</v>
      </c>
      <c r="F43" s="777">
        <v>1.1000000000000001</v>
      </c>
      <c r="G43" s="721"/>
      <c r="H43" s="703">
        <f t="shared" si="3"/>
        <v>0</v>
      </c>
      <c r="I43" s="1414"/>
      <c r="J43" s="1309">
        <f t="shared" si="0"/>
        <v>0</v>
      </c>
      <c r="K43" s="1414"/>
      <c r="L43" s="1309">
        <f t="shared" si="4"/>
        <v>0</v>
      </c>
      <c r="M43" s="1310">
        <f t="shared" si="5"/>
        <v>0</v>
      </c>
    </row>
    <row r="44" spans="1:13" s="716" customFormat="1" ht="20.100000000000001" customHeight="1">
      <c r="A44" s="697">
        <f t="shared" si="8"/>
        <v>4.5999999999999979</v>
      </c>
      <c r="B44" s="759"/>
      <c r="C44" s="761" t="s">
        <v>18</v>
      </c>
      <c r="D44" s="722" t="s">
        <v>822</v>
      </c>
      <c r="E44" s="708">
        <v>1.37</v>
      </c>
      <c r="F44" s="714">
        <f>E44*F38</f>
        <v>12.398500000000002</v>
      </c>
      <c r="G44" s="1423"/>
      <c r="H44" s="703">
        <f t="shared" si="3"/>
        <v>0</v>
      </c>
      <c r="I44" s="722"/>
      <c r="J44" s="1309">
        <f t="shared" si="0"/>
        <v>0</v>
      </c>
      <c r="K44" s="722"/>
      <c r="L44" s="1309">
        <f t="shared" si="4"/>
        <v>0</v>
      </c>
      <c r="M44" s="1310">
        <f t="shared" si="5"/>
        <v>0</v>
      </c>
    </row>
    <row r="45" spans="1:13" s="716" customFormat="1" ht="20.100000000000001" customHeight="1">
      <c r="A45" s="697">
        <f t="shared" si="8"/>
        <v>4.6999999999999975</v>
      </c>
      <c r="B45" s="721"/>
      <c r="C45" s="761" t="s">
        <v>163</v>
      </c>
      <c r="D45" s="703" t="s">
        <v>823</v>
      </c>
      <c r="E45" s="778">
        <v>8.3999999999999995E-3</v>
      </c>
      <c r="F45" s="778">
        <f>E45*F38</f>
        <v>7.6020000000000004E-2</v>
      </c>
      <c r="G45" s="1416"/>
      <c r="H45" s="703">
        <f t="shared" si="3"/>
        <v>0</v>
      </c>
      <c r="I45" s="722"/>
      <c r="J45" s="1309">
        <f t="shared" si="0"/>
        <v>0</v>
      </c>
      <c r="K45" s="722"/>
      <c r="L45" s="1309">
        <f t="shared" si="4"/>
        <v>0</v>
      </c>
      <c r="M45" s="1310">
        <f t="shared" si="5"/>
        <v>0</v>
      </c>
    </row>
    <row r="46" spans="1:13" s="716" customFormat="1" ht="20.100000000000001" customHeight="1">
      <c r="A46" s="697">
        <f t="shared" si="8"/>
        <v>4.7999999999999972</v>
      </c>
      <c r="B46" s="752"/>
      <c r="C46" s="761" t="s">
        <v>164</v>
      </c>
      <c r="D46" s="703" t="s">
        <v>823</v>
      </c>
      <c r="E46" s="778">
        <v>2.5600000000000001E-2</v>
      </c>
      <c r="F46" s="778">
        <f>E46*F38</f>
        <v>0.23168000000000002</v>
      </c>
      <c r="G46" s="1416"/>
      <c r="H46" s="703">
        <f t="shared" si="3"/>
        <v>0</v>
      </c>
      <c r="I46" s="722"/>
      <c r="J46" s="1309">
        <f t="shared" si="0"/>
        <v>0</v>
      </c>
      <c r="K46" s="722"/>
      <c r="L46" s="1309">
        <f t="shared" si="4"/>
        <v>0</v>
      </c>
      <c r="M46" s="1310">
        <f t="shared" si="5"/>
        <v>0</v>
      </c>
    </row>
    <row r="47" spans="1:13" s="716" customFormat="1" ht="20.100000000000001" customHeight="1">
      <c r="A47" s="697">
        <f t="shared" si="8"/>
        <v>4.8999999999999968</v>
      </c>
      <c r="B47" s="779"/>
      <c r="C47" s="761" t="s">
        <v>165</v>
      </c>
      <c r="D47" s="703" t="s">
        <v>823</v>
      </c>
      <c r="E47" s="778">
        <v>2.5999999999999999E-3</v>
      </c>
      <c r="F47" s="778">
        <f>E47*F38</f>
        <v>2.3530000000000002E-2</v>
      </c>
      <c r="G47" s="1416"/>
      <c r="H47" s="703">
        <f t="shared" si="3"/>
        <v>0</v>
      </c>
      <c r="I47" s="722"/>
      <c r="J47" s="1309">
        <f t="shared" si="0"/>
        <v>0</v>
      </c>
      <c r="K47" s="722"/>
      <c r="L47" s="1309">
        <f t="shared" si="4"/>
        <v>0</v>
      </c>
      <c r="M47" s="1310">
        <f t="shared" si="5"/>
        <v>0</v>
      </c>
    </row>
    <row r="48" spans="1:13" s="716" customFormat="1" ht="20.100000000000001" customHeight="1">
      <c r="A48" s="697">
        <f t="shared" si="8"/>
        <v>4.9999999999999964</v>
      </c>
      <c r="B48" s="712"/>
      <c r="C48" s="713" t="s">
        <v>119</v>
      </c>
      <c r="D48" s="722" t="s">
        <v>14</v>
      </c>
      <c r="E48" s="708">
        <v>0.39</v>
      </c>
      <c r="F48" s="714">
        <f>E48*F38</f>
        <v>3.5295000000000005</v>
      </c>
      <c r="G48" s="1416"/>
      <c r="H48" s="703">
        <f t="shared" si="3"/>
        <v>0</v>
      </c>
      <c r="I48" s="722"/>
      <c r="J48" s="1309">
        <f t="shared" si="0"/>
        <v>0</v>
      </c>
      <c r="K48" s="722"/>
      <c r="L48" s="1309">
        <f t="shared" si="4"/>
        <v>0</v>
      </c>
      <c r="M48" s="1310">
        <f t="shared" si="5"/>
        <v>0</v>
      </c>
    </row>
    <row r="49" spans="1:13" s="716" customFormat="1" ht="70.5" customHeight="1">
      <c r="A49" s="704">
        <v>5</v>
      </c>
      <c r="B49" s="718"/>
      <c r="C49" s="699" t="s">
        <v>278</v>
      </c>
      <c r="D49" s="776" t="s">
        <v>821</v>
      </c>
      <c r="E49" s="720"/>
      <c r="F49" s="709">
        <v>0.6</v>
      </c>
      <c r="G49" s="1431"/>
      <c r="H49" s="703">
        <f t="shared" si="3"/>
        <v>0</v>
      </c>
      <c r="I49" s="722"/>
      <c r="J49" s="1309">
        <f t="shared" si="0"/>
        <v>0</v>
      </c>
      <c r="K49" s="722"/>
      <c r="L49" s="1309">
        <f t="shared" si="4"/>
        <v>0</v>
      </c>
      <c r="M49" s="1310">
        <f t="shared" si="5"/>
        <v>0</v>
      </c>
    </row>
    <row r="50" spans="1:13" s="716" customFormat="1" ht="20.100000000000001" customHeight="1">
      <c r="A50" s="697">
        <f>A49+0.1</f>
        <v>5.0999999999999996</v>
      </c>
      <c r="B50" s="712"/>
      <c r="C50" s="713" t="s">
        <v>69</v>
      </c>
      <c r="D50" s="700" t="s">
        <v>13</v>
      </c>
      <c r="E50" s="708">
        <v>14.7</v>
      </c>
      <c r="F50" s="708">
        <f>F49*E50</f>
        <v>8.8199999999999985</v>
      </c>
      <c r="G50" s="1416"/>
      <c r="H50" s="703">
        <f t="shared" si="3"/>
        <v>0</v>
      </c>
      <c r="I50" s="701"/>
      <c r="J50" s="1309">
        <f t="shared" si="0"/>
        <v>0</v>
      </c>
      <c r="K50" s="722"/>
      <c r="L50" s="1309">
        <f t="shared" si="4"/>
        <v>0</v>
      </c>
      <c r="M50" s="1310">
        <f t="shared" si="5"/>
        <v>0</v>
      </c>
    </row>
    <row r="51" spans="1:13" s="716" customFormat="1" ht="20.100000000000001" customHeight="1">
      <c r="A51" s="697">
        <f t="shared" ref="A51:A59" si="9">A50+0.1</f>
        <v>5.1999999999999993</v>
      </c>
      <c r="B51" s="712"/>
      <c r="C51" s="713" t="s">
        <v>117</v>
      </c>
      <c r="D51" s="703" t="s">
        <v>14</v>
      </c>
      <c r="E51" s="708">
        <v>1.21</v>
      </c>
      <c r="F51" s="714">
        <f>F49*E51</f>
        <v>0.72599999999999998</v>
      </c>
      <c r="G51" s="1416"/>
      <c r="H51" s="703">
        <f t="shared" si="3"/>
        <v>0</v>
      </c>
      <c r="I51" s="722"/>
      <c r="J51" s="1309">
        <f t="shared" si="0"/>
        <v>0</v>
      </c>
      <c r="K51" s="703"/>
      <c r="L51" s="1309">
        <f t="shared" si="4"/>
        <v>0</v>
      </c>
      <c r="M51" s="1310">
        <f t="shared" si="5"/>
        <v>0</v>
      </c>
    </row>
    <row r="52" spans="1:13" s="716" customFormat="1" ht="20.100000000000001" customHeight="1">
      <c r="A52" s="697">
        <f t="shared" si="9"/>
        <v>5.2999999999999989</v>
      </c>
      <c r="B52" s="712"/>
      <c r="C52" s="761" t="s">
        <v>75</v>
      </c>
      <c r="D52" s="722" t="s">
        <v>15</v>
      </c>
      <c r="E52" s="714">
        <v>1</v>
      </c>
      <c r="F52" s="714">
        <f>E52*F49</f>
        <v>0.6</v>
      </c>
      <c r="G52" s="1432"/>
      <c r="H52" s="703">
        <f t="shared" si="3"/>
        <v>0</v>
      </c>
      <c r="I52" s="722"/>
      <c r="J52" s="1309">
        <f t="shared" si="0"/>
        <v>0</v>
      </c>
      <c r="K52" s="722"/>
      <c r="L52" s="1309">
        <f t="shared" si="4"/>
        <v>0</v>
      </c>
      <c r="M52" s="1310">
        <f t="shared" si="5"/>
        <v>0</v>
      </c>
    </row>
    <row r="53" spans="1:13" ht="20.100000000000001" customHeight="1">
      <c r="A53" s="697">
        <f t="shared" si="9"/>
        <v>5.3999999999999986</v>
      </c>
      <c r="B53" s="752"/>
      <c r="C53" s="760" t="s">
        <v>475</v>
      </c>
      <c r="D53" s="757" t="s">
        <v>104</v>
      </c>
      <c r="E53" s="755" t="s">
        <v>20</v>
      </c>
      <c r="F53" s="777">
        <f>32/1000</f>
        <v>3.2000000000000001E-2</v>
      </c>
      <c r="G53" s="1426"/>
      <c r="H53" s="703">
        <f t="shared" si="3"/>
        <v>0</v>
      </c>
      <c r="I53" s="1414"/>
      <c r="J53" s="1309">
        <f t="shared" si="0"/>
        <v>0</v>
      </c>
      <c r="K53" s="1414"/>
      <c r="L53" s="1309">
        <f t="shared" si="4"/>
        <v>0</v>
      </c>
      <c r="M53" s="1310">
        <f t="shared" si="5"/>
        <v>0</v>
      </c>
    </row>
    <row r="54" spans="1:13" ht="20.100000000000001" customHeight="1">
      <c r="A54" s="697">
        <f t="shared" si="9"/>
        <v>5.4999999999999982</v>
      </c>
      <c r="B54" s="752"/>
      <c r="C54" s="760" t="s">
        <v>401</v>
      </c>
      <c r="D54" s="757" t="s">
        <v>104</v>
      </c>
      <c r="E54" s="755" t="s">
        <v>20</v>
      </c>
      <c r="F54" s="777">
        <f>25/1000</f>
        <v>2.5000000000000001E-2</v>
      </c>
      <c r="G54" s="721"/>
      <c r="H54" s="703">
        <f t="shared" si="3"/>
        <v>0</v>
      </c>
      <c r="I54" s="1414"/>
      <c r="J54" s="1309">
        <f t="shared" si="0"/>
        <v>0</v>
      </c>
      <c r="K54" s="1414"/>
      <c r="L54" s="1309">
        <f t="shared" si="4"/>
        <v>0</v>
      </c>
      <c r="M54" s="1310">
        <f t="shared" si="5"/>
        <v>0</v>
      </c>
    </row>
    <row r="55" spans="1:13" s="716" customFormat="1" ht="20.100000000000001" customHeight="1">
      <c r="A55" s="697">
        <f t="shared" si="9"/>
        <v>5.5999999999999979</v>
      </c>
      <c r="B55" s="759"/>
      <c r="C55" s="761" t="s">
        <v>18</v>
      </c>
      <c r="D55" s="722" t="s">
        <v>822</v>
      </c>
      <c r="E55" s="708">
        <v>2.46</v>
      </c>
      <c r="F55" s="714">
        <f>E55*F49</f>
        <v>1.476</v>
      </c>
      <c r="G55" s="1423"/>
      <c r="H55" s="703">
        <f t="shared" si="3"/>
        <v>0</v>
      </c>
      <c r="I55" s="722"/>
      <c r="J55" s="1309">
        <f t="shared" si="0"/>
        <v>0</v>
      </c>
      <c r="K55" s="722"/>
      <c r="L55" s="1309">
        <f t="shared" si="4"/>
        <v>0</v>
      </c>
      <c r="M55" s="1310">
        <f t="shared" si="5"/>
        <v>0</v>
      </c>
    </row>
    <row r="56" spans="1:13" s="716" customFormat="1" ht="20.100000000000001" customHeight="1">
      <c r="A56" s="697">
        <f t="shared" si="9"/>
        <v>5.6999999999999975</v>
      </c>
      <c r="B56" s="721"/>
      <c r="C56" s="761" t="s">
        <v>76</v>
      </c>
      <c r="D56" s="703" t="s">
        <v>823</v>
      </c>
      <c r="E56" s="778">
        <v>1.6E-2</v>
      </c>
      <c r="F56" s="714">
        <f>E56*F49</f>
        <v>9.5999999999999992E-3</v>
      </c>
      <c r="G56" s="1416"/>
      <c r="H56" s="703">
        <f t="shared" si="3"/>
        <v>0</v>
      </c>
      <c r="I56" s="722"/>
      <c r="J56" s="1309">
        <f t="shared" si="0"/>
        <v>0</v>
      </c>
      <c r="K56" s="722"/>
      <c r="L56" s="1309">
        <f t="shared" si="4"/>
        <v>0</v>
      </c>
      <c r="M56" s="1310">
        <f t="shared" si="5"/>
        <v>0</v>
      </c>
    </row>
    <row r="57" spans="1:13" s="716" customFormat="1" ht="20.100000000000001" customHeight="1">
      <c r="A57" s="697">
        <f t="shared" si="9"/>
        <v>5.7999999999999972</v>
      </c>
      <c r="B57" s="779"/>
      <c r="C57" s="761" t="s">
        <v>166</v>
      </c>
      <c r="D57" s="703" t="s">
        <v>823</v>
      </c>
      <c r="E57" s="778">
        <v>7.0000000000000001E-3</v>
      </c>
      <c r="F57" s="714">
        <f>E57*F49</f>
        <v>4.1999999999999997E-3</v>
      </c>
      <c r="G57" s="1416"/>
      <c r="H57" s="703">
        <f t="shared" si="3"/>
        <v>0</v>
      </c>
      <c r="I57" s="722"/>
      <c r="J57" s="1309">
        <f t="shared" si="0"/>
        <v>0</v>
      </c>
      <c r="K57" s="722"/>
      <c r="L57" s="1309">
        <f t="shared" si="4"/>
        <v>0</v>
      </c>
      <c r="M57" s="1310">
        <f t="shared" si="5"/>
        <v>0</v>
      </c>
    </row>
    <row r="58" spans="1:13" s="716" customFormat="1" ht="20.100000000000001" customHeight="1">
      <c r="A58" s="697">
        <f t="shared" si="9"/>
        <v>5.8999999999999968</v>
      </c>
      <c r="B58" s="779"/>
      <c r="C58" s="761" t="s">
        <v>79</v>
      </c>
      <c r="D58" s="700" t="s">
        <v>64</v>
      </c>
      <c r="E58" s="778">
        <v>3.3E-3</v>
      </c>
      <c r="F58" s="714">
        <f>E58*F49</f>
        <v>1.98E-3</v>
      </c>
      <c r="G58" s="1416"/>
      <c r="H58" s="703">
        <f t="shared" si="3"/>
        <v>0</v>
      </c>
      <c r="I58" s="722"/>
      <c r="J58" s="1309">
        <f t="shared" si="0"/>
        <v>0</v>
      </c>
      <c r="K58" s="722"/>
      <c r="L58" s="1309">
        <f t="shared" si="4"/>
        <v>0</v>
      </c>
      <c r="M58" s="1310">
        <f t="shared" si="5"/>
        <v>0</v>
      </c>
    </row>
    <row r="59" spans="1:13" s="716" customFormat="1" ht="20.100000000000001" customHeight="1">
      <c r="A59" s="697">
        <f t="shared" si="9"/>
        <v>5.9999999999999964</v>
      </c>
      <c r="B59" s="712"/>
      <c r="C59" s="713" t="s">
        <v>119</v>
      </c>
      <c r="D59" s="722" t="s">
        <v>14</v>
      </c>
      <c r="E59" s="708">
        <v>0.9</v>
      </c>
      <c r="F59" s="714">
        <f>E59*F49</f>
        <v>0.54</v>
      </c>
      <c r="G59" s="1416"/>
      <c r="H59" s="703">
        <f t="shared" si="3"/>
        <v>0</v>
      </c>
      <c r="I59" s="722"/>
      <c r="J59" s="1309">
        <f t="shared" si="0"/>
        <v>0</v>
      </c>
      <c r="K59" s="722"/>
      <c r="L59" s="1309">
        <f t="shared" si="4"/>
        <v>0</v>
      </c>
      <c r="M59" s="1310">
        <f t="shared" si="5"/>
        <v>0</v>
      </c>
    </row>
    <row r="60" spans="1:13" s="716" customFormat="1" ht="18" customHeight="1">
      <c r="A60" s="697"/>
      <c r="B60" s="780"/>
      <c r="C60" s="781" t="s">
        <v>172</v>
      </c>
      <c r="D60" s="782"/>
      <c r="E60" s="708"/>
      <c r="F60" s="714"/>
      <c r="G60" s="721"/>
      <c r="H60" s="703">
        <f t="shared" si="3"/>
        <v>0</v>
      </c>
      <c r="I60" s="722"/>
      <c r="J60" s="1309">
        <f t="shared" si="0"/>
        <v>0</v>
      </c>
      <c r="K60" s="722"/>
      <c r="L60" s="1309">
        <f t="shared" si="4"/>
        <v>0</v>
      </c>
      <c r="M60" s="1310">
        <f t="shared" si="5"/>
        <v>0</v>
      </c>
    </row>
    <row r="61" spans="1:13" s="787" customFormat="1" ht="50.1" customHeight="1">
      <c r="A61" s="783" t="s">
        <v>44</v>
      </c>
      <c r="B61" s="784"/>
      <c r="C61" s="699" t="s">
        <v>173</v>
      </c>
      <c r="D61" s="722" t="s">
        <v>15</v>
      </c>
      <c r="E61" s="785"/>
      <c r="F61" s="786">
        <v>26.4</v>
      </c>
      <c r="G61" s="1433"/>
      <c r="H61" s="703">
        <f t="shared" si="3"/>
        <v>0</v>
      </c>
      <c r="I61" s="1434"/>
      <c r="J61" s="1309">
        <f t="shared" si="0"/>
        <v>0</v>
      </c>
      <c r="K61" s="1434"/>
      <c r="L61" s="1309">
        <f t="shared" si="4"/>
        <v>0</v>
      </c>
      <c r="M61" s="1310">
        <f t="shared" si="5"/>
        <v>0</v>
      </c>
    </row>
    <row r="62" spans="1:13" s="791" customFormat="1" ht="18" customHeight="1">
      <c r="A62" s="697">
        <f>A61+0.1</f>
        <v>1.1000000000000001</v>
      </c>
      <c r="B62" s="712"/>
      <c r="C62" s="713" t="s">
        <v>69</v>
      </c>
      <c r="D62" s="700" t="s">
        <v>13</v>
      </c>
      <c r="E62" s="788">
        <v>3.36</v>
      </c>
      <c r="F62" s="789">
        <f>F61*E62</f>
        <v>88.703999999999994</v>
      </c>
      <c r="G62" s="1435"/>
      <c r="H62" s="703">
        <f t="shared" si="3"/>
        <v>0</v>
      </c>
      <c r="I62" s="1436"/>
      <c r="J62" s="1309">
        <f t="shared" si="0"/>
        <v>0</v>
      </c>
      <c r="K62" s="1437"/>
      <c r="L62" s="1309">
        <f t="shared" si="4"/>
        <v>0</v>
      </c>
      <c r="M62" s="1310">
        <f t="shared" si="5"/>
        <v>0</v>
      </c>
    </row>
    <row r="63" spans="1:13" s="791" customFormat="1" ht="18" customHeight="1">
      <c r="A63" s="697">
        <f>A62+0.1</f>
        <v>1.2000000000000002</v>
      </c>
      <c r="B63" s="712"/>
      <c r="C63" s="713" t="s">
        <v>117</v>
      </c>
      <c r="D63" s="703" t="s">
        <v>14</v>
      </c>
      <c r="E63" s="788">
        <v>0.92</v>
      </c>
      <c r="F63" s="789">
        <f>F61*E63</f>
        <v>24.288</v>
      </c>
      <c r="G63" s="1416"/>
      <c r="H63" s="703">
        <f t="shared" si="3"/>
        <v>0</v>
      </c>
      <c r="I63" s="1437"/>
      <c r="J63" s="1309">
        <f t="shared" si="0"/>
        <v>0</v>
      </c>
      <c r="K63" s="703"/>
      <c r="L63" s="1309">
        <f t="shared" si="4"/>
        <v>0</v>
      </c>
      <c r="M63" s="1310">
        <f t="shared" si="5"/>
        <v>0</v>
      </c>
    </row>
    <row r="64" spans="1:13" s="791" customFormat="1" ht="18" customHeight="1">
      <c r="A64" s="697">
        <f>A63+0.1</f>
        <v>1.3000000000000003</v>
      </c>
      <c r="B64" s="712"/>
      <c r="C64" s="713" t="s">
        <v>78</v>
      </c>
      <c r="D64" s="703" t="s">
        <v>823</v>
      </c>
      <c r="E64" s="788">
        <v>0.11</v>
      </c>
      <c r="F64" s="789">
        <f>F61*E64</f>
        <v>2.9039999999999999</v>
      </c>
      <c r="G64" s="1435"/>
      <c r="H64" s="703">
        <f t="shared" si="3"/>
        <v>0</v>
      </c>
      <c r="I64" s="1437"/>
      <c r="J64" s="1309">
        <f t="shared" si="0"/>
        <v>0</v>
      </c>
      <c r="K64" s="1437"/>
      <c r="L64" s="1309">
        <f t="shared" si="4"/>
        <v>0</v>
      </c>
      <c r="M64" s="1310">
        <f t="shared" si="5"/>
        <v>0</v>
      </c>
    </row>
    <row r="65" spans="1:13" s="791" customFormat="1" ht="27.75" customHeight="1">
      <c r="A65" s="697">
        <f>A64+0.1</f>
        <v>1.4000000000000004</v>
      </c>
      <c r="B65" s="712"/>
      <c r="C65" s="713" t="s">
        <v>174</v>
      </c>
      <c r="D65" s="700" t="s">
        <v>49</v>
      </c>
      <c r="E65" s="790">
        <f>0.92/0.39/0.19/0.19</f>
        <v>65.345550110093043</v>
      </c>
      <c r="F65" s="789">
        <f>E65*F61</f>
        <v>1725.1225229064562</v>
      </c>
      <c r="G65" s="1435"/>
      <c r="H65" s="703">
        <f t="shared" si="3"/>
        <v>0</v>
      </c>
      <c r="I65" s="1437"/>
      <c r="J65" s="1309">
        <f t="shared" si="0"/>
        <v>0</v>
      </c>
      <c r="K65" s="1437"/>
      <c r="L65" s="1309">
        <f t="shared" si="4"/>
        <v>0</v>
      </c>
      <c r="M65" s="1310">
        <f t="shared" si="5"/>
        <v>0</v>
      </c>
    </row>
    <row r="66" spans="1:13" s="791" customFormat="1" ht="18" customHeight="1">
      <c r="A66" s="697">
        <f>A65+0.1</f>
        <v>1.5000000000000004</v>
      </c>
      <c r="B66" s="712"/>
      <c r="C66" s="713" t="s">
        <v>119</v>
      </c>
      <c r="D66" s="700" t="s">
        <v>14</v>
      </c>
      <c r="E66" s="788">
        <v>0.16</v>
      </c>
      <c r="F66" s="789">
        <f>F61*E66</f>
        <v>4.2240000000000002</v>
      </c>
      <c r="G66" s="1416"/>
      <c r="H66" s="703">
        <f t="shared" si="3"/>
        <v>0</v>
      </c>
      <c r="I66" s="1437"/>
      <c r="J66" s="1309">
        <f t="shared" si="0"/>
        <v>0</v>
      </c>
      <c r="K66" s="1437"/>
      <c r="L66" s="1309">
        <f t="shared" si="4"/>
        <v>0</v>
      </c>
      <c r="M66" s="1310">
        <f t="shared" si="5"/>
        <v>0</v>
      </c>
    </row>
    <row r="67" spans="1:13" s="716" customFormat="1" ht="47.25" customHeight="1">
      <c r="A67" s="704">
        <v>2</v>
      </c>
      <c r="B67" s="718"/>
      <c r="C67" s="699" t="s">
        <v>175</v>
      </c>
      <c r="D67" s="722" t="s">
        <v>15</v>
      </c>
      <c r="E67" s="720"/>
      <c r="F67" s="709">
        <f>4.7*0.4*0.2</f>
        <v>0.37600000000000006</v>
      </c>
      <c r="G67" s="1431"/>
      <c r="H67" s="703">
        <f t="shared" si="3"/>
        <v>0</v>
      </c>
      <c r="I67" s="722"/>
      <c r="J67" s="1309">
        <f t="shared" si="0"/>
        <v>0</v>
      </c>
      <c r="K67" s="722"/>
      <c r="L67" s="1309">
        <f t="shared" si="4"/>
        <v>0</v>
      </c>
      <c r="M67" s="1310">
        <f t="shared" si="5"/>
        <v>0</v>
      </c>
    </row>
    <row r="68" spans="1:13" s="716" customFormat="1" ht="18" customHeight="1">
      <c r="A68" s="697">
        <f>A67+0.1</f>
        <v>2.1</v>
      </c>
      <c r="B68" s="712"/>
      <c r="C68" s="713" t="s">
        <v>69</v>
      </c>
      <c r="D68" s="700" t="s">
        <v>13</v>
      </c>
      <c r="E68" s="708">
        <v>14.7</v>
      </c>
      <c r="F68" s="708">
        <f>F67*E68</f>
        <v>5.5272000000000006</v>
      </c>
      <c r="G68" s="1416"/>
      <c r="H68" s="703">
        <f t="shared" si="3"/>
        <v>0</v>
      </c>
      <c r="I68" s="722"/>
      <c r="J68" s="1309">
        <f t="shared" si="0"/>
        <v>0</v>
      </c>
      <c r="K68" s="722"/>
      <c r="L68" s="1309">
        <f t="shared" si="4"/>
        <v>0</v>
      </c>
      <c r="M68" s="1310">
        <f t="shared" si="5"/>
        <v>0</v>
      </c>
    </row>
    <row r="69" spans="1:13" s="716" customFormat="1" ht="15.75" customHeight="1">
      <c r="A69" s="697">
        <f t="shared" ref="A69:A76" si="10">A68+0.1</f>
        <v>2.2000000000000002</v>
      </c>
      <c r="B69" s="712"/>
      <c r="C69" s="713" t="s">
        <v>117</v>
      </c>
      <c r="D69" s="703" t="s">
        <v>14</v>
      </c>
      <c r="E69" s="708">
        <v>1.21</v>
      </c>
      <c r="F69" s="714">
        <f>F67*E69</f>
        <v>0.45496000000000003</v>
      </c>
      <c r="G69" s="1416"/>
      <c r="H69" s="703">
        <f t="shared" si="3"/>
        <v>0</v>
      </c>
      <c r="I69" s="722"/>
      <c r="J69" s="1309">
        <f t="shared" si="0"/>
        <v>0</v>
      </c>
      <c r="K69" s="703"/>
      <c r="L69" s="1309">
        <f t="shared" si="4"/>
        <v>0</v>
      </c>
      <c r="M69" s="1310">
        <f t="shared" si="5"/>
        <v>0</v>
      </c>
    </row>
    <row r="70" spans="1:13" s="716" customFormat="1" ht="20.25" customHeight="1">
      <c r="A70" s="697">
        <f t="shared" si="10"/>
        <v>2.3000000000000003</v>
      </c>
      <c r="B70" s="712"/>
      <c r="C70" s="761" t="s">
        <v>75</v>
      </c>
      <c r="D70" s="722" t="s">
        <v>15</v>
      </c>
      <c r="E70" s="714">
        <v>1</v>
      </c>
      <c r="F70" s="714">
        <f>E70*F67</f>
        <v>0.37600000000000006</v>
      </c>
      <c r="G70" s="1432"/>
      <c r="H70" s="703">
        <f t="shared" si="3"/>
        <v>0</v>
      </c>
      <c r="I70" s="722"/>
      <c r="J70" s="1309">
        <f t="shared" si="0"/>
        <v>0</v>
      </c>
      <c r="K70" s="722"/>
      <c r="L70" s="1309">
        <f t="shared" si="4"/>
        <v>0</v>
      </c>
      <c r="M70" s="1310">
        <f t="shared" si="5"/>
        <v>0</v>
      </c>
    </row>
    <row r="71" spans="1:13" s="716" customFormat="1" ht="20.25" customHeight="1">
      <c r="A71" s="697">
        <f t="shared" si="10"/>
        <v>2.4000000000000004</v>
      </c>
      <c r="B71" s="752"/>
      <c r="C71" s="760" t="s">
        <v>475</v>
      </c>
      <c r="D71" s="757" t="s">
        <v>104</v>
      </c>
      <c r="E71" s="755" t="s">
        <v>20</v>
      </c>
      <c r="F71" s="777">
        <f>0.01*F67</f>
        <v>3.7600000000000008E-3</v>
      </c>
      <c r="G71" s="1426"/>
      <c r="H71" s="703">
        <f t="shared" si="3"/>
        <v>0</v>
      </c>
      <c r="I71" s="722"/>
      <c r="J71" s="1309">
        <f t="shared" si="0"/>
        <v>0</v>
      </c>
      <c r="K71" s="722"/>
      <c r="L71" s="1309">
        <f t="shared" si="4"/>
        <v>0</v>
      </c>
      <c r="M71" s="1310">
        <f t="shared" si="5"/>
        <v>0</v>
      </c>
    </row>
    <row r="72" spans="1:13" s="716" customFormat="1" ht="20.25" customHeight="1">
      <c r="A72" s="697">
        <f t="shared" si="10"/>
        <v>2.5000000000000004</v>
      </c>
      <c r="B72" s="752"/>
      <c r="C72" s="760" t="s">
        <v>401</v>
      </c>
      <c r="D72" s="757" t="s">
        <v>104</v>
      </c>
      <c r="E72" s="755" t="s">
        <v>20</v>
      </c>
      <c r="F72" s="777">
        <f>0.12*F67</f>
        <v>4.5120000000000007E-2</v>
      </c>
      <c r="G72" s="721"/>
      <c r="H72" s="703">
        <f t="shared" si="3"/>
        <v>0</v>
      </c>
      <c r="I72" s="722"/>
      <c r="J72" s="1309">
        <f t="shared" si="0"/>
        <v>0</v>
      </c>
      <c r="K72" s="722"/>
      <c r="L72" s="1309">
        <f t="shared" si="4"/>
        <v>0</v>
      </c>
      <c r="M72" s="1310">
        <f t="shared" si="5"/>
        <v>0</v>
      </c>
    </row>
    <row r="73" spans="1:13" s="716" customFormat="1" ht="20.25" customHeight="1">
      <c r="A73" s="697">
        <f t="shared" si="10"/>
        <v>2.6000000000000005</v>
      </c>
      <c r="B73" s="759"/>
      <c r="C73" s="761" t="s">
        <v>18</v>
      </c>
      <c r="D73" s="722" t="s">
        <v>822</v>
      </c>
      <c r="E73" s="708">
        <v>2.46</v>
      </c>
      <c r="F73" s="714">
        <f>E73*F67</f>
        <v>0.92496000000000012</v>
      </c>
      <c r="G73" s="1423"/>
      <c r="H73" s="703">
        <f t="shared" si="3"/>
        <v>0</v>
      </c>
      <c r="I73" s="722"/>
      <c r="J73" s="1309">
        <f t="shared" ref="J73:J131" si="11">F73*I73</f>
        <v>0</v>
      </c>
      <c r="K73" s="722"/>
      <c r="L73" s="1309">
        <f t="shared" si="4"/>
        <v>0</v>
      </c>
      <c r="M73" s="1310">
        <f t="shared" si="5"/>
        <v>0</v>
      </c>
    </row>
    <row r="74" spans="1:13" s="716" customFormat="1" ht="30" customHeight="1">
      <c r="A74" s="697">
        <f t="shared" si="10"/>
        <v>2.7000000000000006</v>
      </c>
      <c r="B74" s="712"/>
      <c r="C74" s="761" t="s">
        <v>76</v>
      </c>
      <c r="D74" s="722" t="s">
        <v>15</v>
      </c>
      <c r="E74" s="778">
        <v>1.6E-2</v>
      </c>
      <c r="F74" s="714">
        <f>E74*F67</f>
        <v>6.0160000000000014E-3</v>
      </c>
      <c r="G74" s="1416"/>
      <c r="H74" s="703">
        <f t="shared" si="3"/>
        <v>0</v>
      </c>
      <c r="I74" s="722"/>
      <c r="J74" s="1309">
        <f t="shared" si="11"/>
        <v>0</v>
      </c>
      <c r="K74" s="722"/>
      <c r="L74" s="1309">
        <f t="shared" si="4"/>
        <v>0</v>
      </c>
      <c r="M74" s="1310">
        <f t="shared" si="5"/>
        <v>0</v>
      </c>
    </row>
    <row r="75" spans="1:13" s="716" customFormat="1" ht="20.25" customHeight="1">
      <c r="A75" s="697">
        <f t="shared" si="10"/>
        <v>2.8000000000000007</v>
      </c>
      <c r="B75" s="779"/>
      <c r="C75" s="761" t="s">
        <v>77</v>
      </c>
      <c r="D75" s="722" t="s">
        <v>15</v>
      </c>
      <c r="E75" s="778">
        <v>7.0000000000000001E-3</v>
      </c>
      <c r="F75" s="714">
        <f>E75*F67</f>
        <v>2.6320000000000007E-3</v>
      </c>
      <c r="G75" s="1416"/>
      <c r="H75" s="703">
        <f t="shared" ref="H75:H133" si="12">F75*G75</f>
        <v>0</v>
      </c>
      <c r="I75" s="722"/>
      <c r="J75" s="1309">
        <f t="shared" si="11"/>
        <v>0</v>
      </c>
      <c r="K75" s="722"/>
      <c r="L75" s="1309">
        <f t="shared" ref="L75:L133" si="13">F75*K75</f>
        <v>0</v>
      </c>
      <c r="M75" s="1310">
        <f t="shared" ref="M75:M133" si="14">H75+J75+L75</f>
        <v>0</v>
      </c>
    </row>
    <row r="76" spans="1:13" s="716" customFormat="1" ht="18" customHeight="1">
      <c r="A76" s="697">
        <f t="shared" si="10"/>
        <v>2.9000000000000008</v>
      </c>
      <c r="B76" s="712"/>
      <c r="C76" s="713" t="s">
        <v>119</v>
      </c>
      <c r="D76" s="722" t="s">
        <v>14</v>
      </c>
      <c r="E76" s="708">
        <v>0.9</v>
      </c>
      <c r="F76" s="714">
        <f>E76*F67</f>
        <v>0.33840000000000003</v>
      </c>
      <c r="G76" s="1416"/>
      <c r="H76" s="703">
        <f t="shared" si="12"/>
        <v>0</v>
      </c>
      <c r="I76" s="722"/>
      <c r="J76" s="1309">
        <f t="shared" si="11"/>
        <v>0</v>
      </c>
      <c r="K76" s="722"/>
      <c r="L76" s="1309">
        <f t="shared" si="13"/>
        <v>0</v>
      </c>
      <c r="M76" s="1310">
        <f t="shared" si="14"/>
        <v>0</v>
      </c>
    </row>
    <row r="77" spans="1:13" ht="18" customHeight="1">
      <c r="A77" s="697"/>
      <c r="B77" s="712"/>
      <c r="C77" s="699" t="s">
        <v>176</v>
      </c>
      <c r="D77" s="700"/>
      <c r="E77" s="715"/>
      <c r="F77" s="792"/>
      <c r="G77" s="702"/>
      <c r="H77" s="703">
        <f t="shared" si="12"/>
        <v>0</v>
      </c>
      <c r="I77" s="1414"/>
      <c r="J77" s="1309">
        <f t="shared" si="11"/>
        <v>0</v>
      </c>
      <c r="K77" s="1414"/>
      <c r="L77" s="1309">
        <f t="shared" si="13"/>
        <v>0</v>
      </c>
      <c r="M77" s="1310">
        <f t="shared" si="14"/>
        <v>0</v>
      </c>
    </row>
    <row r="78" spans="1:13" s="710" customFormat="1" ht="60" customHeight="1">
      <c r="A78" s="727" t="s">
        <v>44</v>
      </c>
      <c r="B78" s="728"/>
      <c r="C78" s="729" t="s">
        <v>280</v>
      </c>
      <c r="D78" s="730" t="s">
        <v>43</v>
      </c>
      <c r="E78" s="731"/>
      <c r="F78" s="731">
        <f>1.5*1.6</f>
        <v>2.4000000000000004</v>
      </c>
      <c r="G78" s="1417"/>
      <c r="H78" s="703">
        <f t="shared" si="12"/>
        <v>0</v>
      </c>
      <c r="I78" s="730"/>
      <c r="J78" s="1309">
        <f t="shared" si="11"/>
        <v>0</v>
      </c>
      <c r="K78" s="730"/>
      <c r="L78" s="1309">
        <f t="shared" si="13"/>
        <v>0</v>
      </c>
      <c r="M78" s="1310">
        <f t="shared" si="14"/>
        <v>0</v>
      </c>
    </row>
    <row r="79" spans="1:13" s="740" customFormat="1" ht="19.899999999999999" customHeight="1">
      <c r="A79" s="732">
        <f>A78+0.1</f>
        <v>1.1000000000000001</v>
      </c>
      <c r="B79" s="733"/>
      <c r="C79" s="734" t="s">
        <v>69</v>
      </c>
      <c r="D79" s="793" t="s">
        <v>13</v>
      </c>
      <c r="E79" s="794">
        <v>2.72</v>
      </c>
      <c r="F79" s="736">
        <f>F78*E79</f>
        <v>6.5280000000000014</v>
      </c>
      <c r="G79" s="1438"/>
      <c r="H79" s="703">
        <f t="shared" si="12"/>
        <v>0</v>
      </c>
      <c r="I79" s="742"/>
      <c r="J79" s="1309">
        <f t="shared" si="11"/>
        <v>0</v>
      </c>
      <c r="K79" s="742"/>
      <c r="L79" s="1309">
        <f t="shared" si="13"/>
        <v>0</v>
      </c>
      <c r="M79" s="1310">
        <f t="shared" si="14"/>
        <v>0</v>
      </c>
    </row>
    <row r="80" spans="1:13" s="740" customFormat="1" ht="19.899999999999999" customHeight="1">
      <c r="A80" s="732">
        <f t="shared" ref="A80:A82" si="15">A79+0.1</f>
        <v>1.2000000000000002</v>
      </c>
      <c r="B80" s="795"/>
      <c r="C80" s="734" t="s">
        <v>201</v>
      </c>
      <c r="D80" s="793" t="s">
        <v>150</v>
      </c>
      <c r="E80" s="794">
        <v>2.4E-2</v>
      </c>
      <c r="F80" s="736">
        <f>F78*E80</f>
        <v>5.7600000000000012E-2</v>
      </c>
      <c r="G80" s="1438"/>
      <c r="H80" s="703">
        <f t="shared" si="12"/>
        <v>0</v>
      </c>
      <c r="I80" s="742"/>
      <c r="J80" s="1309">
        <f t="shared" si="11"/>
        <v>0</v>
      </c>
      <c r="K80" s="742"/>
      <c r="L80" s="1309">
        <f t="shared" si="13"/>
        <v>0</v>
      </c>
      <c r="M80" s="1310">
        <f t="shared" si="14"/>
        <v>0</v>
      </c>
    </row>
    <row r="81" spans="1:13" s="740" customFormat="1" ht="27" customHeight="1">
      <c r="A81" s="732">
        <f t="shared" si="15"/>
        <v>1.3000000000000003</v>
      </c>
      <c r="B81" s="733"/>
      <c r="C81" s="734" t="s">
        <v>202</v>
      </c>
      <c r="D81" s="793" t="s">
        <v>150</v>
      </c>
      <c r="E81" s="794">
        <v>0.628</v>
      </c>
      <c r="F81" s="736">
        <f>F78*E81</f>
        <v>1.5072000000000003</v>
      </c>
      <c r="G81" s="1438"/>
      <c r="H81" s="703">
        <f t="shared" si="12"/>
        <v>0</v>
      </c>
      <c r="I81" s="742"/>
      <c r="J81" s="1309">
        <f t="shared" si="11"/>
        <v>0</v>
      </c>
      <c r="K81" s="742"/>
      <c r="L81" s="1309">
        <f t="shared" si="13"/>
        <v>0</v>
      </c>
      <c r="M81" s="1310">
        <f t="shared" si="14"/>
        <v>0</v>
      </c>
    </row>
    <row r="82" spans="1:13" s="740" customFormat="1" ht="19.899999999999999" customHeight="1">
      <c r="A82" s="732">
        <f t="shared" si="15"/>
        <v>1.4000000000000004</v>
      </c>
      <c r="B82" s="796"/>
      <c r="C82" s="734" t="s">
        <v>281</v>
      </c>
      <c r="D82" s="735" t="s">
        <v>43</v>
      </c>
      <c r="E82" s="794">
        <v>1</v>
      </c>
      <c r="F82" s="736">
        <f>F78*E82</f>
        <v>2.4000000000000004</v>
      </c>
      <c r="G82" s="1438"/>
      <c r="H82" s="703">
        <f t="shared" si="12"/>
        <v>0</v>
      </c>
      <c r="I82" s="742"/>
      <c r="J82" s="1309">
        <f t="shared" si="11"/>
        <v>0</v>
      </c>
      <c r="K82" s="742"/>
      <c r="L82" s="1309">
        <f t="shared" si="13"/>
        <v>0</v>
      </c>
      <c r="M82" s="1310">
        <f t="shared" si="14"/>
        <v>0</v>
      </c>
    </row>
    <row r="83" spans="1:13" s="710" customFormat="1" ht="50.1" customHeight="1">
      <c r="A83" s="783" t="s">
        <v>45</v>
      </c>
      <c r="B83" s="784"/>
      <c r="C83" s="699" t="s">
        <v>279</v>
      </c>
      <c r="D83" s="783" t="s">
        <v>824</v>
      </c>
      <c r="E83" s="797"/>
      <c r="F83" s="709">
        <f>1.6*2.3</f>
        <v>3.6799999999999997</v>
      </c>
      <c r="G83" s="705"/>
      <c r="H83" s="703">
        <f t="shared" si="12"/>
        <v>0</v>
      </c>
      <c r="I83" s="722"/>
      <c r="J83" s="1309">
        <f t="shared" si="11"/>
        <v>0</v>
      </c>
      <c r="K83" s="722"/>
      <c r="L83" s="1309">
        <f t="shared" si="13"/>
        <v>0</v>
      </c>
      <c r="M83" s="1310">
        <f t="shared" si="14"/>
        <v>0</v>
      </c>
    </row>
    <row r="84" spans="1:13" s="791" customFormat="1" ht="18" customHeight="1">
      <c r="A84" s="697">
        <f>A83+0.1</f>
        <v>2.1</v>
      </c>
      <c r="B84" s="712"/>
      <c r="C84" s="713" t="s">
        <v>69</v>
      </c>
      <c r="D84" s="700" t="s">
        <v>13</v>
      </c>
      <c r="E84" s="788">
        <v>1.1200000000000001</v>
      </c>
      <c r="F84" s="789">
        <f>F83*E84</f>
        <v>4.1215999999999999</v>
      </c>
      <c r="G84" s="1435"/>
      <c r="H84" s="703">
        <f t="shared" si="12"/>
        <v>0</v>
      </c>
      <c r="I84" s="1436"/>
      <c r="J84" s="1309">
        <f t="shared" si="11"/>
        <v>0</v>
      </c>
      <c r="K84" s="1437"/>
      <c r="L84" s="1309">
        <f t="shared" si="13"/>
        <v>0</v>
      </c>
      <c r="M84" s="1310">
        <f t="shared" si="14"/>
        <v>0</v>
      </c>
    </row>
    <row r="85" spans="1:13" s="791" customFormat="1" ht="18" customHeight="1">
      <c r="A85" s="697">
        <f>A84+0.1</f>
        <v>2.2000000000000002</v>
      </c>
      <c r="B85" s="712"/>
      <c r="C85" s="713" t="s">
        <v>117</v>
      </c>
      <c r="D85" s="703" t="s">
        <v>14</v>
      </c>
      <c r="E85" s="788">
        <v>0.52800000000000002</v>
      </c>
      <c r="F85" s="789">
        <f>E85*F83</f>
        <v>1.9430399999999999</v>
      </c>
      <c r="G85" s="1416"/>
      <c r="H85" s="703">
        <f t="shared" si="12"/>
        <v>0</v>
      </c>
      <c r="I85" s="1437"/>
      <c r="J85" s="1309">
        <f t="shared" si="11"/>
        <v>0</v>
      </c>
      <c r="K85" s="703"/>
      <c r="L85" s="1309">
        <f t="shared" si="13"/>
        <v>0</v>
      </c>
      <c r="M85" s="1310">
        <f t="shared" si="14"/>
        <v>0</v>
      </c>
    </row>
    <row r="86" spans="1:13" s="710" customFormat="1" ht="18" customHeight="1">
      <c r="A86" s="697">
        <f>A85+0.1</f>
        <v>2.3000000000000003</v>
      </c>
      <c r="B86" s="712"/>
      <c r="C86" s="713" t="s">
        <v>80</v>
      </c>
      <c r="D86" s="700" t="s">
        <v>822</v>
      </c>
      <c r="E86" s="715">
        <v>1</v>
      </c>
      <c r="F86" s="714">
        <f>E86*F83</f>
        <v>3.6799999999999997</v>
      </c>
      <c r="G86" s="702"/>
      <c r="H86" s="703">
        <f t="shared" si="12"/>
        <v>0</v>
      </c>
      <c r="I86" s="722"/>
      <c r="J86" s="1309">
        <f t="shared" si="11"/>
        <v>0</v>
      </c>
      <c r="K86" s="722"/>
      <c r="L86" s="1309">
        <f t="shared" si="13"/>
        <v>0</v>
      </c>
      <c r="M86" s="1310">
        <f t="shared" si="14"/>
        <v>0</v>
      </c>
    </row>
    <row r="87" spans="1:13" s="791" customFormat="1" ht="18" customHeight="1">
      <c r="A87" s="697">
        <f>A86+0.1</f>
        <v>2.4000000000000004</v>
      </c>
      <c r="B87" s="712"/>
      <c r="C87" s="713" t="s">
        <v>119</v>
      </c>
      <c r="D87" s="700" t="s">
        <v>14</v>
      </c>
      <c r="E87" s="788">
        <v>5.3999999999999999E-2</v>
      </c>
      <c r="F87" s="789">
        <f>E87*F83</f>
        <v>0.19871999999999998</v>
      </c>
      <c r="G87" s="1416"/>
      <c r="H87" s="703">
        <f t="shared" si="12"/>
        <v>0</v>
      </c>
      <c r="I87" s="1437"/>
      <c r="J87" s="1309">
        <f t="shared" si="11"/>
        <v>0</v>
      </c>
      <c r="K87" s="1437"/>
      <c r="L87" s="1309">
        <f t="shared" si="13"/>
        <v>0</v>
      </c>
      <c r="M87" s="1310">
        <f t="shared" si="14"/>
        <v>0</v>
      </c>
    </row>
    <row r="88" spans="1:13" s="787" customFormat="1" ht="50.1" customHeight="1">
      <c r="A88" s="783" t="s">
        <v>46</v>
      </c>
      <c r="B88" s="784"/>
      <c r="C88" s="699" t="s">
        <v>22</v>
      </c>
      <c r="D88" s="783" t="s">
        <v>824</v>
      </c>
      <c r="E88" s="797"/>
      <c r="F88" s="709">
        <f>F83*2</f>
        <v>7.3599999999999994</v>
      </c>
      <c r="G88" s="705"/>
      <c r="H88" s="703">
        <f t="shared" si="12"/>
        <v>0</v>
      </c>
      <c r="I88" s="1434"/>
      <c r="J88" s="1309">
        <f t="shared" si="11"/>
        <v>0</v>
      </c>
      <c r="K88" s="1434"/>
      <c r="L88" s="1309">
        <f t="shared" si="13"/>
        <v>0</v>
      </c>
      <c r="M88" s="1310">
        <f t="shared" si="14"/>
        <v>0</v>
      </c>
    </row>
    <row r="89" spans="1:13" s="710" customFormat="1" ht="18" customHeight="1">
      <c r="A89" s="697">
        <f>A88+0.1</f>
        <v>3.1</v>
      </c>
      <c r="B89" s="712"/>
      <c r="C89" s="713" t="s">
        <v>69</v>
      </c>
      <c r="D89" s="700" t="s">
        <v>13</v>
      </c>
      <c r="E89" s="777">
        <v>3.1E-2</v>
      </c>
      <c r="F89" s="792">
        <f>E89*F88</f>
        <v>0.22815999999999997</v>
      </c>
      <c r="G89" s="1432"/>
      <c r="H89" s="703">
        <f t="shared" si="12"/>
        <v>0</v>
      </c>
      <c r="I89" s="722"/>
      <c r="J89" s="1309">
        <f t="shared" si="11"/>
        <v>0</v>
      </c>
      <c r="K89" s="722"/>
      <c r="L89" s="1309">
        <f t="shared" si="13"/>
        <v>0</v>
      </c>
      <c r="M89" s="1310">
        <f t="shared" si="14"/>
        <v>0</v>
      </c>
    </row>
    <row r="90" spans="1:13" s="710" customFormat="1" ht="18" customHeight="1">
      <c r="A90" s="697">
        <f>A89+0.1</f>
        <v>3.2</v>
      </c>
      <c r="B90" s="712"/>
      <c r="C90" s="713" t="s">
        <v>117</v>
      </c>
      <c r="D90" s="703" t="s">
        <v>14</v>
      </c>
      <c r="E90" s="777">
        <v>2E-3</v>
      </c>
      <c r="F90" s="778">
        <f>E90*F88</f>
        <v>1.4719999999999999E-2</v>
      </c>
      <c r="G90" s="1416"/>
      <c r="H90" s="703">
        <f t="shared" si="12"/>
        <v>0</v>
      </c>
      <c r="I90" s="722"/>
      <c r="J90" s="1309">
        <f t="shared" si="11"/>
        <v>0</v>
      </c>
      <c r="K90" s="703"/>
      <c r="L90" s="1309">
        <f t="shared" si="13"/>
        <v>0</v>
      </c>
      <c r="M90" s="1310">
        <f t="shared" si="14"/>
        <v>0</v>
      </c>
    </row>
    <row r="91" spans="1:13" s="710" customFormat="1" ht="18" customHeight="1">
      <c r="A91" s="697">
        <f>A90+0.1</f>
        <v>3.3000000000000003</v>
      </c>
      <c r="B91" s="721"/>
      <c r="C91" s="761" t="s">
        <v>24</v>
      </c>
      <c r="D91" s="703" t="s">
        <v>21</v>
      </c>
      <c r="E91" s="777">
        <v>8.5999999999999993E-2</v>
      </c>
      <c r="F91" s="792">
        <f>E91*F88</f>
        <v>0.63295999999999986</v>
      </c>
      <c r="G91" s="1432"/>
      <c r="H91" s="703">
        <f t="shared" si="12"/>
        <v>0</v>
      </c>
      <c r="I91" s="722"/>
      <c r="J91" s="1309">
        <f t="shared" si="11"/>
        <v>0</v>
      </c>
      <c r="K91" s="722"/>
      <c r="L91" s="1309">
        <f t="shared" si="13"/>
        <v>0</v>
      </c>
      <c r="M91" s="1310">
        <f t="shared" si="14"/>
        <v>0</v>
      </c>
    </row>
    <row r="92" spans="1:13" s="710" customFormat="1" ht="18" customHeight="1">
      <c r="A92" s="697">
        <f>A91+0.1</f>
        <v>3.4000000000000004</v>
      </c>
      <c r="B92" s="721"/>
      <c r="C92" s="761" t="s">
        <v>25</v>
      </c>
      <c r="D92" s="703" t="s">
        <v>21</v>
      </c>
      <c r="E92" s="777">
        <v>1.4999999999999999E-2</v>
      </c>
      <c r="F92" s="792">
        <f>F88*E92</f>
        <v>0.11039999999999998</v>
      </c>
      <c r="G92" s="1432"/>
      <c r="H92" s="703">
        <f t="shared" si="12"/>
        <v>0</v>
      </c>
      <c r="I92" s="722"/>
      <c r="J92" s="1309">
        <f t="shared" si="11"/>
        <v>0</v>
      </c>
      <c r="K92" s="722"/>
      <c r="L92" s="1309">
        <f t="shared" si="13"/>
        <v>0</v>
      </c>
      <c r="M92" s="1310">
        <f t="shared" si="14"/>
        <v>0</v>
      </c>
    </row>
    <row r="93" spans="1:13" s="787" customFormat="1" ht="50.1" customHeight="1">
      <c r="A93" s="783" t="s">
        <v>47</v>
      </c>
      <c r="B93" s="784"/>
      <c r="C93" s="699" t="s">
        <v>26</v>
      </c>
      <c r="D93" s="783" t="s">
        <v>824</v>
      </c>
      <c r="E93" s="797"/>
      <c r="F93" s="709">
        <f>F88</f>
        <v>7.3599999999999994</v>
      </c>
      <c r="G93" s="705"/>
      <c r="H93" s="703">
        <f t="shared" si="12"/>
        <v>0</v>
      </c>
      <c r="I93" s="1434"/>
      <c r="J93" s="1309">
        <f t="shared" si="11"/>
        <v>0</v>
      </c>
      <c r="K93" s="1434"/>
      <c r="L93" s="1309">
        <f t="shared" si="13"/>
        <v>0</v>
      </c>
      <c r="M93" s="1310">
        <f t="shared" si="14"/>
        <v>0</v>
      </c>
    </row>
    <row r="94" spans="1:13" s="710" customFormat="1" ht="19.5" customHeight="1">
      <c r="A94" s="697">
        <f>A93+0.1</f>
        <v>4.0999999999999996</v>
      </c>
      <c r="B94" s="712"/>
      <c r="C94" s="713" t="s">
        <v>69</v>
      </c>
      <c r="D94" s="700" t="s">
        <v>13</v>
      </c>
      <c r="E94" s="777">
        <v>0.68</v>
      </c>
      <c r="F94" s="792">
        <f>E94*F93</f>
        <v>5.0048000000000004</v>
      </c>
      <c r="G94" s="1432"/>
      <c r="H94" s="703">
        <f t="shared" si="12"/>
        <v>0</v>
      </c>
      <c r="I94" s="1436"/>
      <c r="J94" s="1309">
        <f t="shared" si="11"/>
        <v>0</v>
      </c>
      <c r="K94" s="722"/>
      <c r="L94" s="1309">
        <f t="shared" si="13"/>
        <v>0</v>
      </c>
      <c r="M94" s="1310">
        <f t="shared" si="14"/>
        <v>0</v>
      </c>
    </row>
    <row r="95" spans="1:13" s="710" customFormat="1" ht="19.5" customHeight="1">
      <c r="A95" s="697">
        <f>A94+0.1</f>
        <v>4.1999999999999993</v>
      </c>
      <c r="B95" s="712"/>
      <c r="C95" s="713" t="s">
        <v>117</v>
      </c>
      <c r="D95" s="703" t="s">
        <v>14</v>
      </c>
      <c r="E95" s="778">
        <v>2.9999999999999997E-4</v>
      </c>
      <c r="F95" s="778">
        <f>E95*F93</f>
        <v>2.2079999999999995E-3</v>
      </c>
      <c r="G95" s="1416"/>
      <c r="H95" s="703">
        <f t="shared" si="12"/>
        <v>0</v>
      </c>
      <c r="I95" s="722"/>
      <c r="J95" s="1309">
        <f t="shared" si="11"/>
        <v>0</v>
      </c>
      <c r="K95" s="703"/>
      <c r="L95" s="1309">
        <f t="shared" si="13"/>
        <v>0</v>
      </c>
      <c r="M95" s="1310">
        <f t="shared" si="14"/>
        <v>0</v>
      </c>
    </row>
    <row r="96" spans="1:13" s="710" customFormat="1" ht="19.5" customHeight="1">
      <c r="A96" s="697">
        <f>A95+0.1</f>
        <v>4.2999999999999989</v>
      </c>
      <c r="B96" s="721"/>
      <c r="C96" s="761" t="s">
        <v>27</v>
      </c>
      <c r="D96" s="703" t="s">
        <v>21</v>
      </c>
      <c r="E96" s="777">
        <v>0.246</v>
      </c>
      <c r="F96" s="792">
        <f>E96*F93</f>
        <v>1.8105599999999997</v>
      </c>
      <c r="G96" s="1432"/>
      <c r="H96" s="703">
        <f t="shared" si="12"/>
        <v>0</v>
      </c>
      <c r="I96" s="722"/>
      <c r="J96" s="1309">
        <f t="shared" si="11"/>
        <v>0</v>
      </c>
      <c r="K96" s="722"/>
      <c r="L96" s="1309">
        <f t="shared" si="13"/>
        <v>0</v>
      </c>
      <c r="M96" s="1310">
        <f t="shared" si="14"/>
        <v>0</v>
      </c>
    </row>
    <row r="97" spans="1:13" s="710" customFormat="1" ht="19.5" customHeight="1">
      <c r="A97" s="697">
        <f>A96+0.1</f>
        <v>4.3999999999999986</v>
      </c>
      <c r="B97" s="721"/>
      <c r="C97" s="761" t="s">
        <v>28</v>
      </c>
      <c r="D97" s="703" t="s">
        <v>21</v>
      </c>
      <c r="E97" s="777">
        <f>2.7/100</f>
        <v>2.7000000000000003E-2</v>
      </c>
      <c r="F97" s="792">
        <f>F93*E97</f>
        <v>0.19872000000000001</v>
      </c>
      <c r="G97" s="1432"/>
      <c r="H97" s="703">
        <f t="shared" si="12"/>
        <v>0</v>
      </c>
      <c r="I97" s="722"/>
      <c r="J97" s="1309">
        <f t="shared" si="11"/>
        <v>0</v>
      </c>
      <c r="K97" s="722"/>
      <c r="L97" s="1309">
        <f t="shared" si="13"/>
        <v>0</v>
      </c>
      <c r="M97" s="1310">
        <f t="shared" si="14"/>
        <v>0</v>
      </c>
    </row>
    <row r="98" spans="1:13" s="787" customFormat="1" ht="19.5" customHeight="1">
      <c r="A98" s="697">
        <f>A97+0.1</f>
        <v>4.4999999999999982</v>
      </c>
      <c r="B98" s="712"/>
      <c r="C98" s="713" t="s">
        <v>119</v>
      </c>
      <c r="D98" s="703" t="s">
        <v>1</v>
      </c>
      <c r="E98" s="778">
        <v>1.9E-3</v>
      </c>
      <c r="F98" s="777">
        <f>E98*F93</f>
        <v>1.3983999999999998E-2</v>
      </c>
      <c r="G98" s="1416"/>
      <c r="H98" s="703">
        <f t="shared" si="12"/>
        <v>0</v>
      </c>
      <c r="I98" s="1434"/>
      <c r="J98" s="1309">
        <f t="shared" si="11"/>
        <v>0</v>
      </c>
      <c r="K98" s="1434"/>
      <c r="L98" s="1309">
        <f t="shared" si="13"/>
        <v>0</v>
      </c>
      <c r="M98" s="1310">
        <f t="shared" si="14"/>
        <v>0</v>
      </c>
    </row>
    <row r="99" spans="1:13" s="710" customFormat="1" ht="22.5" customHeight="1">
      <c r="A99" s="697"/>
      <c r="B99" s="721"/>
      <c r="C99" s="699" t="s">
        <v>178</v>
      </c>
      <c r="D99" s="703"/>
      <c r="E99" s="778"/>
      <c r="F99" s="792"/>
      <c r="G99" s="1432"/>
      <c r="H99" s="703">
        <f t="shared" si="12"/>
        <v>0</v>
      </c>
      <c r="I99" s="722"/>
      <c r="J99" s="1309">
        <f t="shared" si="11"/>
        <v>0</v>
      </c>
      <c r="K99" s="722"/>
      <c r="L99" s="1309">
        <f t="shared" si="13"/>
        <v>0</v>
      </c>
      <c r="M99" s="1310">
        <f t="shared" si="14"/>
        <v>0</v>
      </c>
    </row>
    <row r="100" spans="1:13" s="710" customFormat="1" ht="60" customHeight="1">
      <c r="A100" s="727">
        <v>1</v>
      </c>
      <c r="B100" s="728"/>
      <c r="C100" s="729" t="s">
        <v>116</v>
      </c>
      <c r="D100" s="730" t="s">
        <v>61</v>
      </c>
      <c r="E100" s="731"/>
      <c r="F100" s="731">
        <f>6*5*0.2</f>
        <v>6</v>
      </c>
      <c r="G100" s="1439"/>
      <c r="H100" s="703">
        <f t="shared" si="12"/>
        <v>0</v>
      </c>
      <c r="I100" s="1440"/>
      <c r="J100" s="1309">
        <f t="shared" si="11"/>
        <v>0</v>
      </c>
      <c r="K100" s="1440"/>
      <c r="L100" s="1309">
        <f t="shared" si="13"/>
        <v>0</v>
      </c>
      <c r="M100" s="1310">
        <f t="shared" si="14"/>
        <v>0</v>
      </c>
    </row>
    <row r="101" spans="1:13" s="688" customFormat="1" ht="19.899999999999999" customHeight="1">
      <c r="A101" s="732">
        <f>A100+0.1</f>
        <v>1.1000000000000001</v>
      </c>
      <c r="B101" s="733"/>
      <c r="C101" s="734" t="s">
        <v>69</v>
      </c>
      <c r="D101" s="735" t="s">
        <v>13</v>
      </c>
      <c r="E101" s="736">
        <v>3.16</v>
      </c>
      <c r="F101" s="737">
        <f>E101*F100</f>
        <v>18.96</v>
      </c>
      <c r="G101" s="1441"/>
      <c r="H101" s="703">
        <f t="shared" si="12"/>
        <v>0</v>
      </c>
      <c r="I101" s="1427"/>
      <c r="J101" s="1309">
        <f t="shared" si="11"/>
        <v>0</v>
      </c>
      <c r="K101" s="1427"/>
      <c r="L101" s="1309">
        <f t="shared" si="13"/>
        <v>0</v>
      </c>
      <c r="M101" s="1310">
        <f t="shared" si="14"/>
        <v>0</v>
      </c>
    </row>
    <row r="102" spans="1:13" s="740" customFormat="1" ht="19.899999999999999" customHeight="1">
      <c r="A102" s="732">
        <f>A101+0.1</f>
        <v>1.2000000000000002</v>
      </c>
      <c r="B102" s="694"/>
      <c r="C102" s="734" t="s">
        <v>59</v>
      </c>
      <c r="D102" s="693" t="s">
        <v>61</v>
      </c>
      <c r="E102" s="736">
        <v>1.25</v>
      </c>
      <c r="F102" s="738">
        <f>E102*F100</f>
        <v>7.5</v>
      </c>
      <c r="G102" s="1442"/>
      <c r="H102" s="703">
        <f t="shared" si="12"/>
        <v>0</v>
      </c>
      <c r="I102" s="1427"/>
      <c r="J102" s="1309">
        <f t="shared" si="11"/>
        <v>0</v>
      </c>
      <c r="K102" s="1427"/>
      <c r="L102" s="1309">
        <f t="shared" si="13"/>
        <v>0</v>
      </c>
      <c r="M102" s="1310">
        <f t="shared" si="14"/>
        <v>0</v>
      </c>
    </row>
    <row r="103" spans="1:13" s="740" customFormat="1" ht="19.899999999999999" customHeight="1">
      <c r="A103" s="732">
        <f>A102+0.1</f>
        <v>1.3000000000000003</v>
      </c>
      <c r="B103" s="741"/>
      <c r="C103" s="713" t="s">
        <v>119</v>
      </c>
      <c r="D103" s="742" t="s">
        <v>1</v>
      </c>
      <c r="E103" s="743">
        <v>1E-3</v>
      </c>
      <c r="F103" s="743">
        <f>E103*F100</f>
        <v>6.0000000000000001E-3</v>
      </c>
      <c r="G103" s="1443"/>
      <c r="H103" s="703">
        <f t="shared" si="12"/>
        <v>0</v>
      </c>
      <c r="I103" s="1427"/>
      <c r="J103" s="1309">
        <f t="shared" si="11"/>
        <v>0</v>
      </c>
      <c r="K103" s="1427"/>
      <c r="L103" s="1309">
        <f t="shared" si="13"/>
        <v>0</v>
      </c>
      <c r="M103" s="1310">
        <f t="shared" si="14"/>
        <v>0</v>
      </c>
    </row>
    <row r="104" spans="1:13" s="710" customFormat="1" ht="60" customHeight="1">
      <c r="A104" s="727">
        <v>2</v>
      </c>
      <c r="B104" s="728"/>
      <c r="C104" s="729" t="s">
        <v>310</v>
      </c>
      <c r="D104" s="730" t="s">
        <v>61</v>
      </c>
      <c r="E104" s="731"/>
      <c r="F104" s="731">
        <f>6*5*0.12</f>
        <v>3.5999999999999996</v>
      </c>
      <c r="G104" s="1439"/>
      <c r="H104" s="703">
        <f t="shared" si="12"/>
        <v>0</v>
      </c>
      <c r="I104" s="1440"/>
      <c r="J104" s="1309">
        <f t="shared" si="11"/>
        <v>0</v>
      </c>
      <c r="K104" s="1440"/>
      <c r="L104" s="1309">
        <f t="shared" si="13"/>
        <v>0</v>
      </c>
      <c r="M104" s="1310">
        <f t="shared" si="14"/>
        <v>0</v>
      </c>
    </row>
    <row r="105" spans="1:13" s="740" customFormat="1" ht="19.899999999999999" customHeight="1">
      <c r="A105" s="732">
        <f t="shared" ref="A105:A111" si="16">A104+0.1</f>
        <v>2.1</v>
      </c>
      <c r="B105" s="733"/>
      <c r="C105" s="734" t="s">
        <v>69</v>
      </c>
      <c r="D105" s="735" t="s">
        <v>13</v>
      </c>
      <c r="E105" s="739">
        <v>1.87</v>
      </c>
      <c r="F105" s="738">
        <f>F104*E105</f>
        <v>6.7319999999999993</v>
      </c>
      <c r="G105" s="1441"/>
      <c r="H105" s="703">
        <f t="shared" si="12"/>
        <v>0</v>
      </c>
      <c r="I105" s="1427"/>
      <c r="J105" s="1309">
        <f t="shared" si="11"/>
        <v>0</v>
      </c>
      <c r="K105" s="1427"/>
      <c r="L105" s="1309">
        <f t="shared" si="13"/>
        <v>0</v>
      </c>
      <c r="M105" s="1310">
        <f t="shared" si="14"/>
        <v>0</v>
      </c>
    </row>
    <row r="106" spans="1:13" s="740" customFormat="1" ht="19.899999999999999" customHeight="1">
      <c r="A106" s="732">
        <f t="shared" si="16"/>
        <v>2.2000000000000002</v>
      </c>
      <c r="B106" s="733"/>
      <c r="C106" s="713" t="s">
        <v>117</v>
      </c>
      <c r="D106" s="742" t="s">
        <v>14</v>
      </c>
      <c r="E106" s="739">
        <v>0.77</v>
      </c>
      <c r="F106" s="738">
        <f>F104*E106</f>
        <v>2.7719999999999998</v>
      </c>
      <c r="G106" s="1444"/>
      <c r="H106" s="703">
        <f t="shared" si="12"/>
        <v>0</v>
      </c>
      <c r="I106" s="1427"/>
      <c r="J106" s="1309">
        <f t="shared" si="11"/>
        <v>0</v>
      </c>
      <c r="K106" s="1445"/>
      <c r="L106" s="1309">
        <f t="shared" si="13"/>
        <v>0</v>
      </c>
      <c r="M106" s="1310">
        <f t="shared" si="14"/>
        <v>0</v>
      </c>
    </row>
    <row r="107" spans="1:13" s="740" customFormat="1" ht="19.899999999999999" customHeight="1">
      <c r="A107" s="732">
        <f t="shared" si="16"/>
        <v>2.3000000000000003</v>
      </c>
      <c r="B107" s="796"/>
      <c r="C107" s="695" t="s">
        <v>75</v>
      </c>
      <c r="D107" s="693" t="s">
        <v>61</v>
      </c>
      <c r="E107" s="739">
        <v>1.0149999999999999</v>
      </c>
      <c r="F107" s="738">
        <f>E107*F104</f>
        <v>3.6539999999999995</v>
      </c>
      <c r="G107" s="1446"/>
      <c r="H107" s="703">
        <f t="shared" si="12"/>
        <v>0</v>
      </c>
      <c r="I107" s="1427"/>
      <c r="J107" s="1309">
        <f t="shared" si="11"/>
        <v>0</v>
      </c>
      <c r="K107" s="1427"/>
      <c r="L107" s="1309">
        <f t="shared" si="13"/>
        <v>0</v>
      </c>
      <c r="M107" s="1310">
        <f t="shared" si="14"/>
        <v>0</v>
      </c>
    </row>
    <row r="108" spans="1:13" s="740" customFormat="1" ht="19.899999999999999" customHeight="1">
      <c r="A108" s="732">
        <f t="shared" si="16"/>
        <v>2.4000000000000004</v>
      </c>
      <c r="B108" s="752"/>
      <c r="C108" s="760" t="s">
        <v>401</v>
      </c>
      <c r="D108" s="693" t="s">
        <v>104</v>
      </c>
      <c r="E108" s="755" t="s">
        <v>20</v>
      </c>
      <c r="F108" s="743">
        <f>F104*0.08</f>
        <v>0.28799999999999998</v>
      </c>
      <c r="G108" s="721"/>
      <c r="H108" s="703">
        <f t="shared" si="12"/>
        <v>0</v>
      </c>
      <c r="I108" s="1427"/>
      <c r="J108" s="1309">
        <f t="shared" si="11"/>
        <v>0</v>
      </c>
      <c r="K108" s="1427"/>
      <c r="L108" s="1309">
        <f t="shared" si="13"/>
        <v>0</v>
      </c>
      <c r="M108" s="1310">
        <f t="shared" si="14"/>
        <v>0</v>
      </c>
    </row>
    <row r="109" spans="1:13" s="740" customFormat="1" ht="19.899999999999999" customHeight="1">
      <c r="A109" s="732">
        <f t="shared" si="16"/>
        <v>2.5000000000000004</v>
      </c>
      <c r="B109" s="796"/>
      <c r="C109" s="695" t="s">
        <v>81</v>
      </c>
      <c r="D109" s="693" t="s">
        <v>822</v>
      </c>
      <c r="E109" s="739">
        <f>7.54/100</f>
        <v>7.5399999999999995E-2</v>
      </c>
      <c r="F109" s="738">
        <f>E109*F104</f>
        <v>0.27143999999999996</v>
      </c>
      <c r="G109" s="1447"/>
      <c r="H109" s="703">
        <f t="shared" si="12"/>
        <v>0</v>
      </c>
      <c r="I109" s="1427"/>
      <c r="J109" s="1309">
        <f t="shared" si="11"/>
        <v>0</v>
      </c>
      <c r="K109" s="1427"/>
      <c r="L109" s="1309">
        <f t="shared" si="13"/>
        <v>0</v>
      </c>
      <c r="M109" s="1310">
        <f t="shared" si="14"/>
        <v>0</v>
      </c>
    </row>
    <row r="110" spans="1:13" s="799" customFormat="1" ht="26.25" customHeight="1">
      <c r="A110" s="732">
        <f t="shared" si="16"/>
        <v>2.6000000000000005</v>
      </c>
      <c r="B110" s="798"/>
      <c r="C110" s="695" t="s">
        <v>82</v>
      </c>
      <c r="D110" s="693" t="s">
        <v>61</v>
      </c>
      <c r="E110" s="739">
        <f>0.08/100</f>
        <v>8.0000000000000004E-4</v>
      </c>
      <c r="F110" s="738">
        <f>E110*F104</f>
        <v>2.8799999999999997E-3</v>
      </c>
      <c r="G110" s="1442"/>
      <c r="H110" s="703">
        <f t="shared" si="12"/>
        <v>0</v>
      </c>
      <c r="I110" s="1427"/>
      <c r="J110" s="1309">
        <f t="shared" si="11"/>
        <v>0</v>
      </c>
      <c r="K110" s="1427"/>
      <c r="L110" s="1309">
        <f t="shared" si="13"/>
        <v>0</v>
      </c>
      <c r="M110" s="1310">
        <f t="shared" si="14"/>
        <v>0</v>
      </c>
    </row>
    <row r="111" spans="1:13" s="800" customFormat="1" ht="19.899999999999999" customHeight="1">
      <c r="A111" s="732">
        <f t="shared" si="16"/>
        <v>2.7000000000000006</v>
      </c>
      <c r="B111" s="741"/>
      <c r="C111" s="713" t="s">
        <v>119</v>
      </c>
      <c r="D111" s="693" t="s">
        <v>14</v>
      </c>
      <c r="E111" s="739">
        <v>7.0000000000000007E-2</v>
      </c>
      <c r="F111" s="738">
        <f>E111*F104</f>
        <v>0.252</v>
      </c>
      <c r="G111" s="1443"/>
      <c r="H111" s="703">
        <f t="shared" si="12"/>
        <v>0</v>
      </c>
      <c r="I111" s="1427"/>
      <c r="J111" s="1309">
        <f t="shared" si="11"/>
        <v>0</v>
      </c>
      <c r="K111" s="1427"/>
      <c r="L111" s="1309">
        <f t="shared" si="13"/>
        <v>0</v>
      </c>
      <c r="M111" s="1310">
        <f t="shared" si="14"/>
        <v>0</v>
      </c>
    </row>
    <row r="112" spans="1:13" s="807" customFormat="1" ht="57.75" customHeight="1">
      <c r="A112" s="801">
        <v>3</v>
      </c>
      <c r="B112" s="802"/>
      <c r="C112" s="803" t="s">
        <v>796</v>
      </c>
      <c r="D112" s="804" t="s">
        <v>121</v>
      </c>
      <c r="E112" s="805"/>
      <c r="F112" s="806">
        <f>6*5</f>
        <v>30</v>
      </c>
      <c r="G112" s="1448"/>
      <c r="H112" s="703">
        <f t="shared" si="12"/>
        <v>0</v>
      </c>
      <c r="I112" s="1449"/>
      <c r="J112" s="1309">
        <f t="shared" si="11"/>
        <v>0</v>
      </c>
      <c r="K112" s="1449"/>
      <c r="L112" s="1309">
        <f t="shared" si="13"/>
        <v>0</v>
      </c>
      <c r="M112" s="1310">
        <f t="shared" si="14"/>
        <v>0</v>
      </c>
    </row>
    <row r="113" spans="1:13" s="807" customFormat="1" ht="19.899999999999999" customHeight="1">
      <c r="A113" s="732">
        <f>A112+0.1</f>
        <v>3.1</v>
      </c>
      <c r="B113" s="798"/>
      <c r="C113" s="734" t="s">
        <v>69</v>
      </c>
      <c r="D113" s="735" t="s">
        <v>13</v>
      </c>
      <c r="E113" s="808">
        <f>0.192+0.0597</f>
        <v>0.25170000000000003</v>
      </c>
      <c r="F113" s="809">
        <f>E113*F112</f>
        <v>7.551000000000001</v>
      </c>
      <c r="G113" s="1450"/>
      <c r="H113" s="703">
        <f t="shared" si="12"/>
        <v>0</v>
      </c>
      <c r="I113" s="1451"/>
      <c r="J113" s="1309">
        <f t="shared" si="11"/>
        <v>0</v>
      </c>
      <c r="K113" s="1451"/>
      <c r="L113" s="1309">
        <f t="shared" si="13"/>
        <v>0</v>
      </c>
      <c r="M113" s="1310">
        <f t="shared" si="14"/>
        <v>0</v>
      </c>
    </row>
    <row r="114" spans="1:13" s="807" customFormat="1" ht="19.899999999999999" customHeight="1">
      <c r="A114" s="732">
        <f t="shared" ref="A114:A116" si="17">A113+0.1</f>
        <v>3.2</v>
      </c>
      <c r="B114" s="741"/>
      <c r="C114" s="713" t="s">
        <v>117</v>
      </c>
      <c r="D114" s="742" t="s">
        <v>14</v>
      </c>
      <c r="E114" s="810">
        <f>0.0059+0.0024</f>
        <v>8.3000000000000001E-3</v>
      </c>
      <c r="F114" s="809">
        <f>F112*E114</f>
        <v>0.249</v>
      </c>
      <c r="G114" s="1450"/>
      <c r="H114" s="703">
        <f t="shared" si="12"/>
        <v>0</v>
      </c>
      <c r="I114" s="1451"/>
      <c r="J114" s="1309">
        <f t="shared" si="11"/>
        <v>0</v>
      </c>
      <c r="K114" s="1451"/>
      <c r="L114" s="1309">
        <f t="shared" si="13"/>
        <v>0</v>
      </c>
      <c r="M114" s="1310">
        <f t="shared" si="14"/>
        <v>0</v>
      </c>
    </row>
    <row r="115" spans="1:13" s="807" customFormat="1" ht="19.899999999999999" customHeight="1">
      <c r="A115" s="732">
        <f t="shared" si="17"/>
        <v>3.3000000000000003</v>
      </c>
      <c r="B115" s="798"/>
      <c r="C115" s="695" t="s">
        <v>797</v>
      </c>
      <c r="D115" s="811" t="s">
        <v>21</v>
      </c>
      <c r="E115" s="809">
        <f>2.9+1.4+0.76</f>
        <v>5.0599999999999996</v>
      </c>
      <c r="F115" s="809">
        <f>F112*E115</f>
        <v>151.79999999999998</v>
      </c>
      <c r="G115" s="1450"/>
      <c r="H115" s="703">
        <f t="shared" si="12"/>
        <v>0</v>
      </c>
      <c r="I115" s="1451"/>
      <c r="J115" s="1309">
        <f t="shared" si="11"/>
        <v>0</v>
      </c>
      <c r="K115" s="1451"/>
      <c r="L115" s="1309">
        <f t="shared" si="13"/>
        <v>0</v>
      </c>
      <c r="M115" s="1310">
        <f t="shared" si="14"/>
        <v>0</v>
      </c>
    </row>
    <row r="116" spans="1:13" s="807" customFormat="1" ht="19.899999999999999" customHeight="1">
      <c r="A116" s="732">
        <f t="shared" si="17"/>
        <v>3.4000000000000004</v>
      </c>
      <c r="B116" s="741"/>
      <c r="C116" s="695" t="s">
        <v>225</v>
      </c>
      <c r="D116" s="811" t="s">
        <v>14</v>
      </c>
      <c r="E116" s="810">
        <f>0.19/100</f>
        <v>1.9E-3</v>
      </c>
      <c r="F116" s="809">
        <f>F112*E116</f>
        <v>5.7000000000000002E-2</v>
      </c>
      <c r="G116" s="1450"/>
      <c r="H116" s="703">
        <f t="shared" si="12"/>
        <v>0</v>
      </c>
      <c r="I116" s="1451"/>
      <c r="J116" s="1309">
        <f t="shared" si="11"/>
        <v>0</v>
      </c>
      <c r="K116" s="1451"/>
      <c r="L116" s="1309">
        <f t="shared" si="13"/>
        <v>0</v>
      </c>
      <c r="M116" s="1310">
        <f t="shared" si="14"/>
        <v>0</v>
      </c>
    </row>
    <row r="117" spans="1:13" s="787" customFormat="1" ht="50.1" customHeight="1">
      <c r="A117" s="783" t="s">
        <v>47</v>
      </c>
      <c r="B117" s="718"/>
      <c r="C117" s="699" t="s">
        <v>179</v>
      </c>
      <c r="D117" s="783" t="s">
        <v>824</v>
      </c>
      <c r="E117" s="785"/>
      <c r="F117" s="806">
        <f>6*5</f>
        <v>30</v>
      </c>
      <c r="G117" s="1433"/>
      <c r="H117" s="703">
        <f t="shared" si="12"/>
        <v>0</v>
      </c>
      <c r="I117" s="1434"/>
      <c r="J117" s="1309">
        <f t="shared" si="11"/>
        <v>0</v>
      </c>
      <c r="K117" s="1434"/>
      <c r="L117" s="1309">
        <f t="shared" si="13"/>
        <v>0</v>
      </c>
      <c r="M117" s="1310">
        <f t="shared" si="14"/>
        <v>0</v>
      </c>
    </row>
    <row r="118" spans="1:13" ht="18" customHeight="1">
      <c r="A118" s="697">
        <f>A117+0.1</f>
        <v>4.0999999999999996</v>
      </c>
      <c r="B118" s="712"/>
      <c r="C118" s="713" t="s">
        <v>69</v>
      </c>
      <c r="D118" s="700" t="s">
        <v>43</v>
      </c>
      <c r="E118" s="790">
        <v>1</v>
      </c>
      <c r="F118" s="789">
        <f>E118*F117</f>
        <v>30</v>
      </c>
      <c r="G118" s="1435"/>
      <c r="H118" s="703">
        <f t="shared" si="12"/>
        <v>0</v>
      </c>
      <c r="I118" s="1414"/>
      <c r="J118" s="1309">
        <f t="shared" si="11"/>
        <v>0</v>
      </c>
      <c r="K118" s="1414"/>
      <c r="L118" s="1309">
        <f t="shared" si="13"/>
        <v>0</v>
      </c>
      <c r="M118" s="1310">
        <f t="shared" si="14"/>
        <v>0</v>
      </c>
    </row>
    <row r="119" spans="1:13" ht="18" customHeight="1">
      <c r="A119" s="697">
        <f>A118+0.1</f>
        <v>4.1999999999999993</v>
      </c>
      <c r="B119" s="712"/>
      <c r="C119" s="713" t="s">
        <v>117</v>
      </c>
      <c r="D119" s="703" t="s">
        <v>14</v>
      </c>
      <c r="E119" s="812">
        <v>2.3300000000000001E-2</v>
      </c>
      <c r="F119" s="813">
        <f>E119*F117</f>
        <v>0.69900000000000007</v>
      </c>
      <c r="G119" s="1416"/>
      <c r="H119" s="703">
        <f t="shared" si="12"/>
        <v>0</v>
      </c>
      <c r="I119" s="1414"/>
      <c r="J119" s="1309">
        <f t="shared" si="11"/>
        <v>0</v>
      </c>
      <c r="K119" s="703"/>
      <c r="L119" s="1309">
        <f t="shared" si="13"/>
        <v>0</v>
      </c>
      <c r="M119" s="1310">
        <f t="shared" si="14"/>
        <v>0</v>
      </c>
    </row>
    <row r="120" spans="1:13" ht="18" customHeight="1">
      <c r="A120" s="697">
        <f>A119+0.1</f>
        <v>4.2999999999999989</v>
      </c>
      <c r="B120" s="721"/>
      <c r="C120" s="713" t="s">
        <v>85</v>
      </c>
      <c r="D120" s="722" t="s">
        <v>15</v>
      </c>
      <c r="E120" s="813">
        <v>5.0999999999999997E-2</v>
      </c>
      <c r="F120" s="789">
        <f>E120*F117</f>
        <v>1.5299999999999998</v>
      </c>
      <c r="G120" s="1435"/>
      <c r="H120" s="703">
        <f t="shared" si="12"/>
        <v>0</v>
      </c>
      <c r="I120" s="1414"/>
      <c r="J120" s="1309">
        <f t="shared" si="11"/>
        <v>0</v>
      </c>
      <c r="K120" s="1414"/>
      <c r="L120" s="1309">
        <f t="shared" si="13"/>
        <v>0</v>
      </c>
      <c r="M120" s="1310">
        <f t="shared" si="14"/>
        <v>0</v>
      </c>
    </row>
    <row r="121" spans="1:13" ht="18" customHeight="1">
      <c r="A121" s="697">
        <f>A120+0.1</f>
        <v>4.3999999999999986</v>
      </c>
      <c r="B121" s="779"/>
      <c r="C121" s="713" t="s">
        <v>798</v>
      </c>
      <c r="D121" s="703" t="s">
        <v>63</v>
      </c>
      <c r="E121" s="813">
        <v>1</v>
      </c>
      <c r="F121" s="789">
        <f>F117*E121</f>
        <v>30</v>
      </c>
      <c r="G121" s="1435"/>
      <c r="H121" s="703">
        <f t="shared" si="12"/>
        <v>0</v>
      </c>
      <c r="I121" s="1414"/>
      <c r="J121" s="1309">
        <f t="shared" si="11"/>
        <v>0</v>
      </c>
      <c r="K121" s="1414"/>
      <c r="L121" s="1309">
        <f t="shared" si="13"/>
        <v>0</v>
      </c>
      <c r="M121" s="1310">
        <f t="shared" si="14"/>
        <v>0</v>
      </c>
    </row>
    <row r="122" spans="1:13" ht="18" customHeight="1">
      <c r="A122" s="697">
        <f>A121+0.1</f>
        <v>4.4999999999999982</v>
      </c>
      <c r="B122" s="712"/>
      <c r="C122" s="713" t="s">
        <v>119</v>
      </c>
      <c r="D122" s="700" t="s">
        <v>14</v>
      </c>
      <c r="E122" s="813">
        <v>6.4000000000000003E-3</v>
      </c>
      <c r="F122" s="813">
        <f>E122*F117</f>
        <v>0.192</v>
      </c>
      <c r="G122" s="1416"/>
      <c r="H122" s="703">
        <f t="shared" si="12"/>
        <v>0</v>
      </c>
      <c r="I122" s="1414"/>
      <c r="J122" s="1309">
        <f t="shared" si="11"/>
        <v>0</v>
      </c>
      <c r="K122" s="1414"/>
      <c r="L122" s="1309">
        <f t="shared" si="13"/>
        <v>0</v>
      </c>
      <c r="M122" s="1310">
        <f t="shared" si="14"/>
        <v>0</v>
      </c>
    </row>
    <row r="123" spans="1:13" s="710" customFormat="1" ht="69" customHeight="1">
      <c r="A123" s="707" t="s">
        <v>48</v>
      </c>
      <c r="B123" s="814"/>
      <c r="C123" s="815" t="s">
        <v>181</v>
      </c>
      <c r="D123" s="707" t="s">
        <v>824</v>
      </c>
      <c r="E123" s="785"/>
      <c r="F123" s="806">
        <f>6*5</f>
        <v>30</v>
      </c>
      <c r="G123" s="1433"/>
      <c r="H123" s="703">
        <f t="shared" si="12"/>
        <v>0</v>
      </c>
      <c r="I123" s="722"/>
      <c r="J123" s="1309">
        <f t="shared" si="11"/>
        <v>0</v>
      </c>
      <c r="K123" s="722"/>
      <c r="L123" s="1309">
        <f t="shared" si="13"/>
        <v>0</v>
      </c>
      <c r="M123" s="1310">
        <f t="shared" si="14"/>
        <v>0</v>
      </c>
    </row>
    <row r="124" spans="1:13" s="787" customFormat="1" ht="21.75" customHeight="1">
      <c r="A124" s="697">
        <f>A123+0.1</f>
        <v>5.0999999999999996</v>
      </c>
      <c r="B124" s="712"/>
      <c r="C124" s="713" t="s">
        <v>69</v>
      </c>
      <c r="D124" s="700" t="s">
        <v>13</v>
      </c>
      <c r="E124" s="790">
        <v>1.54</v>
      </c>
      <c r="F124" s="789">
        <f>E124*F123</f>
        <v>46.2</v>
      </c>
      <c r="G124" s="1435"/>
      <c r="H124" s="703">
        <f t="shared" si="12"/>
        <v>0</v>
      </c>
      <c r="I124" s="1414"/>
      <c r="J124" s="1309">
        <f t="shared" si="11"/>
        <v>0</v>
      </c>
      <c r="K124" s="1434"/>
      <c r="L124" s="1309">
        <f t="shared" si="13"/>
        <v>0</v>
      </c>
      <c r="M124" s="1310">
        <f t="shared" si="14"/>
        <v>0</v>
      </c>
    </row>
    <row r="125" spans="1:13" ht="18" customHeight="1">
      <c r="A125" s="697">
        <f>A124+0.1</f>
        <v>5.1999999999999993</v>
      </c>
      <c r="B125" s="712"/>
      <c r="C125" s="713" t="s">
        <v>117</v>
      </c>
      <c r="D125" s="703" t="s">
        <v>14</v>
      </c>
      <c r="E125" s="812">
        <v>4.1500000000000002E-2</v>
      </c>
      <c r="F125" s="789">
        <f>E125*F123</f>
        <v>1.2450000000000001</v>
      </c>
      <c r="G125" s="1416"/>
      <c r="H125" s="703">
        <f t="shared" si="12"/>
        <v>0</v>
      </c>
      <c r="I125" s="1414"/>
      <c r="J125" s="1309">
        <f t="shared" si="11"/>
        <v>0</v>
      </c>
      <c r="K125" s="703"/>
      <c r="L125" s="1309">
        <f t="shared" si="13"/>
        <v>0</v>
      </c>
      <c r="M125" s="1310">
        <f t="shared" si="14"/>
        <v>0</v>
      </c>
    </row>
    <row r="126" spans="1:13" ht="18" customHeight="1">
      <c r="A126" s="697">
        <f>A125+0.1</f>
        <v>5.2999999999999989</v>
      </c>
      <c r="B126" s="721"/>
      <c r="C126" s="761" t="s">
        <v>182</v>
      </c>
      <c r="D126" s="703" t="s">
        <v>825</v>
      </c>
      <c r="E126" s="790">
        <v>1.02</v>
      </c>
      <c r="F126" s="789">
        <f>E126*F123</f>
        <v>30.6</v>
      </c>
      <c r="G126" s="1435"/>
      <c r="H126" s="703">
        <f t="shared" si="12"/>
        <v>0</v>
      </c>
      <c r="I126" s="1414"/>
      <c r="J126" s="1309">
        <f t="shared" si="11"/>
        <v>0</v>
      </c>
      <c r="K126" s="1414"/>
      <c r="L126" s="1309">
        <f t="shared" si="13"/>
        <v>0</v>
      </c>
      <c r="M126" s="1310">
        <f t="shared" si="14"/>
        <v>0</v>
      </c>
    </row>
    <row r="127" spans="1:13" ht="18" customHeight="1">
      <c r="A127" s="697">
        <f>A126+0.1</f>
        <v>5.3999999999999986</v>
      </c>
      <c r="B127" s="721"/>
      <c r="C127" s="713" t="s">
        <v>83</v>
      </c>
      <c r="D127" s="703" t="s">
        <v>21</v>
      </c>
      <c r="E127" s="790">
        <v>6</v>
      </c>
      <c r="F127" s="789">
        <f>E127*F123</f>
        <v>180</v>
      </c>
      <c r="G127" s="1435"/>
      <c r="H127" s="703">
        <f t="shared" si="12"/>
        <v>0</v>
      </c>
      <c r="I127" s="1414"/>
      <c r="J127" s="1309">
        <f t="shared" si="11"/>
        <v>0</v>
      </c>
      <c r="K127" s="1414"/>
      <c r="L127" s="1309">
        <f t="shared" si="13"/>
        <v>0</v>
      </c>
      <c r="M127" s="1310">
        <f t="shared" si="14"/>
        <v>0</v>
      </c>
    </row>
    <row r="128" spans="1:13" ht="18" customHeight="1">
      <c r="A128" s="697">
        <f>A127+0.1</f>
        <v>5.4999999999999982</v>
      </c>
      <c r="B128" s="712"/>
      <c r="C128" s="713" t="s">
        <v>119</v>
      </c>
      <c r="D128" s="700" t="s">
        <v>14</v>
      </c>
      <c r="E128" s="812">
        <v>4.6600000000000003E-2</v>
      </c>
      <c r="F128" s="789">
        <f>E128*F123</f>
        <v>1.3980000000000001</v>
      </c>
      <c r="G128" s="1416"/>
      <c r="H128" s="703">
        <f t="shared" si="12"/>
        <v>0</v>
      </c>
      <c r="I128" s="1414"/>
      <c r="J128" s="1309">
        <f t="shared" si="11"/>
        <v>0</v>
      </c>
      <c r="K128" s="1414"/>
      <c r="L128" s="1309">
        <f t="shared" si="13"/>
        <v>0</v>
      </c>
      <c r="M128" s="1310">
        <f t="shared" si="14"/>
        <v>0</v>
      </c>
    </row>
    <row r="129" spans="1:13" s="787" customFormat="1" ht="72" customHeight="1">
      <c r="A129" s="707" t="s">
        <v>127</v>
      </c>
      <c r="B129" s="814"/>
      <c r="C129" s="815" t="s">
        <v>183</v>
      </c>
      <c r="D129" s="707" t="s">
        <v>177</v>
      </c>
      <c r="E129" s="785"/>
      <c r="F129" s="786">
        <f>6*2+5*2</f>
        <v>22</v>
      </c>
      <c r="G129" s="1433"/>
      <c r="H129" s="703">
        <f t="shared" si="12"/>
        <v>0</v>
      </c>
      <c r="I129" s="1434"/>
      <c r="J129" s="1309">
        <f t="shared" si="11"/>
        <v>0</v>
      </c>
      <c r="K129" s="1434"/>
      <c r="L129" s="1309">
        <f t="shared" si="13"/>
        <v>0</v>
      </c>
      <c r="M129" s="1310">
        <f t="shared" si="14"/>
        <v>0</v>
      </c>
    </row>
    <row r="130" spans="1:13" s="710" customFormat="1" ht="20.100000000000001" customHeight="1">
      <c r="A130" s="697">
        <f>A129+0.1</f>
        <v>6.1</v>
      </c>
      <c r="B130" s="712"/>
      <c r="C130" s="713" t="s">
        <v>69</v>
      </c>
      <c r="D130" s="700" t="s">
        <v>13</v>
      </c>
      <c r="E130" s="790">
        <v>0.32</v>
      </c>
      <c r="F130" s="789">
        <f>E130*F129</f>
        <v>7.04</v>
      </c>
      <c r="G130" s="1435"/>
      <c r="H130" s="703">
        <f t="shared" si="12"/>
        <v>0</v>
      </c>
      <c r="I130" s="722"/>
      <c r="J130" s="1309">
        <f t="shared" si="11"/>
        <v>0</v>
      </c>
      <c r="K130" s="722"/>
      <c r="L130" s="1309">
        <f t="shared" si="13"/>
        <v>0</v>
      </c>
      <c r="M130" s="1310">
        <f t="shared" si="14"/>
        <v>0</v>
      </c>
    </row>
    <row r="131" spans="1:13" s="710" customFormat="1" ht="15.75" customHeight="1">
      <c r="A131" s="697">
        <f>A130+0.1</f>
        <v>6.1999999999999993</v>
      </c>
      <c r="B131" s="712"/>
      <c r="C131" s="713" t="s">
        <v>117</v>
      </c>
      <c r="D131" s="703" t="s">
        <v>14</v>
      </c>
      <c r="E131" s="812">
        <v>4.1500000000000002E-2</v>
      </c>
      <c r="F131" s="789">
        <f>E131*F129</f>
        <v>0.91300000000000003</v>
      </c>
      <c r="G131" s="1416"/>
      <c r="H131" s="703">
        <f t="shared" si="12"/>
        <v>0</v>
      </c>
      <c r="I131" s="722"/>
      <c r="J131" s="1309">
        <f t="shared" si="11"/>
        <v>0</v>
      </c>
      <c r="K131" s="703"/>
      <c r="L131" s="1309">
        <f t="shared" si="13"/>
        <v>0</v>
      </c>
      <c r="M131" s="1310">
        <f t="shared" si="14"/>
        <v>0</v>
      </c>
    </row>
    <row r="132" spans="1:13" s="710" customFormat="1" ht="24" customHeight="1">
      <c r="A132" s="697">
        <f>A131+0.1</f>
        <v>6.2999999999999989</v>
      </c>
      <c r="B132" s="721"/>
      <c r="C132" s="761" t="s">
        <v>182</v>
      </c>
      <c r="D132" s="703" t="s">
        <v>825</v>
      </c>
      <c r="E132" s="790">
        <v>0.157</v>
      </c>
      <c r="F132" s="789">
        <f>E132*F129</f>
        <v>3.4540000000000002</v>
      </c>
      <c r="G132" s="1435"/>
      <c r="H132" s="703">
        <f t="shared" si="12"/>
        <v>0</v>
      </c>
      <c r="I132" s="722"/>
      <c r="J132" s="1309">
        <f t="shared" ref="J132:J188" si="18">F132*I132</f>
        <v>0</v>
      </c>
      <c r="K132" s="722"/>
      <c r="L132" s="1309">
        <f t="shared" si="13"/>
        <v>0</v>
      </c>
      <c r="M132" s="1310">
        <f t="shared" si="14"/>
        <v>0</v>
      </c>
    </row>
    <row r="133" spans="1:13" s="710" customFormat="1" ht="20.100000000000001" customHeight="1">
      <c r="A133" s="697">
        <f>A132+0.1</f>
        <v>6.3999999999999986</v>
      </c>
      <c r="B133" s="721"/>
      <c r="C133" s="713" t="s">
        <v>83</v>
      </c>
      <c r="D133" s="703" t="s">
        <v>21</v>
      </c>
      <c r="E133" s="790">
        <f>6*0.15</f>
        <v>0.89999999999999991</v>
      </c>
      <c r="F133" s="789">
        <f>E133*F129</f>
        <v>19.799999999999997</v>
      </c>
      <c r="G133" s="1435"/>
      <c r="H133" s="703">
        <f t="shared" si="12"/>
        <v>0</v>
      </c>
      <c r="I133" s="722"/>
      <c r="J133" s="1309">
        <f t="shared" si="18"/>
        <v>0</v>
      </c>
      <c r="K133" s="722"/>
      <c r="L133" s="1309">
        <f t="shared" si="13"/>
        <v>0</v>
      </c>
      <c r="M133" s="1310">
        <f t="shared" si="14"/>
        <v>0</v>
      </c>
    </row>
    <row r="134" spans="1:13" s="710" customFormat="1" ht="20.100000000000001" customHeight="1">
      <c r="A134" s="697">
        <f>A133+0.1</f>
        <v>6.4999999999999982</v>
      </c>
      <c r="B134" s="712"/>
      <c r="C134" s="713" t="s">
        <v>119</v>
      </c>
      <c r="D134" s="700" t="s">
        <v>14</v>
      </c>
      <c r="E134" s="812">
        <v>4.6600000000000003E-2</v>
      </c>
      <c r="F134" s="789">
        <f>E134*F129</f>
        <v>1.0252000000000001</v>
      </c>
      <c r="G134" s="1416"/>
      <c r="H134" s="703">
        <f t="shared" ref="H134:H188" si="19">F134*G134</f>
        <v>0</v>
      </c>
      <c r="I134" s="722"/>
      <c r="J134" s="1309">
        <f t="shared" si="18"/>
        <v>0</v>
      </c>
      <c r="K134" s="722"/>
      <c r="L134" s="1309">
        <f t="shared" ref="L134:L188" si="20">F134*K134</f>
        <v>0</v>
      </c>
      <c r="M134" s="1310">
        <f t="shared" ref="M134:M188" si="21">H134+J134+L134</f>
        <v>0</v>
      </c>
    </row>
    <row r="135" spans="1:13" s="716" customFormat="1" ht="54" customHeight="1">
      <c r="A135" s="704">
        <v>7</v>
      </c>
      <c r="B135" s="718"/>
      <c r="C135" s="699" t="s">
        <v>649</v>
      </c>
      <c r="D135" s="722" t="s">
        <v>15</v>
      </c>
      <c r="E135" s="720"/>
      <c r="F135" s="709">
        <v>0.96</v>
      </c>
      <c r="G135" s="1431"/>
      <c r="H135" s="703">
        <f t="shared" si="19"/>
        <v>0</v>
      </c>
      <c r="I135" s="722"/>
      <c r="J135" s="1309">
        <f t="shared" si="18"/>
        <v>0</v>
      </c>
      <c r="K135" s="722"/>
      <c r="L135" s="1309">
        <f t="shared" si="20"/>
        <v>0</v>
      </c>
      <c r="M135" s="1310">
        <f t="shared" si="21"/>
        <v>0</v>
      </c>
    </row>
    <row r="136" spans="1:13" s="716" customFormat="1" ht="22.5" customHeight="1">
      <c r="A136" s="697">
        <f t="shared" ref="A136:A141" si="22">A135+0.1</f>
        <v>7.1</v>
      </c>
      <c r="B136" s="712"/>
      <c r="C136" s="713" t="s">
        <v>69</v>
      </c>
      <c r="D136" s="700" t="s">
        <v>13</v>
      </c>
      <c r="E136" s="708">
        <v>1.87</v>
      </c>
      <c r="F136" s="714">
        <f>F135*E136</f>
        <v>1.7952000000000001</v>
      </c>
      <c r="G136" s="1416"/>
      <c r="H136" s="703">
        <f t="shared" si="19"/>
        <v>0</v>
      </c>
      <c r="I136" s="722"/>
      <c r="J136" s="1309">
        <f t="shared" si="18"/>
        <v>0</v>
      </c>
      <c r="K136" s="722"/>
      <c r="L136" s="1309">
        <f t="shared" si="20"/>
        <v>0</v>
      </c>
      <c r="M136" s="1310">
        <f t="shared" si="21"/>
        <v>0</v>
      </c>
    </row>
    <row r="137" spans="1:13" s="716" customFormat="1" ht="22.5" customHeight="1">
      <c r="A137" s="697">
        <f t="shared" si="22"/>
        <v>7.1999999999999993</v>
      </c>
      <c r="B137" s="712"/>
      <c r="C137" s="713" t="s">
        <v>117</v>
      </c>
      <c r="D137" s="703" t="s">
        <v>14</v>
      </c>
      <c r="E137" s="708">
        <v>0.77</v>
      </c>
      <c r="F137" s="714">
        <f>F135*E137</f>
        <v>0.73919999999999997</v>
      </c>
      <c r="G137" s="1416"/>
      <c r="H137" s="703">
        <f t="shared" si="19"/>
        <v>0</v>
      </c>
      <c r="I137" s="722"/>
      <c r="J137" s="1309">
        <f t="shared" si="18"/>
        <v>0</v>
      </c>
      <c r="K137" s="703"/>
      <c r="L137" s="1309">
        <f t="shared" si="20"/>
        <v>0</v>
      </c>
      <c r="M137" s="1310">
        <f t="shared" si="21"/>
        <v>0</v>
      </c>
    </row>
    <row r="138" spans="1:13" s="716" customFormat="1" ht="22.5" customHeight="1">
      <c r="A138" s="697">
        <f t="shared" si="22"/>
        <v>7.2999999999999989</v>
      </c>
      <c r="B138" s="712"/>
      <c r="C138" s="761" t="s">
        <v>118</v>
      </c>
      <c r="D138" s="722" t="s">
        <v>15</v>
      </c>
      <c r="E138" s="708">
        <v>1.0149999999999999</v>
      </c>
      <c r="F138" s="714">
        <f>E138*F135</f>
        <v>0.97439999999999982</v>
      </c>
      <c r="G138" s="1432"/>
      <c r="H138" s="703">
        <f t="shared" si="19"/>
        <v>0</v>
      </c>
      <c r="I138" s="722"/>
      <c r="J138" s="1309">
        <f t="shared" si="18"/>
        <v>0</v>
      </c>
      <c r="K138" s="722"/>
      <c r="L138" s="1309">
        <f t="shared" si="20"/>
        <v>0</v>
      </c>
      <c r="M138" s="1310">
        <f t="shared" si="21"/>
        <v>0</v>
      </c>
    </row>
    <row r="139" spans="1:13" s="716" customFormat="1" ht="22.5" customHeight="1">
      <c r="A139" s="697">
        <f t="shared" si="22"/>
        <v>7.3999999999999986</v>
      </c>
      <c r="B139" s="712"/>
      <c r="C139" s="695" t="s">
        <v>81</v>
      </c>
      <c r="D139" s="722" t="s">
        <v>822</v>
      </c>
      <c r="E139" s="708">
        <f>7.54/100</f>
        <v>7.5399999999999995E-2</v>
      </c>
      <c r="F139" s="714">
        <f>E139*F135</f>
        <v>7.238399999999999E-2</v>
      </c>
      <c r="G139" s="1447"/>
      <c r="H139" s="703">
        <f t="shared" si="19"/>
        <v>0</v>
      </c>
      <c r="I139" s="722"/>
      <c r="J139" s="1309">
        <f t="shared" si="18"/>
        <v>0</v>
      </c>
      <c r="K139" s="722"/>
      <c r="L139" s="1309">
        <f t="shared" si="20"/>
        <v>0</v>
      </c>
      <c r="M139" s="1310">
        <f t="shared" si="21"/>
        <v>0</v>
      </c>
    </row>
    <row r="140" spans="1:13" s="716" customFormat="1" ht="22.5" customHeight="1">
      <c r="A140" s="697">
        <f t="shared" si="22"/>
        <v>7.4999999999999982</v>
      </c>
      <c r="B140" s="721"/>
      <c r="C140" s="761" t="s">
        <v>82</v>
      </c>
      <c r="D140" s="722" t="s">
        <v>15</v>
      </c>
      <c r="E140" s="708">
        <f>0.08/100</f>
        <v>8.0000000000000004E-4</v>
      </c>
      <c r="F140" s="714">
        <f>E140*F135</f>
        <v>7.6800000000000002E-4</v>
      </c>
      <c r="G140" s="1416"/>
      <c r="H140" s="703">
        <f t="shared" si="19"/>
        <v>0</v>
      </c>
      <c r="I140" s="722"/>
      <c r="J140" s="1309">
        <f t="shared" si="18"/>
        <v>0</v>
      </c>
      <c r="K140" s="722"/>
      <c r="L140" s="1309">
        <f t="shared" si="20"/>
        <v>0</v>
      </c>
      <c r="M140" s="1310">
        <f t="shared" si="21"/>
        <v>0</v>
      </c>
    </row>
    <row r="141" spans="1:13" s="716" customFormat="1" ht="22.5" customHeight="1">
      <c r="A141" s="697">
        <f t="shared" si="22"/>
        <v>7.5999999999999979</v>
      </c>
      <c r="B141" s="712"/>
      <c r="C141" s="713" t="s">
        <v>119</v>
      </c>
      <c r="D141" s="722" t="s">
        <v>14</v>
      </c>
      <c r="E141" s="708">
        <v>7.0000000000000007E-2</v>
      </c>
      <c r="F141" s="714">
        <f>E141*F135</f>
        <v>6.720000000000001E-2</v>
      </c>
      <c r="G141" s="1416"/>
      <c r="H141" s="703">
        <f t="shared" si="19"/>
        <v>0</v>
      </c>
      <c r="I141" s="722"/>
      <c r="J141" s="1309">
        <f t="shared" si="18"/>
        <v>0</v>
      </c>
      <c r="K141" s="722"/>
      <c r="L141" s="1309">
        <f t="shared" si="20"/>
        <v>0</v>
      </c>
      <c r="M141" s="1310">
        <f t="shared" si="21"/>
        <v>0</v>
      </c>
    </row>
    <row r="142" spans="1:13" s="710" customFormat="1" ht="22.5" customHeight="1">
      <c r="A142" s="816"/>
      <c r="B142" s="817"/>
      <c r="C142" s="815" t="s">
        <v>282</v>
      </c>
      <c r="D142" s="818"/>
      <c r="E142" s="778"/>
      <c r="F142" s="792"/>
      <c r="G142" s="1432"/>
      <c r="H142" s="703">
        <f t="shared" si="19"/>
        <v>0</v>
      </c>
      <c r="I142" s="722"/>
      <c r="J142" s="1309">
        <f t="shared" si="18"/>
        <v>0</v>
      </c>
      <c r="K142" s="722"/>
      <c r="L142" s="1309">
        <f t="shared" si="20"/>
        <v>0</v>
      </c>
      <c r="M142" s="1310">
        <f t="shared" si="21"/>
        <v>0</v>
      </c>
    </row>
    <row r="143" spans="1:13" s="787" customFormat="1" ht="50.1" customHeight="1">
      <c r="A143" s="783" t="s">
        <v>44</v>
      </c>
      <c r="B143" s="784"/>
      <c r="C143" s="699" t="s">
        <v>84</v>
      </c>
      <c r="D143" s="783" t="s">
        <v>43</v>
      </c>
      <c r="E143" s="786">
        <f>1.6*1+2.3*2+1.6*2+1.5*2</f>
        <v>12.399999999999999</v>
      </c>
      <c r="F143" s="786">
        <f>12.4*0.25</f>
        <v>3.1</v>
      </c>
      <c r="G143" s="1433"/>
      <c r="H143" s="703">
        <f t="shared" si="19"/>
        <v>0</v>
      </c>
      <c r="I143" s="1434"/>
      <c r="J143" s="1309">
        <f t="shared" si="18"/>
        <v>0</v>
      </c>
      <c r="K143" s="1434"/>
      <c r="L143" s="1309">
        <f t="shared" si="20"/>
        <v>0</v>
      </c>
      <c r="M143" s="1310">
        <f t="shared" si="21"/>
        <v>0</v>
      </c>
    </row>
    <row r="144" spans="1:13" s="787" customFormat="1" ht="18" customHeight="1">
      <c r="A144" s="697">
        <f>A143+0.1</f>
        <v>1.1000000000000001</v>
      </c>
      <c r="B144" s="712"/>
      <c r="C144" s="713" t="s">
        <v>69</v>
      </c>
      <c r="D144" s="700" t="s">
        <v>13</v>
      </c>
      <c r="E144" s="788">
        <v>1.79</v>
      </c>
      <c r="F144" s="789">
        <f>E144*F143</f>
        <v>5.5490000000000004</v>
      </c>
      <c r="G144" s="1435"/>
      <c r="H144" s="703">
        <f t="shared" si="19"/>
        <v>0</v>
      </c>
      <c r="I144" s="1414"/>
      <c r="J144" s="1309">
        <f t="shared" si="18"/>
        <v>0</v>
      </c>
      <c r="K144" s="1434"/>
      <c r="L144" s="1309">
        <f t="shared" si="20"/>
        <v>0</v>
      </c>
      <c r="M144" s="1310">
        <f t="shared" si="21"/>
        <v>0</v>
      </c>
    </row>
    <row r="145" spans="1:13" s="787" customFormat="1" ht="18" customHeight="1">
      <c r="A145" s="697">
        <f>A144+0.1</f>
        <v>1.2000000000000002</v>
      </c>
      <c r="B145" s="712"/>
      <c r="C145" s="713" t="s">
        <v>117</v>
      </c>
      <c r="D145" s="703" t="s">
        <v>14</v>
      </c>
      <c r="E145" s="788">
        <v>7.5999999999999998E-2</v>
      </c>
      <c r="F145" s="789">
        <f>F143*E145</f>
        <v>0.2356</v>
      </c>
      <c r="G145" s="1416"/>
      <c r="H145" s="703">
        <f t="shared" si="19"/>
        <v>0</v>
      </c>
      <c r="I145" s="1434"/>
      <c r="J145" s="1309">
        <f t="shared" si="18"/>
        <v>0</v>
      </c>
      <c r="K145" s="703"/>
      <c r="L145" s="1309">
        <f t="shared" si="20"/>
        <v>0</v>
      </c>
      <c r="M145" s="1310">
        <f t="shared" si="21"/>
        <v>0</v>
      </c>
    </row>
    <row r="146" spans="1:13" s="787" customFormat="1" ht="18" customHeight="1">
      <c r="A146" s="697">
        <f>A145+0.1</f>
        <v>1.3000000000000003</v>
      </c>
      <c r="B146" s="721"/>
      <c r="C146" s="713" t="s">
        <v>85</v>
      </c>
      <c r="D146" s="722" t="s">
        <v>15</v>
      </c>
      <c r="E146" s="788">
        <v>4.3999999999999997E-2</v>
      </c>
      <c r="F146" s="789">
        <f>E146*F143</f>
        <v>0.13639999999999999</v>
      </c>
      <c r="G146" s="1435"/>
      <c r="H146" s="703">
        <f t="shared" si="19"/>
        <v>0</v>
      </c>
      <c r="I146" s="1434"/>
      <c r="J146" s="1309">
        <f t="shared" si="18"/>
        <v>0</v>
      </c>
      <c r="K146" s="1434"/>
      <c r="L146" s="1309">
        <f t="shared" si="20"/>
        <v>0</v>
      </c>
      <c r="M146" s="1310">
        <f t="shared" si="21"/>
        <v>0</v>
      </c>
    </row>
    <row r="147" spans="1:13" s="787" customFormat="1" ht="50.1" customHeight="1">
      <c r="A147" s="783" t="s">
        <v>45</v>
      </c>
      <c r="B147" s="784"/>
      <c r="C147" s="699" t="s">
        <v>86</v>
      </c>
      <c r="D147" s="776" t="s">
        <v>824</v>
      </c>
      <c r="E147" s="785"/>
      <c r="F147" s="786">
        <f>22*3-1.6*2.3-1.5*1.6</f>
        <v>59.92</v>
      </c>
      <c r="G147" s="1433"/>
      <c r="H147" s="703">
        <f t="shared" si="19"/>
        <v>0</v>
      </c>
      <c r="I147" s="1434"/>
      <c r="J147" s="1309">
        <f t="shared" si="18"/>
        <v>0</v>
      </c>
      <c r="K147" s="1434"/>
      <c r="L147" s="1309">
        <f t="shared" si="20"/>
        <v>0</v>
      </c>
      <c r="M147" s="1310">
        <f t="shared" si="21"/>
        <v>0</v>
      </c>
    </row>
    <row r="148" spans="1:13" ht="18" customHeight="1">
      <c r="A148" s="697">
        <f>A147+0.1</f>
        <v>2.1</v>
      </c>
      <c r="B148" s="712"/>
      <c r="C148" s="713" t="s">
        <v>69</v>
      </c>
      <c r="D148" s="700" t="s">
        <v>13</v>
      </c>
      <c r="E148" s="788">
        <v>1.01</v>
      </c>
      <c r="F148" s="789">
        <f>E148*F147</f>
        <v>60.519200000000005</v>
      </c>
      <c r="G148" s="1432"/>
      <c r="H148" s="703">
        <f t="shared" si="19"/>
        <v>0</v>
      </c>
      <c r="I148" s="1414"/>
      <c r="J148" s="1309">
        <f t="shared" si="18"/>
        <v>0</v>
      </c>
      <c r="K148" s="1414"/>
      <c r="L148" s="1309">
        <f t="shared" si="20"/>
        <v>0</v>
      </c>
      <c r="M148" s="1310">
        <f t="shared" si="21"/>
        <v>0</v>
      </c>
    </row>
    <row r="149" spans="1:13" ht="18" customHeight="1">
      <c r="A149" s="697">
        <f>A148+0.1</f>
        <v>2.2000000000000002</v>
      </c>
      <c r="B149" s="712"/>
      <c r="C149" s="713" t="s">
        <v>117</v>
      </c>
      <c r="D149" s="703" t="s">
        <v>14</v>
      </c>
      <c r="E149" s="788">
        <v>2.7E-2</v>
      </c>
      <c r="F149" s="790">
        <f>E149*F147</f>
        <v>1.6178399999999999</v>
      </c>
      <c r="G149" s="1416"/>
      <c r="H149" s="703">
        <f t="shared" si="19"/>
        <v>0</v>
      </c>
      <c r="I149" s="1414"/>
      <c r="J149" s="1309">
        <f t="shared" si="18"/>
        <v>0</v>
      </c>
      <c r="K149" s="703"/>
      <c r="L149" s="1309">
        <f t="shared" si="20"/>
        <v>0</v>
      </c>
      <c r="M149" s="1310">
        <f t="shared" si="21"/>
        <v>0</v>
      </c>
    </row>
    <row r="150" spans="1:13" ht="18" customHeight="1">
      <c r="A150" s="697">
        <f>A149+0.1</f>
        <v>2.3000000000000003</v>
      </c>
      <c r="B150" s="712"/>
      <c r="C150" s="713" t="s">
        <v>826</v>
      </c>
      <c r="D150" s="703" t="s">
        <v>62</v>
      </c>
      <c r="E150" s="788">
        <v>4.1000000000000002E-2</v>
      </c>
      <c r="F150" s="789">
        <f>E150*F147</f>
        <v>2.4567200000000002</v>
      </c>
      <c r="G150" s="1435"/>
      <c r="H150" s="703">
        <f t="shared" si="19"/>
        <v>0</v>
      </c>
      <c r="I150" s="1414"/>
      <c r="J150" s="1309">
        <f t="shared" si="18"/>
        <v>0</v>
      </c>
      <c r="K150" s="1436"/>
      <c r="L150" s="1309">
        <f t="shared" si="20"/>
        <v>0</v>
      </c>
      <c r="M150" s="1310">
        <f t="shared" si="21"/>
        <v>0</v>
      </c>
    </row>
    <row r="151" spans="1:13" ht="18" customHeight="1">
      <c r="A151" s="697">
        <f>A150+0.1</f>
        <v>2.4000000000000004</v>
      </c>
      <c r="B151" s="721"/>
      <c r="C151" s="713" t="s">
        <v>85</v>
      </c>
      <c r="D151" s="722" t="s">
        <v>15</v>
      </c>
      <c r="E151" s="812">
        <v>2.3800000000000002E-2</v>
      </c>
      <c r="F151" s="789">
        <f>E151*F147</f>
        <v>1.4260960000000003</v>
      </c>
      <c r="G151" s="1435"/>
      <c r="H151" s="703">
        <f t="shared" si="19"/>
        <v>0</v>
      </c>
      <c r="I151" s="1414"/>
      <c r="J151" s="1309">
        <f t="shared" si="18"/>
        <v>0</v>
      </c>
      <c r="K151" s="1414"/>
      <c r="L151" s="1309">
        <f t="shared" si="20"/>
        <v>0</v>
      </c>
      <c r="M151" s="1310">
        <f t="shared" si="21"/>
        <v>0</v>
      </c>
    </row>
    <row r="152" spans="1:13" ht="18" customHeight="1">
      <c r="A152" s="697">
        <f>A151+0.1</f>
        <v>2.5000000000000004</v>
      </c>
      <c r="B152" s="712"/>
      <c r="C152" s="713" t="s">
        <v>119</v>
      </c>
      <c r="D152" s="700" t="s">
        <v>14</v>
      </c>
      <c r="E152" s="788">
        <v>3.0000000000000001E-3</v>
      </c>
      <c r="F152" s="789">
        <f>E152*F147</f>
        <v>0.17976</v>
      </c>
      <c r="G152" s="1416"/>
      <c r="H152" s="703">
        <f t="shared" si="19"/>
        <v>0</v>
      </c>
      <c r="I152" s="1414"/>
      <c r="J152" s="1309">
        <f t="shared" si="18"/>
        <v>0</v>
      </c>
      <c r="K152" s="1414"/>
      <c r="L152" s="1309">
        <f t="shared" si="20"/>
        <v>0</v>
      </c>
      <c r="M152" s="1310">
        <f t="shared" si="21"/>
        <v>0</v>
      </c>
    </row>
    <row r="153" spans="1:13" s="787" customFormat="1" ht="57.75" customHeight="1">
      <c r="A153" s="707" t="s">
        <v>46</v>
      </c>
      <c r="B153" s="819"/>
      <c r="C153" s="815" t="s">
        <v>184</v>
      </c>
      <c r="D153" s="707" t="s">
        <v>824</v>
      </c>
      <c r="E153" s="785"/>
      <c r="F153" s="786">
        <f>F147+F143</f>
        <v>63.02</v>
      </c>
      <c r="G153" s="1433"/>
      <c r="H153" s="703">
        <f t="shared" si="19"/>
        <v>0</v>
      </c>
      <c r="I153" s="1434"/>
      <c r="J153" s="1309">
        <f t="shared" si="18"/>
        <v>0</v>
      </c>
      <c r="K153" s="1434"/>
      <c r="L153" s="1309">
        <f t="shared" si="20"/>
        <v>0</v>
      </c>
      <c r="M153" s="1310">
        <f t="shared" si="21"/>
        <v>0</v>
      </c>
    </row>
    <row r="154" spans="1:13" ht="18" customHeight="1">
      <c r="A154" s="697">
        <f>A153+0.1</f>
        <v>3.1</v>
      </c>
      <c r="B154" s="712"/>
      <c r="C154" s="713" t="s">
        <v>69</v>
      </c>
      <c r="D154" s="700" t="s">
        <v>13</v>
      </c>
      <c r="E154" s="813">
        <v>0.65800000000000003</v>
      </c>
      <c r="F154" s="789">
        <f>E154*F153</f>
        <v>41.467160000000007</v>
      </c>
      <c r="G154" s="1435"/>
      <c r="H154" s="703">
        <f t="shared" si="19"/>
        <v>0</v>
      </c>
      <c r="I154" s="1414"/>
      <c r="J154" s="1309">
        <f t="shared" si="18"/>
        <v>0</v>
      </c>
      <c r="K154" s="1414"/>
      <c r="L154" s="1309">
        <f t="shared" si="20"/>
        <v>0</v>
      </c>
      <c r="M154" s="1310">
        <f t="shared" si="21"/>
        <v>0</v>
      </c>
    </row>
    <row r="155" spans="1:13" ht="18" customHeight="1">
      <c r="A155" s="697">
        <f>A154+0.1</f>
        <v>3.2</v>
      </c>
      <c r="B155" s="712"/>
      <c r="C155" s="713" t="s">
        <v>117</v>
      </c>
      <c r="D155" s="703" t="s">
        <v>14</v>
      </c>
      <c r="E155" s="813">
        <v>1E-3</v>
      </c>
      <c r="F155" s="813">
        <f>E155*F153</f>
        <v>6.3020000000000007E-2</v>
      </c>
      <c r="G155" s="1416"/>
      <c r="H155" s="703">
        <f t="shared" si="19"/>
        <v>0</v>
      </c>
      <c r="I155" s="1414"/>
      <c r="J155" s="1309">
        <f t="shared" si="18"/>
        <v>0</v>
      </c>
      <c r="K155" s="703"/>
      <c r="L155" s="1309">
        <f t="shared" si="20"/>
        <v>0</v>
      </c>
      <c r="M155" s="1310">
        <f t="shared" si="21"/>
        <v>0</v>
      </c>
    </row>
    <row r="156" spans="1:13" ht="18" customHeight="1">
      <c r="A156" s="697">
        <f>A155+0.1</f>
        <v>3.3000000000000003</v>
      </c>
      <c r="B156" s="721"/>
      <c r="C156" s="761" t="s">
        <v>87</v>
      </c>
      <c r="D156" s="703" t="s">
        <v>21</v>
      </c>
      <c r="E156" s="790">
        <v>0.63</v>
      </c>
      <c r="F156" s="789">
        <f>E156*F153</f>
        <v>39.702600000000004</v>
      </c>
      <c r="G156" s="1435"/>
      <c r="H156" s="703">
        <f t="shared" si="19"/>
        <v>0</v>
      </c>
      <c r="I156" s="1414"/>
      <c r="J156" s="1309">
        <f t="shared" si="18"/>
        <v>0</v>
      </c>
      <c r="K156" s="1414"/>
      <c r="L156" s="1309">
        <f t="shared" si="20"/>
        <v>0</v>
      </c>
      <c r="M156" s="1310">
        <f t="shared" si="21"/>
        <v>0</v>
      </c>
    </row>
    <row r="157" spans="1:13" ht="18" customHeight="1">
      <c r="A157" s="697">
        <f>A156+0.1</f>
        <v>3.4000000000000004</v>
      </c>
      <c r="B157" s="721"/>
      <c r="C157" s="761" t="s">
        <v>185</v>
      </c>
      <c r="D157" s="703" t="s">
        <v>21</v>
      </c>
      <c r="E157" s="790">
        <v>0.79</v>
      </c>
      <c r="F157" s="789">
        <f>E157*F153</f>
        <v>49.785800000000002</v>
      </c>
      <c r="G157" s="1435"/>
      <c r="H157" s="703">
        <f t="shared" si="19"/>
        <v>0</v>
      </c>
      <c r="I157" s="1414"/>
      <c r="J157" s="1309">
        <f t="shared" si="18"/>
        <v>0</v>
      </c>
      <c r="K157" s="1414"/>
      <c r="L157" s="1309">
        <f t="shared" si="20"/>
        <v>0</v>
      </c>
      <c r="M157" s="1310">
        <f t="shared" si="21"/>
        <v>0</v>
      </c>
    </row>
    <row r="158" spans="1:13" ht="18" customHeight="1">
      <c r="A158" s="697">
        <f>A157+0.1</f>
        <v>3.5000000000000004</v>
      </c>
      <c r="B158" s="712"/>
      <c r="C158" s="713" t="s">
        <v>119</v>
      </c>
      <c r="D158" s="700" t="s">
        <v>14</v>
      </c>
      <c r="E158" s="812">
        <v>1.6000000000000001E-3</v>
      </c>
      <c r="F158" s="789">
        <f>E158*F153</f>
        <v>0.100832</v>
      </c>
      <c r="G158" s="1416"/>
      <c r="H158" s="703">
        <f t="shared" si="19"/>
        <v>0</v>
      </c>
      <c r="I158" s="1414"/>
      <c r="J158" s="1309">
        <f t="shared" si="18"/>
        <v>0</v>
      </c>
      <c r="K158" s="1414"/>
      <c r="L158" s="1309">
        <f t="shared" si="20"/>
        <v>0</v>
      </c>
      <c r="M158" s="1310">
        <f t="shared" si="21"/>
        <v>0</v>
      </c>
    </row>
    <row r="159" spans="1:13" ht="18" customHeight="1">
      <c r="A159" s="697"/>
      <c r="B159" s="820"/>
      <c r="C159" s="713" t="s">
        <v>283</v>
      </c>
      <c r="D159" s="700"/>
      <c r="E159" s="812"/>
      <c r="F159" s="789"/>
      <c r="G159" s="1416"/>
      <c r="H159" s="703">
        <f t="shared" si="19"/>
        <v>0</v>
      </c>
      <c r="I159" s="1414"/>
      <c r="J159" s="1309">
        <f t="shared" si="18"/>
        <v>0</v>
      </c>
      <c r="K159" s="1414"/>
      <c r="L159" s="1309">
        <f t="shared" si="20"/>
        <v>0</v>
      </c>
      <c r="M159" s="1310">
        <f t="shared" si="21"/>
        <v>0</v>
      </c>
    </row>
    <row r="160" spans="1:13" s="770" customFormat="1" ht="63" customHeight="1">
      <c r="A160" s="765" t="s">
        <v>44</v>
      </c>
      <c r="B160" s="745"/>
      <c r="C160" s="746" t="s">
        <v>388</v>
      </c>
      <c r="D160" s="765" t="s">
        <v>827</v>
      </c>
      <c r="E160" s="768"/>
      <c r="F160" s="731">
        <f>5*6</f>
        <v>30</v>
      </c>
      <c r="G160" s="1429"/>
      <c r="H160" s="703">
        <f t="shared" si="19"/>
        <v>0</v>
      </c>
      <c r="I160" s="1468"/>
      <c r="J160" s="1309">
        <f t="shared" si="18"/>
        <v>0</v>
      </c>
      <c r="K160" s="1466"/>
      <c r="L160" s="1309">
        <f t="shared" si="20"/>
        <v>0</v>
      </c>
      <c r="M160" s="1310">
        <f t="shared" si="21"/>
        <v>0</v>
      </c>
    </row>
    <row r="161" spans="1:13" s="773" customFormat="1" ht="21" customHeight="1">
      <c r="A161" s="751">
        <f>A160+0.1</f>
        <v>1.1000000000000001</v>
      </c>
      <c r="B161" s="752"/>
      <c r="C161" s="753" t="s">
        <v>23</v>
      </c>
      <c r="D161" s="754" t="s">
        <v>13</v>
      </c>
      <c r="E161" s="821">
        <v>0.85599999999999998</v>
      </c>
      <c r="F161" s="772">
        <f>E161*F160</f>
        <v>25.68</v>
      </c>
      <c r="G161" s="1426"/>
      <c r="H161" s="703">
        <f t="shared" si="19"/>
        <v>0</v>
      </c>
      <c r="I161" s="1468"/>
      <c r="J161" s="1309">
        <f t="shared" si="18"/>
        <v>0</v>
      </c>
      <c r="K161" s="1467"/>
      <c r="L161" s="1309">
        <f t="shared" si="20"/>
        <v>0</v>
      </c>
      <c r="M161" s="1310">
        <f t="shared" si="21"/>
        <v>0</v>
      </c>
    </row>
    <row r="162" spans="1:13" s="773" customFormat="1" ht="21" customHeight="1">
      <c r="A162" s="751">
        <f>A161+0.1</f>
        <v>1.2000000000000002</v>
      </c>
      <c r="B162" s="752"/>
      <c r="C162" s="753" t="s">
        <v>51</v>
      </c>
      <c r="D162" s="757" t="s">
        <v>14</v>
      </c>
      <c r="E162" s="821">
        <v>1.2E-2</v>
      </c>
      <c r="F162" s="821">
        <f>E162*F160</f>
        <v>0.36</v>
      </c>
      <c r="G162" s="1430"/>
      <c r="H162" s="703">
        <f t="shared" si="19"/>
        <v>0</v>
      </c>
      <c r="I162" s="1468"/>
      <c r="J162" s="1309">
        <f t="shared" si="18"/>
        <v>0</v>
      </c>
      <c r="K162" s="1467"/>
      <c r="L162" s="1309">
        <f t="shared" si="20"/>
        <v>0</v>
      </c>
      <c r="M162" s="1310">
        <f t="shared" si="21"/>
        <v>0</v>
      </c>
    </row>
    <row r="163" spans="1:13" s="773" customFormat="1" ht="21" customHeight="1">
      <c r="A163" s="751">
        <f>A162+0.1</f>
        <v>1.3000000000000003</v>
      </c>
      <c r="B163" s="759"/>
      <c r="C163" s="760" t="s">
        <v>87</v>
      </c>
      <c r="D163" s="757" t="s">
        <v>21</v>
      </c>
      <c r="E163" s="758">
        <v>0.63</v>
      </c>
      <c r="F163" s="772">
        <f>E163*F160</f>
        <v>18.899999999999999</v>
      </c>
      <c r="G163" s="1430"/>
      <c r="H163" s="703">
        <f t="shared" si="19"/>
        <v>0</v>
      </c>
      <c r="I163" s="1468"/>
      <c r="J163" s="1309">
        <f t="shared" si="18"/>
        <v>0</v>
      </c>
      <c r="K163" s="1467"/>
      <c r="L163" s="1309">
        <f t="shared" si="20"/>
        <v>0</v>
      </c>
      <c r="M163" s="1310">
        <f t="shared" si="21"/>
        <v>0</v>
      </c>
    </row>
    <row r="164" spans="1:13" s="773" customFormat="1" ht="21" customHeight="1">
      <c r="A164" s="751">
        <f>A163+0.1</f>
        <v>1.4000000000000004</v>
      </c>
      <c r="B164" s="759"/>
      <c r="C164" s="760" t="s">
        <v>389</v>
      </c>
      <c r="D164" s="757" t="s">
        <v>21</v>
      </c>
      <c r="E164" s="758">
        <v>0.92</v>
      </c>
      <c r="F164" s="772">
        <f>E164*F160</f>
        <v>27.6</v>
      </c>
      <c r="G164" s="1430"/>
      <c r="H164" s="703">
        <f t="shared" si="19"/>
        <v>0</v>
      </c>
      <c r="I164" s="1468"/>
      <c r="J164" s="1309">
        <f t="shared" si="18"/>
        <v>0</v>
      </c>
      <c r="K164" s="1467"/>
      <c r="L164" s="1309">
        <f t="shared" si="20"/>
        <v>0</v>
      </c>
      <c r="M164" s="1310">
        <f t="shared" si="21"/>
        <v>0</v>
      </c>
    </row>
    <row r="165" spans="1:13" s="773" customFormat="1" ht="21" customHeight="1">
      <c r="A165" s="751">
        <f>A164+0.1</f>
        <v>1.5000000000000004</v>
      </c>
      <c r="B165" s="752"/>
      <c r="C165" s="753" t="s">
        <v>119</v>
      </c>
      <c r="D165" s="754" t="s">
        <v>14</v>
      </c>
      <c r="E165" s="821">
        <v>1.7999999999999999E-2</v>
      </c>
      <c r="F165" s="772">
        <f>E165*F160</f>
        <v>0.53999999999999992</v>
      </c>
      <c r="G165" s="1430"/>
      <c r="H165" s="703">
        <f t="shared" si="19"/>
        <v>0</v>
      </c>
      <c r="I165" s="1468"/>
      <c r="J165" s="1309">
        <f t="shared" si="18"/>
        <v>0</v>
      </c>
      <c r="K165" s="1467"/>
      <c r="L165" s="1309">
        <f t="shared" si="20"/>
        <v>0</v>
      </c>
      <c r="M165" s="1310">
        <f t="shared" si="21"/>
        <v>0</v>
      </c>
    </row>
    <row r="166" spans="1:13" ht="22.5" customHeight="1">
      <c r="A166" s="816"/>
      <c r="B166" s="822"/>
      <c r="C166" s="815" t="s">
        <v>186</v>
      </c>
      <c r="D166" s="823"/>
      <c r="E166" s="708"/>
      <c r="F166" s="789"/>
      <c r="G166" s="1435"/>
      <c r="H166" s="703">
        <f t="shared" si="19"/>
        <v>0</v>
      </c>
      <c r="I166" s="1414"/>
      <c r="J166" s="1309">
        <f t="shared" si="18"/>
        <v>0</v>
      </c>
      <c r="K166" s="1414"/>
      <c r="L166" s="1309">
        <f t="shared" si="20"/>
        <v>0</v>
      </c>
      <c r="M166" s="1310">
        <f t="shared" si="21"/>
        <v>0</v>
      </c>
    </row>
    <row r="167" spans="1:13" s="787" customFormat="1" ht="50.1" customHeight="1">
      <c r="A167" s="707" t="s">
        <v>44</v>
      </c>
      <c r="B167" s="819"/>
      <c r="C167" s="815" t="s">
        <v>402</v>
      </c>
      <c r="D167" s="707" t="s">
        <v>824</v>
      </c>
      <c r="E167" s="785"/>
      <c r="F167" s="824">
        <f>8*6.2</f>
        <v>49.6</v>
      </c>
      <c r="G167" s="1433"/>
      <c r="H167" s="703">
        <f t="shared" si="19"/>
        <v>0</v>
      </c>
      <c r="I167" s="1434"/>
      <c r="J167" s="1309">
        <f t="shared" si="18"/>
        <v>0</v>
      </c>
      <c r="K167" s="1434"/>
      <c r="L167" s="1309">
        <f t="shared" si="20"/>
        <v>0</v>
      </c>
      <c r="M167" s="1310">
        <f t="shared" si="21"/>
        <v>0</v>
      </c>
    </row>
    <row r="168" spans="1:13" ht="18" customHeight="1">
      <c r="A168" s="697">
        <f>A167+0.1</f>
        <v>1.1000000000000001</v>
      </c>
      <c r="B168" s="712"/>
      <c r="C168" s="713" t="s">
        <v>69</v>
      </c>
      <c r="D168" s="700" t="s">
        <v>43</v>
      </c>
      <c r="E168" s="790">
        <v>1</v>
      </c>
      <c r="F168" s="789">
        <f>E168*F167</f>
        <v>49.6</v>
      </c>
      <c r="G168" s="1435"/>
      <c r="H168" s="703">
        <f t="shared" si="19"/>
        <v>0</v>
      </c>
      <c r="I168" s="1414"/>
      <c r="J168" s="1309">
        <f t="shared" si="18"/>
        <v>0</v>
      </c>
      <c r="K168" s="1414"/>
      <c r="L168" s="1309">
        <f t="shared" si="20"/>
        <v>0</v>
      </c>
      <c r="M168" s="1310">
        <f t="shared" si="21"/>
        <v>0</v>
      </c>
    </row>
    <row r="169" spans="1:13" ht="18" customHeight="1">
      <c r="A169" s="697">
        <f>A168+0.1</f>
        <v>1.2000000000000002</v>
      </c>
      <c r="B169" s="712"/>
      <c r="C169" s="713" t="s">
        <v>117</v>
      </c>
      <c r="D169" s="703" t="s">
        <v>14</v>
      </c>
      <c r="E169" s="812">
        <v>2.3300000000000001E-2</v>
      </c>
      <c r="F169" s="813">
        <f>E169*F167</f>
        <v>1.15568</v>
      </c>
      <c r="G169" s="1416"/>
      <c r="H169" s="703">
        <f t="shared" si="19"/>
        <v>0</v>
      </c>
      <c r="I169" s="1414"/>
      <c r="J169" s="1309">
        <f t="shared" si="18"/>
        <v>0</v>
      </c>
      <c r="K169" s="703"/>
      <c r="L169" s="1309">
        <f t="shared" si="20"/>
        <v>0</v>
      </c>
      <c r="M169" s="1310">
        <f t="shared" si="21"/>
        <v>0</v>
      </c>
    </row>
    <row r="170" spans="1:13" ht="18" customHeight="1">
      <c r="A170" s="697">
        <f>A169+0.1</f>
        <v>1.3000000000000003</v>
      </c>
      <c r="B170" s="721"/>
      <c r="C170" s="713" t="s">
        <v>85</v>
      </c>
      <c r="D170" s="722" t="s">
        <v>15</v>
      </c>
      <c r="E170" s="813">
        <v>7.0000000000000007E-2</v>
      </c>
      <c r="F170" s="789">
        <f>E170*F167</f>
        <v>3.4720000000000004</v>
      </c>
      <c r="G170" s="1435"/>
      <c r="H170" s="703">
        <f t="shared" si="19"/>
        <v>0</v>
      </c>
      <c r="I170" s="1414"/>
      <c r="J170" s="1309">
        <f t="shared" si="18"/>
        <v>0</v>
      </c>
      <c r="K170" s="1414"/>
      <c r="L170" s="1309">
        <f t="shared" si="20"/>
        <v>0</v>
      </c>
      <c r="M170" s="1310">
        <f t="shared" si="21"/>
        <v>0</v>
      </c>
    </row>
    <row r="171" spans="1:13" ht="18" customHeight="1">
      <c r="A171" s="697">
        <f>A170+0.1</f>
        <v>1.4000000000000004</v>
      </c>
      <c r="B171" s="779"/>
      <c r="C171" s="713" t="s">
        <v>648</v>
      </c>
      <c r="D171" s="703" t="s">
        <v>63</v>
      </c>
      <c r="E171" s="813">
        <v>1</v>
      </c>
      <c r="F171" s="789">
        <f>F167*E171</f>
        <v>49.6</v>
      </c>
      <c r="G171" s="1435"/>
      <c r="H171" s="703">
        <f t="shared" si="19"/>
        <v>0</v>
      </c>
      <c r="I171" s="1414"/>
      <c r="J171" s="1309">
        <f t="shared" si="18"/>
        <v>0</v>
      </c>
      <c r="K171" s="1414"/>
      <c r="L171" s="1309">
        <f t="shared" si="20"/>
        <v>0</v>
      </c>
      <c r="M171" s="1310">
        <f t="shared" si="21"/>
        <v>0</v>
      </c>
    </row>
    <row r="172" spans="1:13" ht="18" customHeight="1">
      <c r="A172" s="697">
        <f>A171+0.1</f>
        <v>1.5000000000000004</v>
      </c>
      <c r="B172" s="712"/>
      <c r="C172" s="713" t="s">
        <v>119</v>
      </c>
      <c r="D172" s="700" t="s">
        <v>14</v>
      </c>
      <c r="E172" s="813">
        <v>6.4000000000000003E-3</v>
      </c>
      <c r="F172" s="813">
        <f>E172*F167</f>
        <v>0.31744</v>
      </c>
      <c r="G172" s="1416"/>
      <c r="H172" s="703">
        <f t="shared" si="19"/>
        <v>0</v>
      </c>
      <c r="I172" s="1414"/>
      <c r="J172" s="1309">
        <f t="shared" si="18"/>
        <v>0</v>
      </c>
      <c r="K172" s="1414"/>
      <c r="L172" s="1309">
        <f t="shared" si="20"/>
        <v>0</v>
      </c>
      <c r="M172" s="1310">
        <f t="shared" si="21"/>
        <v>0</v>
      </c>
    </row>
    <row r="173" spans="1:13" s="830" customFormat="1" ht="50.1" customHeight="1">
      <c r="A173" s="825">
        <v>2</v>
      </c>
      <c r="B173" s="826"/>
      <c r="C173" s="827" t="s">
        <v>647</v>
      </c>
      <c r="D173" s="828" t="s">
        <v>107</v>
      </c>
      <c r="E173" s="829">
        <f>E159/F173</f>
        <v>0</v>
      </c>
      <c r="F173" s="824">
        <f>8*6.2</f>
        <v>49.6</v>
      </c>
      <c r="G173" s="1452"/>
      <c r="H173" s="703">
        <f t="shared" si="19"/>
        <v>0</v>
      </c>
      <c r="I173" s="1453"/>
      <c r="J173" s="1309">
        <f t="shared" si="18"/>
        <v>0</v>
      </c>
      <c r="K173" s="1454"/>
      <c r="L173" s="1309">
        <f t="shared" si="20"/>
        <v>0</v>
      </c>
      <c r="M173" s="1310">
        <f t="shared" si="21"/>
        <v>0</v>
      </c>
    </row>
    <row r="174" spans="1:13" s="830" customFormat="1" ht="20.100000000000001" customHeight="1">
      <c r="A174" s="831">
        <f t="shared" ref="A174:A180" si="23">A173+0.1</f>
        <v>2.1</v>
      </c>
      <c r="B174" s="832"/>
      <c r="C174" s="833" t="s">
        <v>307</v>
      </c>
      <c r="D174" s="834" t="s">
        <v>13</v>
      </c>
      <c r="E174" s="835">
        <v>0.32800000000000001</v>
      </c>
      <c r="F174" s="836">
        <f>F173*E174</f>
        <v>16.268800000000002</v>
      </c>
      <c r="G174" s="1455"/>
      <c r="H174" s="703">
        <f t="shared" si="19"/>
        <v>0</v>
      </c>
      <c r="I174" s="1456"/>
      <c r="J174" s="1309">
        <f t="shared" si="18"/>
        <v>0</v>
      </c>
      <c r="K174" s="834"/>
      <c r="L174" s="1309">
        <f t="shared" si="20"/>
        <v>0</v>
      </c>
      <c r="M174" s="1310">
        <f t="shared" si="21"/>
        <v>0</v>
      </c>
    </row>
    <row r="175" spans="1:13" s="830" customFormat="1" ht="20.100000000000001" customHeight="1">
      <c r="A175" s="831">
        <f t="shared" si="23"/>
        <v>2.2000000000000002</v>
      </c>
      <c r="B175" s="832"/>
      <c r="C175" s="833" t="s">
        <v>51</v>
      </c>
      <c r="D175" s="834" t="s">
        <v>14</v>
      </c>
      <c r="E175" s="837">
        <f>0.0138+0.009</f>
        <v>2.2800000000000001E-2</v>
      </c>
      <c r="F175" s="836">
        <f>F173*E175</f>
        <v>1.1308800000000001</v>
      </c>
      <c r="G175" s="832"/>
      <c r="H175" s="703">
        <f t="shared" si="19"/>
        <v>0</v>
      </c>
      <c r="I175" s="1453"/>
      <c r="J175" s="1309">
        <f t="shared" si="18"/>
        <v>0</v>
      </c>
      <c r="K175" s="1456"/>
      <c r="L175" s="1309">
        <f t="shared" si="20"/>
        <v>0</v>
      </c>
      <c r="M175" s="1310">
        <f t="shared" si="21"/>
        <v>0</v>
      </c>
    </row>
    <row r="176" spans="1:13" s="830" customFormat="1" ht="33" customHeight="1">
      <c r="A176" s="831">
        <f t="shared" si="23"/>
        <v>2.3000000000000003</v>
      </c>
      <c r="B176" s="832"/>
      <c r="C176" s="833" t="s">
        <v>390</v>
      </c>
      <c r="D176" s="834" t="s">
        <v>107</v>
      </c>
      <c r="E176" s="836">
        <v>2.2400000000000002</v>
      </c>
      <c r="F176" s="836">
        <f>F173*E176</f>
        <v>111.10400000000001</v>
      </c>
      <c r="G176" s="1457"/>
      <c r="H176" s="703">
        <f t="shared" si="19"/>
        <v>0</v>
      </c>
      <c r="I176" s="1453"/>
      <c r="J176" s="1309">
        <f t="shared" si="18"/>
        <v>0</v>
      </c>
      <c r="K176" s="834"/>
      <c r="L176" s="1309">
        <f t="shared" si="20"/>
        <v>0</v>
      </c>
      <c r="M176" s="1310">
        <f t="shared" si="21"/>
        <v>0</v>
      </c>
    </row>
    <row r="177" spans="1:13" s="830" customFormat="1" ht="33" customHeight="1">
      <c r="A177" s="831">
        <f t="shared" si="23"/>
        <v>2.4000000000000004</v>
      </c>
      <c r="B177" s="832"/>
      <c r="C177" s="833" t="s">
        <v>799</v>
      </c>
      <c r="D177" s="834" t="s">
        <v>107</v>
      </c>
      <c r="E177" s="836">
        <v>1.1200000000000001</v>
      </c>
      <c r="F177" s="836">
        <f>F173*E177</f>
        <v>55.552000000000007</v>
      </c>
      <c r="G177" s="1457"/>
      <c r="H177" s="703">
        <f t="shared" si="19"/>
        <v>0</v>
      </c>
      <c r="I177" s="1453"/>
      <c r="J177" s="1309">
        <f t="shared" si="18"/>
        <v>0</v>
      </c>
      <c r="K177" s="834"/>
      <c r="L177" s="1309">
        <f t="shared" si="20"/>
        <v>0</v>
      </c>
      <c r="M177" s="1310">
        <f t="shared" si="21"/>
        <v>0</v>
      </c>
    </row>
    <row r="178" spans="1:13" s="830" customFormat="1" ht="20.100000000000001" customHeight="1">
      <c r="A178" s="831">
        <f t="shared" si="23"/>
        <v>2.5000000000000004</v>
      </c>
      <c r="B178" s="832"/>
      <c r="C178" s="833" t="s">
        <v>391</v>
      </c>
      <c r="D178" s="834" t="s">
        <v>349</v>
      </c>
      <c r="E178" s="836">
        <v>0.4</v>
      </c>
      <c r="F178" s="836">
        <f>F173*E178</f>
        <v>19.840000000000003</v>
      </c>
      <c r="G178" s="1457"/>
      <c r="H178" s="703">
        <f t="shared" si="19"/>
        <v>0</v>
      </c>
      <c r="I178" s="1453"/>
      <c r="J178" s="1309">
        <f t="shared" si="18"/>
        <v>0</v>
      </c>
      <c r="K178" s="834"/>
      <c r="L178" s="1309">
        <f t="shared" si="20"/>
        <v>0</v>
      </c>
      <c r="M178" s="1310">
        <f t="shared" si="21"/>
        <v>0</v>
      </c>
    </row>
    <row r="179" spans="1:13" s="830" customFormat="1" ht="20.100000000000001" customHeight="1">
      <c r="A179" s="831">
        <f t="shared" si="23"/>
        <v>2.6000000000000005</v>
      </c>
      <c r="B179" s="832"/>
      <c r="C179" s="833" t="s">
        <v>392</v>
      </c>
      <c r="D179" s="834" t="s">
        <v>349</v>
      </c>
      <c r="E179" s="836">
        <v>0.4</v>
      </c>
      <c r="F179" s="836">
        <f>F173*E179</f>
        <v>19.840000000000003</v>
      </c>
      <c r="G179" s="1457"/>
      <c r="H179" s="703">
        <f t="shared" si="19"/>
        <v>0</v>
      </c>
      <c r="I179" s="1453"/>
      <c r="J179" s="1309">
        <f t="shared" si="18"/>
        <v>0</v>
      </c>
      <c r="K179" s="834"/>
      <c r="L179" s="1309">
        <f t="shared" si="20"/>
        <v>0</v>
      </c>
      <c r="M179" s="1310">
        <f t="shared" si="21"/>
        <v>0</v>
      </c>
    </row>
    <row r="180" spans="1:13" s="830" customFormat="1" ht="20.100000000000001" customHeight="1">
      <c r="A180" s="831">
        <f t="shared" si="23"/>
        <v>2.7000000000000006</v>
      </c>
      <c r="B180" s="832"/>
      <c r="C180" s="833" t="s">
        <v>198</v>
      </c>
      <c r="D180" s="834" t="s">
        <v>14</v>
      </c>
      <c r="E180" s="837">
        <v>1.9E-3</v>
      </c>
      <c r="F180" s="835">
        <f>F173*E180</f>
        <v>9.4240000000000004E-2</v>
      </c>
      <c r="G180" s="1457"/>
      <c r="H180" s="703">
        <f t="shared" si="19"/>
        <v>0</v>
      </c>
      <c r="I180" s="1453"/>
      <c r="J180" s="1309">
        <f t="shared" si="18"/>
        <v>0</v>
      </c>
      <c r="K180" s="834"/>
      <c r="L180" s="1309">
        <f t="shared" si="20"/>
        <v>0</v>
      </c>
      <c r="M180" s="1310">
        <f t="shared" si="21"/>
        <v>0</v>
      </c>
    </row>
    <row r="181" spans="1:13" s="830" customFormat="1" ht="50.1" customHeight="1">
      <c r="A181" s="838">
        <v>3</v>
      </c>
      <c r="B181" s="839"/>
      <c r="C181" s="840" t="s">
        <v>393</v>
      </c>
      <c r="D181" s="841" t="s">
        <v>43</v>
      </c>
      <c r="E181" s="842"/>
      <c r="F181" s="843">
        <v>6.5</v>
      </c>
      <c r="G181" s="1458"/>
      <c r="H181" s="703">
        <f t="shared" si="19"/>
        <v>0</v>
      </c>
      <c r="I181" s="1331"/>
      <c r="J181" s="1309">
        <f t="shared" si="18"/>
        <v>0</v>
      </c>
      <c r="K181" s="1149"/>
      <c r="L181" s="1309">
        <f t="shared" si="20"/>
        <v>0</v>
      </c>
      <c r="M181" s="1310">
        <f t="shared" si="21"/>
        <v>0</v>
      </c>
    </row>
    <row r="182" spans="1:13" s="830" customFormat="1" ht="20.100000000000001" customHeight="1">
      <c r="A182" s="831">
        <f t="shared" ref="A182:A188" si="24">A181+0.1</f>
        <v>3.1</v>
      </c>
      <c r="B182" s="694"/>
      <c r="C182" s="734" t="s">
        <v>23</v>
      </c>
      <c r="D182" s="735" t="s">
        <v>13</v>
      </c>
      <c r="E182" s="842">
        <v>0.83</v>
      </c>
      <c r="F182" s="844">
        <f>F181*E182</f>
        <v>5.3949999999999996</v>
      </c>
      <c r="G182" s="1458"/>
      <c r="H182" s="703">
        <f t="shared" si="19"/>
        <v>0</v>
      </c>
      <c r="I182" s="1312"/>
      <c r="J182" s="1309">
        <f t="shared" si="18"/>
        <v>0</v>
      </c>
      <c r="K182" s="1149"/>
      <c r="L182" s="1309">
        <f t="shared" si="20"/>
        <v>0</v>
      </c>
      <c r="M182" s="1310">
        <f t="shared" si="21"/>
        <v>0</v>
      </c>
    </row>
    <row r="183" spans="1:13" s="830" customFormat="1" ht="20.100000000000001" customHeight="1">
      <c r="A183" s="831">
        <f t="shared" si="24"/>
        <v>3.2</v>
      </c>
      <c r="B183" s="694"/>
      <c r="C183" s="734" t="s">
        <v>51</v>
      </c>
      <c r="D183" s="742" t="s">
        <v>14</v>
      </c>
      <c r="E183" s="842">
        <v>4.1000000000000003E-3</v>
      </c>
      <c r="F183" s="842">
        <f>F181*E183</f>
        <v>2.6650000000000004E-2</v>
      </c>
      <c r="G183" s="1458"/>
      <c r="H183" s="703">
        <f t="shared" si="19"/>
        <v>0</v>
      </c>
      <c r="I183" s="1331"/>
      <c r="J183" s="1309">
        <f t="shared" si="18"/>
        <v>0</v>
      </c>
      <c r="K183" s="1313"/>
      <c r="L183" s="1309">
        <f t="shared" si="20"/>
        <v>0</v>
      </c>
      <c r="M183" s="1310">
        <f t="shared" si="21"/>
        <v>0</v>
      </c>
    </row>
    <row r="184" spans="1:13" s="830" customFormat="1" ht="20.100000000000001" customHeight="1">
      <c r="A184" s="831">
        <f t="shared" si="24"/>
        <v>3.3000000000000003</v>
      </c>
      <c r="B184" s="845"/>
      <c r="C184" s="846" t="s">
        <v>187</v>
      </c>
      <c r="D184" s="847" t="s">
        <v>43</v>
      </c>
      <c r="E184" s="842">
        <v>1.28</v>
      </c>
      <c r="F184" s="844">
        <f>F181*E184</f>
        <v>8.32</v>
      </c>
      <c r="G184" s="1459"/>
      <c r="H184" s="703">
        <f t="shared" si="19"/>
        <v>0</v>
      </c>
      <c r="I184" s="1331"/>
      <c r="J184" s="1309">
        <f t="shared" si="18"/>
        <v>0</v>
      </c>
      <c r="K184" s="1149"/>
      <c r="L184" s="1309">
        <f t="shared" si="20"/>
        <v>0</v>
      </c>
      <c r="M184" s="1310">
        <f t="shared" si="21"/>
        <v>0</v>
      </c>
    </row>
    <row r="185" spans="1:13" s="830" customFormat="1" ht="20.100000000000001" customHeight="1">
      <c r="A185" s="831">
        <f t="shared" si="24"/>
        <v>3.4000000000000004</v>
      </c>
      <c r="B185" s="848"/>
      <c r="C185" s="846" t="s">
        <v>89</v>
      </c>
      <c r="D185" s="693" t="s">
        <v>61</v>
      </c>
      <c r="E185" s="842">
        <v>0.03</v>
      </c>
      <c r="F185" s="842">
        <f>F181*E185</f>
        <v>0.19500000000000001</v>
      </c>
      <c r="G185" s="1418"/>
      <c r="H185" s="703">
        <f t="shared" si="19"/>
        <v>0</v>
      </c>
      <c r="I185" s="1331"/>
      <c r="J185" s="1309">
        <f t="shared" si="18"/>
        <v>0</v>
      </c>
      <c r="K185" s="1149"/>
      <c r="L185" s="1309">
        <f t="shared" si="20"/>
        <v>0</v>
      </c>
      <c r="M185" s="1310">
        <f t="shared" si="21"/>
        <v>0</v>
      </c>
    </row>
    <row r="186" spans="1:13" s="830" customFormat="1" ht="20.100000000000001" customHeight="1">
      <c r="A186" s="831">
        <f t="shared" si="24"/>
        <v>3.5000000000000004</v>
      </c>
      <c r="B186" s="845"/>
      <c r="C186" s="846" t="s">
        <v>92</v>
      </c>
      <c r="D186" s="847" t="s">
        <v>11</v>
      </c>
      <c r="E186" s="842">
        <v>6</v>
      </c>
      <c r="F186" s="849">
        <f>F181*E186</f>
        <v>39</v>
      </c>
      <c r="G186" s="1459"/>
      <c r="H186" s="703">
        <f t="shared" si="19"/>
        <v>0</v>
      </c>
      <c r="I186" s="1331"/>
      <c r="J186" s="1309">
        <f t="shared" si="18"/>
        <v>0</v>
      </c>
      <c r="K186" s="1149"/>
      <c r="L186" s="1309">
        <f t="shared" si="20"/>
        <v>0</v>
      </c>
      <c r="M186" s="1310">
        <f t="shared" si="21"/>
        <v>0</v>
      </c>
    </row>
    <row r="187" spans="1:13" s="830" customFormat="1" ht="20.100000000000001" customHeight="1">
      <c r="A187" s="831">
        <f t="shared" si="24"/>
        <v>3.6000000000000005</v>
      </c>
      <c r="B187" s="845"/>
      <c r="C187" s="846" t="s">
        <v>88</v>
      </c>
      <c r="D187" s="847" t="s">
        <v>21</v>
      </c>
      <c r="E187" s="842">
        <v>7.0000000000000007E-2</v>
      </c>
      <c r="F187" s="842">
        <f>F181*E187</f>
        <v>0.45500000000000007</v>
      </c>
      <c r="G187" s="1460"/>
      <c r="H187" s="703">
        <f t="shared" si="19"/>
        <v>0</v>
      </c>
      <c r="I187" s="1331"/>
      <c r="J187" s="1309">
        <f t="shared" si="18"/>
        <v>0</v>
      </c>
      <c r="K187" s="1149"/>
      <c r="L187" s="1309">
        <f t="shared" si="20"/>
        <v>0</v>
      </c>
      <c r="M187" s="1310">
        <f t="shared" si="21"/>
        <v>0</v>
      </c>
    </row>
    <row r="188" spans="1:13" s="830" customFormat="1" ht="20.100000000000001" customHeight="1">
      <c r="A188" s="831">
        <f t="shared" si="24"/>
        <v>3.7000000000000006</v>
      </c>
      <c r="B188" s="850"/>
      <c r="C188" s="851" t="s">
        <v>119</v>
      </c>
      <c r="D188" s="852" t="s">
        <v>14</v>
      </c>
      <c r="E188" s="853">
        <v>7.8E-2</v>
      </c>
      <c r="F188" s="842">
        <f>F181*E188</f>
        <v>0.50700000000000001</v>
      </c>
      <c r="G188" s="1461"/>
      <c r="H188" s="703">
        <f t="shared" si="19"/>
        <v>0</v>
      </c>
      <c r="I188" s="1331"/>
      <c r="J188" s="1309">
        <f t="shared" si="18"/>
        <v>0</v>
      </c>
      <c r="K188" s="1149"/>
      <c r="L188" s="1309">
        <f t="shared" si="20"/>
        <v>0</v>
      </c>
      <c r="M188" s="1310">
        <f t="shared" si="21"/>
        <v>0</v>
      </c>
    </row>
    <row r="189" spans="1:13" ht="18" customHeight="1">
      <c r="A189" s="697"/>
      <c r="B189" s="712"/>
      <c r="C189" s="699" t="s">
        <v>302</v>
      </c>
      <c r="D189" s="700"/>
      <c r="E189" s="715"/>
      <c r="F189" s="792"/>
      <c r="G189" s="1432"/>
      <c r="H189" s="703">
        <f t="shared" ref="H189:H218" si="25">F189*G189</f>
        <v>0</v>
      </c>
      <c r="I189" s="1414"/>
      <c r="J189" s="1309">
        <f t="shared" ref="J189:J218" si="26">F189*I189</f>
        <v>0</v>
      </c>
      <c r="K189" s="1414"/>
      <c r="L189" s="1309">
        <f t="shared" ref="L189:L218" si="27">F189*K189</f>
        <v>0</v>
      </c>
      <c r="M189" s="1310">
        <f t="shared" ref="M189:M218" si="28">H189+J189+L189</f>
        <v>0</v>
      </c>
    </row>
    <row r="190" spans="1:13" s="787" customFormat="1" ht="50.1" customHeight="1">
      <c r="A190" s="783" t="s">
        <v>44</v>
      </c>
      <c r="B190" s="784"/>
      <c r="C190" s="699" t="s">
        <v>97</v>
      </c>
      <c r="D190" s="783" t="s">
        <v>98</v>
      </c>
      <c r="E190" s="785">
        <f>6.8*2+5.8*2</f>
        <v>25.2</v>
      </c>
      <c r="F190" s="786">
        <v>12.4</v>
      </c>
      <c r="G190" s="1433"/>
      <c r="H190" s="703">
        <f t="shared" si="25"/>
        <v>0</v>
      </c>
      <c r="I190" s="1434"/>
      <c r="J190" s="1309">
        <f t="shared" si="26"/>
        <v>0</v>
      </c>
      <c r="K190" s="1434"/>
      <c r="L190" s="1309">
        <f t="shared" si="27"/>
        <v>0</v>
      </c>
      <c r="M190" s="1310">
        <f t="shared" si="28"/>
        <v>0</v>
      </c>
    </row>
    <row r="191" spans="1:13" s="787" customFormat="1" ht="18" customHeight="1">
      <c r="A191" s="697">
        <f>A190+0.1</f>
        <v>1.1000000000000001</v>
      </c>
      <c r="B191" s="712"/>
      <c r="C191" s="713" t="s">
        <v>69</v>
      </c>
      <c r="D191" s="700" t="s">
        <v>13</v>
      </c>
      <c r="E191" s="788">
        <v>0.49</v>
      </c>
      <c r="F191" s="789">
        <f>E191*F190</f>
        <v>6.0759999999999996</v>
      </c>
      <c r="G191" s="1435"/>
      <c r="H191" s="703">
        <f t="shared" si="25"/>
        <v>0</v>
      </c>
      <c r="I191" s="1414"/>
      <c r="J191" s="1309">
        <f t="shared" si="26"/>
        <v>0</v>
      </c>
      <c r="K191" s="1434"/>
      <c r="L191" s="1309">
        <f t="shared" si="27"/>
        <v>0</v>
      </c>
      <c r="M191" s="1310">
        <f t="shared" si="28"/>
        <v>0</v>
      </c>
    </row>
    <row r="192" spans="1:13" s="787" customFormat="1" ht="18" customHeight="1">
      <c r="A192" s="697">
        <f>A191+0.1</f>
        <v>1.2000000000000002</v>
      </c>
      <c r="B192" s="712"/>
      <c r="C192" s="713" t="s">
        <v>117</v>
      </c>
      <c r="D192" s="703" t="s">
        <v>14</v>
      </c>
      <c r="E192" s="788">
        <v>1.7999999999999999E-2</v>
      </c>
      <c r="F192" s="789">
        <f>F190*E192</f>
        <v>0.22319999999999998</v>
      </c>
      <c r="G192" s="1416"/>
      <c r="H192" s="703">
        <f t="shared" si="25"/>
        <v>0</v>
      </c>
      <c r="I192" s="1434"/>
      <c r="J192" s="1309">
        <f t="shared" si="26"/>
        <v>0</v>
      </c>
      <c r="K192" s="703"/>
      <c r="L192" s="1309">
        <f t="shared" si="27"/>
        <v>0</v>
      </c>
      <c r="M192" s="1310">
        <f t="shared" si="28"/>
        <v>0</v>
      </c>
    </row>
    <row r="193" spans="1:13" s="787" customFormat="1" ht="18" customHeight="1">
      <c r="A193" s="697">
        <f>A192+0.1</f>
        <v>1.3000000000000003</v>
      </c>
      <c r="B193" s="721"/>
      <c r="C193" s="713" t="s">
        <v>85</v>
      </c>
      <c r="D193" s="722" t="s">
        <v>15</v>
      </c>
      <c r="E193" s="788">
        <v>1.06E-2</v>
      </c>
      <c r="F193" s="789">
        <f>E193*F190</f>
        <v>0.13144</v>
      </c>
      <c r="G193" s="1435"/>
      <c r="H193" s="703">
        <f t="shared" si="25"/>
        <v>0</v>
      </c>
      <c r="I193" s="1434"/>
      <c r="J193" s="1309">
        <f t="shared" si="26"/>
        <v>0</v>
      </c>
      <c r="K193" s="1434"/>
      <c r="L193" s="1309">
        <f t="shared" si="27"/>
        <v>0</v>
      </c>
      <c r="M193" s="1310">
        <f t="shared" si="28"/>
        <v>0</v>
      </c>
    </row>
    <row r="194" spans="1:13" s="787" customFormat="1" ht="50.1" customHeight="1">
      <c r="A194" s="783" t="s">
        <v>45</v>
      </c>
      <c r="B194" s="784"/>
      <c r="C194" s="699" t="s">
        <v>100</v>
      </c>
      <c r="D194" s="776" t="s">
        <v>824</v>
      </c>
      <c r="E194" s="785">
        <f>E190*3.3</f>
        <v>83.16</v>
      </c>
      <c r="F194" s="786">
        <f>83.16-1.6*2.3-1.5*1.6</f>
        <v>77.079999999999984</v>
      </c>
      <c r="G194" s="1433"/>
      <c r="H194" s="703">
        <f t="shared" si="25"/>
        <v>0</v>
      </c>
      <c r="I194" s="1434"/>
      <c r="J194" s="1309">
        <f t="shared" si="26"/>
        <v>0</v>
      </c>
      <c r="K194" s="1434"/>
      <c r="L194" s="1309">
        <f t="shared" si="27"/>
        <v>0</v>
      </c>
      <c r="M194" s="1310">
        <f t="shared" si="28"/>
        <v>0</v>
      </c>
    </row>
    <row r="195" spans="1:13" ht="18" customHeight="1">
      <c r="A195" s="697">
        <f>A194+0.1</f>
        <v>2.1</v>
      </c>
      <c r="B195" s="712"/>
      <c r="C195" s="713" t="s">
        <v>69</v>
      </c>
      <c r="D195" s="700" t="s">
        <v>13</v>
      </c>
      <c r="E195" s="788">
        <v>0.93</v>
      </c>
      <c r="F195" s="789">
        <f>E195*F194</f>
        <v>71.684399999999982</v>
      </c>
      <c r="G195" s="1432"/>
      <c r="H195" s="703">
        <f t="shared" si="25"/>
        <v>0</v>
      </c>
      <c r="I195" s="1414"/>
      <c r="J195" s="1309">
        <f t="shared" si="26"/>
        <v>0</v>
      </c>
      <c r="K195" s="1414"/>
      <c r="L195" s="1309">
        <f t="shared" si="27"/>
        <v>0</v>
      </c>
      <c r="M195" s="1310">
        <f t="shared" si="28"/>
        <v>0</v>
      </c>
    </row>
    <row r="196" spans="1:13" ht="18" customHeight="1">
      <c r="A196" s="697">
        <f>A195+0.1</f>
        <v>2.2000000000000002</v>
      </c>
      <c r="B196" s="712"/>
      <c r="C196" s="713" t="s">
        <v>117</v>
      </c>
      <c r="D196" s="703" t="s">
        <v>14</v>
      </c>
      <c r="E196" s="788">
        <v>2.5999999999999999E-2</v>
      </c>
      <c r="F196" s="790">
        <f>E196*F194</f>
        <v>2.0040799999999996</v>
      </c>
      <c r="G196" s="1416"/>
      <c r="H196" s="703">
        <f t="shared" si="25"/>
        <v>0</v>
      </c>
      <c r="I196" s="1414"/>
      <c r="J196" s="1309">
        <f t="shared" si="26"/>
        <v>0</v>
      </c>
      <c r="K196" s="703"/>
      <c r="L196" s="1309">
        <f t="shared" si="27"/>
        <v>0</v>
      </c>
      <c r="M196" s="1310">
        <f t="shared" si="28"/>
        <v>0</v>
      </c>
    </row>
    <row r="197" spans="1:13" ht="18" customHeight="1">
      <c r="A197" s="697">
        <f>A196+0.1</f>
        <v>2.3000000000000003</v>
      </c>
      <c r="B197" s="712"/>
      <c r="C197" s="713" t="s">
        <v>101</v>
      </c>
      <c r="D197" s="703" t="s">
        <v>62</v>
      </c>
      <c r="E197" s="788">
        <v>2.4E-2</v>
      </c>
      <c r="F197" s="790">
        <f>E197*F194</f>
        <v>1.8499199999999996</v>
      </c>
      <c r="G197" s="1435"/>
      <c r="H197" s="703">
        <f t="shared" si="25"/>
        <v>0</v>
      </c>
      <c r="I197" s="1414"/>
      <c r="J197" s="1309">
        <f t="shared" si="26"/>
        <v>0</v>
      </c>
      <c r="K197" s="1414"/>
      <c r="L197" s="1309">
        <f t="shared" si="27"/>
        <v>0</v>
      </c>
      <c r="M197" s="1310">
        <f t="shared" si="28"/>
        <v>0</v>
      </c>
    </row>
    <row r="198" spans="1:13" ht="18" customHeight="1">
      <c r="A198" s="697">
        <f>A197+0.1</f>
        <v>2.4000000000000004</v>
      </c>
      <c r="B198" s="721"/>
      <c r="C198" s="713" t="s">
        <v>85</v>
      </c>
      <c r="D198" s="722" t="s">
        <v>15</v>
      </c>
      <c r="E198" s="812">
        <v>2.5499999999999998E-2</v>
      </c>
      <c r="F198" s="789">
        <f>E198*F194</f>
        <v>1.9655399999999994</v>
      </c>
      <c r="G198" s="1435"/>
      <c r="H198" s="703">
        <f t="shared" si="25"/>
        <v>0</v>
      </c>
      <c r="I198" s="1414"/>
      <c r="J198" s="1309">
        <f t="shared" si="26"/>
        <v>0</v>
      </c>
      <c r="K198" s="1414"/>
      <c r="L198" s="1309">
        <f t="shared" si="27"/>
        <v>0</v>
      </c>
      <c r="M198" s="1310">
        <f t="shared" si="28"/>
        <v>0</v>
      </c>
    </row>
    <row r="199" spans="1:13" s="787" customFormat="1" ht="64.5" customHeight="1">
      <c r="A199" s="783" t="s">
        <v>46</v>
      </c>
      <c r="B199" s="718"/>
      <c r="C199" s="699" t="s">
        <v>188</v>
      </c>
      <c r="D199" s="783" t="s">
        <v>824</v>
      </c>
      <c r="E199" s="785"/>
      <c r="F199" s="786">
        <f>F194+F190*0.2</f>
        <v>79.559999999999988</v>
      </c>
      <c r="G199" s="1433"/>
      <c r="H199" s="703">
        <f t="shared" si="25"/>
        <v>0</v>
      </c>
      <c r="I199" s="1434"/>
      <c r="J199" s="1309">
        <f t="shared" si="26"/>
        <v>0</v>
      </c>
      <c r="K199" s="1434"/>
      <c r="L199" s="1309">
        <f t="shared" si="27"/>
        <v>0</v>
      </c>
      <c r="M199" s="1310">
        <f t="shared" si="28"/>
        <v>0</v>
      </c>
    </row>
    <row r="200" spans="1:13" ht="18" customHeight="1">
      <c r="A200" s="697">
        <f t="shared" ref="A200:A205" si="29">A199+0.1</f>
        <v>3.1</v>
      </c>
      <c r="B200" s="712"/>
      <c r="C200" s="713" t="s">
        <v>69</v>
      </c>
      <c r="D200" s="700" t="s">
        <v>13</v>
      </c>
      <c r="E200" s="813">
        <v>0.65800000000000003</v>
      </c>
      <c r="F200" s="789">
        <f>E200*F199</f>
        <v>52.350479999999997</v>
      </c>
      <c r="G200" s="1435"/>
      <c r="H200" s="703">
        <f t="shared" si="25"/>
        <v>0</v>
      </c>
      <c r="I200" s="1414"/>
      <c r="J200" s="1309">
        <f t="shared" si="26"/>
        <v>0</v>
      </c>
      <c r="K200" s="1414"/>
      <c r="L200" s="1309">
        <f t="shared" si="27"/>
        <v>0</v>
      </c>
      <c r="M200" s="1310">
        <f t="shared" si="28"/>
        <v>0</v>
      </c>
    </row>
    <row r="201" spans="1:13" ht="18" customHeight="1">
      <c r="A201" s="697">
        <f t="shared" si="29"/>
        <v>3.2</v>
      </c>
      <c r="B201" s="712"/>
      <c r="C201" s="713" t="s">
        <v>117</v>
      </c>
      <c r="D201" s="703" t="s">
        <v>14</v>
      </c>
      <c r="E201" s="813">
        <v>1E-3</v>
      </c>
      <c r="F201" s="813">
        <f>E201*F199</f>
        <v>7.9559999999999992E-2</v>
      </c>
      <c r="G201" s="1416"/>
      <c r="H201" s="703">
        <f t="shared" si="25"/>
        <v>0</v>
      </c>
      <c r="I201" s="1414"/>
      <c r="J201" s="1309">
        <f t="shared" si="26"/>
        <v>0</v>
      </c>
      <c r="K201" s="703"/>
      <c r="L201" s="1309">
        <f t="shared" si="27"/>
        <v>0</v>
      </c>
      <c r="M201" s="1310">
        <f t="shared" si="28"/>
        <v>0</v>
      </c>
    </row>
    <row r="202" spans="1:13" ht="18" customHeight="1">
      <c r="A202" s="697">
        <f t="shared" si="29"/>
        <v>3.3000000000000003</v>
      </c>
      <c r="B202" s="721"/>
      <c r="C202" s="761" t="s">
        <v>102</v>
      </c>
      <c r="D202" s="703" t="s">
        <v>21</v>
      </c>
      <c r="E202" s="790">
        <v>0.63</v>
      </c>
      <c r="F202" s="789">
        <f>E202*F199</f>
        <v>50.122799999999991</v>
      </c>
      <c r="G202" s="1435"/>
      <c r="H202" s="703">
        <f t="shared" si="25"/>
        <v>0</v>
      </c>
      <c r="I202" s="1414"/>
      <c r="J202" s="1309">
        <f t="shared" si="26"/>
        <v>0</v>
      </c>
      <c r="K202" s="1414"/>
      <c r="L202" s="1309">
        <f t="shared" si="27"/>
        <v>0</v>
      </c>
      <c r="M202" s="1310">
        <f t="shared" si="28"/>
        <v>0</v>
      </c>
    </row>
    <row r="203" spans="1:13" ht="18" customHeight="1">
      <c r="A203" s="697">
        <f t="shared" si="29"/>
        <v>3.4000000000000004</v>
      </c>
      <c r="B203" s="721"/>
      <c r="C203" s="761" t="s">
        <v>189</v>
      </c>
      <c r="D203" s="703" t="s">
        <v>21</v>
      </c>
      <c r="E203" s="790">
        <v>0.1</v>
      </c>
      <c r="F203" s="789">
        <f>F199*E203</f>
        <v>7.9559999999999995</v>
      </c>
      <c r="G203" s="1435"/>
      <c r="H203" s="703">
        <f t="shared" si="25"/>
        <v>0</v>
      </c>
      <c r="I203" s="1414"/>
      <c r="J203" s="1309">
        <f t="shared" si="26"/>
        <v>0</v>
      </c>
      <c r="K203" s="1414"/>
      <c r="L203" s="1309">
        <f t="shared" si="27"/>
        <v>0</v>
      </c>
      <c r="M203" s="1310">
        <f t="shared" si="28"/>
        <v>0</v>
      </c>
    </row>
    <row r="204" spans="1:13" ht="18" customHeight="1">
      <c r="A204" s="697">
        <f t="shared" si="29"/>
        <v>3.5000000000000004</v>
      </c>
      <c r="B204" s="721"/>
      <c r="C204" s="761" t="s">
        <v>190</v>
      </c>
      <c r="D204" s="703" t="s">
        <v>21</v>
      </c>
      <c r="E204" s="790">
        <v>0.79</v>
      </c>
      <c r="F204" s="789">
        <f>E204*F199</f>
        <v>62.852399999999996</v>
      </c>
      <c r="G204" s="1416"/>
      <c r="H204" s="703">
        <f t="shared" si="25"/>
        <v>0</v>
      </c>
      <c r="I204" s="1414"/>
      <c r="J204" s="1309">
        <f t="shared" si="26"/>
        <v>0</v>
      </c>
      <c r="K204" s="1414"/>
      <c r="L204" s="1309">
        <f t="shared" si="27"/>
        <v>0</v>
      </c>
      <c r="M204" s="1310">
        <f t="shared" si="28"/>
        <v>0</v>
      </c>
    </row>
    <row r="205" spans="1:13" ht="18" customHeight="1">
      <c r="A205" s="697">
        <f t="shared" si="29"/>
        <v>3.6000000000000005</v>
      </c>
      <c r="B205" s="712"/>
      <c r="C205" s="713" t="s">
        <v>119</v>
      </c>
      <c r="D205" s="700" t="s">
        <v>14</v>
      </c>
      <c r="E205" s="812">
        <v>1.6000000000000001E-3</v>
      </c>
      <c r="F205" s="789">
        <f>E205*F199</f>
        <v>0.12729599999999999</v>
      </c>
      <c r="G205" s="1416"/>
      <c r="H205" s="703">
        <f t="shared" si="25"/>
        <v>0</v>
      </c>
      <c r="I205" s="1414"/>
      <c r="J205" s="1309">
        <f t="shared" si="26"/>
        <v>0</v>
      </c>
      <c r="K205" s="1414"/>
      <c r="L205" s="1309">
        <f t="shared" si="27"/>
        <v>0</v>
      </c>
      <c r="M205" s="1310">
        <f t="shared" si="28"/>
        <v>0</v>
      </c>
    </row>
    <row r="206" spans="1:13" s="787" customFormat="1" ht="50.1" customHeight="1">
      <c r="A206" s="707" t="s">
        <v>47</v>
      </c>
      <c r="B206" s="819"/>
      <c r="C206" s="815" t="s">
        <v>125</v>
      </c>
      <c r="D206" s="707" t="s">
        <v>824</v>
      </c>
      <c r="E206" s="785"/>
      <c r="F206" s="786">
        <v>82</v>
      </c>
      <c r="G206" s="1433"/>
      <c r="H206" s="703">
        <f t="shared" si="25"/>
        <v>0</v>
      </c>
      <c r="I206" s="1434"/>
      <c r="J206" s="1309">
        <f t="shared" si="26"/>
        <v>0</v>
      </c>
      <c r="K206" s="1434"/>
      <c r="L206" s="1309">
        <f t="shared" si="27"/>
        <v>0</v>
      </c>
      <c r="M206" s="1310">
        <f t="shared" si="28"/>
        <v>0</v>
      </c>
    </row>
    <row r="207" spans="1:13" ht="18" customHeight="1">
      <c r="A207" s="697">
        <f>A206+0.1</f>
        <v>4.0999999999999996</v>
      </c>
      <c r="B207" s="712"/>
      <c r="C207" s="713" t="s">
        <v>69</v>
      </c>
      <c r="D207" s="700" t="s">
        <v>13</v>
      </c>
      <c r="E207" s="813">
        <v>0.45800000000000002</v>
      </c>
      <c r="F207" s="789">
        <f>E207*F206</f>
        <v>37.556000000000004</v>
      </c>
      <c r="G207" s="1435"/>
      <c r="H207" s="703">
        <f t="shared" si="25"/>
        <v>0</v>
      </c>
      <c r="I207" s="1414"/>
      <c r="J207" s="1309">
        <f t="shared" si="26"/>
        <v>0</v>
      </c>
      <c r="K207" s="1414"/>
      <c r="L207" s="1309">
        <f t="shared" si="27"/>
        <v>0</v>
      </c>
      <c r="M207" s="1310">
        <f t="shared" si="28"/>
        <v>0</v>
      </c>
    </row>
    <row r="208" spans="1:13" ht="18" customHeight="1">
      <c r="A208" s="697">
        <f>A207+0.1</f>
        <v>4.1999999999999993</v>
      </c>
      <c r="B208" s="712"/>
      <c r="C208" s="713" t="s">
        <v>117</v>
      </c>
      <c r="D208" s="703" t="s">
        <v>14</v>
      </c>
      <c r="E208" s="812">
        <v>2.3E-3</v>
      </c>
      <c r="F208" s="813">
        <f>E208*F206</f>
        <v>0.18859999999999999</v>
      </c>
      <c r="G208" s="1416"/>
      <c r="H208" s="703">
        <f t="shared" si="25"/>
        <v>0</v>
      </c>
      <c r="I208" s="1414"/>
      <c r="J208" s="1309">
        <f t="shared" si="26"/>
        <v>0</v>
      </c>
      <c r="K208" s="703"/>
      <c r="L208" s="1309">
        <f t="shared" si="27"/>
        <v>0</v>
      </c>
      <c r="M208" s="1310">
        <f t="shared" si="28"/>
        <v>0</v>
      </c>
    </row>
    <row r="209" spans="1:13" ht="18" customHeight="1">
      <c r="A209" s="697">
        <f>A208+0.1</f>
        <v>4.2999999999999989</v>
      </c>
      <c r="B209" s="712"/>
      <c r="C209" s="761" t="s">
        <v>103</v>
      </c>
      <c r="D209" s="703" t="s">
        <v>104</v>
      </c>
      <c r="E209" s="854">
        <v>3.6999999999999999E-4</v>
      </c>
      <c r="F209" s="812">
        <f>E209*F206</f>
        <v>3.0339999999999999E-2</v>
      </c>
      <c r="G209" s="1435"/>
      <c r="H209" s="703">
        <f t="shared" si="25"/>
        <v>0</v>
      </c>
      <c r="I209" s="1414"/>
      <c r="J209" s="1309">
        <f t="shared" si="26"/>
        <v>0</v>
      </c>
      <c r="K209" s="1414"/>
      <c r="L209" s="1309">
        <f t="shared" si="27"/>
        <v>0</v>
      </c>
      <c r="M209" s="1310">
        <f t="shared" si="28"/>
        <v>0</v>
      </c>
    </row>
    <row r="210" spans="1:13" ht="18" customHeight="1">
      <c r="A210" s="697">
        <f>A209+0.1</f>
        <v>4.3999999999999986</v>
      </c>
      <c r="B210" s="721"/>
      <c r="C210" s="761" t="s">
        <v>105</v>
      </c>
      <c r="D210" s="703" t="s">
        <v>823</v>
      </c>
      <c r="E210" s="855">
        <v>9.0000000000000006E-5</v>
      </c>
      <c r="F210" s="812">
        <f>E210*F206</f>
        <v>7.3800000000000003E-3</v>
      </c>
      <c r="G210" s="1435"/>
      <c r="H210" s="703">
        <f t="shared" si="25"/>
        <v>0</v>
      </c>
      <c r="I210" s="1414"/>
      <c r="J210" s="1309">
        <f t="shared" si="26"/>
        <v>0</v>
      </c>
      <c r="K210" s="1414"/>
      <c r="L210" s="1309">
        <f t="shared" si="27"/>
        <v>0</v>
      </c>
      <c r="M210" s="1310">
        <f t="shared" si="28"/>
        <v>0</v>
      </c>
    </row>
    <row r="211" spans="1:13" ht="18" customHeight="1">
      <c r="A211" s="697">
        <f>A210+0.1</f>
        <v>4.4999999999999982</v>
      </c>
      <c r="B211" s="721"/>
      <c r="C211" s="713" t="s">
        <v>106</v>
      </c>
      <c r="D211" s="700" t="s">
        <v>822</v>
      </c>
      <c r="E211" s="813">
        <v>3.4000000000000002E-2</v>
      </c>
      <c r="F211" s="790">
        <f>E211*F206</f>
        <v>2.7880000000000003</v>
      </c>
      <c r="G211" s="1435"/>
      <c r="H211" s="703">
        <f t="shared" si="25"/>
        <v>0</v>
      </c>
      <c r="I211" s="1414"/>
      <c r="J211" s="1309">
        <f t="shared" si="26"/>
        <v>0</v>
      </c>
      <c r="K211" s="1414"/>
      <c r="L211" s="1309">
        <f t="shared" si="27"/>
        <v>0</v>
      </c>
      <c r="M211" s="1310">
        <f t="shared" si="28"/>
        <v>0</v>
      </c>
    </row>
    <row r="212" spans="1:13" s="716" customFormat="1" ht="54" customHeight="1">
      <c r="A212" s="704">
        <v>5</v>
      </c>
      <c r="B212" s="718"/>
      <c r="C212" s="699" t="s">
        <v>303</v>
      </c>
      <c r="D212" s="722" t="s">
        <v>15</v>
      </c>
      <c r="E212" s="720"/>
      <c r="F212" s="709">
        <f>25.2*0.6*0.1</f>
        <v>1.512</v>
      </c>
      <c r="G212" s="1431"/>
      <c r="H212" s="703">
        <f t="shared" si="25"/>
        <v>0</v>
      </c>
      <c r="I212" s="722"/>
      <c r="J212" s="1309">
        <f t="shared" si="26"/>
        <v>0</v>
      </c>
      <c r="K212" s="722"/>
      <c r="L212" s="1309">
        <f t="shared" si="27"/>
        <v>0</v>
      </c>
      <c r="M212" s="1310">
        <f t="shared" si="28"/>
        <v>0</v>
      </c>
    </row>
    <row r="213" spans="1:13" s="716" customFormat="1" ht="22.5" customHeight="1">
      <c r="A213" s="697">
        <f t="shared" ref="A213:A218" si="30">A212+0.1</f>
        <v>5.0999999999999996</v>
      </c>
      <c r="B213" s="712"/>
      <c r="C213" s="713" t="s">
        <v>69</v>
      </c>
      <c r="D213" s="700" t="s">
        <v>13</v>
      </c>
      <c r="E213" s="708">
        <v>1.87</v>
      </c>
      <c r="F213" s="714">
        <f>F212*E213</f>
        <v>2.8274400000000002</v>
      </c>
      <c r="G213" s="1416"/>
      <c r="H213" s="703">
        <f t="shared" si="25"/>
        <v>0</v>
      </c>
      <c r="I213" s="722"/>
      <c r="J213" s="1309">
        <f t="shared" si="26"/>
        <v>0</v>
      </c>
      <c r="K213" s="722"/>
      <c r="L213" s="1309">
        <f t="shared" si="27"/>
        <v>0</v>
      </c>
      <c r="M213" s="1310">
        <f t="shared" si="28"/>
        <v>0</v>
      </c>
    </row>
    <row r="214" spans="1:13" s="716" customFormat="1" ht="22.5" customHeight="1">
      <c r="A214" s="697">
        <f t="shared" si="30"/>
        <v>5.1999999999999993</v>
      </c>
      <c r="B214" s="712"/>
      <c r="C214" s="713" t="s">
        <v>117</v>
      </c>
      <c r="D214" s="703" t="s">
        <v>14</v>
      </c>
      <c r="E214" s="708">
        <v>0.77</v>
      </c>
      <c r="F214" s="714">
        <f>F212*E214</f>
        <v>1.1642399999999999</v>
      </c>
      <c r="G214" s="1416"/>
      <c r="H214" s="703">
        <f t="shared" si="25"/>
        <v>0</v>
      </c>
      <c r="I214" s="722"/>
      <c r="J214" s="1309">
        <f t="shared" si="26"/>
        <v>0</v>
      </c>
      <c r="K214" s="703"/>
      <c r="L214" s="1309">
        <f t="shared" si="27"/>
        <v>0</v>
      </c>
      <c r="M214" s="1310">
        <f t="shared" si="28"/>
        <v>0</v>
      </c>
    </row>
    <row r="215" spans="1:13" s="716" customFormat="1" ht="22.5" customHeight="1">
      <c r="A215" s="697">
        <f t="shared" si="30"/>
        <v>5.2999999999999989</v>
      </c>
      <c r="B215" s="712"/>
      <c r="C215" s="761" t="s">
        <v>118</v>
      </c>
      <c r="D215" s="722" t="s">
        <v>15</v>
      </c>
      <c r="E215" s="708">
        <v>1.0149999999999999</v>
      </c>
      <c r="F215" s="714">
        <f>E215*F212</f>
        <v>1.5346799999999998</v>
      </c>
      <c r="G215" s="1432"/>
      <c r="H215" s="703">
        <f t="shared" si="25"/>
        <v>0</v>
      </c>
      <c r="I215" s="722"/>
      <c r="J215" s="1309">
        <f t="shared" si="26"/>
        <v>0</v>
      </c>
      <c r="K215" s="722"/>
      <c r="L215" s="1309">
        <f t="shared" si="27"/>
        <v>0</v>
      </c>
      <c r="M215" s="1310">
        <f t="shared" si="28"/>
        <v>0</v>
      </c>
    </row>
    <row r="216" spans="1:13" s="716" customFormat="1" ht="22.5" customHeight="1">
      <c r="A216" s="697">
        <f t="shared" si="30"/>
        <v>5.3999999999999986</v>
      </c>
      <c r="B216" s="712"/>
      <c r="C216" s="695" t="s">
        <v>81</v>
      </c>
      <c r="D216" s="722" t="s">
        <v>822</v>
      </c>
      <c r="E216" s="708">
        <f>7.54/100</f>
        <v>7.5399999999999995E-2</v>
      </c>
      <c r="F216" s="714">
        <f>E216*F212</f>
        <v>0.11400479999999999</v>
      </c>
      <c r="G216" s="1447"/>
      <c r="H216" s="703">
        <f t="shared" si="25"/>
        <v>0</v>
      </c>
      <c r="I216" s="722"/>
      <c r="J216" s="1309">
        <f t="shared" si="26"/>
        <v>0</v>
      </c>
      <c r="K216" s="722"/>
      <c r="L216" s="1309">
        <f t="shared" si="27"/>
        <v>0</v>
      </c>
      <c r="M216" s="1310">
        <f t="shared" si="28"/>
        <v>0</v>
      </c>
    </row>
    <row r="217" spans="1:13" s="716" customFormat="1" ht="22.5" customHeight="1">
      <c r="A217" s="697">
        <f t="shared" si="30"/>
        <v>5.4999999999999982</v>
      </c>
      <c r="B217" s="721"/>
      <c r="C217" s="761" t="s">
        <v>82</v>
      </c>
      <c r="D217" s="722" t="s">
        <v>15</v>
      </c>
      <c r="E217" s="708">
        <f>0.08/100</f>
        <v>8.0000000000000004E-4</v>
      </c>
      <c r="F217" s="714">
        <f>E217*F212</f>
        <v>1.2096000000000001E-3</v>
      </c>
      <c r="G217" s="1416"/>
      <c r="H217" s="703">
        <f t="shared" si="25"/>
        <v>0</v>
      </c>
      <c r="I217" s="722"/>
      <c r="J217" s="1309">
        <f t="shared" si="26"/>
        <v>0</v>
      </c>
      <c r="K217" s="722"/>
      <c r="L217" s="1309">
        <f t="shared" si="27"/>
        <v>0</v>
      </c>
      <c r="M217" s="1310">
        <f t="shared" si="28"/>
        <v>0</v>
      </c>
    </row>
    <row r="218" spans="1:13" s="716" customFormat="1" ht="22.5" customHeight="1">
      <c r="A218" s="697">
        <f t="shared" si="30"/>
        <v>5.5999999999999979</v>
      </c>
      <c r="B218" s="712"/>
      <c r="C218" s="713" t="s">
        <v>119</v>
      </c>
      <c r="D218" s="722" t="s">
        <v>14</v>
      </c>
      <c r="E218" s="708">
        <v>7.0000000000000007E-2</v>
      </c>
      <c r="F218" s="714">
        <f>E218*F212</f>
        <v>0.10584000000000002</v>
      </c>
      <c r="G218" s="1416"/>
      <c r="H218" s="703">
        <f t="shared" si="25"/>
        <v>0</v>
      </c>
      <c r="I218" s="722"/>
      <c r="J218" s="1309">
        <f t="shared" si="26"/>
        <v>0</v>
      </c>
      <c r="K218" s="722"/>
      <c r="L218" s="1309">
        <f t="shared" si="27"/>
        <v>0</v>
      </c>
      <c r="M218" s="1310">
        <f t="shared" si="28"/>
        <v>0</v>
      </c>
    </row>
    <row r="219" spans="1:13" ht="21.95" customHeight="1">
      <c r="A219" s="707"/>
      <c r="B219" s="822"/>
      <c r="C219" s="815" t="s">
        <v>191</v>
      </c>
      <c r="D219" s="823" t="s">
        <v>1</v>
      </c>
      <c r="E219" s="856"/>
      <c r="F219" s="857"/>
      <c r="G219" s="1435"/>
      <c r="H219" s="1462">
        <f>SUM(H9:H218)</f>
        <v>0</v>
      </c>
      <c r="I219" s="1414"/>
      <c r="J219" s="1462">
        <f>SUM(J9:J218)</f>
        <v>0</v>
      </c>
      <c r="K219" s="1414"/>
      <c r="L219" s="1462">
        <f>SUM(L9:L218)</f>
        <v>0</v>
      </c>
      <c r="M219" s="1462">
        <f>SUM(M9:M218)</f>
        <v>0</v>
      </c>
    </row>
    <row r="220" spans="1:13" ht="21.75" customHeight="1">
      <c r="A220" s="707"/>
      <c r="B220" s="822"/>
      <c r="C220" s="713" t="s">
        <v>192</v>
      </c>
      <c r="D220" s="858" t="s">
        <v>874</v>
      </c>
      <c r="E220" s="856"/>
      <c r="F220" s="1412">
        <v>0</v>
      </c>
      <c r="G220" s="705"/>
      <c r="H220" s="1463"/>
      <c r="I220" s="1414"/>
      <c r="J220" s="1414"/>
      <c r="K220" s="1414"/>
      <c r="L220" s="1414"/>
      <c r="M220" s="1310">
        <f>H219*F220</f>
        <v>0</v>
      </c>
    </row>
    <row r="221" spans="1:13" ht="21.95" customHeight="1">
      <c r="A221" s="707"/>
      <c r="B221" s="822"/>
      <c r="C221" s="713" t="s">
        <v>39</v>
      </c>
      <c r="D221" s="823"/>
      <c r="E221" s="856"/>
      <c r="F221" s="1412"/>
      <c r="G221" s="705"/>
      <c r="H221" s="1463"/>
      <c r="I221" s="1414"/>
      <c r="J221" s="1414"/>
      <c r="K221" s="1414"/>
      <c r="L221" s="1414"/>
      <c r="M221" s="1462">
        <f>M220+M219</f>
        <v>0</v>
      </c>
    </row>
    <row r="222" spans="1:13" ht="21.95" customHeight="1">
      <c r="A222" s="783"/>
      <c r="B222" s="712"/>
      <c r="C222" s="713" t="s">
        <v>193</v>
      </c>
      <c r="D222" s="859" t="s">
        <v>874</v>
      </c>
      <c r="E222" s="856"/>
      <c r="F222" s="1413">
        <v>0</v>
      </c>
      <c r="G222" s="1435"/>
      <c r="H222" s="1463"/>
      <c r="I222" s="1414"/>
      <c r="J222" s="1414"/>
      <c r="K222" s="1414"/>
      <c r="L222" s="1414"/>
      <c r="M222" s="1310">
        <f>M221*F222</f>
        <v>0</v>
      </c>
    </row>
    <row r="223" spans="1:13" ht="21.95" customHeight="1">
      <c r="A223" s="783"/>
      <c r="B223" s="712"/>
      <c r="C223" s="713" t="s">
        <v>29</v>
      </c>
      <c r="D223" s="823"/>
      <c r="E223" s="856"/>
      <c r="F223" s="1413"/>
      <c r="G223" s="1435"/>
      <c r="H223" s="1463"/>
      <c r="I223" s="1414"/>
      <c r="J223" s="1414"/>
      <c r="K223" s="1414"/>
      <c r="L223" s="1414"/>
      <c r="M223" s="1462">
        <f>M222+M221</f>
        <v>0</v>
      </c>
    </row>
    <row r="224" spans="1:13" ht="21.95" customHeight="1">
      <c r="A224" s="783"/>
      <c r="B224" s="784"/>
      <c r="C224" s="713" t="s">
        <v>30</v>
      </c>
      <c r="D224" s="859" t="s">
        <v>874</v>
      </c>
      <c r="E224" s="856"/>
      <c r="F224" s="1413">
        <v>0</v>
      </c>
      <c r="G224" s="1435"/>
      <c r="H224" s="1463"/>
      <c r="I224" s="1414"/>
      <c r="J224" s="1414"/>
      <c r="K224" s="1414"/>
      <c r="L224" s="1414"/>
      <c r="M224" s="1310">
        <f>M223*F224</f>
        <v>0</v>
      </c>
    </row>
    <row r="225" spans="1:13" ht="21.95" customHeight="1">
      <c r="A225" s="700"/>
      <c r="B225" s="784"/>
      <c r="C225" s="699" t="s">
        <v>10</v>
      </c>
      <c r="D225" s="823"/>
      <c r="E225" s="856"/>
      <c r="F225" s="857"/>
      <c r="G225" s="1435"/>
      <c r="H225" s="1463"/>
      <c r="I225" s="1414"/>
      <c r="J225" s="1414"/>
      <c r="K225" s="1414"/>
      <c r="L225" s="1414"/>
      <c r="M225" s="1462">
        <f>M224+M223</f>
        <v>0</v>
      </c>
    </row>
    <row r="226" spans="1:13">
      <c r="A226" s="791"/>
      <c r="B226" s="860"/>
      <c r="C226" s="861"/>
      <c r="D226" s="862"/>
      <c r="E226" s="862"/>
      <c r="F226" s="862"/>
      <c r="G226" s="1464"/>
      <c r="H226" s="1465"/>
      <c r="I226" s="1282"/>
      <c r="J226" s="1282"/>
      <c r="K226" s="1282"/>
      <c r="L226" s="1282"/>
      <c r="M226" s="1282"/>
    </row>
    <row r="227" spans="1:13">
      <c r="A227" s="791"/>
      <c r="B227" s="860"/>
    </row>
  </sheetData>
  <mergeCells count="13">
    <mergeCell ref="I5:J5"/>
    <mergeCell ref="K5:L5"/>
    <mergeCell ref="M5:M6"/>
    <mergeCell ref="A1:H1"/>
    <mergeCell ref="A2:H2"/>
    <mergeCell ref="A3:D3"/>
    <mergeCell ref="A4:H4"/>
    <mergeCell ref="A5:A6"/>
    <mergeCell ref="B5:B6"/>
    <mergeCell ref="C5:C6"/>
    <mergeCell ref="D5:D6"/>
    <mergeCell ref="E5:F5"/>
    <mergeCell ref="G5:H5"/>
  </mergeCells>
  <pageMargins left="0.28000000000000003" right="0.12" top="0.75" bottom="0.18" header="0.12" footer="0.17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კრ</vt:lpstr>
      <vt:lpstr>1 </vt:lpstr>
      <vt:lpstr>2</vt:lpstr>
      <vt:lpstr>3</vt:lpstr>
      <vt:lpstr>4</vt:lpstr>
      <vt:lpstr>5</vt:lpstr>
      <vt:lpstr>6</vt:lpstr>
      <vt:lpstr>ო-7</vt:lpstr>
      <vt:lpstr>7-1</vt:lpstr>
      <vt:lpstr>7-2</vt:lpstr>
      <vt:lpstr>7-3</vt:lpstr>
      <vt:lpstr>8</vt:lpstr>
      <vt:lpstr>9</vt:lpstr>
      <vt:lpstr>10</vt:lpstr>
      <vt:lpstr>ო-11</vt:lpstr>
      <vt:lpstr>11-1</vt:lpstr>
      <vt:lpstr>11-2</vt:lpstr>
      <vt:lpstr>11-3</vt:lpstr>
      <vt:lpstr>12</vt:lpstr>
      <vt:lpstr>kalendaruli grafiki</vt:lpstr>
      <vt:lpstr>'1 '!Print_Area</vt:lpstr>
      <vt:lpstr>'10'!Print_Area</vt:lpstr>
      <vt:lpstr>'11-1'!Print_Area</vt:lpstr>
      <vt:lpstr>'11-2'!Print_Area</vt:lpstr>
      <vt:lpstr>'11-3'!Print_Area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'7-1'!Print_Area</vt:lpstr>
      <vt:lpstr>'7-2'!Print_Area</vt:lpstr>
      <vt:lpstr>'7-3'!Print_Area</vt:lpstr>
      <vt:lpstr>'8'!Print_Area</vt:lpstr>
      <vt:lpstr>'9'!Print_Area</vt:lpstr>
      <vt:lpstr>კრ!Print_Area</vt:lpstr>
      <vt:lpstr>'ო-11'!Print_Area</vt:lpstr>
      <vt:lpstr>'ო-7'!Print_Area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2022-03-28T12:23:17Z</dcterms:modified>
</cp:coreProperties>
</file>