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tabRatio="858" activeTab="0"/>
  </bookViews>
  <sheets>
    <sheet name="ნაკრები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</sheets>
  <definedNames>
    <definedName name="_xlnm._FilterDatabase" localSheetId="1" hidden="1">'1-1'!$F$1:$F$63</definedName>
    <definedName name="_xlnm.Print_Area" localSheetId="1">'1-1'!$A$1:$G$63</definedName>
    <definedName name="_xlnm.Print_Area" localSheetId="10">'1-10'!$A$1:$G$51</definedName>
    <definedName name="_xlnm.Print_Area" localSheetId="2">'1-2'!$A$1:$G$63</definedName>
    <definedName name="_xlnm.Print_Area" localSheetId="3">'1-3'!$A$1:$G$63</definedName>
    <definedName name="_xlnm.Print_Area" localSheetId="4">'1-4'!$A$1:$G$64</definedName>
    <definedName name="_xlnm.Print_Area" localSheetId="5">'1-5'!$A$1:$G$63</definedName>
    <definedName name="_xlnm.Print_Area" localSheetId="6">'1-6'!$A$1:$G$57</definedName>
    <definedName name="_xlnm.Print_Area" localSheetId="7">'1-7'!$A$1:$G$63</definedName>
    <definedName name="_xlnm.Print_Area" localSheetId="8">'1-8'!$A$1:$G$57</definedName>
    <definedName name="_xlnm.Print_Area" localSheetId="9">'1-9'!$A$1:$G$63</definedName>
  </definedNames>
  <calcPr fullCalcOnLoad="1"/>
</workbook>
</file>

<file path=xl/sharedStrings.xml><?xml version="1.0" encoding="utf-8"?>
<sst xmlns="http://schemas.openxmlformats.org/spreadsheetml/2006/main" count="1354" uniqueCount="140">
  <si>
    <t>samSeneblo samuSaoebi</t>
  </si>
  <si>
    <t>#</t>
  </si>
  <si>
    <t>kac/sT</t>
  </si>
  <si>
    <t>3</t>
  </si>
  <si>
    <t>4</t>
  </si>
  <si>
    <t>8</t>
  </si>
  <si>
    <t>kg</t>
  </si>
  <si>
    <t>lari</t>
  </si>
  <si>
    <t>j a m i</t>
  </si>
  <si>
    <t>sul xarjTaRricxviT</t>
  </si>
  <si>
    <t>saxarjTaRricxvo angariSis da xarjTaRricxvis nomeri</t>
  </si>
  <si>
    <t>saerTo saxarjTaR ricxvo Rirebuleba</t>
  </si>
  <si>
    <t>obieqt. xarjT. #1</t>
  </si>
  <si>
    <t>jami</t>
  </si>
  <si>
    <t>damatebiTi Rirebulebis gadasaxadi 18%</t>
  </si>
  <si>
    <t xml:space="preserve">sul krebsiTi saxarjTaRricxvo Rirebuleba </t>
  </si>
  <si>
    <t>2</t>
  </si>
  <si>
    <t>I samSeneblo samuSaoebi</t>
  </si>
  <si>
    <t>lokalur-resursuli xarjTaRricxva #1</t>
  </si>
  <si>
    <t>rezervi gauTvaliswinebel xarjebze - 3%</t>
  </si>
  <si>
    <t>6</t>
  </si>
  <si>
    <t>c</t>
  </si>
  <si>
    <t>grZ/m</t>
  </si>
  <si>
    <t>proeq</t>
  </si>
  <si>
    <t>kb/m</t>
  </si>
  <si>
    <t>el SeduRebis agregati</t>
  </si>
  <si>
    <t>m/sT</t>
  </si>
  <si>
    <t>SromiTi resursi</t>
  </si>
  <si>
    <t>masala kronSteini, izolatoriT</t>
  </si>
  <si>
    <t>amwe teleskopuri</t>
  </si>
  <si>
    <t>გრძ/მ</t>
  </si>
  <si>
    <t>სხვა მსალები</t>
  </si>
  <si>
    <t>armatura d=10aIII</t>
  </si>
  <si>
    <t>masala foladis furceli 3mm sisqiT</t>
  </si>
  <si>
    <r>
      <t xml:space="preserve">masala aluminis sahaero kabeli 
</t>
    </r>
    <r>
      <rPr>
        <sz val="10"/>
        <rFont val="Arial"/>
        <family val="2"/>
      </rPr>
      <t xml:space="preserve">SIP-ABC </t>
    </r>
    <r>
      <rPr>
        <sz val="10"/>
        <rFont val="AcadNusx"/>
        <family val="0"/>
      </rPr>
      <t>4X70</t>
    </r>
  </si>
  <si>
    <t>lokalur-resursuli xarjTaRricxva #3</t>
  </si>
  <si>
    <t>lokalur-resursuli xarjTaRricxva #2</t>
  </si>
  <si>
    <t>lokalur-resursuli xarjTaRricxva #4</t>
  </si>
  <si>
    <t>lokalur-resursuli xarjTaRricxva #5</t>
  </si>
  <si>
    <t>lokalur-resursuli xarjTaRricxva #6</t>
  </si>
  <si>
    <t>lokalur-resursuli xarjTaRricxva #9</t>
  </si>
  <si>
    <t>obieqt. xarjT. #2</t>
  </si>
  <si>
    <t>obieqt. xarjT. #3</t>
  </si>
  <si>
    <t>obieqt. xarjT. #4</t>
  </si>
  <si>
    <t>obieqt. xarjT. #5</t>
  </si>
  <si>
    <t>obieqt. xarjT. #6</t>
  </si>
  <si>
    <t>100 kubm</t>
  </si>
  <si>
    <t xml:space="preserve"> SromiTi danaxarji </t>
  </si>
  <si>
    <t xml:space="preserve"> manqanebi </t>
  </si>
  <si>
    <r>
      <t xml:space="preserve">betoni </t>
    </r>
    <r>
      <rPr>
        <sz val="10"/>
        <rFont val="Arial"/>
        <family val="2"/>
      </rPr>
      <t>B7.5</t>
    </r>
  </si>
  <si>
    <t>kubm</t>
  </si>
  <si>
    <t xml:space="preserve"> sxva masala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</si>
  <si>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25</t>
    </r>
  </si>
  <si>
    <t xml:space="preserve">fari yalibis </t>
  </si>
  <si>
    <t>kvm</t>
  </si>
  <si>
    <t>daxerxili xe-tye</t>
  </si>
  <si>
    <t xml:space="preserve"> gruntis gaWra xeliT</t>
  </si>
  <si>
    <t>betonis momzadeba</t>
  </si>
  <si>
    <t>eleqtro boZebis dabetoneba</t>
  </si>
  <si>
    <t>metalis boZis damzadeba</t>
  </si>
  <si>
    <t>liTonkonstruqciebis elementebis SeRebva</t>
  </si>
  <si>
    <t>100 kvm</t>
  </si>
  <si>
    <t xml:space="preserve"> manqanebi</t>
  </si>
  <si>
    <t xml:space="preserve"> saRebavi wyalmedegi</t>
  </si>
  <si>
    <t>olifa</t>
  </si>
  <si>
    <t>12</t>
  </si>
  <si>
    <t>damiwebis eleqtrodebis mowyoba</t>
  </si>
  <si>
    <t>cali</t>
  </si>
  <si>
    <r>
      <t>kuTxovana 50</t>
    </r>
    <r>
      <rPr>
        <sz val="10"/>
        <rFont val="Calibri"/>
        <family val="2"/>
      </rPr>
      <t>×50×5</t>
    </r>
  </si>
  <si>
    <t>gr.m</t>
  </si>
  <si>
    <t xml:space="preserve"> sxvadasxva masala</t>
  </si>
  <si>
    <t>damiwebis konturis mowyoba</t>
  </si>
  <si>
    <r>
      <t xml:space="preserve">zolovana </t>
    </r>
    <r>
      <rPr>
        <sz val="10"/>
        <rFont val="Calibri"/>
        <family val="2"/>
      </rPr>
      <t>40×4</t>
    </r>
  </si>
  <si>
    <t>5</t>
  </si>
  <si>
    <t>11</t>
  </si>
  <si>
    <t>N</t>
  </si>
  <si>
    <t>სამუშაოს დასახელება</t>
  </si>
  <si>
    <t>ზ/ე</t>
  </si>
  <si>
    <t>ნორმატიული რესურსი</t>
  </si>
  <si>
    <t>ერთ</t>
  </si>
  <si>
    <t>სულ</t>
  </si>
  <si>
    <t>gegmiuri dagroveba</t>
  </si>
  <si>
    <r>
      <t xml:space="preserve">eleqtro kabelis mowyoba
</t>
    </r>
    <r>
      <rPr>
        <b/>
        <sz val="10"/>
        <rFont val="Arial"/>
        <family val="2"/>
      </rPr>
      <t>(SIP-ABC 4X70)</t>
    </r>
  </si>
  <si>
    <r>
      <t xml:space="preserve">eleqtro kabelis mowyoba
</t>
    </r>
    <r>
      <rPr>
        <b/>
        <sz val="10"/>
        <rFont val="Arial"/>
        <family val="2"/>
      </rPr>
      <t>(SIP-ABC 4X25)</t>
    </r>
  </si>
  <si>
    <r>
      <t xml:space="preserve">masala aluminis sahaero kabeli 
</t>
    </r>
    <r>
      <rPr>
        <sz val="10"/>
        <rFont val="Arial"/>
        <family val="2"/>
      </rPr>
      <t xml:space="preserve">SIP-ABC </t>
    </r>
    <r>
      <rPr>
        <sz val="10"/>
        <rFont val="AcadNusx"/>
        <family val="0"/>
      </rPr>
      <t>4X25</t>
    </r>
  </si>
  <si>
    <t>მთა ჩირუხი პირველი ტრანსფორმატორი შიდა ელექტროფიკაციის მოწყობა</t>
  </si>
  <si>
    <t>მთა ჩირუხი მეორე ტრანსფორმატორი შიდა ელექტროფიკაციის მოწყობა</t>
  </si>
  <si>
    <t>ჯინალის შიდა ელექტროფიკაციის მოწყობა</t>
  </si>
  <si>
    <t>ოლადაური შიდა ელექტროფიკაციის მოწყობა</t>
  </si>
  <si>
    <t>დღვანი შუამთის შიდა ელექტროფიკაციის მოწყობა</t>
  </si>
  <si>
    <t>ჩირუხი ძველ მთაზე შიდა ელექტროფიკაციის მოწყობა</t>
  </si>
  <si>
    <t>კიკიბოს შიდა ელექტროფიკაციის მოწყობა</t>
  </si>
  <si>
    <t>შუა იელას შიდა ელექტროფიკაციის მოწყობა</t>
  </si>
  <si>
    <t>arsebuli transformatoris gadatana</t>
  </si>
  <si>
    <t>eleqtro transformatoris montaJi 100 kva simZlavris</t>
  </si>
  <si>
    <t>amwe 6.3 tonamde</t>
  </si>
  <si>
    <t>კიკიბოს და შუა იელას ელექტროფიკაციის გეგმა (ტრანსფორმატორის მკვებავი მაგისტრალი)</t>
  </si>
  <si>
    <t>metalis mili 127mm sisqiT 4mm</t>
  </si>
  <si>
    <t>arsebuli eleqtro transformatoris gadatana</t>
  </si>
  <si>
    <t>ჩირუხის ძველ მთაზე ელექტროფიკაციის გეგმა (ტრანსფორმატორის მკვებავი მაგისტრალი)</t>
  </si>
  <si>
    <t>kv/m</t>
  </si>
  <si>
    <t>obieqt. xarjT. #7</t>
  </si>
  <si>
    <t>obieqt. xarjT. #8</t>
  </si>
  <si>
    <t>lokalur-resursuli xarjTaRricxva #7</t>
  </si>
  <si>
    <t>lokalur-resursuli xarjTaRricxva #8</t>
  </si>
  <si>
    <t>transformatori safaero gamTiSveliT</t>
  </si>
  <si>
    <t>lokalur-resursuli xarjTaRricxva #10</t>
  </si>
  <si>
    <t>obieqt. xarjT. #9</t>
  </si>
  <si>
    <t>13</t>
  </si>
  <si>
    <t>obieqt. xarjT. #10</t>
  </si>
  <si>
    <t>betonis trasportireba 120km-dan</t>
  </si>
  <si>
    <t>tn</t>
  </si>
  <si>
    <t>betonis trasportireba 120 km-dan</t>
  </si>
  <si>
    <t>9</t>
  </si>
  <si>
    <t>metalis boZis damzadeba(maT Soris saberwiis mTisTvis -15cali)</t>
  </si>
  <si>
    <t>metalis boZis  trasportireba 120km-dan</t>
  </si>
  <si>
    <t>10</t>
  </si>
  <si>
    <t>7</t>
  </si>
  <si>
    <t>14</t>
  </si>
  <si>
    <t>15</t>
  </si>
  <si>
    <r>
      <t xml:space="preserve">betoni </t>
    </r>
    <r>
      <rPr>
        <sz val="10"/>
        <color indexed="8"/>
        <rFont val="Arial"/>
        <family val="2"/>
      </rPr>
      <t>B7.5</t>
    </r>
  </si>
  <si>
    <r>
      <t xml:space="preserve">betoni </t>
    </r>
    <r>
      <rPr>
        <sz val="10"/>
        <color indexed="8"/>
        <rFont val="Arial"/>
        <family val="2"/>
      </rPr>
      <t>B</t>
    </r>
    <r>
      <rPr>
        <sz val="10"/>
        <color indexed="8"/>
        <rFont val="AcadNusx"/>
        <family val="0"/>
      </rPr>
      <t>25</t>
    </r>
  </si>
  <si>
    <r>
      <t>kuTxovana 50</t>
    </r>
    <r>
      <rPr>
        <sz val="10"/>
        <color indexed="8"/>
        <rFont val="Calibri"/>
        <family val="2"/>
      </rPr>
      <t>×50×5</t>
    </r>
  </si>
  <si>
    <r>
      <t xml:space="preserve">eleqtro kabelis mowyoba
</t>
    </r>
    <r>
      <rPr>
        <b/>
        <sz val="10"/>
        <color indexed="8"/>
        <rFont val="Arial"/>
        <family val="2"/>
      </rPr>
      <t>(SIP-ABC 4X70)</t>
    </r>
  </si>
  <si>
    <r>
      <t xml:space="preserve">masala aluminis sahaero kabeli 
</t>
    </r>
    <r>
      <rPr>
        <sz val="10"/>
        <color indexed="8"/>
        <rFont val="Arial"/>
        <family val="2"/>
      </rPr>
      <t xml:space="preserve">SIP-ABC </t>
    </r>
    <r>
      <rPr>
        <sz val="10"/>
        <color indexed="8"/>
        <rFont val="AcadNusx"/>
        <family val="0"/>
      </rPr>
      <t>4X70</t>
    </r>
  </si>
  <si>
    <r>
      <t xml:space="preserve">eleqtro kabelis mowyoba
</t>
    </r>
    <r>
      <rPr>
        <b/>
        <sz val="10"/>
        <color indexed="8"/>
        <rFont val="Arial"/>
        <family val="2"/>
      </rPr>
      <t>(SIP-ABC 4X25)</t>
    </r>
  </si>
  <si>
    <r>
      <t xml:space="preserve">masala aluminis sahaero kabeli 
</t>
    </r>
    <r>
      <rPr>
        <sz val="10"/>
        <color indexed="8"/>
        <rFont val="Arial"/>
        <family val="2"/>
      </rPr>
      <t xml:space="preserve">SIP-ABC </t>
    </r>
    <r>
      <rPr>
        <sz val="10"/>
        <color indexed="8"/>
        <rFont val="AcadNusx"/>
        <family val="0"/>
      </rPr>
      <t>4X25</t>
    </r>
  </si>
  <si>
    <r>
      <t xml:space="preserve">zolovana </t>
    </r>
    <r>
      <rPr>
        <sz val="10"/>
        <color indexed="8"/>
        <rFont val="Calibri"/>
        <family val="2"/>
      </rPr>
      <t>40×4</t>
    </r>
  </si>
  <si>
    <r>
      <t xml:space="preserve">eleqtro kabelis mowyoba
</t>
    </r>
    <r>
      <rPr>
        <b/>
        <sz val="10"/>
        <color indexed="8"/>
        <rFont val="Arial"/>
        <family val="2"/>
      </rPr>
      <t>(SIP-ABC 2X25)</t>
    </r>
  </si>
  <si>
    <r>
      <t xml:space="preserve">masala aluminis sahaero kabeli 
</t>
    </r>
    <r>
      <rPr>
        <sz val="10"/>
        <color indexed="8"/>
        <rFont val="Arial"/>
        <family val="2"/>
      </rPr>
      <t xml:space="preserve">SIP-ABC </t>
    </r>
    <r>
      <rPr>
        <sz val="10"/>
        <color indexed="8"/>
        <rFont val="AcadNusx"/>
        <family val="0"/>
      </rPr>
      <t>2X25</t>
    </r>
  </si>
  <si>
    <r>
      <t xml:space="preserve">eleqtro sadenis mowyoba
</t>
    </r>
    <r>
      <rPr>
        <b/>
        <sz val="10"/>
        <color indexed="8"/>
        <rFont val="Arial"/>
        <family val="2"/>
      </rPr>
      <t>(АЕС 25)</t>
    </r>
  </si>
  <si>
    <r>
      <t xml:space="preserve">masala aluminis sadeni 
</t>
    </r>
    <r>
      <rPr>
        <sz val="10"/>
        <color indexed="8"/>
        <rFont val="Arial"/>
        <family val="2"/>
      </rPr>
      <t>(АЕС 25)</t>
    </r>
  </si>
  <si>
    <t>ზედნადები ხარჯები შრომითი დანახარჯებიდან</t>
  </si>
  <si>
    <t>ერთეულის
 ფასი</t>
  </si>
  <si>
    <t>საერთო 
ფასი</t>
  </si>
  <si>
    <t>ერთეულის 
ფასი</t>
  </si>
  <si>
    <t>საერთო
 ფასი</t>
  </si>
  <si>
    <t>ობიექტის და სამუშაოს დასახელება</t>
  </si>
  <si>
    <t>კრებსითი სახარჯთაღრიცხვო ღირებულება</t>
  </si>
  <si>
    <t xml:space="preserve">  ჩირუხი(ჯინალი, ოლადაური, დღვანის, შუა (ბანაკის) მთა) ჩირუხი ძველმთა, კიკიბოს და შუა იელას მთებში შიდა ელექტრო სადენის ახალი ქსელის მოწყობა</t>
  </si>
</sst>
</file>

<file path=xl/styles.xml><?xml version="1.0" encoding="utf-8"?>
<styleSheet xmlns="http://schemas.openxmlformats.org/spreadsheetml/2006/main">
  <numFmts count="4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#,##0_);\-#,##0"/>
    <numFmt numFmtId="195" formatCode="#,##0.000_);\-#,##0.000"/>
    <numFmt numFmtId="196" formatCode="#,##0.0_);\-#,##0.0"/>
    <numFmt numFmtId="197" formatCode="#,##0.00_);[Red]#,##0.00"/>
    <numFmt numFmtId="198" formatCode="#,##0.00_);\-#,##0.00"/>
    <numFmt numFmtId="199" formatCode="_-* #,##0_р_._-;\-* #,##0_р_._-;_-* &quot;-&quot;??_р_._-;_-@_-"/>
    <numFmt numFmtId="200" formatCode="0.000000000"/>
    <numFmt numFmtId="201" formatCode="#.##0.00"/>
  </numFmts>
  <fonts count="54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cademiuri Nuskhuri"/>
      <family val="0"/>
    </font>
    <font>
      <sz val="10"/>
      <color indexed="8"/>
      <name val="AcadNusx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color indexed="8"/>
      <name val="Academiuri Nuskhu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b/>
      <sz val="10"/>
      <color theme="1"/>
      <name val="Arial"/>
      <family val="2"/>
    </font>
    <font>
      <sz val="10"/>
      <color theme="1"/>
      <name val="AcadNusx"/>
      <family val="0"/>
    </font>
    <font>
      <b/>
      <sz val="11"/>
      <color theme="1"/>
      <name val="AcadNusx"/>
      <family val="0"/>
    </font>
    <font>
      <b/>
      <sz val="10"/>
      <color theme="1"/>
      <name val="Academiuri Nuskhuri"/>
      <family val="0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" borderId="1" applyNumberFormat="0" applyAlignment="0" applyProtection="0"/>
    <xf numFmtId="0" fontId="39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2" fillId="22" borderId="1" applyNumberFormat="0" applyAlignment="0" applyProtection="0"/>
    <xf numFmtId="0" fontId="43" fillId="0" borderId="6" applyNumberFormat="0" applyFill="0" applyAlignment="0" applyProtection="0"/>
    <xf numFmtId="0" fontId="44" fillId="23" borderId="0" applyNumberFormat="0" applyBorder="0" applyAlignment="0" applyProtection="0"/>
    <xf numFmtId="0" fontId="0" fillId="24" borderId="7" applyNumberFormat="0" applyFont="0" applyAlignment="0" applyProtection="0"/>
    <xf numFmtId="0" fontId="45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" fontId="3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9" fontId="5" fillId="25" borderId="10" xfId="57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189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190" fontId="5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90" fontId="3" fillId="25" borderId="10" xfId="0" applyNumberFormat="1" applyFont="1" applyFill="1" applyBorder="1" applyAlignment="1">
      <alignment horizontal="center" vertical="center" wrapText="1"/>
    </xf>
    <xf numFmtId="188" fontId="3" fillId="25" borderId="10" xfId="0" applyNumberFormat="1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188" fontId="5" fillId="25" borderId="10" xfId="0" applyNumberFormat="1" applyFont="1" applyFill="1" applyBorder="1" applyAlignment="1">
      <alignment horizontal="center" vertical="center" wrapText="1"/>
    </xf>
    <xf numFmtId="188" fontId="3" fillId="25" borderId="10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/>
    </xf>
    <xf numFmtId="0" fontId="5" fillId="25" borderId="10" xfId="0" applyNumberFormat="1" applyFont="1" applyFill="1" applyBorder="1" applyAlignment="1">
      <alignment horizontal="center" vertical="center"/>
    </xf>
    <xf numFmtId="2" fontId="5" fillId="25" borderId="10" xfId="0" applyNumberFormat="1" applyFont="1" applyFill="1" applyBorder="1" applyAlignment="1">
      <alignment horizontal="center" vertical="center"/>
    </xf>
    <xf numFmtId="1" fontId="5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0" fontId="12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/>
    </xf>
    <xf numFmtId="49" fontId="50" fillId="25" borderId="10" xfId="0" applyNumberFormat="1" applyFont="1" applyFill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 wrapText="1"/>
    </xf>
    <xf numFmtId="2" fontId="50" fillId="25" borderId="10" xfId="0" applyNumberFormat="1" applyFont="1" applyFill="1" applyBorder="1" applyAlignment="1">
      <alignment horizontal="center" vertical="center" wrapText="1"/>
    </xf>
    <xf numFmtId="1" fontId="50" fillId="25" borderId="10" xfId="0" applyNumberFormat="1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/>
    </xf>
    <xf numFmtId="190" fontId="48" fillId="25" borderId="10" xfId="0" applyNumberFormat="1" applyFont="1" applyFill="1" applyBorder="1" applyAlignment="1">
      <alignment horizontal="center" vertical="center" wrapText="1"/>
    </xf>
    <xf numFmtId="188" fontId="48" fillId="25" borderId="10" xfId="0" applyNumberFormat="1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horizontal="center" vertical="center"/>
    </xf>
    <xf numFmtId="190" fontId="50" fillId="25" borderId="10" xfId="0" applyNumberFormat="1" applyFont="1" applyFill="1" applyBorder="1" applyAlignment="1">
      <alignment horizontal="center" vertical="center" wrapText="1"/>
    </xf>
    <xf numFmtId="188" fontId="50" fillId="25" borderId="10" xfId="0" applyNumberFormat="1" applyFont="1" applyFill="1" applyBorder="1" applyAlignment="1">
      <alignment horizontal="center" vertical="center"/>
    </xf>
    <xf numFmtId="49" fontId="48" fillId="25" borderId="10" xfId="0" applyNumberFormat="1" applyFont="1" applyFill="1" applyBorder="1" applyAlignment="1">
      <alignment horizontal="center" vertical="center" wrapText="1"/>
    </xf>
    <xf numFmtId="188" fontId="48" fillId="25" borderId="10" xfId="0" applyNumberFormat="1" applyFont="1" applyFill="1" applyBorder="1" applyAlignment="1">
      <alignment horizontal="center" vertical="center" wrapText="1"/>
    </xf>
    <xf numFmtId="188" fontId="50" fillId="25" borderId="10" xfId="0" applyNumberFormat="1" applyFont="1" applyFill="1" applyBorder="1" applyAlignment="1">
      <alignment horizontal="center" vertical="center" wrapText="1"/>
    </xf>
    <xf numFmtId="2" fontId="50" fillId="25" borderId="10" xfId="0" applyNumberFormat="1" applyFont="1" applyFill="1" applyBorder="1" applyAlignment="1">
      <alignment horizontal="center" vertical="center"/>
    </xf>
    <xf numFmtId="2" fontId="48" fillId="25" borderId="10" xfId="0" applyNumberFormat="1" applyFont="1" applyFill="1" applyBorder="1" applyAlignment="1">
      <alignment horizontal="center" vertical="center" wrapText="1"/>
    </xf>
    <xf numFmtId="0" fontId="48" fillId="25" borderId="10" xfId="0" applyNumberFormat="1" applyFont="1" applyFill="1" applyBorder="1" applyAlignment="1">
      <alignment horizontal="center" vertical="center"/>
    </xf>
    <xf numFmtId="2" fontId="48" fillId="25" borderId="10" xfId="0" applyNumberFormat="1" applyFont="1" applyFill="1" applyBorder="1" applyAlignment="1">
      <alignment horizontal="center" vertical="center"/>
    </xf>
    <xf numFmtId="0" fontId="52" fillId="25" borderId="10" xfId="0" applyNumberFormat="1" applyFont="1" applyFill="1" applyBorder="1" applyAlignment="1">
      <alignment horizontal="center" vertical="center"/>
    </xf>
    <xf numFmtId="2" fontId="53" fillId="25" borderId="10" xfId="0" applyNumberFormat="1" applyFont="1" applyFill="1" applyBorder="1" applyAlignment="1">
      <alignment horizontal="center" vertical="center"/>
    </xf>
    <xf numFmtId="1" fontId="48" fillId="25" borderId="10" xfId="0" applyNumberFormat="1" applyFont="1" applyFill="1" applyBorder="1" applyAlignment="1">
      <alignment horizontal="center" vertical="center" wrapText="1"/>
    </xf>
    <xf numFmtId="9" fontId="48" fillId="25" borderId="10" xfId="57" applyFont="1" applyFill="1" applyBorder="1" applyAlignment="1">
      <alignment horizontal="center" vertical="center" wrapText="1"/>
    </xf>
    <xf numFmtId="49" fontId="51" fillId="25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192" fontId="5" fillId="25" borderId="10" xfId="0" applyNumberFormat="1" applyFont="1" applyFill="1" applyBorder="1" applyAlignment="1">
      <alignment horizontal="center" vertical="center"/>
    </xf>
    <xf numFmtId="192" fontId="3" fillId="25" borderId="10" xfId="0" applyNumberFormat="1" applyFont="1" applyFill="1" applyBorder="1" applyAlignment="1">
      <alignment horizontal="center" vertical="center"/>
    </xf>
    <xf numFmtId="192" fontId="5" fillId="25" borderId="10" xfId="0" applyNumberFormat="1" applyFont="1" applyFill="1" applyBorder="1" applyAlignment="1">
      <alignment horizontal="center" vertical="center" wrapText="1"/>
    </xf>
    <xf numFmtId="192" fontId="3" fillId="25" borderId="10" xfId="0" applyNumberFormat="1" applyFont="1" applyFill="1" applyBorder="1" applyAlignment="1">
      <alignment horizontal="center" vertical="center" wrapText="1"/>
    </xf>
    <xf numFmtId="192" fontId="0" fillId="25" borderId="10" xfId="0" applyNumberFormat="1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horizontal="center" vertical="center" wrapText="1"/>
    </xf>
    <xf numFmtId="2" fontId="49" fillId="25" borderId="10" xfId="0" applyNumberFormat="1" applyFont="1" applyFill="1" applyBorder="1" applyAlignment="1">
      <alignment horizontal="center" vertical="center"/>
    </xf>
    <xf numFmtId="2" fontId="53" fillId="25" borderId="10" xfId="0" applyNumberFormat="1" applyFont="1" applyFill="1" applyBorder="1" applyAlignment="1">
      <alignment horizontal="center" vertical="center"/>
    </xf>
    <xf numFmtId="192" fontId="50" fillId="25" borderId="10" xfId="0" applyNumberFormat="1" applyFont="1" applyFill="1" applyBorder="1" applyAlignment="1">
      <alignment horizontal="center" vertical="center" wrapText="1"/>
    </xf>
    <xf numFmtId="192" fontId="48" fillId="25" borderId="10" xfId="0" applyNumberFormat="1" applyFont="1" applyFill="1" applyBorder="1" applyAlignment="1">
      <alignment horizontal="center" vertical="center"/>
    </xf>
    <xf numFmtId="192" fontId="50" fillId="25" borderId="10" xfId="0" applyNumberFormat="1" applyFont="1" applyFill="1" applyBorder="1" applyAlignment="1">
      <alignment horizontal="center" vertical="center"/>
    </xf>
    <xf numFmtId="192" fontId="48" fillId="25" borderId="10" xfId="0" applyNumberFormat="1" applyFont="1" applyFill="1" applyBorder="1" applyAlignment="1">
      <alignment horizontal="center" vertical="center" wrapText="1"/>
    </xf>
    <xf numFmtId="192" fontId="53" fillId="25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S.S.S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19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5.140625" style="10" customWidth="1"/>
    <col min="2" max="2" width="20.421875" style="2" customWidth="1"/>
    <col min="3" max="3" width="48.28125" style="6" customWidth="1"/>
    <col min="4" max="4" width="20.28125" style="6" customWidth="1"/>
    <col min="5" max="16384" width="9.140625" style="6" customWidth="1"/>
  </cols>
  <sheetData>
    <row r="1" spans="1:4" ht="33.75" customHeight="1">
      <c r="A1" s="90" t="s">
        <v>138</v>
      </c>
      <c r="B1" s="90"/>
      <c r="C1" s="90"/>
      <c r="D1" s="90"/>
    </row>
    <row r="2" spans="1:4" ht="60" customHeight="1">
      <c r="A2" s="91" t="s">
        <v>139</v>
      </c>
      <c r="B2" s="91"/>
      <c r="C2" s="91"/>
      <c r="D2" s="91"/>
    </row>
    <row r="3" spans="1:4" ht="22.5" customHeight="1">
      <c r="A3" s="92" t="s">
        <v>1</v>
      </c>
      <c r="B3" s="94" t="s">
        <v>10</v>
      </c>
      <c r="C3" s="96" t="s">
        <v>137</v>
      </c>
      <c r="D3" s="28"/>
    </row>
    <row r="4" spans="1:4" ht="36" customHeight="1">
      <c r="A4" s="93"/>
      <c r="B4" s="95"/>
      <c r="C4" s="97"/>
      <c r="D4" s="3" t="s">
        <v>11</v>
      </c>
    </row>
    <row r="5" spans="1:4" ht="36" customHeight="1">
      <c r="A5" s="11">
        <v>1</v>
      </c>
      <c r="B5" s="3" t="s">
        <v>12</v>
      </c>
      <c r="C5" s="4" t="str">
        <f>'1-1'!A2</f>
        <v>მთა ჩირუხი პირველი ტრანსფორმატორი შიდა ელექტროფიკაციის მოწყობა</v>
      </c>
      <c r="D5" s="8"/>
    </row>
    <row r="6" spans="1:4" ht="39" customHeight="1">
      <c r="A6" s="11" t="s">
        <v>16</v>
      </c>
      <c r="B6" s="3" t="s">
        <v>41</v>
      </c>
      <c r="C6" s="4" t="str">
        <f>'1-2'!A2</f>
        <v>მთა ჩირუხი მეორე ტრანსფორმატორი შიდა ელექტროფიკაციის მოწყობა</v>
      </c>
      <c r="D6" s="8"/>
    </row>
    <row r="7" spans="1:4" ht="28.5" customHeight="1">
      <c r="A7" s="11" t="s">
        <v>3</v>
      </c>
      <c r="B7" s="3" t="s">
        <v>42</v>
      </c>
      <c r="C7" s="4" t="str">
        <f>'1-3'!A2</f>
        <v>ჯინალის შიდა ელექტროფიკაციის მოწყობა</v>
      </c>
      <c r="D7" s="8"/>
    </row>
    <row r="8" spans="1:4" ht="28.5" customHeight="1">
      <c r="A8" s="11" t="s">
        <v>4</v>
      </c>
      <c r="B8" s="3" t="s">
        <v>43</v>
      </c>
      <c r="C8" s="4" t="str">
        <f>'1-4'!A2</f>
        <v>ოლადაური შიდა ელექტროფიკაციის მოწყობა</v>
      </c>
      <c r="D8" s="8"/>
    </row>
    <row r="9" spans="1:4" ht="28.5" customHeight="1">
      <c r="A9" s="11" t="s">
        <v>73</v>
      </c>
      <c r="B9" s="3" t="s">
        <v>44</v>
      </c>
      <c r="C9" s="4" t="str">
        <f>'1-5'!A2</f>
        <v>დღვანი შუამთის შიდა ელექტროფიკაციის მოწყობა</v>
      </c>
      <c r="D9" s="8"/>
    </row>
    <row r="10" spans="1:4" ht="36" customHeight="1">
      <c r="A10" s="11" t="s">
        <v>20</v>
      </c>
      <c r="B10" s="3" t="s">
        <v>45</v>
      </c>
      <c r="C10" s="4" t="str">
        <f>'1-6'!A2</f>
        <v>ჩირუხი ძველ მთაზე შიდა ელექტროფიკაციის მოწყობა</v>
      </c>
      <c r="D10" s="8"/>
    </row>
    <row r="11" spans="1:4" ht="28.5" customHeight="1">
      <c r="A11" s="11" t="s">
        <v>117</v>
      </c>
      <c r="B11" s="3" t="s">
        <v>101</v>
      </c>
      <c r="C11" s="4" t="str">
        <f>'1-7'!A2</f>
        <v>კიკიბოს შიდა ელექტროფიკაციის მოწყობა</v>
      </c>
      <c r="D11" s="8"/>
    </row>
    <row r="12" spans="1:4" ht="30" customHeight="1">
      <c r="A12" s="11" t="s">
        <v>5</v>
      </c>
      <c r="B12" s="3" t="s">
        <v>102</v>
      </c>
      <c r="C12" s="4" t="str">
        <f>'1-8'!A2</f>
        <v>შუა იელას შიდა ელექტროფიკაციის მოწყობა</v>
      </c>
      <c r="D12" s="8"/>
    </row>
    <row r="13" spans="1:4" ht="33" customHeight="1">
      <c r="A13" s="11" t="s">
        <v>113</v>
      </c>
      <c r="B13" s="3" t="s">
        <v>107</v>
      </c>
      <c r="C13" s="4" t="s">
        <v>96</v>
      </c>
      <c r="D13" s="8"/>
    </row>
    <row r="14" spans="1:4" ht="39" customHeight="1">
      <c r="A14" s="11" t="s">
        <v>116</v>
      </c>
      <c r="B14" s="3" t="s">
        <v>109</v>
      </c>
      <c r="C14" s="4" t="str">
        <f>'1-10'!A2</f>
        <v>ჩირუხის ძველ მთაზე ელექტროფიკაციის გეგმა (ტრანსფორმატორის მკვებავი მაგისტრალი)</v>
      </c>
      <c r="D14" s="8"/>
    </row>
    <row r="15" spans="1:4" ht="27" customHeight="1">
      <c r="A15" s="11" t="s">
        <v>74</v>
      </c>
      <c r="B15" s="3"/>
      <c r="C15" s="5" t="s">
        <v>13</v>
      </c>
      <c r="D15" s="12"/>
    </row>
    <row r="16" spans="1:4" ht="31.5" customHeight="1">
      <c r="A16" s="11" t="s">
        <v>65</v>
      </c>
      <c r="B16" s="3"/>
      <c r="C16" s="5" t="s">
        <v>19</v>
      </c>
      <c r="D16" s="8"/>
    </row>
    <row r="17" spans="1:4" ht="24.75" customHeight="1">
      <c r="A17" s="11" t="s">
        <v>108</v>
      </c>
      <c r="B17" s="3"/>
      <c r="C17" s="5" t="s">
        <v>13</v>
      </c>
      <c r="D17" s="12"/>
    </row>
    <row r="18" spans="1:4" ht="38.25" customHeight="1">
      <c r="A18" s="11" t="s">
        <v>118</v>
      </c>
      <c r="B18" s="3"/>
      <c r="C18" s="5" t="s">
        <v>14</v>
      </c>
      <c r="D18" s="8"/>
    </row>
    <row r="19" spans="1:4" ht="39" customHeight="1">
      <c r="A19" s="11" t="s">
        <v>119</v>
      </c>
      <c r="B19" s="3"/>
      <c r="C19" s="5" t="s">
        <v>15</v>
      </c>
      <c r="D19" s="12"/>
    </row>
  </sheetData>
  <sheetProtection/>
  <mergeCells count="5">
    <mergeCell ref="A1:D1"/>
    <mergeCell ref="A2:D2"/>
    <mergeCell ref="A3:A4"/>
    <mergeCell ref="B3:B4"/>
    <mergeCell ref="C3:C4"/>
  </mergeCells>
  <printOptions horizontalCentered="1"/>
  <pageMargins left="0.32" right="0.24" top="0.24" bottom="0.26" header="0.2" footer="0"/>
  <pageSetup horizontalDpi="600" verticalDpi="600" orientation="landscape" paperSize="9" scale="83" r:id="rId1"/>
  <headerFooter scaleWithDoc="0" alignWithMargins="0">
    <oddFooter>&amp;R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4.00390625" style="13" customWidth="1"/>
    <col min="2" max="2" width="45.8515625" style="1" customWidth="1"/>
    <col min="3" max="3" width="11.140625" style="1" customWidth="1"/>
    <col min="4" max="4" width="8.7109375" style="1" customWidth="1"/>
    <col min="5" max="5" width="11.421875" style="1" customWidth="1"/>
    <col min="6" max="6" width="13.00390625" style="14" customWidth="1"/>
    <col min="7" max="7" width="13.00390625" style="9" customWidth="1"/>
    <col min="8" max="16384" width="9.140625" style="1" customWidth="1"/>
  </cols>
  <sheetData>
    <row r="1" spans="1:7" ht="24" customHeight="1">
      <c r="A1" s="105" t="s">
        <v>40</v>
      </c>
      <c r="B1" s="105"/>
      <c r="C1" s="105"/>
      <c r="D1" s="105"/>
      <c r="E1" s="105"/>
      <c r="F1" s="105"/>
      <c r="G1" s="105"/>
    </row>
    <row r="2" spans="1:7" ht="39.75" customHeight="1">
      <c r="A2" s="106" t="s">
        <v>96</v>
      </c>
      <c r="B2" s="106"/>
      <c r="C2" s="106"/>
      <c r="D2" s="106"/>
      <c r="E2" s="106"/>
      <c r="F2" s="106"/>
      <c r="G2" s="106"/>
    </row>
    <row r="3" spans="1:7" ht="26.25" customHeight="1">
      <c r="A3" s="105" t="s">
        <v>0</v>
      </c>
      <c r="B3" s="105"/>
      <c r="C3" s="105"/>
      <c r="D3" s="105"/>
      <c r="E3" s="105"/>
      <c r="F3" s="105"/>
      <c r="G3" s="105"/>
    </row>
    <row r="4" spans="1:7" ht="36" customHeight="1">
      <c r="A4" s="103" t="s">
        <v>75</v>
      </c>
      <c r="B4" s="104" t="s">
        <v>76</v>
      </c>
      <c r="C4" s="104" t="s">
        <v>77</v>
      </c>
      <c r="D4" s="103" t="s">
        <v>78</v>
      </c>
      <c r="E4" s="103"/>
      <c r="F4" s="104"/>
      <c r="G4" s="104"/>
    </row>
    <row r="5" spans="1:7" ht="73.5" customHeight="1">
      <c r="A5" s="103"/>
      <c r="B5" s="104"/>
      <c r="C5" s="104"/>
      <c r="D5" s="50" t="s">
        <v>79</v>
      </c>
      <c r="E5" s="50" t="s">
        <v>80</v>
      </c>
      <c r="F5" s="82" t="s">
        <v>133</v>
      </c>
      <c r="G5" s="82" t="s">
        <v>136</v>
      </c>
    </row>
    <row r="6" spans="1:7" s="6" customFormat="1" ht="23.25" customHeight="1">
      <c r="A6" s="51"/>
      <c r="B6" s="52" t="s">
        <v>17</v>
      </c>
      <c r="C6" s="53"/>
      <c r="D6" s="53"/>
      <c r="E6" s="53"/>
      <c r="F6" s="54"/>
      <c r="G6" s="54"/>
    </row>
    <row r="7" spans="1:7" s="20" customFormat="1" ht="23.25" customHeight="1">
      <c r="A7" s="56">
        <v>1</v>
      </c>
      <c r="B7" s="49" t="s">
        <v>56</v>
      </c>
      <c r="C7" s="49" t="s">
        <v>46</v>
      </c>
      <c r="D7" s="57"/>
      <c r="E7" s="86">
        <f>E9+E14</f>
        <v>0.27849999999999997</v>
      </c>
      <c r="F7" s="68"/>
      <c r="G7" s="83"/>
    </row>
    <row r="8" spans="1:7" s="20" customFormat="1" ht="21" customHeight="1">
      <c r="A8" s="59"/>
      <c r="B8" s="53" t="s">
        <v>27</v>
      </c>
      <c r="C8" s="53" t="s">
        <v>2</v>
      </c>
      <c r="D8" s="60">
        <v>206</v>
      </c>
      <c r="E8" s="87">
        <f>D8*E7</f>
        <v>57.370999999999995</v>
      </c>
      <c r="F8" s="65"/>
      <c r="G8" s="84"/>
    </row>
    <row r="9" spans="1:7" s="6" customFormat="1" ht="18" customHeight="1">
      <c r="A9" s="62" t="s">
        <v>16</v>
      </c>
      <c r="B9" s="49" t="s">
        <v>57</v>
      </c>
      <c r="C9" s="49" t="s">
        <v>46</v>
      </c>
      <c r="D9" s="63"/>
      <c r="E9" s="88">
        <f>(0.5*0.5*0.1*(70)+(0.5*0.5*0.1+1*0.5*0.1)*14+(0.5*0.5*0.1+1*0.5*0.1*2)*6)/100</f>
        <v>0.035500000000000004</v>
      </c>
      <c r="F9" s="66"/>
      <c r="G9" s="83"/>
    </row>
    <row r="10" spans="1:7" s="6" customFormat="1" ht="18" customHeight="1">
      <c r="A10" s="62"/>
      <c r="B10" s="53" t="s">
        <v>47</v>
      </c>
      <c r="C10" s="53" t="s">
        <v>2</v>
      </c>
      <c r="D10" s="64">
        <v>137</v>
      </c>
      <c r="E10" s="85">
        <f>D10*E9</f>
        <v>4.8635</v>
      </c>
      <c r="F10" s="54"/>
      <c r="G10" s="84"/>
    </row>
    <row r="11" spans="1:7" s="7" customFormat="1" ht="15">
      <c r="A11" s="62"/>
      <c r="B11" s="53" t="s">
        <v>48</v>
      </c>
      <c r="C11" s="53" t="s">
        <v>7</v>
      </c>
      <c r="D11" s="64">
        <v>28.3</v>
      </c>
      <c r="E11" s="85">
        <f>E9*D11</f>
        <v>1.00465</v>
      </c>
      <c r="F11" s="54"/>
      <c r="G11" s="84"/>
    </row>
    <row r="12" spans="1:7" s="7" customFormat="1" ht="15">
      <c r="A12" s="62"/>
      <c r="B12" s="53" t="s">
        <v>120</v>
      </c>
      <c r="C12" s="53" t="s">
        <v>50</v>
      </c>
      <c r="D12" s="64">
        <v>102</v>
      </c>
      <c r="E12" s="85">
        <f>D12*E9</f>
        <v>3.6210000000000004</v>
      </c>
      <c r="F12" s="54"/>
      <c r="G12" s="84"/>
    </row>
    <row r="13" spans="1:7" s="6" customFormat="1" ht="15">
      <c r="A13" s="62"/>
      <c r="B13" s="53" t="s">
        <v>51</v>
      </c>
      <c r="C13" s="53" t="s">
        <v>7</v>
      </c>
      <c r="D13" s="64">
        <v>62</v>
      </c>
      <c r="E13" s="85">
        <f>E9*D13</f>
        <v>2.201</v>
      </c>
      <c r="F13" s="54"/>
      <c r="G13" s="84"/>
    </row>
    <row r="14" spans="1:7" s="6" customFormat="1" ht="22.5" customHeight="1">
      <c r="A14" s="62" t="s">
        <v>3</v>
      </c>
      <c r="B14" s="49" t="s">
        <v>58</v>
      </c>
      <c r="C14" s="49" t="s">
        <v>46</v>
      </c>
      <c r="D14" s="63"/>
      <c r="E14" s="88">
        <f>(0.5*0.5*1.2*(69)+(0.5*0.5*1.2+1*0.5*1.2)*4+(0.5*0.5*1.2+1*0.5*1.2*2)*0)/100</f>
        <v>0.24299999999999997</v>
      </c>
      <c r="F14" s="66"/>
      <c r="G14" s="83"/>
    </row>
    <row r="15" spans="1:7" s="6" customFormat="1" ht="15">
      <c r="A15" s="62"/>
      <c r="B15" s="53" t="s">
        <v>47</v>
      </c>
      <c r="C15" s="53" t="s">
        <v>2</v>
      </c>
      <c r="D15" s="64">
        <v>410</v>
      </c>
      <c r="E15" s="85">
        <f>D15*E14</f>
        <v>99.62999999999998</v>
      </c>
      <c r="F15" s="54"/>
      <c r="G15" s="84"/>
    </row>
    <row r="16" spans="1:7" s="7" customFormat="1" ht="15">
      <c r="A16" s="62"/>
      <c r="B16" s="53" t="s">
        <v>48</v>
      </c>
      <c r="C16" s="53" t="s">
        <v>7</v>
      </c>
      <c r="D16" s="64">
        <v>112</v>
      </c>
      <c r="E16" s="85">
        <f>E14*D16</f>
        <v>27.215999999999998</v>
      </c>
      <c r="F16" s="54"/>
      <c r="G16" s="84"/>
    </row>
    <row r="17" spans="1:7" s="7" customFormat="1" ht="15">
      <c r="A17" s="62"/>
      <c r="B17" s="53" t="s">
        <v>121</v>
      </c>
      <c r="C17" s="53" t="s">
        <v>50</v>
      </c>
      <c r="D17" s="64">
        <v>101.5</v>
      </c>
      <c r="E17" s="85">
        <f>D17*E14</f>
        <v>24.664499999999997</v>
      </c>
      <c r="F17" s="54"/>
      <c r="G17" s="84"/>
    </row>
    <row r="18" spans="1:7" s="7" customFormat="1" ht="15">
      <c r="A18" s="62"/>
      <c r="B18" s="53" t="s">
        <v>53</v>
      </c>
      <c r="C18" s="53" t="s">
        <v>54</v>
      </c>
      <c r="D18" s="64">
        <v>88.1</v>
      </c>
      <c r="E18" s="85">
        <f>E14*D18</f>
        <v>21.408299999999997</v>
      </c>
      <c r="F18" s="54"/>
      <c r="G18" s="84"/>
    </row>
    <row r="19" spans="1:7" s="20" customFormat="1" ht="15.75">
      <c r="A19" s="59"/>
      <c r="B19" s="53" t="s">
        <v>32</v>
      </c>
      <c r="C19" s="59" t="s">
        <v>22</v>
      </c>
      <c r="D19" s="59" t="s">
        <v>23</v>
      </c>
      <c r="E19" s="87">
        <f>E23*1</f>
        <v>73</v>
      </c>
      <c r="F19" s="65"/>
      <c r="G19" s="84"/>
    </row>
    <row r="20" spans="1:7" s="6" customFormat="1" ht="15">
      <c r="A20" s="62"/>
      <c r="B20" s="53" t="s">
        <v>55</v>
      </c>
      <c r="C20" s="53" t="s">
        <v>50</v>
      </c>
      <c r="D20" s="64">
        <v>1</v>
      </c>
      <c r="E20" s="85">
        <f>E14*D20</f>
        <v>0.24299999999999997</v>
      </c>
      <c r="F20" s="65"/>
      <c r="G20" s="84"/>
    </row>
    <row r="21" spans="1:7" s="6" customFormat="1" ht="15">
      <c r="A21" s="62"/>
      <c r="B21" s="53" t="s">
        <v>51</v>
      </c>
      <c r="C21" s="53" t="s">
        <v>7</v>
      </c>
      <c r="D21" s="64">
        <v>26</v>
      </c>
      <c r="E21" s="85">
        <f>E14*D21</f>
        <v>6.317999999999999</v>
      </c>
      <c r="F21" s="54"/>
      <c r="G21" s="84"/>
    </row>
    <row r="22" spans="1:7" s="6" customFormat="1" ht="24" customHeight="1">
      <c r="A22" s="62" t="s">
        <v>4</v>
      </c>
      <c r="B22" s="49" t="s">
        <v>110</v>
      </c>
      <c r="C22" s="49" t="s">
        <v>111</v>
      </c>
      <c r="D22" s="63"/>
      <c r="E22" s="88">
        <f>E14*100*2.43599</f>
        <v>59.19455699999999</v>
      </c>
      <c r="F22" s="66"/>
      <c r="G22" s="83"/>
    </row>
    <row r="23" spans="1:7" s="17" customFormat="1" ht="24" customHeight="1">
      <c r="A23" s="56">
        <v>5</v>
      </c>
      <c r="B23" s="49" t="s">
        <v>59</v>
      </c>
      <c r="C23" s="56" t="s">
        <v>21</v>
      </c>
      <c r="D23" s="56"/>
      <c r="E23" s="86">
        <v>73</v>
      </c>
      <c r="F23" s="68"/>
      <c r="G23" s="83"/>
    </row>
    <row r="24" spans="1:7" s="17" customFormat="1" ht="18" customHeight="1">
      <c r="A24" s="59"/>
      <c r="B24" s="53" t="s">
        <v>97</v>
      </c>
      <c r="C24" s="59" t="s">
        <v>22</v>
      </c>
      <c r="D24" s="59" t="s">
        <v>23</v>
      </c>
      <c r="E24" s="87">
        <f>10.2*(69)+20.4*4</f>
        <v>785.4</v>
      </c>
      <c r="F24" s="65"/>
      <c r="G24" s="84"/>
    </row>
    <row r="25" spans="1:7" s="17" customFormat="1" ht="18" customHeight="1">
      <c r="A25" s="59"/>
      <c r="B25" s="53" t="s">
        <v>33</v>
      </c>
      <c r="C25" s="59" t="s">
        <v>24</v>
      </c>
      <c r="D25" s="59" t="s">
        <v>23</v>
      </c>
      <c r="E25" s="87">
        <f>0.0225*E23</f>
        <v>1.6424999999999998</v>
      </c>
      <c r="F25" s="65"/>
      <c r="G25" s="84"/>
    </row>
    <row r="26" spans="1:7" s="19" customFormat="1" ht="18" customHeight="1">
      <c r="A26" s="67"/>
      <c r="B26" s="53" t="s">
        <v>122</v>
      </c>
      <c r="C26" s="59" t="s">
        <v>69</v>
      </c>
      <c r="D26" s="59" t="s">
        <v>23</v>
      </c>
      <c r="E26" s="87">
        <f>E23*1.5</f>
        <v>109.5</v>
      </c>
      <c r="F26" s="65"/>
      <c r="G26" s="84"/>
    </row>
    <row r="27" spans="1:7" s="17" customFormat="1" ht="18" customHeight="1">
      <c r="A27" s="59"/>
      <c r="B27" s="53" t="s">
        <v>25</v>
      </c>
      <c r="C27" s="59" t="s">
        <v>26</v>
      </c>
      <c r="D27" s="59">
        <v>0.5</v>
      </c>
      <c r="E27" s="87">
        <f>D27*E23</f>
        <v>36.5</v>
      </c>
      <c r="F27" s="54"/>
      <c r="G27" s="84"/>
    </row>
    <row r="28" spans="1:7" s="17" customFormat="1" ht="18" customHeight="1">
      <c r="A28" s="59"/>
      <c r="B28" s="53" t="s">
        <v>27</v>
      </c>
      <c r="C28" s="59" t="s">
        <v>2</v>
      </c>
      <c r="D28" s="59">
        <v>6.5</v>
      </c>
      <c r="E28" s="87">
        <f>D28*E23</f>
        <v>474.5</v>
      </c>
      <c r="F28" s="65"/>
      <c r="G28" s="84"/>
    </row>
    <row r="29" spans="1:7" s="17" customFormat="1" ht="21" customHeight="1">
      <c r="A29" s="59">
        <v>6</v>
      </c>
      <c r="B29" s="49" t="s">
        <v>115</v>
      </c>
      <c r="C29" s="49" t="s">
        <v>111</v>
      </c>
      <c r="D29" s="63"/>
      <c r="E29" s="88">
        <f>E24*12.133/1000</f>
        <v>9.5292582</v>
      </c>
      <c r="F29" s="66"/>
      <c r="G29" s="83"/>
    </row>
    <row r="30" spans="1:7" s="18" customFormat="1" ht="66.75" customHeight="1">
      <c r="A30" s="56">
        <v>7</v>
      </c>
      <c r="B30" s="49" t="s">
        <v>130</v>
      </c>
      <c r="C30" s="56" t="s">
        <v>30</v>
      </c>
      <c r="D30" s="56"/>
      <c r="E30" s="86">
        <v>3700</v>
      </c>
      <c r="F30" s="68"/>
      <c r="G30" s="83"/>
    </row>
    <row r="31" spans="1:7" s="18" customFormat="1" ht="15">
      <c r="A31" s="59"/>
      <c r="B31" s="59" t="s">
        <v>27</v>
      </c>
      <c r="C31" s="59" t="s">
        <v>2</v>
      </c>
      <c r="D31" s="59">
        <v>0.586</v>
      </c>
      <c r="E31" s="87">
        <f>D31*E30</f>
        <v>2168.2</v>
      </c>
      <c r="F31" s="65"/>
      <c r="G31" s="84"/>
    </row>
    <row r="32" spans="1:7" s="18" customFormat="1" ht="15">
      <c r="A32" s="59"/>
      <c r="B32" s="59" t="s">
        <v>31</v>
      </c>
      <c r="C32" s="59" t="s">
        <v>7</v>
      </c>
      <c r="D32" s="59">
        <v>0.327</v>
      </c>
      <c r="E32" s="87">
        <f>D32*E30</f>
        <v>1209.9</v>
      </c>
      <c r="F32" s="65"/>
      <c r="G32" s="84"/>
    </row>
    <row r="33" spans="1:7" s="18" customFormat="1" ht="27.75">
      <c r="A33" s="59"/>
      <c r="B33" s="53" t="s">
        <v>131</v>
      </c>
      <c r="C33" s="59" t="s">
        <v>22</v>
      </c>
      <c r="D33" s="59">
        <v>3.3</v>
      </c>
      <c r="E33" s="87">
        <f>D33*E30</f>
        <v>12210</v>
      </c>
      <c r="F33" s="65"/>
      <c r="G33" s="84"/>
    </row>
    <row r="34" spans="1:7" s="18" customFormat="1" ht="15">
      <c r="A34" s="59"/>
      <c r="B34" s="53" t="s">
        <v>28</v>
      </c>
      <c r="C34" s="59" t="s">
        <v>21</v>
      </c>
      <c r="D34" s="59" t="s">
        <v>23</v>
      </c>
      <c r="E34" s="87">
        <f>3*E23</f>
        <v>219</v>
      </c>
      <c r="F34" s="65"/>
      <c r="G34" s="84"/>
    </row>
    <row r="35" spans="1:7" s="18" customFormat="1" ht="15">
      <c r="A35" s="59"/>
      <c r="B35" s="53" t="s">
        <v>29</v>
      </c>
      <c r="C35" s="59" t="s">
        <v>26</v>
      </c>
      <c r="D35" s="59">
        <v>0.05</v>
      </c>
      <c r="E35" s="87">
        <f>D35*E30</f>
        <v>185</v>
      </c>
      <c r="F35" s="65"/>
      <c r="G35" s="84"/>
    </row>
    <row r="36" spans="1:7" s="7" customFormat="1" ht="42" customHeight="1">
      <c r="A36" s="62" t="s">
        <v>5</v>
      </c>
      <c r="B36" s="49" t="s">
        <v>66</v>
      </c>
      <c r="C36" s="49" t="s">
        <v>67</v>
      </c>
      <c r="D36" s="63"/>
      <c r="E36" s="88">
        <v>1</v>
      </c>
      <c r="F36" s="66"/>
      <c r="G36" s="83"/>
    </row>
    <row r="37" spans="1:7" ht="15">
      <c r="A37" s="69"/>
      <c r="B37" s="53" t="s">
        <v>47</v>
      </c>
      <c r="C37" s="53" t="s">
        <v>2</v>
      </c>
      <c r="D37" s="64">
        <v>1.04</v>
      </c>
      <c r="E37" s="89">
        <f>E36*D37</f>
        <v>1.04</v>
      </c>
      <c r="F37" s="70"/>
      <c r="G37" s="84"/>
    </row>
    <row r="38" spans="1:7" s="19" customFormat="1" ht="15">
      <c r="A38" s="67"/>
      <c r="B38" s="53" t="s">
        <v>62</v>
      </c>
      <c r="C38" s="53" t="s">
        <v>7</v>
      </c>
      <c r="D38" s="64">
        <v>0.08</v>
      </c>
      <c r="E38" s="87">
        <f>E36*D38</f>
        <v>0.08</v>
      </c>
      <c r="F38" s="65"/>
      <c r="G38" s="84"/>
    </row>
    <row r="39" spans="1:7" s="19" customFormat="1" ht="15">
      <c r="A39" s="67"/>
      <c r="B39" s="53" t="s">
        <v>122</v>
      </c>
      <c r="C39" s="59" t="s">
        <v>69</v>
      </c>
      <c r="D39" s="61">
        <v>6</v>
      </c>
      <c r="E39" s="87">
        <f>E36*D39</f>
        <v>6</v>
      </c>
      <c r="F39" s="65"/>
      <c r="G39" s="84"/>
    </row>
    <row r="40" spans="1:7" s="20" customFormat="1" ht="15.75">
      <c r="A40" s="59"/>
      <c r="B40" s="53" t="s">
        <v>32</v>
      </c>
      <c r="C40" s="59" t="s">
        <v>22</v>
      </c>
      <c r="D40" s="59">
        <v>2</v>
      </c>
      <c r="E40" s="87">
        <f>E36*D40</f>
        <v>2</v>
      </c>
      <c r="F40" s="65"/>
      <c r="G40" s="84"/>
    </row>
    <row r="41" spans="1:7" s="19" customFormat="1" ht="15">
      <c r="A41" s="67"/>
      <c r="B41" s="53" t="s">
        <v>70</v>
      </c>
      <c r="C41" s="53" t="s">
        <v>7</v>
      </c>
      <c r="D41" s="61">
        <v>1.4</v>
      </c>
      <c r="E41" s="87">
        <f>E36*D41</f>
        <v>1.4</v>
      </c>
      <c r="F41" s="65"/>
      <c r="G41" s="84"/>
    </row>
    <row r="42" spans="1:7" s="7" customFormat="1" ht="22.5" customHeight="1">
      <c r="A42" s="62" t="s">
        <v>113</v>
      </c>
      <c r="B42" s="49" t="s">
        <v>71</v>
      </c>
      <c r="C42" s="49" t="s">
        <v>69</v>
      </c>
      <c r="D42" s="63"/>
      <c r="E42" s="88">
        <f>3.6*E36</f>
        <v>3.6</v>
      </c>
      <c r="F42" s="66"/>
      <c r="G42" s="83"/>
    </row>
    <row r="43" spans="1:7" ht="18" customHeight="1">
      <c r="A43" s="69"/>
      <c r="B43" s="53" t="s">
        <v>47</v>
      </c>
      <c r="C43" s="53" t="s">
        <v>2</v>
      </c>
      <c r="D43" s="64">
        <v>0.14</v>
      </c>
      <c r="E43" s="89">
        <f>E42*D43</f>
        <v>0.5040000000000001</v>
      </c>
      <c r="F43" s="70"/>
      <c r="G43" s="84"/>
    </row>
    <row r="44" spans="1:7" s="19" customFormat="1" ht="15">
      <c r="A44" s="67"/>
      <c r="B44" s="53" t="s">
        <v>62</v>
      </c>
      <c r="C44" s="53" t="s">
        <v>7</v>
      </c>
      <c r="D44" s="64">
        <v>0.01</v>
      </c>
      <c r="E44" s="87">
        <f>E42*D44</f>
        <v>0.036000000000000004</v>
      </c>
      <c r="F44" s="65"/>
      <c r="G44" s="84"/>
    </row>
    <row r="45" spans="1:7" s="19" customFormat="1" ht="15">
      <c r="A45" s="67"/>
      <c r="B45" s="53" t="s">
        <v>127</v>
      </c>
      <c r="C45" s="59" t="s">
        <v>69</v>
      </c>
      <c r="D45" s="61">
        <v>1</v>
      </c>
      <c r="E45" s="87">
        <f>E42*D45</f>
        <v>3.6</v>
      </c>
      <c r="F45" s="65"/>
      <c r="G45" s="84"/>
    </row>
    <row r="46" spans="1:7" s="19" customFormat="1" ht="15">
      <c r="A46" s="67"/>
      <c r="B46" s="53" t="s">
        <v>70</v>
      </c>
      <c r="C46" s="53" t="s">
        <v>7</v>
      </c>
      <c r="D46" s="61">
        <v>0.193</v>
      </c>
      <c r="E46" s="87">
        <f>E42*D46</f>
        <v>0.6948000000000001</v>
      </c>
      <c r="F46" s="65"/>
      <c r="G46" s="84"/>
    </row>
    <row r="47" spans="1:7" s="21" customFormat="1" ht="36" customHeight="1">
      <c r="A47" s="56">
        <v>10</v>
      </c>
      <c r="B47" s="49" t="s">
        <v>60</v>
      </c>
      <c r="C47" s="56" t="s">
        <v>61</v>
      </c>
      <c r="D47" s="56"/>
      <c r="E47" s="86">
        <f>3.6*E23/100</f>
        <v>2.628</v>
      </c>
      <c r="F47" s="68"/>
      <c r="G47" s="83"/>
    </row>
    <row r="48" spans="1:7" s="20" customFormat="1" ht="15.75">
      <c r="A48" s="71"/>
      <c r="B48" s="53" t="s">
        <v>47</v>
      </c>
      <c r="C48" s="53" t="s">
        <v>2</v>
      </c>
      <c r="D48" s="64">
        <v>77.3</v>
      </c>
      <c r="E48" s="85">
        <f>E47*D48</f>
        <v>203.1444</v>
      </c>
      <c r="F48" s="54"/>
      <c r="G48" s="84"/>
    </row>
    <row r="49" spans="1:7" s="20" customFormat="1" ht="15.75">
      <c r="A49" s="71"/>
      <c r="B49" s="53" t="s">
        <v>62</v>
      </c>
      <c r="C49" s="53" t="s">
        <v>7</v>
      </c>
      <c r="D49" s="64">
        <v>0.84</v>
      </c>
      <c r="E49" s="85">
        <f>E47*D49</f>
        <v>2.20752</v>
      </c>
      <c r="F49" s="54"/>
      <c r="G49" s="84"/>
    </row>
    <row r="50" spans="1:7" s="20" customFormat="1" ht="15.75">
      <c r="A50" s="71"/>
      <c r="B50" s="53" t="s">
        <v>63</v>
      </c>
      <c r="C50" s="53" t="s">
        <v>6</v>
      </c>
      <c r="D50" s="64">
        <v>32.1</v>
      </c>
      <c r="E50" s="85">
        <f>E47*D50</f>
        <v>84.3588</v>
      </c>
      <c r="F50" s="54"/>
      <c r="G50" s="84"/>
    </row>
    <row r="51" spans="1:7" s="20" customFormat="1" ht="15.75">
      <c r="A51" s="71"/>
      <c r="B51" s="53" t="s">
        <v>64</v>
      </c>
      <c r="C51" s="53" t="s">
        <v>6</v>
      </c>
      <c r="D51" s="64">
        <v>3.6</v>
      </c>
      <c r="E51" s="85">
        <f>E47*D51</f>
        <v>9.4608</v>
      </c>
      <c r="F51" s="54"/>
      <c r="G51" s="84"/>
    </row>
    <row r="52" spans="1:7" s="20" customFormat="1" ht="15.75">
      <c r="A52" s="71"/>
      <c r="B52" s="53" t="s">
        <v>51</v>
      </c>
      <c r="C52" s="53" t="s">
        <v>7</v>
      </c>
      <c r="D52" s="64">
        <v>0.07</v>
      </c>
      <c r="E52" s="85">
        <f>E47*D52</f>
        <v>0.18396</v>
      </c>
      <c r="F52" s="54"/>
      <c r="G52" s="84"/>
    </row>
    <row r="53" spans="1:7" s="21" customFormat="1" ht="36.75" customHeight="1">
      <c r="A53" s="56">
        <v>11</v>
      </c>
      <c r="B53" s="49" t="s">
        <v>94</v>
      </c>
      <c r="C53" s="56" t="s">
        <v>67</v>
      </c>
      <c r="D53" s="56"/>
      <c r="E53" s="86">
        <v>1</v>
      </c>
      <c r="F53" s="68"/>
      <c r="G53" s="83"/>
    </row>
    <row r="54" spans="1:7" s="20" customFormat="1" ht="15.75">
      <c r="A54" s="71"/>
      <c r="B54" s="53" t="s">
        <v>47</v>
      </c>
      <c r="C54" s="53" t="s">
        <v>2</v>
      </c>
      <c r="D54" s="64">
        <v>1.38</v>
      </c>
      <c r="E54" s="85">
        <f>E53*D54</f>
        <v>1.38</v>
      </c>
      <c r="F54" s="54"/>
      <c r="G54" s="84"/>
    </row>
    <row r="55" spans="1:7" s="20" customFormat="1" ht="15.75">
      <c r="A55" s="71"/>
      <c r="B55" s="53" t="s">
        <v>62</v>
      </c>
      <c r="C55" s="53" t="s">
        <v>7</v>
      </c>
      <c r="D55" s="64">
        <v>0.328</v>
      </c>
      <c r="E55" s="85">
        <f>E53*D55</f>
        <v>0.328</v>
      </c>
      <c r="F55" s="54"/>
      <c r="G55" s="84"/>
    </row>
    <row r="56" spans="1:7" s="20" customFormat="1" ht="15.75">
      <c r="A56" s="71"/>
      <c r="B56" s="53" t="s">
        <v>105</v>
      </c>
      <c r="C56" s="53" t="s">
        <v>21</v>
      </c>
      <c r="D56" s="64">
        <v>1</v>
      </c>
      <c r="E56" s="85">
        <f>E53*D56</f>
        <v>1</v>
      </c>
      <c r="F56" s="54"/>
      <c r="G56" s="84"/>
    </row>
    <row r="57" spans="1:7" s="20" customFormat="1" ht="15.75">
      <c r="A57" s="71"/>
      <c r="B57" s="53" t="s">
        <v>95</v>
      </c>
      <c r="C57" s="53" t="s">
        <v>26</v>
      </c>
      <c r="D57" s="64">
        <v>0.042</v>
      </c>
      <c r="E57" s="85">
        <f>E53*D57</f>
        <v>0.042</v>
      </c>
      <c r="F57" s="54"/>
      <c r="G57" s="84"/>
    </row>
    <row r="58" spans="1:7" s="20" customFormat="1" ht="15.75">
      <c r="A58" s="71"/>
      <c r="B58" s="53" t="s">
        <v>51</v>
      </c>
      <c r="C58" s="53" t="s">
        <v>7</v>
      </c>
      <c r="D58" s="64">
        <v>0.38</v>
      </c>
      <c r="E58" s="85">
        <f>E53*D58</f>
        <v>0.38</v>
      </c>
      <c r="F58" s="54"/>
      <c r="G58" s="84"/>
    </row>
    <row r="59" spans="1:7" s="20" customFormat="1" ht="18" customHeight="1">
      <c r="A59" s="55"/>
      <c r="B59" s="49" t="s">
        <v>8</v>
      </c>
      <c r="C59" s="49" t="s">
        <v>7</v>
      </c>
      <c r="D59" s="66"/>
      <c r="E59" s="66"/>
      <c r="F59" s="66"/>
      <c r="G59" s="66"/>
    </row>
    <row r="60" spans="1:7" s="26" customFormat="1" ht="39" customHeight="1">
      <c r="A60" s="55"/>
      <c r="B60" s="49" t="s">
        <v>132</v>
      </c>
      <c r="C60" s="49" t="s">
        <v>7</v>
      </c>
      <c r="D60" s="72">
        <v>0.75</v>
      </c>
      <c r="E60" s="66"/>
      <c r="F60" s="66"/>
      <c r="G60" s="66"/>
    </row>
    <row r="61" spans="1:7" s="26" customFormat="1" ht="18.75" customHeight="1">
      <c r="A61" s="55"/>
      <c r="B61" s="49" t="s">
        <v>8</v>
      </c>
      <c r="C61" s="49" t="s">
        <v>7</v>
      </c>
      <c r="D61" s="72"/>
      <c r="E61" s="66"/>
      <c r="F61" s="66"/>
      <c r="G61" s="66"/>
    </row>
    <row r="62" spans="1:7" s="26" customFormat="1" ht="24.75" customHeight="1">
      <c r="A62" s="55"/>
      <c r="B62" s="49" t="s">
        <v>81</v>
      </c>
      <c r="C62" s="49" t="s">
        <v>7</v>
      </c>
      <c r="D62" s="72">
        <v>0.08</v>
      </c>
      <c r="E62" s="66"/>
      <c r="F62" s="66"/>
      <c r="G62" s="66"/>
    </row>
    <row r="63" spans="1:7" ht="23.25" customHeight="1">
      <c r="A63" s="73"/>
      <c r="B63" s="49" t="s">
        <v>9</v>
      </c>
      <c r="C63" s="49" t="s">
        <v>7</v>
      </c>
      <c r="D63" s="54"/>
      <c r="E63" s="54"/>
      <c r="F63" s="54"/>
      <c r="G63" s="66"/>
    </row>
  </sheetData>
  <sheetProtection/>
  <mergeCells count="8"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25" right="0.25" top="0.2" bottom="0.2" header="0.3" footer="0.3"/>
  <pageSetup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35">
      <selection activeCell="F48" sqref="F48"/>
    </sheetView>
  </sheetViews>
  <sheetFormatPr defaultColWidth="9.140625" defaultRowHeight="12.75"/>
  <cols>
    <col min="1" max="1" width="3.421875" style="13" customWidth="1"/>
    <col min="2" max="2" width="43.7109375" style="1" customWidth="1"/>
    <col min="3" max="3" width="9.7109375" style="1" customWidth="1"/>
    <col min="4" max="4" width="7.8515625" style="1" customWidth="1"/>
    <col min="5" max="5" width="10.28125" style="1" customWidth="1"/>
    <col min="6" max="6" width="13.57421875" style="14" customWidth="1"/>
    <col min="7" max="7" width="12.7109375" style="9" customWidth="1"/>
    <col min="8" max="16384" width="9.140625" style="1" customWidth="1"/>
  </cols>
  <sheetData>
    <row r="1" spans="1:7" ht="24" customHeight="1">
      <c r="A1" s="105" t="s">
        <v>106</v>
      </c>
      <c r="B1" s="105"/>
      <c r="C1" s="105"/>
      <c r="D1" s="105"/>
      <c r="E1" s="105"/>
      <c r="F1" s="105"/>
      <c r="G1" s="105"/>
    </row>
    <row r="2" spans="1:7" ht="33.75" customHeight="1">
      <c r="A2" s="106" t="s">
        <v>99</v>
      </c>
      <c r="B2" s="106"/>
      <c r="C2" s="106"/>
      <c r="D2" s="106"/>
      <c r="E2" s="106"/>
      <c r="F2" s="106"/>
      <c r="G2" s="106"/>
    </row>
    <row r="3" spans="1:7" ht="24.75" customHeight="1">
      <c r="A3" s="105" t="s">
        <v>0</v>
      </c>
      <c r="B3" s="105"/>
      <c r="C3" s="105"/>
      <c r="D3" s="105"/>
      <c r="E3" s="105"/>
      <c r="F3" s="105"/>
      <c r="G3" s="105"/>
    </row>
    <row r="4" spans="1:7" ht="36" customHeight="1">
      <c r="A4" s="103" t="s">
        <v>75</v>
      </c>
      <c r="B4" s="104" t="s">
        <v>76</v>
      </c>
      <c r="C4" s="104" t="s">
        <v>77</v>
      </c>
      <c r="D4" s="103" t="s">
        <v>78</v>
      </c>
      <c r="E4" s="103"/>
      <c r="F4" s="104"/>
      <c r="G4" s="104"/>
    </row>
    <row r="5" spans="1:7" ht="73.5" customHeight="1">
      <c r="A5" s="103"/>
      <c r="B5" s="104"/>
      <c r="C5" s="104"/>
      <c r="D5" s="50" t="s">
        <v>79</v>
      </c>
      <c r="E5" s="50" t="s">
        <v>80</v>
      </c>
      <c r="F5" s="82" t="s">
        <v>135</v>
      </c>
      <c r="G5" s="82" t="s">
        <v>134</v>
      </c>
    </row>
    <row r="6" spans="1:7" s="6" customFormat="1" ht="26.25" customHeight="1">
      <c r="A6" s="51"/>
      <c r="B6" s="52" t="s">
        <v>17</v>
      </c>
      <c r="C6" s="53"/>
      <c r="D6" s="53"/>
      <c r="E6" s="53"/>
      <c r="F6" s="54"/>
      <c r="G6" s="54"/>
    </row>
    <row r="7" spans="1:7" s="20" customFormat="1" ht="21.75" customHeight="1">
      <c r="A7" s="56">
        <v>1</v>
      </c>
      <c r="B7" s="49" t="s">
        <v>56</v>
      </c>
      <c r="C7" s="49" t="s">
        <v>46</v>
      </c>
      <c r="D7" s="57"/>
      <c r="E7" s="86">
        <f>E9+E14</f>
        <v>0.39325</v>
      </c>
      <c r="F7" s="68"/>
      <c r="G7" s="83"/>
    </row>
    <row r="8" spans="1:7" s="20" customFormat="1" ht="22.5" customHeight="1">
      <c r="A8" s="59"/>
      <c r="B8" s="53" t="s">
        <v>27</v>
      </c>
      <c r="C8" s="53" t="s">
        <v>2</v>
      </c>
      <c r="D8" s="60">
        <v>206</v>
      </c>
      <c r="E8" s="87">
        <f>D8*E7</f>
        <v>81.0095</v>
      </c>
      <c r="F8" s="65"/>
      <c r="G8" s="84"/>
    </row>
    <row r="9" spans="1:7" s="6" customFormat="1" ht="19.5" customHeight="1">
      <c r="A9" s="62" t="s">
        <v>16</v>
      </c>
      <c r="B9" s="49" t="s">
        <v>57</v>
      </c>
      <c r="C9" s="49" t="s">
        <v>46</v>
      </c>
      <c r="D9" s="63"/>
      <c r="E9" s="88">
        <f>(0.5*0.5*0.1*(71)+(0.5*0.5*0.1+1*0.5*0.1)*5+(0.5*0.5*0.1+1*0.5*0.1*2)*7)/100</f>
        <v>0.030250000000000003</v>
      </c>
      <c r="F9" s="66"/>
      <c r="G9" s="83"/>
    </row>
    <row r="10" spans="1:7" s="6" customFormat="1" ht="19.5" customHeight="1">
      <c r="A10" s="62"/>
      <c r="B10" s="53" t="s">
        <v>47</v>
      </c>
      <c r="C10" s="53" t="s">
        <v>2</v>
      </c>
      <c r="D10" s="64">
        <v>137</v>
      </c>
      <c r="E10" s="85">
        <f>D10*E9</f>
        <v>4.14425</v>
      </c>
      <c r="F10" s="54"/>
      <c r="G10" s="84"/>
    </row>
    <row r="11" spans="1:7" s="7" customFormat="1" ht="18" customHeight="1">
      <c r="A11" s="62"/>
      <c r="B11" s="53" t="s">
        <v>48</v>
      </c>
      <c r="C11" s="53" t="s">
        <v>7</v>
      </c>
      <c r="D11" s="64">
        <v>28.3</v>
      </c>
      <c r="E11" s="85">
        <f>E9*D11</f>
        <v>0.8560750000000001</v>
      </c>
      <c r="F11" s="54"/>
      <c r="G11" s="84"/>
    </row>
    <row r="12" spans="1:7" s="7" customFormat="1" ht="20.25" customHeight="1">
      <c r="A12" s="62"/>
      <c r="B12" s="53" t="s">
        <v>120</v>
      </c>
      <c r="C12" s="53" t="s">
        <v>50</v>
      </c>
      <c r="D12" s="64">
        <v>102</v>
      </c>
      <c r="E12" s="85">
        <f>D12*E9</f>
        <v>3.0855</v>
      </c>
      <c r="F12" s="54"/>
      <c r="G12" s="84"/>
    </row>
    <row r="13" spans="1:7" s="6" customFormat="1" ht="18" customHeight="1">
      <c r="A13" s="62"/>
      <c r="B13" s="53" t="s">
        <v>51</v>
      </c>
      <c r="C13" s="53" t="s">
        <v>7</v>
      </c>
      <c r="D13" s="64">
        <v>62</v>
      </c>
      <c r="E13" s="85">
        <f>E9*D13</f>
        <v>1.8755000000000002</v>
      </c>
      <c r="F13" s="54"/>
      <c r="G13" s="84"/>
    </row>
    <row r="14" spans="1:7" s="6" customFormat="1" ht="27.75" customHeight="1">
      <c r="A14" s="62" t="s">
        <v>3</v>
      </c>
      <c r="B14" s="49" t="s">
        <v>58</v>
      </c>
      <c r="C14" s="49" t="s">
        <v>46</v>
      </c>
      <c r="D14" s="63"/>
      <c r="E14" s="88">
        <f>(0.5*0.5*1.2*(71)+(0.5*0.5*1.2+1*0.5*1.2)*5+(0.5*0.5*1.2+1*0.5*1.2*2)*7)/100</f>
        <v>0.363</v>
      </c>
      <c r="F14" s="66"/>
      <c r="G14" s="83"/>
    </row>
    <row r="15" spans="1:7" s="6" customFormat="1" ht="15">
      <c r="A15" s="62"/>
      <c r="B15" s="53" t="s">
        <v>47</v>
      </c>
      <c r="C15" s="53" t="s">
        <v>2</v>
      </c>
      <c r="D15" s="64">
        <v>410</v>
      </c>
      <c r="E15" s="85">
        <f>D15*E14</f>
        <v>148.82999999999998</v>
      </c>
      <c r="F15" s="54"/>
      <c r="G15" s="84"/>
    </row>
    <row r="16" spans="1:7" s="7" customFormat="1" ht="15">
      <c r="A16" s="62"/>
      <c r="B16" s="53" t="s">
        <v>48</v>
      </c>
      <c r="C16" s="53" t="s">
        <v>7</v>
      </c>
      <c r="D16" s="64">
        <v>112</v>
      </c>
      <c r="E16" s="85">
        <f>E14*D16</f>
        <v>40.656</v>
      </c>
      <c r="F16" s="54"/>
      <c r="G16" s="84"/>
    </row>
    <row r="17" spans="1:7" s="7" customFormat="1" ht="15">
      <c r="A17" s="62"/>
      <c r="B17" s="53" t="s">
        <v>121</v>
      </c>
      <c r="C17" s="53" t="s">
        <v>50</v>
      </c>
      <c r="D17" s="64">
        <v>101.5</v>
      </c>
      <c r="E17" s="85">
        <f>D17*E14</f>
        <v>36.8445</v>
      </c>
      <c r="F17" s="54"/>
      <c r="G17" s="84"/>
    </row>
    <row r="18" spans="1:7" s="7" customFormat="1" ht="15">
      <c r="A18" s="62"/>
      <c r="B18" s="53" t="s">
        <v>53</v>
      </c>
      <c r="C18" s="53" t="s">
        <v>54</v>
      </c>
      <c r="D18" s="64">
        <v>88.1</v>
      </c>
      <c r="E18" s="85">
        <f>E14*D18</f>
        <v>31.980299999999996</v>
      </c>
      <c r="F18" s="54"/>
      <c r="G18" s="84"/>
    </row>
    <row r="19" spans="1:7" s="20" customFormat="1" ht="15.75">
      <c r="A19" s="59"/>
      <c r="B19" s="53" t="s">
        <v>32</v>
      </c>
      <c r="C19" s="59" t="s">
        <v>22</v>
      </c>
      <c r="D19" s="59" t="s">
        <v>23</v>
      </c>
      <c r="E19" s="87">
        <f>E23*1</f>
        <v>83</v>
      </c>
      <c r="F19" s="65"/>
      <c r="G19" s="84"/>
    </row>
    <row r="20" spans="1:7" s="6" customFormat="1" ht="15">
      <c r="A20" s="62"/>
      <c r="B20" s="53" t="s">
        <v>55</v>
      </c>
      <c r="C20" s="53" t="s">
        <v>50</v>
      </c>
      <c r="D20" s="64">
        <v>1</v>
      </c>
      <c r="E20" s="85">
        <f>E14*D20</f>
        <v>0.363</v>
      </c>
      <c r="F20" s="65"/>
      <c r="G20" s="84"/>
    </row>
    <row r="21" spans="1:7" s="6" customFormat="1" ht="15">
      <c r="A21" s="62"/>
      <c r="B21" s="53" t="s">
        <v>51</v>
      </c>
      <c r="C21" s="53" t="s">
        <v>7</v>
      </c>
      <c r="D21" s="64">
        <v>26</v>
      </c>
      <c r="E21" s="85">
        <f>E14*D21</f>
        <v>9.437999999999999</v>
      </c>
      <c r="F21" s="54"/>
      <c r="G21" s="84"/>
    </row>
    <row r="22" spans="1:7" s="6" customFormat="1" ht="26.25" customHeight="1">
      <c r="A22" s="62" t="s">
        <v>4</v>
      </c>
      <c r="B22" s="49" t="s">
        <v>110</v>
      </c>
      <c r="C22" s="49" t="s">
        <v>111</v>
      </c>
      <c r="D22" s="63"/>
      <c r="E22" s="88">
        <f>E14*100*2.43599</f>
        <v>88.42643699999999</v>
      </c>
      <c r="F22" s="66"/>
      <c r="G22" s="83"/>
    </row>
    <row r="23" spans="1:7" s="17" customFormat="1" ht="27" customHeight="1">
      <c r="A23" s="56">
        <v>5</v>
      </c>
      <c r="B23" s="49" t="s">
        <v>59</v>
      </c>
      <c r="C23" s="56" t="s">
        <v>21</v>
      </c>
      <c r="D23" s="56"/>
      <c r="E23" s="86">
        <v>83</v>
      </c>
      <c r="F23" s="68"/>
      <c r="G23" s="83"/>
    </row>
    <row r="24" spans="1:7" s="17" customFormat="1" ht="21" customHeight="1">
      <c r="A24" s="59"/>
      <c r="B24" s="53" t="s">
        <v>97</v>
      </c>
      <c r="C24" s="59" t="s">
        <v>22</v>
      </c>
      <c r="D24" s="59" t="s">
        <v>23</v>
      </c>
      <c r="E24" s="87">
        <f>10.2*(71)+20.4*5+10.2*3*7</f>
        <v>1040.3999999999999</v>
      </c>
      <c r="F24" s="65"/>
      <c r="G24" s="84"/>
    </row>
    <row r="25" spans="1:7" s="17" customFormat="1" ht="24" customHeight="1">
      <c r="A25" s="59"/>
      <c r="B25" s="53" t="s">
        <v>33</v>
      </c>
      <c r="C25" s="59" t="s">
        <v>24</v>
      </c>
      <c r="D25" s="59" t="s">
        <v>23</v>
      </c>
      <c r="E25" s="87">
        <f>0.0225*E23</f>
        <v>1.8675</v>
      </c>
      <c r="F25" s="65"/>
      <c r="G25" s="84"/>
    </row>
    <row r="26" spans="1:7" s="19" customFormat="1" ht="18" customHeight="1">
      <c r="A26" s="67"/>
      <c r="B26" s="53" t="s">
        <v>122</v>
      </c>
      <c r="C26" s="59" t="s">
        <v>69</v>
      </c>
      <c r="D26" s="59" t="s">
        <v>23</v>
      </c>
      <c r="E26" s="87">
        <f>E23*1.5</f>
        <v>124.5</v>
      </c>
      <c r="F26" s="65"/>
      <c r="G26" s="84"/>
    </row>
    <row r="27" spans="1:7" s="17" customFormat="1" ht="23.25" customHeight="1">
      <c r="A27" s="59"/>
      <c r="B27" s="53" t="s">
        <v>25</v>
      </c>
      <c r="C27" s="59" t="s">
        <v>26</v>
      </c>
      <c r="D27" s="59">
        <v>0.5</v>
      </c>
      <c r="E27" s="87">
        <f>D27*E23</f>
        <v>41.5</v>
      </c>
      <c r="F27" s="54"/>
      <c r="G27" s="84"/>
    </row>
    <row r="28" spans="1:7" s="17" customFormat="1" ht="21" customHeight="1">
      <c r="A28" s="59"/>
      <c r="B28" s="53" t="s">
        <v>27</v>
      </c>
      <c r="C28" s="59" t="s">
        <v>2</v>
      </c>
      <c r="D28" s="59">
        <v>6.5</v>
      </c>
      <c r="E28" s="87">
        <f>D28*E23</f>
        <v>539.5</v>
      </c>
      <c r="F28" s="65"/>
      <c r="G28" s="84"/>
    </row>
    <row r="29" spans="1:7" s="17" customFormat="1" ht="36" customHeight="1">
      <c r="A29" s="59">
        <v>6</v>
      </c>
      <c r="B29" s="49" t="s">
        <v>115</v>
      </c>
      <c r="C29" s="49" t="s">
        <v>111</v>
      </c>
      <c r="D29" s="63"/>
      <c r="E29" s="88">
        <f>E24*12.133/1000</f>
        <v>12.623173199999998</v>
      </c>
      <c r="F29" s="66"/>
      <c r="G29" s="83"/>
    </row>
    <row r="30" spans="1:7" s="18" customFormat="1" ht="42" customHeight="1">
      <c r="A30" s="56">
        <v>7</v>
      </c>
      <c r="B30" s="49" t="s">
        <v>130</v>
      </c>
      <c r="C30" s="56" t="s">
        <v>30</v>
      </c>
      <c r="D30" s="56"/>
      <c r="E30" s="86">
        <v>4190</v>
      </c>
      <c r="F30" s="68"/>
      <c r="G30" s="83"/>
    </row>
    <row r="31" spans="1:7" s="18" customFormat="1" ht="21" customHeight="1">
      <c r="A31" s="59"/>
      <c r="B31" s="59" t="s">
        <v>27</v>
      </c>
      <c r="C31" s="59" t="s">
        <v>2</v>
      </c>
      <c r="D31" s="59">
        <v>0.586</v>
      </c>
      <c r="E31" s="87">
        <f>D31*E30</f>
        <v>2455.3399999999997</v>
      </c>
      <c r="F31" s="65"/>
      <c r="G31" s="84"/>
    </row>
    <row r="32" spans="1:7" s="18" customFormat="1" ht="18.75" customHeight="1">
      <c r="A32" s="59"/>
      <c r="B32" s="59" t="s">
        <v>31</v>
      </c>
      <c r="C32" s="59" t="s">
        <v>7</v>
      </c>
      <c r="D32" s="59">
        <v>0.327</v>
      </c>
      <c r="E32" s="87">
        <f>D32*E30</f>
        <v>1370.13</v>
      </c>
      <c r="F32" s="65"/>
      <c r="G32" s="84"/>
    </row>
    <row r="33" spans="1:7" s="18" customFormat="1" ht="34.5" customHeight="1">
      <c r="A33" s="59"/>
      <c r="B33" s="53" t="s">
        <v>131</v>
      </c>
      <c r="C33" s="59" t="s">
        <v>22</v>
      </c>
      <c r="D33" s="59">
        <v>3.3</v>
      </c>
      <c r="E33" s="87">
        <f>D33*E30</f>
        <v>13827</v>
      </c>
      <c r="F33" s="65"/>
      <c r="G33" s="84"/>
    </row>
    <row r="34" spans="1:7" s="18" customFormat="1" ht="19.5" customHeight="1">
      <c r="A34" s="59"/>
      <c r="B34" s="53" t="s">
        <v>28</v>
      </c>
      <c r="C34" s="59" t="s">
        <v>21</v>
      </c>
      <c r="D34" s="59" t="s">
        <v>23</v>
      </c>
      <c r="E34" s="87">
        <f>3*E23</f>
        <v>249</v>
      </c>
      <c r="F34" s="65"/>
      <c r="G34" s="84"/>
    </row>
    <row r="35" spans="1:7" s="18" customFormat="1" ht="18.75" customHeight="1">
      <c r="A35" s="59"/>
      <c r="B35" s="53" t="s">
        <v>29</v>
      </c>
      <c r="C35" s="59" t="s">
        <v>26</v>
      </c>
      <c r="D35" s="59">
        <v>0.05</v>
      </c>
      <c r="E35" s="87">
        <f>D35*E30</f>
        <v>209.5</v>
      </c>
      <c r="F35" s="65"/>
      <c r="G35" s="84"/>
    </row>
    <row r="36" spans="1:7" s="21" customFormat="1" ht="37.5" customHeight="1">
      <c r="A36" s="56">
        <v>8</v>
      </c>
      <c r="B36" s="49" t="s">
        <v>60</v>
      </c>
      <c r="C36" s="56" t="s">
        <v>61</v>
      </c>
      <c r="D36" s="56"/>
      <c r="E36" s="86">
        <f>3.6*E23/100</f>
        <v>2.988</v>
      </c>
      <c r="F36" s="68"/>
      <c r="G36" s="83"/>
    </row>
    <row r="37" spans="1:7" s="20" customFormat="1" ht="19.5" customHeight="1">
      <c r="A37" s="71"/>
      <c r="B37" s="53" t="s">
        <v>47</v>
      </c>
      <c r="C37" s="53" t="s">
        <v>2</v>
      </c>
      <c r="D37" s="64">
        <v>77.3</v>
      </c>
      <c r="E37" s="85">
        <f>E36*D37</f>
        <v>230.9724</v>
      </c>
      <c r="F37" s="54"/>
      <c r="G37" s="84"/>
    </row>
    <row r="38" spans="1:7" s="20" customFormat="1" ht="17.25" customHeight="1">
      <c r="A38" s="71"/>
      <c r="B38" s="53" t="s">
        <v>62</v>
      </c>
      <c r="C38" s="53" t="s">
        <v>7</v>
      </c>
      <c r="D38" s="64">
        <v>0.84</v>
      </c>
      <c r="E38" s="85">
        <f>E36*D38</f>
        <v>2.5099199999999997</v>
      </c>
      <c r="F38" s="54"/>
      <c r="G38" s="84"/>
    </row>
    <row r="39" spans="1:7" s="20" customFormat="1" ht="20.25" customHeight="1">
      <c r="A39" s="71"/>
      <c r="B39" s="53" t="s">
        <v>63</v>
      </c>
      <c r="C39" s="53" t="s">
        <v>6</v>
      </c>
      <c r="D39" s="64">
        <v>32.1</v>
      </c>
      <c r="E39" s="85">
        <f>E36*D39</f>
        <v>95.9148</v>
      </c>
      <c r="F39" s="54"/>
      <c r="G39" s="84"/>
    </row>
    <row r="40" spans="1:7" s="20" customFormat="1" ht="18.75" customHeight="1">
      <c r="A40" s="71"/>
      <c r="B40" s="53" t="s">
        <v>64</v>
      </c>
      <c r="C40" s="53" t="s">
        <v>6</v>
      </c>
      <c r="D40" s="64">
        <v>3.6</v>
      </c>
      <c r="E40" s="85">
        <f>E36*D40</f>
        <v>10.7568</v>
      </c>
      <c r="F40" s="54"/>
      <c r="G40" s="84"/>
    </row>
    <row r="41" spans="1:7" s="20" customFormat="1" ht="16.5" customHeight="1">
      <c r="A41" s="71"/>
      <c r="B41" s="53" t="s">
        <v>51</v>
      </c>
      <c r="C41" s="53" t="s">
        <v>7</v>
      </c>
      <c r="D41" s="64">
        <v>0.07</v>
      </c>
      <c r="E41" s="85">
        <f>E36*D41</f>
        <v>0.20916</v>
      </c>
      <c r="F41" s="54"/>
      <c r="G41" s="84"/>
    </row>
    <row r="42" spans="1:7" s="21" customFormat="1" ht="39" customHeight="1">
      <c r="A42" s="56">
        <v>9</v>
      </c>
      <c r="B42" s="49" t="s">
        <v>98</v>
      </c>
      <c r="C42" s="56" t="s">
        <v>67</v>
      </c>
      <c r="D42" s="56"/>
      <c r="E42" s="86">
        <v>1</v>
      </c>
      <c r="F42" s="68"/>
      <c r="G42" s="83"/>
    </row>
    <row r="43" spans="1:7" s="20" customFormat="1" ht="20.25" customHeight="1">
      <c r="A43" s="71"/>
      <c r="B43" s="53" t="s">
        <v>47</v>
      </c>
      <c r="C43" s="53" t="s">
        <v>2</v>
      </c>
      <c r="D43" s="64">
        <v>1.38</v>
      </c>
      <c r="E43" s="85">
        <f>E42*D43</f>
        <v>1.38</v>
      </c>
      <c r="F43" s="54"/>
      <c r="G43" s="84"/>
    </row>
    <row r="44" spans="1:7" s="20" customFormat="1" ht="20.25" customHeight="1">
      <c r="A44" s="71"/>
      <c r="B44" s="53" t="s">
        <v>62</v>
      </c>
      <c r="C44" s="53" t="s">
        <v>7</v>
      </c>
      <c r="D44" s="64">
        <v>0.328</v>
      </c>
      <c r="E44" s="85">
        <f>E42*D44</f>
        <v>0.328</v>
      </c>
      <c r="F44" s="54"/>
      <c r="G44" s="84"/>
    </row>
    <row r="45" spans="1:7" s="20" customFormat="1" ht="20.25" customHeight="1">
      <c r="A45" s="71"/>
      <c r="B45" s="53" t="s">
        <v>95</v>
      </c>
      <c r="C45" s="53" t="s">
        <v>26</v>
      </c>
      <c r="D45" s="64">
        <v>0.042</v>
      </c>
      <c r="E45" s="85">
        <f>E42*D45</f>
        <v>0.042</v>
      </c>
      <c r="F45" s="54"/>
      <c r="G45" s="84"/>
    </row>
    <row r="46" spans="1:7" s="20" customFormat="1" ht="18.75" customHeight="1">
      <c r="A46" s="71"/>
      <c r="B46" s="53" t="s">
        <v>51</v>
      </c>
      <c r="C46" s="53" t="s">
        <v>7</v>
      </c>
      <c r="D46" s="64">
        <v>0.38</v>
      </c>
      <c r="E46" s="85">
        <f>E42*D46</f>
        <v>0.38</v>
      </c>
      <c r="F46" s="54"/>
      <c r="G46" s="84"/>
    </row>
    <row r="47" spans="1:7" s="20" customFormat="1" ht="18" customHeight="1">
      <c r="A47" s="55"/>
      <c r="B47" s="49" t="s">
        <v>8</v>
      </c>
      <c r="C47" s="49" t="s">
        <v>7</v>
      </c>
      <c r="D47" s="66"/>
      <c r="E47" s="66"/>
      <c r="F47" s="66"/>
      <c r="G47" s="66"/>
    </row>
    <row r="48" spans="1:7" s="26" customFormat="1" ht="39.75" customHeight="1">
      <c r="A48" s="55"/>
      <c r="B48" s="49" t="s">
        <v>132</v>
      </c>
      <c r="C48" s="49" t="s">
        <v>7</v>
      </c>
      <c r="D48" s="72">
        <v>0.75</v>
      </c>
      <c r="E48" s="66"/>
      <c r="F48" s="66"/>
      <c r="G48" s="66"/>
    </row>
    <row r="49" spans="1:7" s="26" customFormat="1" ht="18.75" customHeight="1">
      <c r="A49" s="55"/>
      <c r="B49" s="49" t="s">
        <v>8</v>
      </c>
      <c r="C49" s="49" t="s">
        <v>7</v>
      </c>
      <c r="D49" s="72"/>
      <c r="E49" s="66"/>
      <c r="F49" s="66"/>
      <c r="G49" s="66"/>
    </row>
    <row r="50" spans="1:7" s="26" customFormat="1" ht="23.25" customHeight="1">
      <c r="A50" s="55"/>
      <c r="B50" s="49" t="s">
        <v>81</v>
      </c>
      <c r="C50" s="49" t="s">
        <v>7</v>
      </c>
      <c r="D50" s="72">
        <v>0.08</v>
      </c>
      <c r="E50" s="66"/>
      <c r="F50" s="66"/>
      <c r="G50" s="66"/>
    </row>
    <row r="51" spans="1:7" ht="19.5" customHeight="1">
      <c r="A51" s="73"/>
      <c r="B51" s="49" t="s">
        <v>9</v>
      </c>
      <c r="C51" s="49" t="s">
        <v>7</v>
      </c>
      <c r="D51" s="54"/>
      <c r="E51" s="54"/>
      <c r="F51" s="54"/>
      <c r="G51" s="66"/>
    </row>
    <row r="52" spans="1:6" ht="15.75">
      <c r="A52" s="15"/>
      <c r="B52" s="15"/>
      <c r="C52" s="15"/>
      <c r="D52" s="15"/>
      <c r="E52" s="15"/>
      <c r="F52" s="16"/>
    </row>
    <row r="53" spans="1:6" ht="15.75">
      <c r="A53" s="15"/>
      <c r="B53" s="15"/>
      <c r="C53" s="15"/>
      <c r="D53" s="15"/>
      <c r="E53" s="15"/>
      <c r="F53" s="16"/>
    </row>
  </sheetData>
  <sheetProtection/>
  <mergeCells count="8"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24" right="0.24" top="0.2" bottom="0.2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65"/>
  <sheetViews>
    <sheetView view="pageBreakPreview" zoomScaleSheetLayoutView="100" zoomScalePageLayoutView="0" workbookViewId="0" topLeftCell="A46">
      <selection activeCell="J5" sqref="J5"/>
    </sheetView>
  </sheetViews>
  <sheetFormatPr defaultColWidth="9.140625" defaultRowHeight="12.75"/>
  <cols>
    <col min="1" max="1" width="4.00390625" style="13" customWidth="1"/>
    <col min="2" max="2" width="36.140625" style="1" customWidth="1"/>
    <col min="3" max="3" width="9.140625" style="1" customWidth="1"/>
    <col min="4" max="4" width="8.7109375" style="1" customWidth="1"/>
    <col min="5" max="5" width="12.00390625" style="1" customWidth="1"/>
    <col min="6" max="6" width="12.57421875" style="14" customWidth="1"/>
    <col min="7" max="7" width="13.57421875" style="9" customWidth="1"/>
    <col min="8" max="16384" width="9.140625" style="1" customWidth="1"/>
  </cols>
  <sheetData>
    <row r="1" spans="1:7" ht="25.5" customHeight="1">
      <c r="A1" s="98" t="s">
        <v>18</v>
      </c>
      <c r="B1" s="98"/>
      <c r="C1" s="98"/>
      <c r="D1" s="98"/>
      <c r="E1" s="98"/>
      <c r="F1" s="98"/>
      <c r="G1" s="98"/>
    </row>
    <row r="2" spans="1:7" ht="25.5" customHeight="1">
      <c r="A2" s="99" t="s">
        <v>85</v>
      </c>
      <c r="B2" s="99"/>
      <c r="C2" s="99"/>
      <c r="D2" s="99"/>
      <c r="E2" s="99"/>
      <c r="F2" s="99"/>
      <c r="G2" s="99"/>
    </row>
    <row r="3" spans="1:7" ht="21" customHeight="1">
      <c r="A3" s="100" t="s">
        <v>0</v>
      </c>
      <c r="B3" s="100"/>
      <c r="C3" s="100"/>
      <c r="D3" s="100"/>
      <c r="E3" s="100"/>
      <c r="F3" s="100"/>
      <c r="G3" s="100"/>
    </row>
    <row r="4" spans="1:7" ht="36" customHeight="1">
      <c r="A4" s="102" t="s">
        <v>75</v>
      </c>
      <c r="B4" s="101" t="s">
        <v>76</v>
      </c>
      <c r="C4" s="101" t="s">
        <v>77</v>
      </c>
      <c r="D4" s="102" t="s">
        <v>78</v>
      </c>
      <c r="E4" s="102"/>
      <c r="F4" s="101"/>
      <c r="G4" s="101"/>
    </row>
    <row r="5" spans="1:7" ht="73.5" customHeight="1">
      <c r="A5" s="102"/>
      <c r="B5" s="101"/>
      <c r="C5" s="101"/>
      <c r="D5" s="46" t="s">
        <v>79</v>
      </c>
      <c r="E5" s="46" t="s">
        <v>80</v>
      </c>
      <c r="F5" s="74" t="s">
        <v>133</v>
      </c>
      <c r="G5" s="74" t="s">
        <v>134</v>
      </c>
    </row>
    <row r="6" spans="1:7" s="6" customFormat="1" ht="15.75">
      <c r="A6" s="29"/>
      <c r="B6" s="30" t="s">
        <v>17</v>
      </c>
      <c r="C6" s="31"/>
      <c r="D6" s="31"/>
      <c r="E6" s="31"/>
      <c r="F6" s="32"/>
      <c r="G6" s="22"/>
    </row>
    <row r="7" spans="1:7" s="20" customFormat="1" ht="42.75" customHeight="1">
      <c r="A7" s="33">
        <v>1</v>
      </c>
      <c r="B7" s="23" t="s">
        <v>56</v>
      </c>
      <c r="C7" s="23" t="s">
        <v>46</v>
      </c>
      <c r="D7" s="34"/>
      <c r="E7" s="77">
        <f>E9+E14</f>
        <v>0.6044999999999999</v>
      </c>
      <c r="F7" s="43"/>
      <c r="G7" s="75"/>
    </row>
    <row r="8" spans="1:7" s="20" customFormat="1" ht="15.75">
      <c r="A8" s="35"/>
      <c r="B8" s="31" t="s">
        <v>27</v>
      </c>
      <c r="C8" s="31" t="s">
        <v>2</v>
      </c>
      <c r="D8" s="36">
        <v>206</v>
      </c>
      <c r="E8" s="78">
        <f>D8*E7</f>
        <v>124.52699999999999</v>
      </c>
      <c r="F8" s="41"/>
      <c r="G8" s="76"/>
    </row>
    <row r="9" spans="1:7" s="6" customFormat="1" ht="30">
      <c r="A9" s="38" t="s">
        <v>16</v>
      </c>
      <c r="B9" s="23" t="s">
        <v>57</v>
      </c>
      <c r="C9" s="23" t="s">
        <v>46</v>
      </c>
      <c r="D9" s="39"/>
      <c r="E9" s="79">
        <f>(0.5*0.5*0.1*(35+21+12)+(0.5*0.5*0.1+1*0.5*0.1)*16+(0.5*0.5*0.1+1*0.5*0.1*2)*14)/100</f>
        <v>0.04650000000000001</v>
      </c>
      <c r="F9" s="25"/>
      <c r="G9" s="75"/>
    </row>
    <row r="10" spans="1:7" s="6" customFormat="1" ht="15">
      <c r="A10" s="38"/>
      <c r="B10" s="31" t="s">
        <v>47</v>
      </c>
      <c r="C10" s="31" t="s">
        <v>2</v>
      </c>
      <c r="D10" s="40">
        <v>137</v>
      </c>
      <c r="E10" s="80">
        <f>D10*E9</f>
        <v>6.370500000000001</v>
      </c>
      <c r="F10" s="32"/>
      <c r="G10" s="76"/>
    </row>
    <row r="11" spans="1:7" s="7" customFormat="1" ht="15">
      <c r="A11" s="38"/>
      <c r="B11" s="31" t="s">
        <v>48</v>
      </c>
      <c r="C11" s="31" t="s">
        <v>7</v>
      </c>
      <c r="D11" s="40">
        <v>28.3</v>
      </c>
      <c r="E11" s="80">
        <f>E9*D11</f>
        <v>1.3159500000000002</v>
      </c>
      <c r="F11" s="32"/>
      <c r="G11" s="76"/>
    </row>
    <row r="12" spans="1:7" s="7" customFormat="1" ht="15">
      <c r="A12" s="38"/>
      <c r="B12" s="31" t="s">
        <v>49</v>
      </c>
      <c r="C12" s="31" t="s">
        <v>50</v>
      </c>
      <c r="D12" s="40">
        <v>102</v>
      </c>
      <c r="E12" s="80">
        <f>D12*E9</f>
        <v>4.743</v>
      </c>
      <c r="F12" s="32"/>
      <c r="G12" s="76"/>
    </row>
    <row r="13" spans="1:7" s="6" customFormat="1" ht="15">
      <c r="A13" s="38"/>
      <c r="B13" s="31" t="s">
        <v>51</v>
      </c>
      <c r="C13" s="31" t="s">
        <v>7</v>
      </c>
      <c r="D13" s="40">
        <v>62</v>
      </c>
      <c r="E13" s="80">
        <f>E9*D13</f>
        <v>2.8830000000000005</v>
      </c>
      <c r="F13" s="32"/>
      <c r="G13" s="76"/>
    </row>
    <row r="14" spans="1:7" s="6" customFormat="1" ht="30">
      <c r="A14" s="38" t="s">
        <v>3</v>
      </c>
      <c r="B14" s="23" t="s">
        <v>58</v>
      </c>
      <c r="C14" s="23" t="s">
        <v>46</v>
      </c>
      <c r="D14" s="39"/>
      <c r="E14" s="79">
        <f>(0.5*0.5*1.2*(35+21+12)+(0.5*0.5*1.2+1*0.5*1.2)*16+(0.5*0.5*1.2+1*0.5*1.2*2)*14)/100</f>
        <v>0.5579999999999999</v>
      </c>
      <c r="F14" s="25"/>
      <c r="G14" s="75"/>
    </row>
    <row r="15" spans="1:7" s="6" customFormat="1" ht="19.5" customHeight="1">
      <c r="A15" s="38"/>
      <c r="B15" s="31" t="s">
        <v>47</v>
      </c>
      <c r="C15" s="31" t="s">
        <v>2</v>
      </c>
      <c r="D15" s="40">
        <v>410</v>
      </c>
      <c r="E15" s="80">
        <f>D15*E14</f>
        <v>228.77999999999997</v>
      </c>
      <c r="F15" s="32"/>
      <c r="G15" s="76"/>
    </row>
    <row r="16" spans="1:7" s="7" customFormat="1" ht="15">
      <c r="A16" s="38"/>
      <c r="B16" s="31" t="s">
        <v>48</v>
      </c>
      <c r="C16" s="31" t="s">
        <v>7</v>
      </c>
      <c r="D16" s="40">
        <v>112</v>
      </c>
      <c r="E16" s="80">
        <f>E14*D16</f>
        <v>62.495999999999995</v>
      </c>
      <c r="F16" s="32"/>
      <c r="G16" s="76"/>
    </row>
    <row r="17" spans="1:7" s="7" customFormat="1" ht="15">
      <c r="A17" s="38"/>
      <c r="B17" s="31" t="s">
        <v>52</v>
      </c>
      <c r="C17" s="31" t="s">
        <v>50</v>
      </c>
      <c r="D17" s="40">
        <v>101.5</v>
      </c>
      <c r="E17" s="80">
        <f>D17*E14</f>
        <v>56.63699999999999</v>
      </c>
      <c r="F17" s="32"/>
      <c r="G17" s="76"/>
    </row>
    <row r="18" spans="1:7" s="7" customFormat="1" ht="15">
      <c r="A18" s="38"/>
      <c r="B18" s="31" t="s">
        <v>53</v>
      </c>
      <c r="C18" s="31" t="s">
        <v>54</v>
      </c>
      <c r="D18" s="40">
        <v>88.1</v>
      </c>
      <c r="E18" s="80">
        <f>E14*D18</f>
        <v>49.15979999999999</v>
      </c>
      <c r="F18" s="32"/>
      <c r="G18" s="76"/>
    </row>
    <row r="19" spans="1:7" s="20" customFormat="1" ht="24.75" customHeight="1">
      <c r="A19" s="35"/>
      <c r="B19" s="31" t="s">
        <v>32</v>
      </c>
      <c r="C19" s="35" t="s">
        <v>22</v>
      </c>
      <c r="D19" s="35" t="s">
        <v>23</v>
      </c>
      <c r="E19" s="78">
        <f>E23*1</f>
        <v>113</v>
      </c>
      <c r="F19" s="41"/>
      <c r="G19" s="76"/>
    </row>
    <row r="20" spans="1:7" s="6" customFormat="1" ht="19.5" customHeight="1">
      <c r="A20" s="38"/>
      <c r="B20" s="31" t="s">
        <v>55</v>
      </c>
      <c r="C20" s="31" t="s">
        <v>50</v>
      </c>
      <c r="D20" s="40">
        <v>1</v>
      </c>
      <c r="E20" s="80">
        <f>E14*D20</f>
        <v>0.5579999999999999</v>
      </c>
      <c r="F20" s="41"/>
      <c r="G20" s="76"/>
    </row>
    <row r="21" spans="1:7" s="6" customFormat="1" ht="21" customHeight="1">
      <c r="A21" s="38"/>
      <c r="B21" s="31" t="s">
        <v>51</v>
      </c>
      <c r="C21" s="31" t="s">
        <v>7</v>
      </c>
      <c r="D21" s="40">
        <v>26</v>
      </c>
      <c r="E21" s="80">
        <f>E14*D21</f>
        <v>14.508</v>
      </c>
      <c r="F21" s="32"/>
      <c r="G21" s="76"/>
    </row>
    <row r="22" spans="1:7" s="6" customFormat="1" ht="35.25" customHeight="1">
      <c r="A22" s="38" t="s">
        <v>4</v>
      </c>
      <c r="B22" s="23" t="s">
        <v>110</v>
      </c>
      <c r="C22" s="23" t="s">
        <v>111</v>
      </c>
      <c r="D22" s="39"/>
      <c r="E22" s="79">
        <f>E14*100*2.4359</f>
        <v>135.92322000000001</v>
      </c>
      <c r="F22" s="25"/>
      <c r="G22" s="75"/>
    </row>
    <row r="23" spans="1:7" s="17" customFormat="1" ht="48.75" customHeight="1">
      <c r="A23" s="33">
        <v>5</v>
      </c>
      <c r="B23" s="23" t="s">
        <v>114</v>
      </c>
      <c r="C23" s="33" t="s">
        <v>21</v>
      </c>
      <c r="D23" s="33"/>
      <c r="E23" s="77">
        <v>113</v>
      </c>
      <c r="F23" s="43"/>
      <c r="G23" s="75"/>
    </row>
    <row r="24" spans="1:7" s="17" customFormat="1" ht="21" customHeight="1">
      <c r="A24" s="35"/>
      <c r="B24" s="31" t="s">
        <v>97</v>
      </c>
      <c r="C24" s="35" t="s">
        <v>22</v>
      </c>
      <c r="D24" s="35" t="s">
        <v>23</v>
      </c>
      <c r="E24" s="78">
        <v>1309.67</v>
      </c>
      <c r="F24" s="41"/>
      <c r="G24" s="76"/>
    </row>
    <row r="25" spans="1:7" s="17" customFormat="1" ht="30">
      <c r="A25" s="35"/>
      <c r="B25" s="31" t="s">
        <v>33</v>
      </c>
      <c r="C25" s="35" t="s">
        <v>100</v>
      </c>
      <c r="D25" s="35" t="s">
        <v>23</v>
      </c>
      <c r="E25" s="78">
        <f>0.0225*E23</f>
        <v>2.5425</v>
      </c>
      <c r="F25" s="41"/>
      <c r="G25" s="76"/>
    </row>
    <row r="26" spans="1:7" s="19" customFormat="1" ht="19.5" customHeight="1">
      <c r="A26" s="42"/>
      <c r="B26" s="31" t="s">
        <v>68</v>
      </c>
      <c r="C26" s="35" t="s">
        <v>69</v>
      </c>
      <c r="D26" s="35" t="s">
        <v>23</v>
      </c>
      <c r="E26" s="78">
        <f>E23*0.5</f>
        <v>56.5</v>
      </c>
      <c r="F26" s="41"/>
      <c r="G26" s="76"/>
    </row>
    <row r="27" spans="1:7" s="17" customFormat="1" ht="20.25" customHeight="1">
      <c r="A27" s="35"/>
      <c r="B27" s="31" t="s">
        <v>25</v>
      </c>
      <c r="C27" s="35" t="s">
        <v>26</v>
      </c>
      <c r="D27" s="35">
        <v>0.5</v>
      </c>
      <c r="E27" s="78">
        <f>D27*E23</f>
        <v>56.5</v>
      </c>
      <c r="F27" s="32"/>
      <c r="G27" s="76"/>
    </row>
    <row r="28" spans="1:7" s="17" customFormat="1" ht="18" customHeight="1">
      <c r="A28" s="35"/>
      <c r="B28" s="31" t="s">
        <v>27</v>
      </c>
      <c r="C28" s="35" t="s">
        <v>2</v>
      </c>
      <c r="D28" s="35">
        <v>6.5</v>
      </c>
      <c r="E28" s="78">
        <f>D28*E23</f>
        <v>734.5</v>
      </c>
      <c r="F28" s="41"/>
      <c r="G28" s="76"/>
    </row>
    <row r="29" spans="1:7" s="17" customFormat="1" ht="33.75" customHeight="1">
      <c r="A29" s="35">
        <v>6</v>
      </c>
      <c r="B29" s="23" t="s">
        <v>115</v>
      </c>
      <c r="C29" s="23" t="s">
        <v>111</v>
      </c>
      <c r="D29" s="39"/>
      <c r="E29" s="79">
        <f>E24*12.133/1000</f>
        <v>15.89022611</v>
      </c>
      <c r="F29" s="25"/>
      <c r="G29" s="75"/>
    </row>
    <row r="30" spans="1:9" s="18" customFormat="1" ht="33" customHeight="1">
      <c r="A30" s="33">
        <v>7</v>
      </c>
      <c r="B30" s="23" t="s">
        <v>82</v>
      </c>
      <c r="C30" s="33" t="s">
        <v>30</v>
      </c>
      <c r="D30" s="33"/>
      <c r="E30" s="77">
        <v>810</v>
      </c>
      <c r="F30" s="43"/>
      <c r="G30" s="75"/>
      <c r="I30" s="27">
        <f>E30+E36</f>
        <v>3510</v>
      </c>
    </row>
    <row r="31" spans="1:7" s="18" customFormat="1" ht="18" customHeight="1">
      <c r="A31" s="35"/>
      <c r="B31" s="35" t="s">
        <v>27</v>
      </c>
      <c r="C31" s="35" t="s">
        <v>2</v>
      </c>
      <c r="D31" s="35">
        <v>0.586</v>
      </c>
      <c r="E31" s="78">
        <f>D31*E30</f>
        <v>474.65999999999997</v>
      </c>
      <c r="F31" s="41"/>
      <c r="G31" s="76"/>
    </row>
    <row r="32" spans="1:7" s="18" customFormat="1" ht="18" customHeight="1">
      <c r="A32" s="35"/>
      <c r="B32" s="35" t="s">
        <v>31</v>
      </c>
      <c r="C32" s="35" t="s">
        <v>7</v>
      </c>
      <c r="D32" s="35">
        <v>0.327</v>
      </c>
      <c r="E32" s="78">
        <f>D32*E30</f>
        <v>264.87</v>
      </c>
      <c r="F32" s="41"/>
      <c r="G32" s="76"/>
    </row>
    <row r="33" spans="1:7" s="18" customFormat="1" ht="33.75" customHeight="1">
      <c r="A33" s="35"/>
      <c r="B33" s="31" t="s">
        <v>34</v>
      </c>
      <c r="C33" s="35" t="s">
        <v>22</v>
      </c>
      <c r="D33" s="35">
        <v>1.1</v>
      </c>
      <c r="E33" s="78">
        <f>D33*E30</f>
        <v>891.0000000000001</v>
      </c>
      <c r="F33" s="41"/>
      <c r="G33" s="76"/>
    </row>
    <row r="34" spans="1:7" s="18" customFormat="1" ht="18" customHeight="1">
      <c r="A34" s="35"/>
      <c r="B34" s="31" t="s">
        <v>28</v>
      </c>
      <c r="C34" s="35" t="s">
        <v>21</v>
      </c>
      <c r="D34" s="35" t="s">
        <v>23</v>
      </c>
      <c r="E34" s="78">
        <f>28*4</f>
        <v>112</v>
      </c>
      <c r="F34" s="41"/>
      <c r="G34" s="76"/>
    </row>
    <row r="35" spans="1:7" s="18" customFormat="1" ht="18" customHeight="1">
      <c r="A35" s="35"/>
      <c r="B35" s="31" t="s">
        <v>29</v>
      </c>
      <c r="C35" s="35" t="s">
        <v>26</v>
      </c>
      <c r="D35" s="35">
        <v>0.05</v>
      </c>
      <c r="E35" s="78">
        <f>D35*E30</f>
        <v>40.5</v>
      </c>
      <c r="F35" s="41"/>
      <c r="G35" s="76"/>
    </row>
    <row r="36" spans="1:7" s="18" customFormat="1" ht="33" customHeight="1">
      <c r="A36" s="33">
        <v>8</v>
      </c>
      <c r="B36" s="23" t="s">
        <v>83</v>
      </c>
      <c r="C36" s="33" t="s">
        <v>30</v>
      </c>
      <c r="D36" s="33"/>
      <c r="E36" s="77">
        <f>780+180+210+330+150+180+120+120+180+90+90+270</f>
        <v>2700</v>
      </c>
      <c r="F36" s="43"/>
      <c r="G36" s="75"/>
    </row>
    <row r="37" spans="1:7" s="18" customFormat="1" ht="18.75" customHeight="1">
      <c r="A37" s="35"/>
      <c r="B37" s="35" t="s">
        <v>27</v>
      </c>
      <c r="C37" s="35" t="s">
        <v>2</v>
      </c>
      <c r="D37" s="35">
        <v>0.586</v>
      </c>
      <c r="E37" s="78">
        <f>D37*E36</f>
        <v>1582.1999999999998</v>
      </c>
      <c r="F37" s="41"/>
      <c r="G37" s="76"/>
    </row>
    <row r="38" spans="1:7" s="18" customFormat="1" ht="21" customHeight="1">
      <c r="A38" s="35"/>
      <c r="B38" s="35" t="s">
        <v>31</v>
      </c>
      <c r="C38" s="35" t="s">
        <v>7</v>
      </c>
      <c r="D38" s="35">
        <v>0.327</v>
      </c>
      <c r="E38" s="78">
        <f>D38*E36</f>
        <v>882.9000000000001</v>
      </c>
      <c r="F38" s="41"/>
      <c r="G38" s="76"/>
    </row>
    <row r="39" spans="1:7" s="18" customFormat="1" ht="39" customHeight="1">
      <c r="A39" s="35"/>
      <c r="B39" s="31" t="s">
        <v>84</v>
      </c>
      <c r="C39" s="35" t="s">
        <v>22</v>
      </c>
      <c r="D39" s="35">
        <v>1.1</v>
      </c>
      <c r="E39" s="78">
        <f>D39*E36</f>
        <v>2970.0000000000005</v>
      </c>
      <c r="F39" s="41"/>
      <c r="G39" s="76"/>
    </row>
    <row r="40" spans="1:7" s="18" customFormat="1" ht="24.75" customHeight="1">
      <c r="A40" s="35"/>
      <c r="B40" s="31" t="s">
        <v>28</v>
      </c>
      <c r="C40" s="35" t="s">
        <v>21</v>
      </c>
      <c r="D40" s="35" t="s">
        <v>23</v>
      </c>
      <c r="E40" s="78">
        <f>90*4</f>
        <v>360</v>
      </c>
      <c r="F40" s="41"/>
      <c r="G40" s="76"/>
    </row>
    <row r="41" spans="1:7" s="18" customFormat="1" ht="21" customHeight="1">
      <c r="A41" s="35"/>
      <c r="B41" s="31" t="s">
        <v>29</v>
      </c>
      <c r="C41" s="35" t="s">
        <v>26</v>
      </c>
      <c r="D41" s="35">
        <v>0.05</v>
      </c>
      <c r="E41" s="78">
        <f>D41*E36</f>
        <v>135</v>
      </c>
      <c r="F41" s="41"/>
      <c r="G41" s="76"/>
    </row>
    <row r="42" spans="1:7" s="7" customFormat="1" ht="42" customHeight="1">
      <c r="A42" s="38" t="s">
        <v>113</v>
      </c>
      <c r="B42" s="23" t="s">
        <v>66</v>
      </c>
      <c r="C42" s="23" t="s">
        <v>67</v>
      </c>
      <c r="D42" s="39"/>
      <c r="E42" s="79">
        <v>4</v>
      </c>
      <c r="F42" s="25"/>
      <c r="G42" s="75"/>
    </row>
    <row r="43" spans="1:7" ht="19.5" customHeight="1">
      <c r="A43" s="47"/>
      <c r="B43" s="31" t="s">
        <v>47</v>
      </c>
      <c r="C43" s="31" t="s">
        <v>2</v>
      </c>
      <c r="D43" s="40">
        <v>1.04</v>
      </c>
      <c r="E43" s="81">
        <f>E42*D43</f>
        <v>4.16</v>
      </c>
      <c r="F43" s="48"/>
      <c r="G43" s="76"/>
    </row>
    <row r="44" spans="1:7" s="19" customFormat="1" ht="19.5" customHeight="1">
      <c r="A44" s="42"/>
      <c r="B44" s="31" t="s">
        <v>62</v>
      </c>
      <c r="C44" s="31" t="s">
        <v>7</v>
      </c>
      <c r="D44" s="40">
        <v>0.08</v>
      </c>
      <c r="E44" s="78">
        <f>E42*D44</f>
        <v>0.32</v>
      </c>
      <c r="F44" s="41"/>
      <c r="G44" s="76"/>
    </row>
    <row r="45" spans="1:7" s="19" customFormat="1" ht="19.5" customHeight="1">
      <c r="A45" s="42"/>
      <c r="B45" s="31" t="s">
        <v>68</v>
      </c>
      <c r="C45" s="35" t="s">
        <v>69</v>
      </c>
      <c r="D45" s="37">
        <v>6</v>
      </c>
      <c r="E45" s="78">
        <f>E42*D45</f>
        <v>24</v>
      </c>
      <c r="F45" s="41"/>
      <c r="G45" s="76"/>
    </row>
    <row r="46" spans="1:7" s="20" customFormat="1" ht="15.75">
      <c r="A46" s="35"/>
      <c r="B46" s="31" t="s">
        <v>32</v>
      </c>
      <c r="C46" s="35" t="s">
        <v>22</v>
      </c>
      <c r="D46" s="35">
        <v>2</v>
      </c>
      <c r="E46" s="78">
        <f>E42*D46</f>
        <v>8</v>
      </c>
      <c r="F46" s="41"/>
      <c r="G46" s="76"/>
    </row>
    <row r="47" spans="1:7" s="19" customFormat="1" ht="19.5" customHeight="1">
      <c r="A47" s="42"/>
      <c r="B47" s="31" t="s">
        <v>70</v>
      </c>
      <c r="C47" s="31" t="s">
        <v>7</v>
      </c>
      <c r="D47" s="37">
        <v>1.4</v>
      </c>
      <c r="E47" s="78">
        <f>E42*D47</f>
        <v>5.6</v>
      </c>
      <c r="F47" s="41"/>
      <c r="G47" s="76"/>
    </row>
    <row r="48" spans="1:7" s="7" customFormat="1" ht="42" customHeight="1">
      <c r="A48" s="38" t="s">
        <v>116</v>
      </c>
      <c r="B48" s="23" t="s">
        <v>71</v>
      </c>
      <c r="C48" s="23" t="s">
        <v>69</v>
      </c>
      <c r="D48" s="39"/>
      <c r="E48" s="79">
        <f>3.6*E42</f>
        <v>14.4</v>
      </c>
      <c r="F48" s="25"/>
      <c r="G48" s="75"/>
    </row>
    <row r="49" spans="1:7" ht="19.5" customHeight="1">
      <c r="A49" s="47"/>
      <c r="B49" s="31" t="s">
        <v>47</v>
      </c>
      <c r="C49" s="31" t="s">
        <v>2</v>
      </c>
      <c r="D49" s="40">
        <v>0.14</v>
      </c>
      <c r="E49" s="81">
        <f>E48*D49</f>
        <v>2.0160000000000005</v>
      </c>
      <c r="F49" s="48"/>
      <c r="G49" s="76"/>
    </row>
    <row r="50" spans="1:7" s="19" customFormat="1" ht="19.5" customHeight="1">
      <c r="A50" s="42"/>
      <c r="B50" s="31" t="s">
        <v>62</v>
      </c>
      <c r="C50" s="31" t="s">
        <v>7</v>
      </c>
      <c r="D50" s="40">
        <v>0.01</v>
      </c>
      <c r="E50" s="78">
        <f>E48*D50</f>
        <v>0.14400000000000002</v>
      </c>
      <c r="F50" s="41"/>
      <c r="G50" s="76"/>
    </row>
    <row r="51" spans="1:7" s="19" customFormat="1" ht="19.5" customHeight="1">
      <c r="A51" s="42"/>
      <c r="B51" s="31" t="s">
        <v>72</v>
      </c>
      <c r="C51" s="35" t="s">
        <v>69</v>
      </c>
      <c r="D51" s="37">
        <v>1</v>
      </c>
      <c r="E51" s="78">
        <f>E48*D51</f>
        <v>14.4</v>
      </c>
      <c r="F51" s="41"/>
      <c r="G51" s="76"/>
    </row>
    <row r="52" spans="1:7" s="19" customFormat="1" ht="19.5" customHeight="1">
      <c r="A52" s="42"/>
      <c r="B52" s="31" t="s">
        <v>70</v>
      </c>
      <c r="C52" s="31" t="s">
        <v>7</v>
      </c>
      <c r="D52" s="37">
        <v>0.193</v>
      </c>
      <c r="E52" s="78">
        <f>E48*D52</f>
        <v>2.7792000000000003</v>
      </c>
      <c r="F52" s="41"/>
      <c r="G52" s="76"/>
    </row>
    <row r="53" spans="1:7" s="21" customFormat="1" ht="39" customHeight="1">
      <c r="A53" s="33">
        <v>11</v>
      </c>
      <c r="B53" s="23" t="s">
        <v>60</v>
      </c>
      <c r="C53" s="33" t="s">
        <v>61</v>
      </c>
      <c r="D53" s="33"/>
      <c r="E53" s="77">
        <f>3.6*E23/100</f>
        <v>4.0680000000000005</v>
      </c>
      <c r="F53" s="43"/>
      <c r="G53" s="75"/>
    </row>
    <row r="54" spans="1:7" s="20" customFormat="1" ht="21" customHeight="1">
      <c r="A54" s="44"/>
      <c r="B54" s="31" t="s">
        <v>47</v>
      </c>
      <c r="C54" s="31" t="s">
        <v>2</v>
      </c>
      <c r="D54" s="40">
        <v>77.3</v>
      </c>
      <c r="E54" s="80">
        <f>E53*D54</f>
        <v>314.45640000000003</v>
      </c>
      <c r="F54" s="32"/>
      <c r="G54" s="76"/>
    </row>
    <row r="55" spans="1:7" s="20" customFormat="1" ht="21" customHeight="1">
      <c r="A55" s="44"/>
      <c r="B55" s="31" t="s">
        <v>62</v>
      </c>
      <c r="C55" s="31" t="s">
        <v>7</v>
      </c>
      <c r="D55" s="40">
        <v>0.84</v>
      </c>
      <c r="E55" s="80">
        <f>E53*D55</f>
        <v>3.41712</v>
      </c>
      <c r="F55" s="32"/>
      <c r="G55" s="76"/>
    </row>
    <row r="56" spans="1:7" s="20" customFormat="1" ht="23.25" customHeight="1">
      <c r="A56" s="44"/>
      <c r="B56" s="31" t="s">
        <v>63</v>
      </c>
      <c r="C56" s="31" t="s">
        <v>6</v>
      </c>
      <c r="D56" s="40">
        <v>32.1</v>
      </c>
      <c r="E56" s="80">
        <f>E53*D56</f>
        <v>130.58280000000002</v>
      </c>
      <c r="F56" s="32"/>
      <c r="G56" s="76"/>
    </row>
    <row r="57" spans="1:7" s="20" customFormat="1" ht="24" customHeight="1">
      <c r="A57" s="44"/>
      <c r="B57" s="31" t="s">
        <v>64</v>
      </c>
      <c r="C57" s="31" t="s">
        <v>6</v>
      </c>
      <c r="D57" s="40">
        <v>3.6</v>
      </c>
      <c r="E57" s="80">
        <f>E53*D57</f>
        <v>14.644800000000002</v>
      </c>
      <c r="F57" s="32"/>
      <c r="G57" s="76"/>
    </row>
    <row r="58" spans="1:7" s="20" customFormat="1" ht="18" customHeight="1">
      <c r="A58" s="44"/>
      <c r="B58" s="31" t="s">
        <v>51</v>
      </c>
      <c r="C58" s="31" t="s">
        <v>7</v>
      </c>
      <c r="D58" s="40">
        <v>0.07</v>
      </c>
      <c r="E58" s="80">
        <f>E53*D58</f>
        <v>0.28476000000000007</v>
      </c>
      <c r="F58" s="32"/>
      <c r="G58" s="76"/>
    </row>
    <row r="59" spans="1:7" s="20" customFormat="1" ht="18" customHeight="1">
      <c r="A59" s="22"/>
      <c r="B59" s="23" t="s">
        <v>8</v>
      </c>
      <c r="C59" s="23" t="s">
        <v>7</v>
      </c>
      <c r="D59" s="25"/>
      <c r="E59" s="25"/>
      <c r="F59" s="25"/>
      <c r="G59" s="25"/>
    </row>
    <row r="60" spans="1:7" s="26" customFormat="1" ht="32.25" customHeight="1">
      <c r="A60" s="22"/>
      <c r="B60" s="23" t="s">
        <v>132</v>
      </c>
      <c r="C60" s="23" t="s">
        <v>7</v>
      </c>
      <c r="D60" s="24">
        <v>0.75</v>
      </c>
      <c r="E60" s="25"/>
      <c r="F60" s="25"/>
      <c r="G60" s="25"/>
    </row>
    <row r="61" spans="1:7" s="26" customFormat="1" ht="18" customHeight="1">
      <c r="A61" s="22"/>
      <c r="B61" s="23" t="s">
        <v>8</v>
      </c>
      <c r="C61" s="23" t="s">
        <v>7</v>
      </c>
      <c r="D61" s="24"/>
      <c r="E61" s="25"/>
      <c r="F61" s="25"/>
      <c r="G61" s="25"/>
    </row>
    <row r="62" spans="1:7" s="26" customFormat="1" ht="24" customHeight="1">
      <c r="A62" s="22"/>
      <c r="B62" s="23" t="s">
        <v>81</v>
      </c>
      <c r="C62" s="23" t="s">
        <v>7</v>
      </c>
      <c r="D62" s="24">
        <v>0.08</v>
      </c>
      <c r="E62" s="25"/>
      <c r="F62" s="25"/>
      <c r="G62" s="25"/>
    </row>
    <row r="63" spans="1:7" ht="21.75" customHeight="1">
      <c r="A63" s="45"/>
      <c r="B63" s="23" t="s">
        <v>9</v>
      </c>
      <c r="C63" s="23" t="s">
        <v>7</v>
      </c>
      <c r="D63" s="32"/>
      <c r="E63" s="32"/>
      <c r="F63" s="32"/>
      <c r="G63" s="25"/>
    </row>
    <row r="64" spans="1:6" ht="15.75">
      <c r="A64" s="15"/>
      <c r="B64" s="15"/>
      <c r="C64" s="15"/>
      <c r="D64" s="15"/>
      <c r="E64" s="15"/>
      <c r="F64" s="16"/>
    </row>
    <row r="65" spans="1:6" ht="15.75">
      <c r="A65" s="15"/>
      <c r="B65" s="15"/>
      <c r="C65" s="15"/>
      <c r="D65" s="15"/>
      <c r="E65" s="15"/>
      <c r="F65" s="16"/>
    </row>
  </sheetData>
  <sheetProtection/>
  <autoFilter ref="F1:F63"/>
  <mergeCells count="8">
    <mergeCell ref="A1:G1"/>
    <mergeCell ref="A2:G2"/>
    <mergeCell ref="A3:G3"/>
    <mergeCell ref="B4:B5"/>
    <mergeCell ref="C4:C5"/>
    <mergeCell ref="D4:E4"/>
    <mergeCell ref="A4:A5"/>
    <mergeCell ref="F4:G4"/>
  </mergeCells>
  <printOptions horizontalCentered="1"/>
  <pageMargins left="0.31" right="0.1968503937007874" top="0.4330708661417323" bottom="0.3937007874015748" header="0.31496062992125984" footer="0.1968503937007874"/>
  <pageSetup horizontalDpi="600" verticalDpi="600" orientation="landscape" paperSize="9" scale="98" r:id="rId1"/>
  <headerFooter scaleWithDoc="0" alignWithMargins="0">
    <oddFooter>&amp;R &amp;P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zoomScalePageLayoutView="0" workbookViewId="0" topLeftCell="A43">
      <selection activeCell="F35" sqref="F35"/>
    </sheetView>
  </sheetViews>
  <sheetFormatPr defaultColWidth="9.140625" defaultRowHeight="12.75"/>
  <cols>
    <col min="1" max="1" width="4.00390625" style="13" customWidth="1"/>
    <col min="2" max="2" width="36.140625" style="1" customWidth="1"/>
    <col min="3" max="3" width="9.140625" style="1" customWidth="1"/>
    <col min="4" max="4" width="8.7109375" style="1" customWidth="1"/>
    <col min="5" max="5" width="12.7109375" style="1" customWidth="1"/>
    <col min="6" max="6" width="12.7109375" style="14" customWidth="1"/>
    <col min="7" max="7" width="12.00390625" style="9" customWidth="1"/>
    <col min="8" max="16384" width="9.140625" style="1" customWidth="1"/>
  </cols>
  <sheetData>
    <row r="1" spans="1:7" ht="24" customHeight="1">
      <c r="A1" s="105" t="s">
        <v>36</v>
      </c>
      <c r="B1" s="105"/>
      <c r="C1" s="105"/>
      <c r="D1" s="105"/>
      <c r="E1" s="105"/>
      <c r="F1" s="105"/>
      <c r="G1" s="105"/>
    </row>
    <row r="2" spans="1:7" ht="33.75" customHeight="1">
      <c r="A2" s="106" t="s">
        <v>86</v>
      </c>
      <c r="B2" s="106"/>
      <c r="C2" s="106"/>
      <c r="D2" s="106"/>
      <c r="E2" s="106"/>
      <c r="F2" s="106"/>
      <c r="G2" s="106"/>
    </row>
    <row r="3" spans="1:7" ht="23.25" customHeight="1">
      <c r="A3" s="105" t="s">
        <v>0</v>
      </c>
      <c r="B3" s="105"/>
      <c r="C3" s="105"/>
      <c r="D3" s="105"/>
      <c r="E3" s="105"/>
      <c r="F3" s="105"/>
      <c r="G3" s="105"/>
    </row>
    <row r="4" spans="1:7" ht="36" customHeight="1">
      <c r="A4" s="103" t="s">
        <v>75</v>
      </c>
      <c r="B4" s="104" t="s">
        <v>76</v>
      </c>
      <c r="C4" s="104" t="s">
        <v>77</v>
      </c>
      <c r="D4" s="103" t="s">
        <v>78</v>
      </c>
      <c r="E4" s="103"/>
      <c r="F4" s="104"/>
      <c r="G4" s="104"/>
    </row>
    <row r="5" spans="1:7" ht="57" customHeight="1">
      <c r="A5" s="103"/>
      <c r="B5" s="104"/>
      <c r="C5" s="104"/>
      <c r="D5" s="50" t="s">
        <v>79</v>
      </c>
      <c r="E5" s="50" t="s">
        <v>80</v>
      </c>
      <c r="F5" s="82" t="s">
        <v>135</v>
      </c>
      <c r="G5" s="82" t="s">
        <v>136</v>
      </c>
    </row>
    <row r="6" spans="1:7" s="6" customFormat="1" ht="24" customHeight="1">
      <c r="A6" s="51"/>
      <c r="B6" s="52" t="s">
        <v>17</v>
      </c>
      <c r="C6" s="53"/>
      <c r="D6" s="53"/>
      <c r="E6" s="85"/>
      <c r="F6" s="54"/>
      <c r="G6" s="54"/>
    </row>
    <row r="7" spans="1:7" s="20" customFormat="1" ht="33" customHeight="1">
      <c r="A7" s="56">
        <v>1</v>
      </c>
      <c r="B7" s="49" t="s">
        <v>56</v>
      </c>
      <c r="C7" s="49" t="s">
        <v>46</v>
      </c>
      <c r="D7" s="57"/>
      <c r="E7" s="86">
        <f>E9+E14</f>
        <v>0.40625</v>
      </c>
      <c r="F7" s="68"/>
      <c r="G7" s="83"/>
    </row>
    <row r="8" spans="1:7" s="20" customFormat="1" ht="15.75">
      <c r="A8" s="59"/>
      <c r="B8" s="53" t="s">
        <v>27</v>
      </c>
      <c r="C8" s="53" t="s">
        <v>2</v>
      </c>
      <c r="D8" s="60">
        <v>206</v>
      </c>
      <c r="E8" s="87">
        <f>D8*E7</f>
        <v>83.6875</v>
      </c>
      <c r="F8" s="65"/>
      <c r="G8" s="84"/>
    </row>
    <row r="9" spans="1:7" s="6" customFormat="1" ht="30">
      <c r="A9" s="62" t="s">
        <v>16</v>
      </c>
      <c r="B9" s="49" t="s">
        <v>57</v>
      </c>
      <c r="C9" s="49" t="s">
        <v>46</v>
      </c>
      <c r="D9" s="63"/>
      <c r="E9" s="88">
        <f>(0.5*0.5*0.1*(36+25)+(0.5*0.5*0.1+1*0.5*0.1)*8+(0.5*0.5*0.1+1*0.5*0.1*2)*8)/100</f>
        <v>0.03125</v>
      </c>
      <c r="F9" s="66"/>
      <c r="G9" s="83"/>
    </row>
    <row r="10" spans="1:7" s="6" customFormat="1" ht="18" customHeight="1">
      <c r="A10" s="62"/>
      <c r="B10" s="53" t="s">
        <v>47</v>
      </c>
      <c r="C10" s="53" t="s">
        <v>2</v>
      </c>
      <c r="D10" s="64">
        <v>137</v>
      </c>
      <c r="E10" s="85">
        <f>D10*E9</f>
        <v>4.28125</v>
      </c>
      <c r="F10" s="54"/>
      <c r="G10" s="84"/>
    </row>
    <row r="11" spans="1:7" s="7" customFormat="1" ht="18" customHeight="1">
      <c r="A11" s="62"/>
      <c r="B11" s="53" t="s">
        <v>48</v>
      </c>
      <c r="C11" s="53" t="s">
        <v>7</v>
      </c>
      <c r="D11" s="64">
        <v>28.3</v>
      </c>
      <c r="E11" s="85">
        <f>E9*D11</f>
        <v>0.884375</v>
      </c>
      <c r="F11" s="54"/>
      <c r="G11" s="84"/>
    </row>
    <row r="12" spans="1:7" s="7" customFormat="1" ht="21" customHeight="1">
      <c r="A12" s="62"/>
      <c r="B12" s="53" t="s">
        <v>120</v>
      </c>
      <c r="C12" s="53" t="s">
        <v>50</v>
      </c>
      <c r="D12" s="64">
        <v>102</v>
      </c>
      <c r="E12" s="85">
        <f>D12*E9</f>
        <v>3.1875</v>
      </c>
      <c r="F12" s="54"/>
      <c r="G12" s="84"/>
    </row>
    <row r="13" spans="1:7" s="6" customFormat="1" ht="19.5" customHeight="1">
      <c r="A13" s="62"/>
      <c r="B13" s="53" t="s">
        <v>51</v>
      </c>
      <c r="C13" s="53" t="s">
        <v>7</v>
      </c>
      <c r="D13" s="64">
        <v>62</v>
      </c>
      <c r="E13" s="85">
        <f>E9*D13</f>
        <v>1.9375</v>
      </c>
      <c r="F13" s="54"/>
      <c r="G13" s="84"/>
    </row>
    <row r="14" spans="1:7" s="6" customFormat="1" ht="30">
      <c r="A14" s="62" t="s">
        <v>3</v>
      </c>
      <c r="B14" s="49" t="s">
        <v>58</v>
      </c>
      <c r="C14" s="49" t="s">
        <v>46</v>
      </c>
      <c r="D14" s="63"/>
      <c r="E14" s="88">
        <f>(0.5*0.5*1.2*(36+25)+(0.5*0.5*1.2+1*0.5*1.2)*8+(0.5*0.5*1.2+1*0.5*1.2*2)*8)/100</f>
        <v>0.375</v>
      </c>
      <c r="F14" s="66"/>
      <c r="G14" s="83"/>
    </row>
    <row r="15" spans="1:7" s="6" customFormat="1" ht="15">
      <c r="A15" s="62"/>
      <c r="B15" s="53" t="s">
        <v>47</v>
      </c>
      <c r="C15" s="53" t="s">
        <v>2</v>
      </c>
      <c r="D15" s="64">
        <v>410</v>
      </c>
      <c r="E15" s="85">
        <f>D15*E14</f>
        <v>153.75</v>
      </c>
      <c r="F15" s="54"/>
      <c r="G15" s="84"/>
    </row>
    <row r="16" spans="1:7" s="7" customFormat="1" ht="15">
      <c r="A16" s="62"/>
      <c r="B16" s="53" t="s">
        <v>48</v>
      </c>
      <c r="C16" s="53" t="s">
        <v>7</v>
      </c>
      <c r="D16" s="64">
        <v>112</v>
      </c>
      <c r="E16" s="85">
        <f>E14*D16</f>
        <v>42</v>
      </c>
      <c r="F16" s="54"/>
      <c r="G16" s="84"/>
    </row>
    <row r="17" spans="1:7" s="7" customFormat="1" ht="15">
      <c r="A17" s="62"/>
      <c r="B17" s="53" t="s">
        <v>121</v>
      </c>
      <c r="C17" s="53" t="s">
        <v>50</v>
      </c>
      <c r="D17" s="64">
        <v>101.5</v>
      </c>
      <c r="E17" s="85">
        <f>D17*E14</f>
        <v>38.0625</v>
      </c>
      <c r="F17" s="54"/>
      <c r="G17" s="84"/>
    </row>
    <row r="18" spans="1:7" s="7" customFormat="1" ht="15">
      <c r="A18" s="62"/>
      <c r="B18" s="53" t="s">
        <v>53</v>
      </c>
      <c r="C18" s="53" t="s">
        <v>54</v>
      </c>
      <c r="D18" s="64">
        <v>88.1</v>
      </c>
      <c r="E18" s="85">
        <f>E14*D18</f>
        <v>33.037499999999994</v>
      </c>
      <c r="F18" s="54"/>
      <c r="G18" s="84"/>
    </row>
    <row r="19" spans="1:7" s="20" customFormat="1" ht="15.75">
      <c r="A19" s="59"/>
      <c r="B19" s="53" t="s">
        <v>32</v>
      </c>
      <c r="C19" s="59" t="s">
        <v>22</v>
      </c>
      <c r="D19" s="59" t="s">
        <v>23</v>
      </c>
      <c r="E19" s="87">
        <f>E23*1</f>
        <v>77</v>
      </c>
      <c r="F19" s="65"/>
      <c r="G19" s="84"/>
    </row>
    <row r="20" spans="1:7" s="6" customFormat="1" ht="15">
      <c r="A20" s="62"/>
      <c r="B20" s="53" t="s">
        <v>55</v>
      </c>
      <c r="C20" s="53" t="s">
        <v>50</v>
      </c>
      <c r="D20" s="64">
        <v>1</v>
      </c>
      <c r="E20" s="85">
        <f>E14*D20</f>
        <v>0.375</v>
      </c>
      <c r="F20" s="65"/>
      <c r="G20" s="84"/>
    </row>
    <row r="21" spans="1:7" s="6" customFormat="1" ht="15">
      <c r="A21" s="62"/>
      <c r="B21" s="53" t="s">
        <v>51</v>
      </c>
      <c r="C21" s="53" t="s">
        <v>7</v>
      </c>
      <c r="D21" s="64">
        <v>26</v>
      </c>
      <c r="E21" s="85">
        <f>E14*D21</f>
        <v>9.75</v>
      </c>
      <c r="F21" s="54"/>
      <c r="G21" s="84"/>
    </row>
    <row r="22" spans="1:7" s="6" customFormat="1" ht="32.25" customHeight="1">
      <c r="A22" s="62" t="s">
        <v>4</v>
      </c>
      <c r="B22" s="49" t="s">
        <v>112</v>
      </c>
      <c r="C22" s="49" t="s">
        <v>111</v>
      </c>
      <c r="D22" s="63"/>
      <c r="E22" s="88">
        <f>E14*100*2.43598</f>
        <v>91.34925</v>
      </c>
      <c r="F22" s="66"/>
      <c r="G22" s="83"/>
    </row>
    <row r="23" spans="1:7" s="17" customFormat="1" ht="28.5" customHeight="1">
      <c r="A23" s="56">
        <v>5</v>
      </c>
      <c r="B23" s="49" t="s">
        <v>59</v>
      </c>
      <c r="C23" s="56" t="s">
        <v>21</v>
      </c>
      <c r="D23" s="56"/>
      <c r="E23" s="86">
        <f>36+25+8+8</f>
        <v>77</v>
      </c>
      <c r="F23" s="68"/>
      <c r="G23" s="83"/>
    </row>
    <row r="24" spans="1:7" s="17" customFormat="1" ht="24" customHeight="1">
      <c r="A24" s="59"/>
      <c r="B24" s="53" t="s">
        <v>97</v>
      </c>
      <c r="C24" s="59" t="s">
        <v>22</v>
      </c>
      <c r="D24" s="59" t="s">
        <v>23</v>
      </c>
      <c r="E24" s="87">
        <f>8*(36+25)+16*8+24*8</f>
        <v>808</v>
      </c>
      <c r="F24" s="65"/>
      <c r="G24" s="84"/>
    </row>
    <row r="25" spans="1:7" s="17" customFormat="1" ht="30">
      <c r="A25" s="59"/>
      <c r="B25" s="53" t="s">
        <v>33</v>
      </c>
      <c r="C25" s="59" t="s">
        <v>100</v>
      </c>
      <c r="D25" s="59" t="s">
        <v>23</v>
      </c>
      <c r="E25" s="87">
        <f>0.0225*E23</f>
        <v>1.7325</v>
      </c>
      <c r="F25" s="65"/>
      <c r="G25" s="84"/>
    </row>
    <row r="26" spans="1:7" s="19" customFormat="1" ht="19.5" customHeight="1">
      <c r="A26" s="67"/>
      <c r="B26" s="53" t="s">
        <v>122</v>
      </c>
      <c r="C26" s="59" t="s">
        <v>69</v>
      </c>
      <c r="D26" s="59" t="s">
        <v>23</v>
      </c>
      <c r="E26" s="87">
        <f>E23*0.5</f>
        <v>38.5</v>
      </c>
      <c r="F26" s="65"/>
      <c r="G26" s="84"/>
    </row>
    <row r="27" spans="1:7" s="17" customFormat="1" ht="21" customHeight="1">
      <c r="A27" s="59"/>
      <c r="B27" s="53" t="s">
        <v>25</v>
      </c>
      <c r="C27" s="59" t="s">
        <v>26</v>
      </c>
      <c r="D27" s="59">
        <v>0.5</v>
      </c>
      <c r="E27" s="87">
        <f>D27*E23</f>
        <v>38.5</v>
      </c>
      <c r="F27" s="54"/>
      <c r="G27" s="84"/>
    </row>
    <row r="28" spans="1:7" s="17" customFormat="1" ht="17.25" customHeight="1">
      <c r="A28" s="59"/>
      <c r="B28" s="53" t="s">
        <v>27</v>
      </c>
      <c r="C28" s="59" t="s">
        <v>2</v>
      </c>
      <c r="D28" s="59">
        <v>6.5</v>
      </c>
      <c r="E28" s="87">
        <f>D28*E23</f>
        <v>500.5</v>
      </c>
      <c r="F28" s="65"/>
      <c r="G28" s="84"/>
    </row>
    <row r="29" spans="1:7" s="17" customFormat="1" ht="32.25" customHeight="1">
      <c r="A29" s="59">
        <v>6</v>
      </c>
      <c r="B29" s="49" t="s">
        <v>115</v>
      </c>
      <c r="C29" s="49" t="s">
        <v>111</v>
      </c>
      <c r="D29" s="63"/>
      <c r="E29" s="88">
        <f>E24*12.133/1000</f>
        <v>9.803464</v>
      </c>
      <c r="F29" s="66"/>
      <c r="G29" s="83"/>
    </row>
    <row r="30" spans="1:10" s="18" customFormat="1" ht="33" customHeight="1">
      <c r="A30" s="56">
        <v>7</v>
      </c>
      <c r="B30" s="49" t="s">
        <v>123</v>
      </c>
      <c r="C30" s="56" t="s">
        <v>30</v>
      </c>
      <c r="D30" s="56"/>
      <c r="E30" s="86">
        <f>360+630</f>
        <v>990</v>
      </c>
      <c r="F30" s="68"/>
      <c r="G30" s="83"/>
      <c r="J30" s="27">
        <f>E30+E36</f>
        <v>2310</v>
      </c>
    </row>
    <row r="31" spans="1:7" s="18" customFormat="1" ht="18.75" customHeight="1">
      <c r="A31" s="59"/>
      <c r="B31" s="59" t="s">
        <v>27</v>
      </c>
      <c r="C31" s="59" t="s">
        <v>2</v>
      </c>
      <c r="D31" s="59">
        <v>0.586</v>
      </c>
      <c r="E31" s="87">
        <f>D31*E30</f>
        <v>580.14</v>
      </c>
      <c r="F31" s="65"/>
      <c r="G31" s="84"/>
    </row>
    <row r="32" spans="1:7" s="18" customFormat="1" ht="18.75" customHeight="1">
      <c r="A32" s="59"/>
      <c r="B32" s="59" t="s">
        <v>31</v>
      </c>
      <c r="C32" s="59" t="s">
        <v>7</v>
      </c>
      <c r="D32" s="59">
        <v>0.327</v>
      </c>
      <c r="E32" s="87">
        <f>D32*E30</f>
        <v>323.73</v>
      </c>
      <c r="F32" s="65"/>
      <c r="G32" s="84"/>
    </row>
    <row r="33" spans="1:7" s="18" customFormat="1" ht="36" customHeight="1">
      <c r="A33" s="59"/>
      <c r="B33" s="53" t="s">
        <v>124</v>
      </c>
      <c r="C33" s="59" t="s">
        <v>22</v>
      </c>
      <c r="D33" s="59">
        <v>1.1</v>
      </c>
      <c r="E33" s="65">
        <f>D33*E30</f>
        <v>1089</v>
      </c>
      <c r="F33" s="65"/>
      <c r="G33" s="84"/>
    </row>
    <row r="34" spans="1:7" s="18" customFormat="1" ht="20.25" customHeight="1">
      <c r="A34" s="59"/>
      <c r="B34" s="53" t="s">
        <v>28</v>
      </c>
      <c r="C34" s="59" t="s">
        <v>21</v>
      </c>
      <c r="D34" s="59" t="s">
        <v>23</v>
      </c>
      <c r="E34" s="87">
        <f>33*4</f>
        <v>132</v>
      </c>
      <c r="F34" s="65"/>
      <c r="G34" s="84"/>
    </row>
    <row r="35" spans="1:7" s="18" customFormat="1" ht="21" customHeight="1">
      <c r="A35" s="59"/>
      <c r="B35" s="53" t="s">
        <v>29</v>
      </c>
      <c r="C35" s="59" t="s">
        <v>26</v>
      </c>
      <c r="D35" s="59">
        <v>0.05</v>
      </c>
      <c r="E35" s="87">
        <f>D35*E30</f>
        <v>49.5</v>
      </c>
      <c r="F35" s="65"/>
      <c r="G35" s="84"/>
    </row>
    <row r="36" spans="1:7" s="18" customFormat="1" ht="27.75">
      <c r="A36" s="56">
        <v>8</v>
      </c>
      <c r="B36" s="49" t="s">
        <v>125</v>
      </c>
      <c r="C36" s="56" t="s">
        <v>30</v>
      </c>
      <c r="D36" s="56"/>
      <c r="E36" s="86">
        <f>210+390+510+210</f>
        <v>1320</v>
      </c>
      <c r="F36" s="68"/>
      <c r="G36" s="83"/>
    </row>
    <row r="37" spans="1:7" s="18" customFormat="1" ht="15">
      <c r="A37" s="59"/>
      <c r="B37" s="59" t="s">
        <v>27</v>
      </c>
      <c r="C37" s="59" t="s">
        <v>2</v>
      </c>
      <c r="D37" s="59">
        <v>0.586</v>
      </c>
      <c r="E37" s="87">
        <f>D37*E36</f>
        <v>773.52</v>
      </c>
      <c r="F37" s="65"/>
      <c r="G37" s="84"/>
    </row>
    <row r="38" spans="1:7" s="18" customFormat="1" ht="15">
      <c r="A38" s="59"/>
      <c r="B38" s="59" t="s">
        <v>31</v>
      </c>
      <c r="C38" s="59" t="s">
        <v>7</v>
      </c>
      <c r="D38" s="59">
        <v>0.327</v>
      </c>
      <c r="E38" s="87">
        <f>D38*E36</f>
        <v>431.64000000000004</v>
      </c>
      <c r="F38" s="65"/>
      <c r="G38" s="84"/>
    </row>
    <row r="39" spans="1:7" s="18" customFormat="1" ht="30">
      <c r="A39" s="59"/>
      <c r="B39" s="53" t="s">
        <v>126</v>
      </c>
      <c r="C39" s="59" t="s">
        <v>22</v>
      </c>
      <c r="D39" s="59">
        <v>1.1</v>
      </c>
      <c r="E39" s="87">
        <f>D39*E36</f>
        <v>1452.0000000000002</v>
      </c>
      <c r="F39" s="65"/>
      <c r="G39" s="84"/>
    </row>
    <row r="40" spans="1:7" s="18" customFormat="1" ht="15">
      <c r="A40" s="59"/>
      <c r="B40" s="53" t="s">
        <v>28</v>
      </c>
      <c r="C40" s="59" t="s">
        <v>21</v>
      </c>
      <c r="D40" s="59" t="s">
        <v>23</v>
      </c>
      <c r="E40" s="87">
        <f>E23*4-E34</f>
        <v>176</v>
      </c>
      <c r="F40" s="65"/>
      <c r="G40" s="84"/>
    </row>
    <row r="41" spans="1:7" s="18" customFormat="1" ht="15">
      <c r="A41" s="59"/>
      <c r="B41" s="53" t="s">
        <v>29</v>
      </c>
      <c r="C41" s="59" t="s">
        <v>26</v>
      </c>
      <c r="D41" s="59">
        <v>0.05</v>
      </c>
      <c r="E41" s="87">
        <f>D41*E36</f>
        <v>66</v>
      </c>
      <c r="F41" s="65"/>
      <c r="G41" s="84"/>
    </row>
    <row r="42" spans="1:7" s="7" customFormat="1" ht="42" customHeight="1">
      <c r="A42" s="62" t="s">
        <v>113</v>
      </c>
      <c r="B42" s="49" t="s">
        <v>66</v>
      </c>
      <c r="C42" s="49" t="s">
        <v>67</v>
      </c>
      <c r="D42" s="63"/>
      <c r="E42" s="88">
        <v>2</v>
      </c>
      <c r="F42" s="66"/>
      <c r="G42" s="83"/>
    </row>
    <row r="43" spans="1:7" ht="19.5" customHeight="1">
      <c r="A43" s="69"/>
      <c r="B43" s="53" t="s">
        <v>47</v>
      </c>
      <c r="C43" s="53" t="s">
        <v>2</v>
      </c>
      <c r="D43" s="64">
        <v>1.04</v>
      </c>
      <c r="E43" s="89">
        <f>E42*D43</f>
        <v>2.08</v>
      </c>
      <c r="F43" s="70"/>
      <c r="G43" s="84"/>
    </row>
    <row r="44" spans="1:7" s="19" customFormat="1" ht="19.5" customHeight="1">
      <c r="A44" s="67"/>
      <c r="B44" s="53" t="s">
        <v>62</v>
      </c>
      <c r="C44" s="53" t="s">
        <v>7</v>
      </c>
      <c r="D44" s="64">
        <v>0.08</v>
      </c>
      <c r="E44" s="87">
        <f>E42*D44</f>
        <v>0.16</v>
      </c>
      <c r="F44" s="65"/>
      <c r="G44" s="84"/>
    </row>
    <row r="45" spans="1:7" s="19" customFormat="1" ht="19.5" customHeight="1">
      <c r="A45" s="67"/>
      <c r="B45" s="53" t="s">
        <v>122</v>
      </c>
      <c r="C45" s="59" t="s">
        <v>69</v>
      </c>
      <c r="D45" s="61">
        <v>6</v>
      </c>
      <c r="E45" s="87">
        <f>E42*D45</f>
        <v>12</v>
      </c>
      <c r="F45" s="65"/>
      <c r="G45" s="84"/>
    </row>
    <row r="46" spans="1:7" s="20" customFormat="1" ht="15.75">
      <c r="A46" s="59"/>
      <c r="B46" s="53" t="s">
        <v>32</v>
      </c>
      <c r="C46" s="59" t="s">
        <v>22</v>
      </c>
      <c r="D46" s="59">
        <v>2</v>
      </c>
      <c r="E46" s="87">
        <f>E42*D46</f>
        <v>4</v>
      </c>
      <c r="F46" s="65"/>
      <c r="G46" s="84"/>
    </row>
    <row r="47" spans="1:7" s="19" customFormat="1" ht="19.5" customHeight="1">
      <c r="A47" s="67"/>
      <c r="B47" s="53" t="s">
        <v>70</v>
      </c>
      <c r="C47" s="53" t="s">
        <v>7</v>
      </c>
      <c r="D47" s="61">
        <v>1.4</v>
      </c>
      <c r="E47" s="87">
        <f>E42*D47</f>
        <v>2.8</v>
      </c>
      <c r="F47" s="65"/>
      <c r="G47" s="84"/>
    </row>
    <row r="48" spans="1:7" s="7" customFormat="1" ht="42" customHeight="1">
      <c r="A48" s="62" t="s">
        <v>116</v>
      </c>
      <c r="B48" s="49" t="s">
        <v>71</v>
      </c>
      <c r="C48" s="49" t="s">
        <v>69</v>
      </c>
      <c r="D48" s="63"/>
      <c r="E48" s="88">
        <f>3.6*E42</f>
        <v>7.2</v>
      </c>
      <c r="F48" s="66"/>
      <c r="G48" s="83"/>
    </row>
    <row r="49" spans="1:7" ht="19.5" customHeight="1">
      <c r="A49" s="69"/>
      <c r="B49" s="53" t="s">
        <v>47</v>
      </c>
      <c r="C49" s="53" t="s">
        <v>2</v>
      </c>
      <c r="D49" s="64">
        <v>0.14</v>
      </c>
      <c r="E49" s="89">
        <f>E48*D49</f>
        <v>1.0080000000000002</v>
      </c>
      <c r="F49" s="70"/>
      <c r="G49" s="84"/>
    </row>
    <row r="50" spans="1:7" s="19" customFormat="1" ht="19.5" customHeight="1">
      <c r="A50" s="67"/>
      <c r="B50" s="53" t="s">
        <v>62</v>
      </c>
      <c r="C50" s="53" t="s">
        <v>7</v>
      </c>
      <c r="D50" s="64">
        <v>0.01</v>
      </c>
      <c r="E50" s="87">
        <f>E48*D50</f>
        <v>0.07200000000000001</v>
      </c>
      <c r="F50" s="65"/>
      <c r="G50" s="84"/>
    </row>
    <row r="51" spans="1:7" s="19" customFormat="1" ht="19.5" customHeight="1">
      <c r="A51" s="67"/>
      <c r="B51" s="53" t="s">
        <v>127</v>
      </c>
      <c r="C51" s="59" t="s">
        <v>69</v>
      </c>
      <c r="D51" s="61">
        <v>1</v>
      </c>
      <c r="E51" s="87">
        <f>E48*D51</f>
        <v>7.2</v>
      </c>
      <c r="F51" s="65"/>
      <c r="G51" s="84"/>
    </row>
    <row r="52" spans="1:7" s="19" customFormat="1" ht="19.5" customHeight="1">
      <c r="A52" s="67"/>
      <c r="B52" s="53" t="s">
        <v>70</v>
      </c>
      <c r="C52" s="53" t="s">
        <v>7</v>
      </c>
      <c r="D52" s="61">
        <v>0.193</v>
      </c>
      <c r="E52" s="87">
        <f>E48*D52</f>
        <v>1.3896000000000002</v>
      </c>
      <c r="F52" s="65"/>
      <c r="G52" s="84"/>
    </row>
    <row r="53" spans="1:7" s="21" customFormat="1" ht="40.5" customHeight="1">
      <c r="A53" s="56">
        <v>11</v>
      </c>
      <c r="B53" s="49" t="s">
        <v>60</v>
      </c>
      <c r="C53" s="56" t="s">
        <v>61</v>
      </c>
      <c r="D53" s="56"/>
      <c r="E53" s="86">
        <f>3.6*E23/100</f>
        <v>2.772</v>
      </c>
      <c r="F53" s="68"/>
      <c r="G53" s="83"/>
    </row>
    <row r="54" spans="1:7" s="20" customFormat="1" ht="18" customHeight="1">
      <c r="A54" s="71"/>
      <c r="B54" s="53" t="s">
        <v>47</v>
      </c>
      <c r="C54" s="53" t="s">
        <v>2</v>
      </c>
      <c r="D54" s="64">
        <v>77.3</v>
      </c>
      <c r="E54" s="85">
        <f>E53*D54</f>
        <v>214.27559999999997</v>
      </c>
      <c r="F54" s="54"/>
      <c r="G54" s="84"/>
    </row>
    <row r="55" spans="1:7" s="20" customFormat="1" ht="18.75" customHeight="1">
      <c r="A55" s="71"/>
      <c r="B55" s="53" t="s">
        <v>62</v>
      </c>
      <c r="C55" s="53" t="s">
        <v>7</v>
      </c>
      <c r="D55" s="64">
        <v>0.84</v>
      </c>
      <c r="E55" s="85">
        <f>E53*D55</f>
        <v>2.32848</v>
      </c>
      <c r="F55" s="54"/>
      <c r="G55" s="84"/>
    </row>
    <row r="56" spans="1:7" s="20" customFormat="1" ht="21" customHeight="1">
      <c r="A56" s="71"/>
      <c r="B56" s="53" t="s">
        <v>63</v>
      </c>
      <c r="C56" s="53" t="s">
        <v>6</v>
      </c>
      <c r="D56" s="64">
        <v>32.1</v>
      </c>
      <c r="E56" s="85">
        <f>E53*D56</f>
        <v>88.9812</v>
      </c>
      <c r="F56" s="54"/>
      <c r="G56" s="84"/>
    </row>
    <row r="57" spans="1:7" s="20" customFormat="1" ht="21" customHeight="1">
      <c r="A57" s="71"/>
      <c r="B57" s="53" t="s">
        <v>64</v>
      </c>
      <c r="C57" s="53" t="s">
        <v>6</v>
      </c>
      <c r="D57" s="64">
        <v>3.6</v>
      </c>
      <c r="E57" s="85">
        <f>E53*D57</f>
        <v>9.979199999999999</v>
      </c>
      <c r="F57" s="54"/>
      <c r="G57" s="84"/>
    </row>
    <row r="58" spans="1:7" s="20" customFormat="1" ht="21" customHeight="1">
      <c r="A58" s="71"/>
      <c r="B58" s="53" t="s">
        <v>51</v>
      </c>
      <c r="C58" s="53" t="s">
        <v>7</v>
      </c>
      <c r="D58" s="64">
        <v>0.07</v>
      </c>
      <c r="E58" s="85">
        <f>E53*D58</f>
        <v>0.19404000000000002</v>
      </c>
      <c r="F58" s="54"/>
      <c r="G58" s="84"/>
    </row>
    <row r="59" spans="1:7" s="20" customFormat="1" ht="22.5" customHeight="1">
      <c r="A59" s="55"/>
      <c r="B59" s="49" t="s">
        <v>8</v>
      </c>
      <c r="C59" s="49" t="s">
        <v>7</v>
      </c>
      <c r="D59" s="66"/>
      <c r="E59" s="66"/>
      <c r="F59" s="66"/>
      <c r="G59" s="66"/>
    </row>
    <row r="60" spans="1:7" s="26" customFormat="1" ht="39" customHeight="1">
      <c r="A60" s="55"/>
      <c r="B60" s="49" t="s">
        <v>132</v>
      </c>
      <c r="C60" s="49" t="s">
        <v>7</v>
      </c>
      <c r="D60" s="72">
        <v>0.75</v>
      </c>
      <c r="E60" s="66"/>
      <c r="F60" s="66"/>
      <c r="G60" s="66"/>
    </row>
    <row r="61" spans="1:7" s="26" customFormat="1" ht="25.5" customHeight="1">
      <c r="A61" s="55"/>
      <c r="B61" s="49" t="s">
        <v>8</v>
      </c>
      <c r="C61" s="49" t="s">
        <v>7</v>
      </c>
      <c r="D61" s="72"/>
      <c r="E61" s="66"/>
      <c r="F61" s="66"/>
      <c r="G61" s="66"/>
    </row>
    <row r="62" spans="1:7" s="26" customFormat="1" ht="24.75" customHeight="1">
      <c r="A62" s="55"/>
      <c r="B62" s="49" t="s">
        <v>81</v>
      </c>
      <c r="C62" s="49" t="s">
        <v>7</v>
      </c>
      <c r="D62" s="72">
        <v>0.08</v>
      </c>
      <c r="E62" s="66"/>
      <c r="F62" s="66"/>
      <c r="G62" s="66"/>
    </row>
    <row r="63" spans="1:7" ht="24" customHeight="1">
      <c r="A63" s="73"/>
      <c r="B63" s="49" t="s">
        <v>9</v>
      </c>
      <c r="C63" s="49" t="s">
        <v>7</v>
      </c>
      <c r="D63" s="54"/>
      <c r="E63" s="54"/>
      <c r="F63" s="54"/>
      <c r="G63" s="66"/>
    </row>
    <row r="64" spans="1:6" ht="15.75">
      <c r="A64" s="15"/>
      <c r="B64" s="15"/>
      <c r="C64" s="15"/>
      <c r="D64" s="15"/>
      <c r="E64" s="15"/>
      <c r="F64" s="16"/>
    </row>
  </sheetData>
  <sheetProtection/>
  <mergeCells count="8">
    <mergeCell ref="A4:A5"/>
    <mergeCell ref="B4:B5"/>
    <mergeCell ref="C4:C5"/>
    <mergeCell ref="D4:E4"/>
    <mergeCell ref="F4:G4"/>
    <mergeCell ref="A1:G1"/>
    <mergeCell ref="A2:G2"/>
    <mergeCell ref="A3:G3"/>
  </mergeCells>
  <printOptions/>
  <pageMargins left="0.28" right="0.19" top="0.24" bottom="0.37" header="0.24" footer="0.3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47">
      <selection activeCell="F14" sqref="F14"/>
    </sheetView>
  </sheetViews>
  <sheetFormatPr defaultColWidth="9.140625" defaultRowHeight="12.75"/>
  <cols>
    <col min="1" max="1" width="4.00390625" style="13" customWidth="1"/>
    <col min="2" max="2" width="36.140625" style="1" customWidth="1"/>
    <col min="3" max="3" width="9.140625" style="1" customWidth="1"/>
    <col min="4" max="4" width="8.7109375" style="1" customWidth="1"/>
    <col min="5" max="5" width="11.7109375" style="1" customWidth="1"/>
    <col min="6" max="6" width="13.421875" style="14" customWidth="1"/>
    <col min="7" max="7" width="12.140625" style="9" customWidth="1"/>
    <col min="8" max="16384" width="9.140625" style="1" customWidth="1"/>
  </cols>
  <sheetData>
    <row r="1" spans="1:7" ht="21.75" customHeight="1">
      <c r="A1" s="105" t="s">
        <v>35</v>
      </c>
      <c r="B1" s="105"/>
      <c r="C1" s="105"/>
      <c r="D1" s="105"/>
      <c r="E1" s="105"/>
      <c r="F1" s="105"/>
      <c r="G1" s="105"/>
    </row>
    <row r="2" spans="1:7" ht="33.75" customHeight="1">
      <c r="A2" s="106" t="s">
        <v>87</v>
      </c>
      <c r="B2" s="106"/>
      <c r="C2" s="106"/>
      <c r="D2" s="106"/>
      <c r="E2" s="106"/>
      <c r="F2" s="106"/>
      <c r="G2" s="106"/>
    </row>
    <row r="3" spans="1:7" ht="26.25" customHeight="1">
      <c r="A3" s="105" t="s">
        <v>0</v>
      </c>
      <c r="B3" s="105"/>
      <c r="C3" s="105"/>
      <c r="D3" s="105"/>
      <c r="E3" s="105"/>
      <c r="F3" s="105"/>
      <c r="G3" s="105"/>
    </row>
    <row r="4" spans="1:7" ht="36" customHeight="1">
      <c r="A4" s="103" t="s">
        <v>75</v>
      </c>
      <c r="B4" s="104" t="s">
        <v>76</v>
      </c>
      <c r="C4" s="104" t="s">
        <v>77</v>
      </c>
      <c r="D4" s="103" t="s">
        <v>78</v>
      </c>
      <c r="E4" s="103"/>
      <c r="F4" s="104"/>
      <c r="G4" s="104"/>
    </row>
    <row r="5" spans="1:7" ht="73.5" customHeight="1">
      <c r="A5" s="103"/>
      <c r="B5" s="104"/>
      <c r="C5" s="104"/>
      <c r="D5" s="50" t="s">
        <v>79</v>
      </c>
      <c r="E5" s="50" t="s">
        <v>80</v>
      </c>
      <c r="F5" s="82" t="s">
        <v>135</v>
      </c>
      <c r="G5" s="82" t="s">
        <v>134</v>
      </c>
    </row>
    <row r="6" spans="1:7" s="6" customFormat="1" ht="22.5" customHeight="1">
      <c r="A6" s="51"/>
      <c r="B6" s="52" t="s">
        <v>17</v>
      </c>
      <c r="C6" s="53"/>
      <c r="D6" s="53"/>
      <c r="E6" s="53"/>
      <c r="F6" s="54"/>
      <c r="G6" s="54"/>
    </row>
    <row r="7" spans="1:7" s="20" customFormat="1" ht="30">
      <c r="A7" s="56">
        <v>1</v>
      </c>
      <c r="B7" s="49" t="s">
        <v>56</v>
      </c>
      <c r="C7" s="49" t="s">
        <v>46</v>
      </c>
      <c r="D7" s="57"/>
      <c r="E7" s="86">
        <f>E9+E14</f>
        <v>0.7084999999999999</v>
      </c>
      <c r="F7" s="68"/>
      <c r="G7" s="83"/>
    </row>
    <row r="8" spans="1:7" s="20" customFormat="1" ht="15.75">
      <c r="A8" s="59"/>
      <c r="B8" s="53" t="s">
        <v>27</v>
      </c>
      <c r="C8" s="53" t="s">
        <v>2</v>
      </c>
      <c r="D8" s="60">
        <v>206</v>
      </c>
      <c r="E8" s="87">
        <f>D8*E7</f>
        <v>145.951</v>
      </c>
      <c r="F8" s="65"/>
      <c r="G8" s="84"/>
    </row>
    <row r="9" spans="1:7" s="6" customFormat="1" ht="30">
      <c r="A9" s="62" t="s">
        <v>16</v>
      </c>
      <c r="B9" s="49" t="s">
        <v>57</v>
      </c>
      <c r="C9" s="49" t="s">
        <v>46</v>
      </c>
      <c r="D9" s="63"/>
      <c r="E9" s="88">
        <f>E14/12</f>
        <v>0.05449999999999999</v>
      </c>
      <c r="F9" s="66"/>
      <c r="G9" s="83"/>
    </row>
    <row r="10" spans="1:7" s="6" customFormat="1" ht="15">
      <c r="A10" s="62"/>
      <c r="B10" s="53" t="s">
        <v>47</v>
      </c>
      <c r="C10" s="53" t="s">
        <v>2</v>
      </c>
      <c r="D10" s="64">
        <v>137</v>
      </c>
      <c r="E10" s="85">
        <f>D10*E9</f>
        <v>7.466499999999999</v>
      </c>
      <c r="F10" s="54"/>
      <c r="G10" s="84"/>
    </row>
    <row r="11" spans="1:7" s="7" customFormat="1" ht="15">
      <c r="A11" s="62"/>
      <c r="B11" s="53" t="s">
        <v>48</v>
      </c>
      <c r="C11" s="53" t="s">
        <v>7</v>
      </c>
      <c r="D11" s="64">
        <v>28.3</v>
      </c>
      <c r="E11" s="85">
        <f>E9*D11</f>
        <v>1.5423499999999999</v>
      </c>
      <c r="F11" s="54"/>
      <c r="G11" s="84"/>
    </row>
    <row r="12" spans="1:7" s="7" customFormat="1" ht="15">
      <c r="A12" s="62"/>
      <c r="B12" s="53" t="s">
        <v>120</v>
      </c>
      <c r="C12" s="53" t="s">
        <v>50</v>
      </c>
      <c r="D12" s="64">
        <v>102</v>
      </c>
      <c r="E12" s="85">
        <f>D12*E9</f>
        <v>5.558999999999999</v>
      </c>
      <c r="F12" s="54"/>
      <c r="G12" s="84"/>
    </row>
    <row r="13" spans="1:7" s="6" customFormat="1" ht="15">
      <c r="A13" s="62"/>
      <c r="B13" s="53" t="s">
        <v>51</v>
      </c>
      <c r="C13" s="53" t="s">
        <v>7</v>
      </c>
      <c r="D13" s="64">
        <v>62</v>
      </c>
      <c r="E13" s="85">
        <f>E9*D13</f>
        <v>3.3789999999999996</v>
      </c>
      <c r="F13" s="54"/>
      <c r="G13" s="84"/>
    </row>
    <row r="14" spans="1:7" s="6" customFormat="1" ht="30">
      <c r="A14" s="62" t="s">
        <v>3</v>
      </c>
      <c r="B14" s="49" t="s">
        <v>58</v>
      </c>
      <c r="C14" s="49" t="s">
        <v>46</v>
      </c>
      <c r="D14" s="63"/>
      <c r="E14" s="88">
        <f>(0.5*0.5*1.2*(26+42)+(0.5*0.5*1.2+1*0.5*1.2)*25+(0.5*0.5*1.2+1*0.5*1.2*2)*15)/100</f>
        <v>0.6539999999999999</v>
      </c>
      <c r="F14" s="66"/>
      <c r="G14" s="83"/>
    </row>
    <row r="15" spans="1:7" s="6" customFormat="1" ht="15">
      <c r="A15" s="62"/>
      <c r="B15" s="53" t="s">
        <v>47</v>
      </c>
      <c r="C15" s="53" t="s">
        <v>2</v>
      </c>
      <c r="D15" s="64">
        <v>410</v>
      </c>
      <c r="E15" s="85">
        <f>D15*E14</f>
        <v>268.14</v>
      </c>
      <c r="F15" s="54"/>
      <c r="G15" s="84"/>
    </row>
    <row r="16" spans="1:7" s="7" customFormat="1" ht="15">
      <c r="A16" s="62"/>
      <c r="B16" s="53" t="s">
        <v>48</v>
      </c>
      <c r="C16" s="53" t="s">
        <v>7</v>
      </c>
      <c r="D16" s="64">
        <v>112</v>
      </c>
      <c r="E16" s="85">
        <f>E14*D16</f>
        <v>73.24799999999999</v>
      </c>
      <c r="F16" s="54"/>
      <c r="G16" s="84"/>
    </row>
    <row r="17" spans="1:7" s="7" customFormat="1" ht="18" customHeight="1">
      <c r="A17" s="62"/>
      <c r="B17" s="53" t="s">
        <v>121</v>
      </c>
      <c r="C17" s="53" t="s">
        <v>50</v>
      </c>
      <c r="D17" s="64">
        <v>101.5</v>
      </c>
      <c r="E17" s="85">
        <f>D17*E14</f>
        <v>66.38099999999999</v>
      </c>
      <c r="F17" s="54"/>
      <c r="G17" s="84"/>
    </row>
    <row r="18" spans="1:7" s="7" customFormat="1" ht="17.25" customHeight="1">
      <c r="A18" s="62"/>
      <c r="B18" s="53" t="s">
        <v>53</v>
      </c>
      <c r="C18" s="53" t="s">
        <v>54</v>
      </c>
      <c r="D18" s="64">
        <v>88.1</v>
      </c>
      <c r="E18" s="85">
        <f>E14*D18</f>
        <v>57.61739999999999</v>
      </c>
      <c r="F18" s="54"/>
      <c r="G18" s="84"/>
    </row>
    <row r="19" spans="1:7" s="20" customFormat="1" ht="19.5" customHeight="1">
      <c r="A19" s="59"/>
      <c r="B19" s="53" t="s">
        <v>32</v>
      </c>
      <c r="C19" s="59" t="s">
        <v>22</v>
      </c>
      <c r="D19" s="59" t="s">
        <v>23</v>
      </c>
      <c r="E19" s="87">
        <f>E23*1</f>
        <v>108</v>
      </c>
      <c r="F19" s="65"/>
      <c r="G19" s="84"/>
    </row>
    <row r="20" spans="1:7" s="6" customFormat="1" ht="19.5" customHeight="1">
      <c r="A20" s="62"/>
      <c r="B20" s="53" t="s">
        <v>55</v>
      </c>
      <c r="C20" s="53" t="s">
        <v>50</v>
      </c>
      <c r="D20" s="64">
        <v>1</v>
      </c>
      <c r="E20" s="85">
        <f>E14*D20</f>
        <v>0.6539999999999999</v>
      </c>
      <c r="F20" s="65"/>
      <c r="G20" s="84"/>
    </row>
    <row r="21" spans="1:7" s="6" customFormat="1" ht="17.25" customHeight="1">
      <c r="A21" s="62"/>
      <c r="B21" s="53" t="s">
        <v>51</v>
      </c>
      <c r="C21" s="53" t="s">
        <v>7</v>
      </c>
      <c r="D21" s="64">
        <v>26</v>
      </c>
      <c r="E21" s="85">
        <f>E14*D21</f>
        <v>17.003999999999998</v>
      </c>
      <c r="F21" s="54"/>
      <c r="G21" s="84"/>
    </row>
    <row r="22" spans="1:7" s="6" customFormat="1" ht="30">
      <c r="A22" s="62" t="s">
        <v>4</v>
      </c>
      <c r="B22" s="49" t="s">
        <v>110</v>
      </c>
      <c r="C22" s="49" t="s">
        <v>111</v>
      </c>
      <c r="D22" s="63"/>
      <c r="E22" s="88">
        <f>E14*100*2.43599</f>
        <v>159.31374599999998</v>
      </c>
      <c r="F22" s="66"/>
      <c r="G22" s="83"/>
    </row>
    <row r="23" spans="1:7" s="17" customFormat="1" ht="17.25" customHeight="1">
      <c r="A23" s="56">
        <v>5</v>
      </c>
      <c r="B23" s="49" t="s">
        <v>59</v>
      </c>
      <c r="C23" s="56" t="s">
        <v>21</v>
      </c>
      <c r="D23" s="56"/>
      <c r="E23" s="86">
        <f>26+42+25+15</f>
        <v>108</v>
      </c>
      <c r="F23" s="68"/>
      <c r="G23" s="83"/>
    </row>
    <row r="24" spans="1:7" s="17" customFormat="1" ht="18.75" customHeight="1">
      <c r="A24" s="59"/>
      <c r="B24" s="53" t="s">
        <v>97</v>
      </c>
      <c r="C24" s="59" t="s">
        <v>22</v>
      </c>
      <c r="D24" s="59" t="s">
        <v>23</v>
      </c>
      <c r="E24" s="87">
        <f>8*(26+42)+16*25+24*15</f>
        <v>1304</v>
      </c>
      <c r="F24" s="65"/>
      <c r="G24" s="84"/>
    </row>
    <row r="25" spans="1:7" s="17" customFormat="1" ht="30">
      <c r="A25" s="59"/>
      <c r="B25" s="53" t="s">
        <v>33</v>
      </c>
      <c r="C25" s="59" t="s">
        <v>100</v>
      </c>
      <c r="D25" s="59" t="s">
        <v>23</v>
      </c>
      <c r="E25" s="87">
        <f>0.0225*E23</f>
        <v>2.4299999999999997</v>
      </c>
      <c r="F25" s="65"/>
      <c r="G25" s="84"/>
    </row>
    <row r="26" spans="1:7" s="19" customFormat="1" ht="19.5" customHeight="1">
      <c r="A26" s="67"/>
      <c r="B26" s="53" t="s">
        <v>122</v>
      </c>
      <c r="C26" s="59" t="s">
        <v>69</v>
      </c>
      <c r="D26" s="59" t="s">
        <v>23</v>
      </c>
      <c r="E26" s="87">
        <f>E23*0.5</f>
        <v>54</v>
      </c>
      <c r="F26" s="65"/>
      <c r="G26" s="84"/>
    </row>
    <row r="27" spans="1:7" s="17" customFormat="1" ht="19.5" customHeight="1">
      <c r="A27" s="59"/>
      <c r="B27" s="53" t="s">
        <v>25</v>
      </c>
      <c r="C27" s="59" t="s">
        <v>26</v>
      </c>
      <c r="D27" s="59">
        <v>0.5</v>
      </c>
      <c r="E27" s="87">
        <f>D27*E23</f>
        <v>54</v>
      </c>
      <c r="F27" s="54"/>
      <c r="G27" s="84"/>
    </row>
    <row r="28" spans="1:7" s="17" customFormat="1" ht="15">
      <c r="A28" s="59"/>
      <c r="B28" s="53" t="s">
        <v>27</v>
      </c>
      <c r="C28" s="59" t="s">
        <v>2</v>
      </c>
      <c r="D28" s="59">
        <v>6.5</v>
      </c>
      <c r="E28" s="87">
        <f>D28*E23</f>
        <v>702</v>
      </c>
      <c r="F28" s="65"/>
      <c r="G28" s="84"/>
    </row>
    <row r="29" spans="1:7" s="17" customFormat="1" ht="33.75" customHeight="1">
      <c r="A29" s="59">
        <v>6</v>
      </c>
      <c r="B29" s="49" t="s">
        <v>115</v>
      </c>
      <c r="C29" s="49" t="s">
        <v>111</v>
      </c>
      <c r="D29" s="63"/>
      <c r="E29" s="88">
        <f>E24*12.133/1000</f>
        <v>15.821432</v>
      </c>
      <c r="F29" s="66"/>
      <c r="G29" s="83"/>
    </row>
    <row r="30" spans="1:9" s="18" customFormat="1" ht="33" customHeight="1">
      <c r="A30" s="56">
        <v>7</v>
      </c>
      <c r="B30" s="49" t="s">
        <v>123</v>
      </c>
      <c r="C30" s="56" t="s">
        <v>30</v>
      </c>
      <c r="D30" s="56"/>
      <c r="E30" s="86">
        <f>340+240</f>
        <v>580</v>
      </c>
      <c r="F30" s="68"/>
      <c r="G30" s="83"/>
      <c r="I30" s="27">
        <f>E30+E36</f>
        <v>3160</v>
      </c>
    </row>
    <row r="31" spans="1:7" s="18" customFormat="1" ht="15">
      <c r="A31" s="59"/>
      <c r="B31" s="59" t="s">
        <v>27</v>
      </c>
      <c r="C31" s="59" t="s">
        <v>2</v>
      </c>
      <c r="D31" s="59">
        <v>0.586</v>
      </c>
      <c r="E31" s="87">
        <f>D31*E30</f>
        <v>339.88</v>
      </c>
      <c r="F31" s="65"/>
      <c r="G31" s="84"/>
    </row>
    <row r="32" spans="1:7" s="18" customFormat="1" ht="15">
      <c r="A32" s="59"/>
      <c r="B32" s="59" t="s">
        <v>31</v>
      </c>
      <c r="C32" s="59" t="s">
        <v>7</v>
      </c>
      <c r="D32" s="59">
        <v>0.327</v>
      </c>
      <c r="E32" s="87">
        <f>D32*E30</f>
        <v>189.66</v>
      </c>
      <c r="F32" s="65"/>
      <c r="G32" s="84"/>
    </row>
    <row r="33" spans="1:7" s="18" customFormat="1" ht="30">
      <c r="A33" s="59"/>
      <c r="B33" s="53" t="s">
        <v>124</v>
      </c>
      <c r="C33" s="59" t="s">
        <v>22</v>
      </c>
      <c r="D33" s="59">
        <v>1.1</v>
      </c>
      <c r="E33" s="87">
        <f>D33*E30</f>
        <v>638</v>
      </c>
      <c r="F33" s="65"/>
      <c r="G33" s="84"/>
    </row>
    <row r="34" spans="1:7" s="18" customFormat="1" ht="18" customHeight="1">
      <c r="A34" s="59"/>
      <c r="B34" s="53" t="s">
        <v>28</v>
      </c>
      <c r="C34" s="59" t="s">
        <v>21</v>
      </c>
      <c r="D34" s="59" t="s">
        <v>23</v>
      </c>
      <c r="E34" s="87">
        <f>22*4</f>
        <v>88</v>
      </c>
      <c r="F34" s="65"/>
      <c r="G34" s="84"/>
    </row>
    <row r="35" spans="1:7" s="18" customFormat="1" ht="18" customHeight="1">
      <c r="A35" s="59"/>
      <c r="B35" s="53" t="s">
        <v>29</v>
      </c>
      <c r="C35" s="59" t="s">
        <v>26</v>
      </c>
      <c r="D35" s="59">
        <v>0.05</v>
      </c>
      <c r="E35" s="87">
        <f>D35*E30</f>
        <v>29</v>
      </c>
      <c r="F35" s="65"/>
      <c r="G35" s="84"/>
    </row>
    <row r="36" spans="1:7" s="18" customFormat="1" ht="36" customHeight="1">
      <c r="A36" s="56">
        <v>8</v>
      </c>
      <c r="B36" s="49" t="s">
        <v>128</v>
      </c>
      <c r="C36" s="56" t="s">
        <v>30</v>
      </c>
      <c r="D36" s="56"/>
      <c r="E36" s="86">
        <f>390+120+90+270+60+180+300+270+90+120+90+600</f>
        <v>2580</v>
      </c>
      <c r="F36" s="68"/>
      <c r="G36" s="83"/>
    </row>
    <row r="37" spans="1:7" s="18" customFormat="1" ht="17.25" customHeight="1">
      <c r="A37" s="59"/>
      <c r="B37" s="59" t="s">
        <v>27</v>
      </c>
      <c r="C37" s="59" t="s">
        <v>2</v>
      </c>
      <c r="D37" s="59">
        <v>0.586</v>
      </c>
      <c r="E37" s="87">
        <f>D37*E36</f>
        <v>1511.8799999999999</v>
      </c>
      <c r="F37" s="65"/>
      <c r="G37" s="84"/>
    </row>
    <row r="38" spans="1:7" s="18" customFormat="1" ht="21" customHeight="1">
      <c r="A38" s="59"/>
      <c r="B38" s="59" t="s">
        <v>31</v>
      </c>
      <c r="C38" s="59" t="s">
        <v>7</v>
      </c>
      <c r="D38" s="59">
        <v>0.327</v>
      </c>
      <c r="E38" s="87">
        <f>D38*E36</f>
        <v>843.6600000000001</v>
      </c>
      <c r="F38" s="65"/>
      <c r="G38" s="84"/>
    </row>
    <row r="39" spans="1:7" s="18" customFormat="1" ht="30">
      <c r="A39" s="59"/>
      <c r="B39" s="53" t="s">
        <v>129</v>
      </c>
      <c r="C39" s="59" t="s">
        <v>22</v>
      </c>
      <c r="D39" s="59">
        <v>1.1</v>
      </c>
      <c r="E39" s="87">
        <f>D39*E36</f>
        <v>2838.0000000000005</v>
      </c>
      <c r="F39" s="65"/>
      <c r="G39" s="84"/>
    </row>
    <row r="40" spans="1:7" s="18" customFormat="1" ht="17.25" customHeight="1">
      <c r="A40" s="59"/>
      <c r="B40" s="53" t="s">
        <v>28</v>
      </c>
      <c r="C40" s="59" t="s">
        <v>21</v>
      </c>
      <c r="D40" s="59" t="s">
        <v>23</v>
      </c>
      <c r="E40" s="87">
        <f>E23*4-E34</f>
        <v>344</v>
      </c>
      <c r="F40" s="65"/>
      <c r="G40" s="84"/>
    </row>
    <row r="41" spans="1:7" s="18" customFormat="1" ht="19.5" customHeight="1">
      <c r="A41" s="59"/>
      <c r="B41" s="53" t="s">
        <v>29</v>
      </c>
      <c r="C41" s="59" t="s">
        <v>26</v>
      </c>
      <c r="D41" s="59">
        <v>0.05</v>
      </c>
      <c r="E41" s="87">
        <f>D41*E36</f>
        <v>129</v>
      </c>
      <c r="F41" s="65"/>
      <c r="G41" s="84"/>
    </row>
    <row r="42" spans="1:7" s="7" customFormat="1" ht="42" customHeight="1">
      <c r="A42" s="62" t="s">
        <v>113</v>
      </c>
      <c r="B42" s="49" t="s">
        <v>66</v>
      </c>
      <c r="C42" s="49" t="s">
        <v>67</v>
      </c>
      <c r="D42" s="63"/>
      <c r="E42" s="88">
        <v>4</v>
      </c>
      <c r="F42" s="66"/>
      <c r="G42" s="83"/>
    </row>
    <row r="43" spans="1:7" ht="19.5" customHeight="1">
      <c r="A43" s="69"/>
      <c r="B43" s="53" t="s">
        <v>47</v>
      </c>
      <c r="C43" s="53" t="s">
        <v>2</v>
      </c>
      <c r="D43" s="64">
        <v>1.04</v>
      </c>
      <c r="E43" s="89">
        <f>E42*D43</f>
        <v>4.16</v>
      </c>
      <c r="F43" s="70"/>
      <c r="G43" s="84"/>
    </row>
    <row r="44" spans="1:7" s="19" customFormat="1" ht="19.5" customHeight="1">
      <c r="A44" s="67"/>
      <c r="B44" s="53" t="s">
        <v>62</v>
      </c>
      <c r="C44" s="53" t="s">
        <v>7</v>
      </c>
      <c r="D44" s="64">
        <v>0.08</v>
      </c>
      <c r="E44" s="87">
        <f>E42*D44</f>
        <v>0.32</v>
      </c>
      <c r="F44" s="65"/>
      <c r="G44" s="84"/>
    </row>
    <row r="45" spans="1:7" s="19" customFormat="1" ht="19.5" customHeight="1">
      <c r="A45" s="67"/>
      <c r="B45" s="53" t="s">
        <v>122</v>
      </c>
      <c r="C45" s="59" t="s">
        <v>69</v>
      </c>
      <c r="D45" s="61">
        <v>6</v>
      </c>
      <c r="E45" s="87">
        <f>E42*D45</f>
        <v>24</v>
      </c>
      <c r="F45" s="65"/>
      <c r="G45" s="84"/>
    </row>
    <row r="46" spans="1:7" s="20" customFormat="1" ht="15.75">
      <c r="A46" s="59"/>
      <c r="B46" s="53" t="s">
        <v>32</v>
      </c>
      <c r="C46" s="59" t="s">
        <v>22</v>
      </c>
      <c r="D46" s="59">
        <v>2</v>
      </c>
      <c r="E46" s="87">
        <f>E42*D46</f>
        <v>8</v>
      </c>
      <c r="F46" s="65"/>
      <c r="G46" s="84"/>
    </row>
    <row r="47" spans="1:7" s="19" customFormat="1" ht="19.5" customHeight="1">
      <c r="A47" s="67"/>
      <c r="B47" s="53" t="s">
        <v>70</v>
      </c>
      <c r="C47" s="53" t="s">
        <v>7</v>
      </c>
      <c r="D47" s="61">
        <v>1.4</v>
      </c>
      <c r="E47" s="87">
        <f>E42*D47</f>
        <v>5.6</v>
      </c>
      <c r="F47" s="65"/>
      <c r="G47" s="84"/>
    </row>
    <row r="48" spans="1:7" s="7" customFormat="1" ht="42" customHeight="1">
      <c r="A48" s="62" t="s">
        <v>116</v>
      </c>
      <c r="B48" s="49" t="s">
        <v>71</v>
      </c>
      <c r="C48" s="49" t="s">
        <v>69</v>
      </c>
      <c r="D48" s="63"/>
      <c r="E48" s="88">
        <f>3.6*E42</f>
        <v>14.4</v>
      </c>
      <c r="F48" s="66"/>
      <c r="G48" s="83"/>
    </row>
    <row r="49" spans="1:7" ht="19.5" customHeight="1">
      <c r="A49" s="69"/>
      <c r="B49" s="53" t="s">
        <v>47</v>
      </c>
      <c r="C49" s="53" t="s">
        <v>2</v>
      </c>
      <c r="D49" s="64">
        <v>0.14</v>
      </c>
      <c r="E49" s="89">
        <f>E48*D49</f>
        <v>2.0160000000000005</v>
      </c>
      <c r="F49" s="70"/>
      <c r="G49" s="84"/>
    </row>
    <row r="50" spans="1:7" s="19" customFormat="1" ht="19.5" customHeight="1">
      <c r="A50" s="67"/>
      <c r="B50" s="53" t="s">
        <v>62</v>
      </c>
      <c r="C50" s="53" t="s">
        <v>7</v>
      </c>
      <c r="D50" s="64">
        <v>0.01</v>
      </c>
      <c r="E50" s="87">
        <f>E48*D50</f>
        <v>0.14400000000000002</v>
      </c>
      <c r="F50" s="65"/>
      <c r="G50" s="84"/>
    </row>
    <row r="51" spans="1:7" s="19" customFormat="1" ht="19.5" customHeight="1">
      <c r="A51" s="67"/>
      <c r="B51" s="53" t="s">
        <v>127</v>
      </c>
      <c r="C51" s="59" t="s">
        <v>69</v>
      </c>
      <c r="D51" s="61">
        <v>1</v>
      </c>
      <c r="E51" s="87">
        <f>E48*D51</f>
        <v>14.4</v>
      </c>
      <c r="F51" s="65"/>
      <c r="G51" s="84"/>
    </row>
    <row r="52" spans="1:7" s="19" customFormat="1" ht="19.5" customHeight="1">
      <c r="A52" s="67"/>
      <c r="B52" s="53" t="s">
        <v>70</v>
      </c>
      <c r="C52" s="53" t="s">
        <v>7</v>
      </c>
      <c r="D52" s="61">
        <v>0.193</v>
      </c>
      <c r="E52" s="87">
        <f>E48*D52</f>
        <v>2.7792000000000003</v>
      </c>
      <c r="F52" s="65"/>
      <c r="G52" s="84"/>
    </row>
    <row r="53" spans="1:7" s="21" customFormat="1" ht="39.75" customHeight="1">
      <c r="A53" s="56">
        <v>11</v>
      </c>
      <c r="B53" s="49" t="s">
        <v>60</v>
      </c>
      <c r="C53" s="56" t="s">
        <v>61</v>
      </c>
      <c r="D53" s="56"/>
      <c r="E53" s="86">
        <f>3.6*E23/100</f>
        <v>3.888</v>
      </c>
      <c r="F53" s="68"/>
      <c r="G53" s="83"/>
    </row>
    <row r="54" spans="1:7" s="20" customFormat="1" ht="18" customHeight="1">
      <c r="A54" s="71"/>
      <c r="B54" s="53" t="s">
        <v>47</v>
      </c>
      <c r="C54" s="53" t="s">
        <v>2</v>
      </c>
      <c r="D54" s="64">
        <v>77.3</v>
      </c>
      <c r="E54" s="85">
        <f>E53*D54</f>
        <v>300.5424</v>
      </c>
      <c r="F54" s="54"/>
      <c r="G54" s="84"/>
    </row>
    <row r="55" spans="1:7" s="20" customFormat="1" ht="18.75" customHeight="1">
      <c r="A55" s="71"/>
      <c r="B55" s="53" t="s">
        <v>62</v>
      </c>
      <c r="C55" s="53" t="s">
        <v>7</v>
      </c>
      <c r="D55" s="64">
        <v>0.84</v>
      </c>
      <c r="E55" s="85">
        <f>E53*D55</f>
        <v>3.26592</v>
      </c>
      <c r="F55" s="54"/>
      <c r="G55" s="84"/>
    </row>
    <row r="56" spans="1:7" s="20" customFormat="1" ht="21.75" customHeight="1">
      <c r="A56" s="71"/>
      <c r="B56" s="53" t="s">
        <v>63</v>
      </c>
      <c r="C56" s="53" t="s">
        <v>6</v>
      </c>
      <c r="D56" s="64">
        <v>32.1</v>
      </c>
      <c r="E56" s="85">
        <f>E53*D56</f>
        <v>124.8048</v>
      </c>
      <c r="F56" s="54"/>
      <c r="G56" s="84"/>
    </row>
    <row r="57" spans="1:7" s="20" customFormat="1" ht="21" customHeight="1">
      <c r="A57" s="71"/>
      <c r="B57" s="53" t="s">
        <v>64</v>
      </c>
      <c r="C57" s="53" t="s">
        <v>6</v>
      </c>
      <c r="D57" s="64">
        <v>3.6</v>
      </c>
      <c r="E57" s="85">
        <f>E53*D57</f>
        <v>13.9968</v>
      </c>
      <c r="F57" s="54"/>
      <c r="G57" s="84"/>
    </row>
    <row r="58" spans="1:7" s="20" customFormat="1" ht="21" customHeight="1">
      <c r="A58" s="71"/>
      <c r="B58" s="53" t="s">
        <v>51</v>
      </c>
      <c r="C58" s="53" t="s">
        <v>7</v>
      </c>
      <c r="D58" s="64">
        <v>0.07</v>
      </c>
      <c r="E58" s="85">
        <f>E53*D58</f>
        <v>0.27216</v>
      </c>
      <c r="F58" s="54"/>
      <c r="G58" s="84"/>
    </row>
    <row r="59" spans="1:7" s="20" customFormat="1" ht="18" customHeight="1">
      <c r="A59" s="55"/>
      <c r="B59" s="49" t="s">
        <v>8</v>
      </c>
      <c r="C59" s="49" t="s">
        <v>7</v>
      </c>
      <c r="D59" s="66"/>
      <c r="E59" s="66"/>
      <c r="F59" s="66"/>
      <c r="G59" s="66"/>
    </row>
    <row r="60" spans="1:7" s="26" customFormat="1" ht="33" customHeight="1">
      <c r="A60" s="55"/>
      <c r="B60" s="49" t="s">
        <v>132</v>
      </c>
      <c r="C60" s="49" t="s">
        <v>7</v>
      </c>
      <c r="D60" s="72">
        <v>0.75</v>
      </c>
      <c r="E60" s="66"/>
      <c r="F60" s="66"/>
      <c r="G60" s="66"/>
    </row>
    <row r="61" spans="1:7" s="26" customFormat="1" ht="21" customHeight="1">
      <c r="A61" s="55"/>
      <c r="B61" s="49" t="s">
        <v>8</v>
      </c>
      <c r="C61" s="49" t="s">
        <v>7</v>
      </c>
      <c r="D61" s="72"/>
      <c r="E61" s="66"/>
      <c r="F61" s="66"/>
      <c r="G61" s="66"/>
    </row>
    <row r="62" spans="1:7" s="26" customFormat="1" ht="25.5" customHeight="1">
      <c r="A62" s="55"/>
      <c r="B62" s="49" t="s">
        <v>81</v>
      </c>
      <c r="C62" s="49" t="s">
        <v>7</v>
      </c>
      <c r="D62" s="72">
        <v>0.08</v>
      </c>
      <c r="E62" s="66"/>
      <c r="F62" s="66"/>
      <c r="G62" s="66"/>
    </row>
    <row r="63" spans="1:7" ht="21" customHeight="1">
      <c r="A63" s="73"/>
      <c r="B63" s="49" t="s">
        <v>9</v>
      </c>
      <c r="C63" s="49" t="s">
        <v>7</v>
      </c>
      <c r="D63" s="54"/>
      <c r="E63" s="54"/>
      <c r="F63" s="54"/>
      <c r="G63" s="66"/>
    </row>
    <row r="64" spans="1:6" ht="15.75">
      <c r="A64" s="15"/>
      <c r="B64" s="15"/>
      <c r="C64" s="15"/>
      <c r="D64" s="15"/>
      <c r="E64" s="15"/>
      <c r="F64" s="16"/>
    </row>
    <row r="65" spans="1:6" ht="15.75">
      <c r="A65" s="15"/>
      <c r="B65" s="15"/>
      <c r="C65" s="15"/>
      <c r="D65" s="15"/>
      <c r="E65" s="15"/>
      <c r="F65" s="16"/>
    </row>
  </sheetData>
  <sheetProtection/>
  <mergeCells count="8">
    <mergeCell ref="A4:A5"/>
    <mergeCell ref="B4:B5"/>
    <mergeCell ref="C4:C5"/>
    <mergeCell ref="D4:E4"/>
    <mergeCell ref="F4:G4"/>
    <mergeCell ref="A1:G1"/>
    <mergeCell ref="A2:G2"/>
    <mergeCell ref="A3:G3"/>
  </mergeCells>
  <printOptions/>
  <pageMargins left="0.32" right="0.2" top="0.24" bottom="0.75" header="0.3" footer="0.3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SheetLayoutView="100" zoomScalePageLayoutView="0" workbookViewId="0" topLeftCell="A46">
      <selection activeCell="L19" sqref="L19"/>
    </sheetView>
  </sheetViews>
  <sheetFormatPr defaultColWidth="9.140625" defaultRowHeight="12.75"/>
  <cols>
    <col min="1" max="1" width="4.00390625" style="13" customWidth="1"/>
    <col min="2" max="2" width="35.140625" style="1" customWidth="1"/>
    <col min="3" max="3" width="9.140625" style="1" customWidth="1"/>
    <col min="4" max="4" width="8.7109375" style="1" customWidth="1"/>
    <col min="5" max="5" width="11.140625" style="1" customWidth="1"/>
    <col min="6" max="6" width="12.7109375" style="14" customWidth="1"/>
    <col min="7" max="7" width="12.28125" style="9" customWidth="1"/>
    <col min="8" max="16384" width="9.140625" style="1" customWidth="1"/>
  </cols>
  <sheetData>
    <row r="1" spans="1:7" ht="24" customHeight="1">
      <c r="A1" s="105" t="s">
        <v>37</v>
      </c>
      <c r="B1" s="105"/>
      <c r="C1" s="105"/>
      <c r="D1" s="105"/>
      <c r="E1" s="105"/>
      <c r="F1" s="105"/>
      <c r="G1" s="105"/>
    </row>
    <row r="2" spans="1:7" ht="33.75" customHeight="1">
      <c r="A2" s="106" t="s">
        <v>88</v>
      </c>
      <c r="B2" s="106"/>
      <c r="C2" s="106"/>
      <c r="D2" s="106"/>
      <c r="E2" s="106"/>
      <c r="F2" s="106"/>
      <c r="G2" s="106"/>
    </row>
    <row r="3" spans="1:7" ht="24.75" customHeight="1">
      <c r="A3" s="105" t="s">
        <v>0</v>
      </c>
      <c r="B3" s="105"/>
      <c r="C3" s="105"/>
      <c r="D3" s="105"/>
      <c r="E3" s="105"/>
      <c r="F3" s="105"/>
      <c r="G3" s="105"/>
    </row>
    <row r="4" spans="1:7" ht="36" customHeight="1">
      <c r="A4" s="103" t="s">
        <v>75</v>
      </c>
      <c r="B4" s="104" t="s">
        <v>76</v>
      </c>
      <c r="C4" s="104" t="s">
        <v>77</v>
      </c>
      <c r="D4" s="103" t="s">
        <v>78</v>
      </c>
      <c r="E4" s="103"/>
      <c r="F4" s="104"/>
      <c r="G4" s="104"/>
    </row>
    <row r="5" spans="1:7" ht="41.25" customHeight="1">
      <c r="A5" s="103"/>
      <c r="B5" s="104"/>
      <c r="C5" s="104"/>
      <c r="D5" s="50" t="s">
        <v>79</v>
      </c>
      <c r="E5" s="50" t="s">
        <v>80</v>
      </c>
      <c r="F5" s="82" t="s">
        <v>133</v>
      </c>
      <c r="G5" s="82" t="s">
        <v>136</v>
      </c>
    </row>
    <row r="6" spans="1:7" s="6" customFormat="1" ht="23.25" customHeight="1">
      <c r="A6" s="51"/>
      <c r="B6" s="52" t="s">
        <v>17</v>
      </c>
      <c r="C6" s="53"/>
      <c r="D6" s="53"/>
      <c r="E6" s="53"/>
      <c r="F6" s="54"/>
      <c r="G6" s="54"/>
    </row>
    <row r="7" spans="1:7" s="20" customFormat="1" ht="30">
      <c r="A7" s="56">
        <v>1</v>
      </c>
      <c r="B7" s="49" t="s">
        <v>56</v>
      </c>
      <c r="C7" s="49" t="s">
        <v>46</v>
      </c>
      <c r="D7" s="57"/>
      <c r="E7" s="86">
        <f>E9+E14</f>
        <v>0.5135</v>
      </c>
      <c r="F7" s="68"/>
      <c r="G7" s="83"/>
    </row>
    <row r="8" spans="1:7" s="20" customFormat="1" ht="24.75" customHeight="1">
      <c r="A8" s="59"/>
      <c r="B8" s="53" t="s">
        <v>27</v>
      </c>
      <c r="C8" s="53" t="s">
        <v>2</v>
      </c>
      <c r="D8" s="60">
        <v>206</v>
      </c>
      <c r="E8" s="87">
        <f>D8*E7</f>
        <v>105.78099999999999</v>
      </c>
      <c r="F8" s="65"/>
      <c r="G8" s="84"/>
    </row>
    <row r="9" spans="1:7" s="6" customFormat="1" ht="30">
      <c r="A9" s="62" t="s">
        <v>16</v>
      </c>
      <c r="B9" s="49" t="s">
        <v>57</v>
      </c>
      <c r="C9" s="49" t="s">
        <v>46</v>
      </c>
      <c r="D9" s="63"/>
      <c r="E9" s="88">
        <f>E14/12</f>
        <v>0.0395</v>
      </c>
      <c r="F9" s="66"/>
      <c r="G9" s="83"/>
    </row>
    <row r="10" spans="1:7" s="6" customFormat="1" ht="15">
      <c r="A10" s="62"/>
      <c r="B10" s="53" t="s">
        <v>47</v>
      </c>
      <c r="C10" s="53" t="s">
        <v>2</v>
      </c>
      <c r="D10" s="64">
        <v>137</v>
      </c>
      <c r="E10" s="85">
        <f>D10*E9</f>
        <v>5.4115</v>
      </c>
      <c r="F10" s="54"/>
      <c r="G10" s="84"/>
    </row>
    <row r="11" spans="1:7" s="7" customFormat="1" ht="15">
      <c r="A11" s="62"/>
      <c r="B11" s="53" t="s">
        <v>48</v>
      </c>
      <c r="C11" s="53" t="s">
        <v>7</v>
      </c>
      <c r="D11" s="64">
        <v>28.3</v>
      </c>
      <c r="E11" s="85">
        <f>E9*D11</f>
        <v>1.11785</v>
      </c>
      <c r="F11" s="54"/>
      <c r="G11" s="84"/>
    </row>
    <row r="12" spans="1:7" s="7" customFormat="1" ht="15">
      <c r="A12" s="62"/>
      <c r="B12" s="53" t="s">
        <v>120</v>
      </c>
      <c r="C12" s="53" t="s">
        <v>50</v>
      </c>
      <c r="D12" s="64">
        <v>102</v>
      </c>
      <c r="E12" s="85">
        <f>D12*E9</f>
        <v>4.029</v>
      </c>
      <c r="F12" s="54"/>
      <c r="G12" s="84"/>
    </row>
    <row r="13" spans="1:7" s="6" customFormat="1" ht="15">
      <c r="A13" s="62"/>
      <c r="B13" s="53" t="s">
        <v>51</v>
      </c>
      <c r="C13" s="53" t="s">
        <v>7</v>
      </c>
      <c r="D13" s="64">
        <v>62</v>
      </c>
      <c r="E13" s="85">
        <f>E9*D13</f>
        <v>2.449</v>
      </c>
      <c r="F13" s="54"/>
      <c r="G13" s="84"/>
    </row>
    <row r="14" spans="1:7" s="6" customFormat="1" ht="30">
      <c r="A14" s="62" t="s">
        <v>3</v>
      </c>
      <c r="B14" s="49" t="s">
        <v>58</v>
      </c>
      <c r="C14" s="49" t="s">
        <v>46</v>
      </c>
      <c r="D14" s="63"/>
      <c r="E14" s="88">
        <f>(0.5*0.5*1.2*(25+27)+(0.5*0.5*1.2+1*0.5*1.2)*17+(0.5*0.5*1.2+1*0.5*1.2*2)*11)/100</f>
        <v>0.474</v>
      </c>
      <c r="F14" s="66"/>
      <c r="G14" s="83"/>
    </row>
    <row r="15" spans="1:7" s="6" customFormat="1" ht="15">
      <c r="A15" s="62"/>
      <c r="B15" s="53" t="s">
        <v>47</v>
      </c>
      <c r="C15" s="53" t="s">
        <v>2</v>
      </c>
      <c r="D15" s="64">
        <v>410</v>
      </c>
      <c r="E15" s="85">
        <f>D15*E14</f>
        <v>194.34</v>
      </c>
      <c r="F15" s="54"/>
      <c r="G15" s="84"/>
    </row>
    <row r="16" spans="1:7" s="7" customFormat="1" ht="15">
      <c r="A16" s="62"/>
      <c r="B16" s="53" t="s">
        <v>48</v>
      </c>
      <c r="C16" s="53" t="s">
        <v>7</v>
      </c>
      <c r="D16" s="64">
        <v>112</v>
      </c>
      <c r="E16" s="85">
        <f>E14*D16</f>
        <v>53.087999999999994</v>
      </c>
      <c r="F16" s="54"/>
      <c r="G16" s="84"/>
    </row>
    <row r="17" spans="1:7" s="7" customFormat="1" ht="15">
      <c r="A17" s="62"/>
      <c r="B17" s="53" t="s">
        <v>121</v>
      </c>
      <c r="C17" s="53" t="s">
        <v>50</v>
      </c>
      <c r="D17" s="64">
        <v>101.5</v>
      </c>
      <c r="E17" s="85">
        <f>D17*E14</f>
        <v>48.111</v>
      </c>
      <c r="F17" s="54"/>
      <c r="G17" s="84"/>
    </row>
    <row r="18" spans="1:7" s="7" customFormat="1" ht="15">
      <c r="A18" s="62"/>
      <c r="B18" s="53" t="s">
        <v>53</v>
      </c>
      <c r="C18" s="53" t="s">
        <v>54</v>
      </c>
      <c r="D18" s="64">
        <v>88.1</v>
      </c>
      <c r="E18" s="85">
        <f>E14*D18</f>
        <v>41.75939999999999</v>
      </c>
      <c r="F18" s="54"/>
      <c r="G18" s="84"/>
    </row>
    <row r="19" spans="1:7" s="20" customFormat="1" ht="15.75">
      <c r="A19" s="59"/>
      <c r="B19" s="53" t="s">
        <v>32</v>
      </c>
      <c r="C19" s="59" t="s">
        <v>22</v>
      </c>
      <c r="D19" s="59" t="s">
        <v>23</v>
      </c>
      <c r="E19" s="87">
        <f>E23*1</f>
        <v>80</v>
      </c>
      <c r="F19" s="65"/>
      <c r="G19" s="84"/>
    </row>
    <row r="20" spans="1:7" s="6" customFormat="1" ht="17.25" customHeight="1">
      <c r="A20" s="62"/>
      <c r="B20" s="53" t="s">
        <v>55</v>
      </c>
      <c r="C20" s="53" t="s">
        <v>50</v>
      </c>
      <c r="D20" s="64">
        <v>1</v>
      </c>
      <c r="E20" s="85">
        <f>E14*D20</f>
        <v>0.474</v>
      </c>
      <c r="F20" s="65"/>
      <c r="G20" s="84"/>
    </row>
    <row r="21" spans="1:7" s="6" customFormat="1" ht="15">
      <c r="A21" s="62"/>
      <c r="B21" s="53" t="s">
        <v>51</v>
      </c>
      <c r="C21" s="53" t="s">
        <v>7</v>
      </c>
      <c r="D21" s="64">
        <v>26</v>
      </c>
      <c r="E21" s="85">
        <f>E14*D21</f>
        <v>12.324</v>
      </c>
      <c r="F21" s="54"/>
      <c r="G21" s="84"/>
    </row>
    <row r="22" spans="1:7" s="6" customFormat="1" ht="37.5" customHeight="1">
      <c r="A22" s="62" t="s">
        <v>4</v>
      </c>
      <c r="B22" s="49" t="s">
        <v>110</v>
      </c>
      <c r="C22" s="49" t="s">
        <v>111</v>
      </c>
      <c r="D22" s="63"/>
      <c r="E22" s="88">
        <f>E14*100*2.43599</f>
        <v>115.465926</v>
      </c>
      <c r="F22" s="66"/>
      <c r="G22" s="83"/>
    </row>
    <row r="23" spans="1:7" s="17" customFormat="1" ht="26.25" customHeight="1">
      <c r="A23" s="56">
        <v>5</v>
      </c>
      <c r="B23" s="49" t="s">
        <v>59</v>
      </c>
      <c r="C23" s="56" t="s">
        <v>21</v>
      </c>
      <c r="D23" s="56"/>
      <c r="E23" s="86">
        <f>25+27+17+11</f>
        <v>80</v>
      </c>
      <c r="F23" s="68"/>
      <c r="G23" s="83"/>
    </row>
    <row r="24" spans="1:7" s="17" customFormat="1" ht="24" customHeight="1">
      <c r="A24" s="59"/>
      <c r="B24" s="53" t="s">
        <v>97</v>
      </c>
      <c r="C24" s="59" t="s">
        <v>22</v>
      </c>
      <c r="D24" s="59" t="s">
        <v>23</v>
      </c>
      <c r="E24" s="87">
        <f>8*(26+42)+16*25+24*15</f>
        <v>1304</v>
      </c>
      <c r="F24" s="65"/>
      <c r="G24" s="84"/>
    </row>
    <row r="25" spans="1:7" s="17" customFormat="1" ht="34.5" customHeight="1">
      <c r="A25" s="59"/>
      <c r="B25" s="53" t="s">
        <v>33</v>
      </c>
      <c r="C25" s="59" t="s">
        <v>24</v>
      </c>
      <c r="D25" s="59" t="s">
        <v>23</v>
      </c>
      <c r="E25" s="87">
        <f>0.0225*E23</f>
        <v>1.7999999999999998</v>
      </c>
      <c r="F25" s="65"/>
      <c r="G25" s="84"/>
    </row>
    <row r="26" spans="1:7" s="19" customFormat="1" ht="21.75" customHeight="1">
      <c r="A26" s="67"/>
      <c r="B26" s="53" t="s">
        <v>122</v>
      </c>
      <c r="C26" s="59" t="s">
        <v>69</v>
      </c>
      <c r="D26" s="59" t="s">
        <v>23</v>
      </c>
      <c r="E26" s="87">
        <f>E23*0.5</f>
        <v>40</v>
      </c>
      <c r="F26" s="65"/>
      <c r="G26" s="84"/>
    </row>
    <row r="27" spans="1:7" s="17" customFormat="1" ht="21" customHeight="1">
      <c r="A27" s="59"/>
      <c r="B27" s="53" t="s">
        <v>25</v>
      </c>
      <c r="C27" s="59" t="s">
        <v>26</v>
      </c>
      <c r="D27" s="59">
        <v>0.5</v>
      </c>
      <c r="E27" s="87">
        <f>D27*E23</f>
        <v>40</v>
      </c>
      <c r="F27" s="54"/>
      <c r="G27" s="84"/>
    </row>
    <row r="28" spans="1:7" s="17" customFormat="1" ht="19.5" customHeight="1">
      <c r="A28" s="59"/>
      <c r="B28" s="53" t="s">
        <v>27</v>
      </c>
      <c r="C28" s="59" t="s">
        <v>2</v>
      </c>
      <c r="D28" s="59">
        <v>6.5</v>
      </c>
      <c r="E28" s="87">
        <f>D28*E23</f>
        <v>520</v>
      </c>
      <c r="F28" s="65"/>
      <c r="G28" s="84"/>
    </row>
    <row r="29" spans="1:11" s="17" customFormat="1" ht="33" customHeight="1">
      <c r="A29" s="59">
        <v>6</v>
      </c>
      <c r="B29" s="49" t="s">
        <v>115</v>
      </c>
      <c r="C29" s="49" t="s">
        <v>111</v>
      </c>
      <c r="D29" s="63"/>
      <c r="E29" s="88">
        <f>E24*12.133/1000</f>
        <v>15.821432</v>
      </c>
      <c r="F29" s="66"/>
      <c r="G29" s="83"/>
      <c r="K29" s="17" t="e">
        <f>#REF!*E29</f>
        <v>#REF!</v>
      </c>
    </row>
    <row r="30" spans="1:7" s="18" customFormat="1" ht="35.25" customHeight="1">
      <c r="A30" s="56">
        <v>7</v>
      </c>
      <c r="B30" s="49" t="s">
        <v>123</v>
      </c>
      <c r="C30" s="56" t="s">
        <v>30</v>
      </c>
      <c r="D30" s="56"/>
      <c r="E30" s="86">
        <v>120</v>
      </c>
      <c r="F30" s="68"/>
      <c r="G30" s="83"/>
    </row>
    <row r="31" spans="1:7" s="18" customFormat="1" ht="19.5" customHeight="1">
      <c r="A31" s="59"/>
      <c r="B31" s="59" t="s">
        <v>27</v>
      </c>
      <c r="C31" s="59" t="s">
        <v>2</v>
      </c>
      <c r="D31" s="59">
        <v>0.586</v>
      </c>
      <c r="E31" s="87">
        <f>D31*E30</f>
        <v>70.32</v>
      </c>
      <c r="F31" s="65"/>
      <c r="G31" s="84"/>
    </row>
    <row r="32" spans="1:7" s="18" customFormat="1" ht="20.25" customHeight="1">
      <c r="A32" s="59"/>
      <c r="B32" s="59" t="s">
        <v>31</v>
      </c>
      <c r="C32" s="59" t="s">
        <v>7</v>
      </c>
      <c r="D32" s="59">
        <v>0.327</v>
      </c>
      <c r="E32" s="87">
        <f>D32*E30</f>
        <v>39.24</v>
      </c>
      <c r="F32" s="65"/>
      <c r="G32" s="84"/>
    </row>
    <row r="33" spans="1:9" s="18" customFormat="1" ht="36" customHeight="1">
      <c r="A33" s="59"/>
      <c r="B33" s="53" t="s">
        <v>124</v>
      </c>
      <c r="C33" s="59" t="s">
        <v>22</v>
      </c>
      <c r="D33" s="59">
        <v>1.1</v>
      </c>
      <c r="E33" s="87">
        <f>D33*E30</f>
        <v>132</v>
      </c>
      <c r="F33" s="65"/>
      <c r="G33" s="84"/>
      <c r="I33" s="27">
        <f>E30+E36</f>
        <v>2340</v>
      </c>
    </row>
    <row r="34" spans="1:7" s="18" customFormat="1" ht="18.75" customHeight="1">
      <c r="A34" s="59"/>
      <c r="B34" s="53" t="s">
        <v>28</v>
      </c>
      <c r="C34" s="59" t="s">
        <v>21</v>
      </c>
      <c r="D34" s="59" t="s">
        <v>23</v>
      </c>
      <c r="E34" s="87">
        <f>4*4</f>
        <v>16</v>
      </c>
      <c r="F34" s="65"/>
      <c r="G34" s="84"/>
    </row>
    <row r="35" spans="1:7" s="18" customFormat="1" ht="18" customHeight="1">
      <c r="A35" s="59"/>
      <c r="B35" s="53" t="s">
        <v>29</v>
      </c>
      <c r="C35" s="59" t="s">
        <v>26</v>
      </c>
      <c r="D35" s="59">
        <v>0.05</v>
      </c>
      <c r="E35" s="87">
        <f>D35*E30</f>
        <v>6</v>
      </c>
      <c r="F35" s="65"/>
      <c r="G35" s="84"/>
    </row>
    <row r="36" spans="1:7" s="18" customFormat="1" ht="32.25" customHeight="1">
      <c r="A36" s="56">
        <v>8</v>
      </c>
      <c r="B36" s="49" t="s">
        <v>128</v>
      </c>
      <c r="C36" s="56" t="s">
        <v>30</v>
      </c>
      <c r="D36" s="56"/>
      <c r="E36" s="58">
        <f>90+330+150+480+60+90+270+210+150+120+270</f>
        <v>2220</v>
      </c>
      <c r="F36" s="68"/>
      <c r="G36" s="83"/>
    </row>
    <row r="37" spans="1:7" s="18" customFormat="1" ht="19.5" customHeight="1">
      <c r="A37" s="59"/>
      <c r="B37" s="59" t="s">
        <v>27</v>
      </c>
      <c r="C37" s="59" t="s">
        <v>2</v>
      </c>
      <c r="D37" s="59">
        <v>0.586</v>
      </c>
      <c r="E37" s="87">
        <f>D37*E36</f>
        <v>1300.9199999999998</v>
      </c>
      <c r="F37" s="65"/>
      <c r="G37" s="84"/>
    </row>
    <row r="38" spans="1:7" s="18" customFormat="1" ht="19.5" customHeight="1">
      <c r="A38" s="59"/>
      <c r="B38" s="59" t="s">
        <v>31</v>
      </c>
      <c r="C38" s="59" t="s">
        <v>7</v>
      </c>
      <c r="D38" s="59">
        <v>0.327</v>
      </c>
      <c r="E38" s="87">
        <f>D38*E36</f>
        <v>725.94</v>
      </c>
      <c r="F38" s="65"/>
      <c r="G38" s="84"/>
    </row>
    <row r="39" spans="1:7" s="18" customFormat="1" ht="33" customHeight="1">
      <c r="A39" s="59"/>
      <c r="B39" s="53" t="s">
        <v>129</v>
      </c>
      <c r="C39" s="59" t="s">
        <v>22</v>
      </c>
      <c r="D39" s="59">
        <v>1.1</v>
      </c>
      <c r="E39" s="87">
        <f>D39*E36</f>
        <v>2442</v>
      </c>
      <c r="F39" s="65"/>
      <c r="G39" s="84"/>
    </row>
    <row r="40" spans="1:7" s="18" customFormat="1" ht="19.5" customHeight="1">
      <c r="A40" s="59"/>
      <c r="B40" s="53" t="s">
        <v>28</v>
      </c>
      <c r="C40" s="59" t="s">
        <v>21</v>
      </c>
      <c r="D40" s="59" t="s">
        <v>23</v>
      </c>
      <c r="E40" s="87">
        <f>E23*4-E34</f>
        <v>304</v>
      </c>
      <c r="F40" s="65"/>
      <c r="G40" s="84"/>
    </row>
    <row r="41" spans="1:7" s="18" customFormat="1" ht="18" customHeight="1">
      <c r="A41" s="59"/>
      <c r="B41" s="53" t="s">
        <v>29</v>
      </c>
      <c r="C41" s="59" t="s">
        <v>26</v>
      </c>
      <c r="D41" s="59">
        <v>0.05</v>
      </c>
      <c r="E41" s="87">
        <f>D41*E36</f>
        <v>111</v>
      </c>
      <c r="F41" s="65"/>
      <c r="G41" s="84"/>
    </row>
    <row r="42" spans="1:7" s="7" customFormat="1" ht="42" customHeight="1">
      <c r="A42" s="62" t="s">
        <v>113</v>
      </c>
      <c r="B42" s="49" t="s">
        <v>66</v>
      </c>
      <c r="C42" s="49" t="s">
        <v>67</v>
      </c>
      <c r="D42" s="63"/>
      <c r="E42" s="88">
        <v>4</v>
      </c>
      <c r="F42" s="66"/>
      <c r="G42" s="83"/>
    </row>
    <row r="43" spans="1:7" ht="19.5" customHeight="1">
      <c r="A43" s="69"/>
      <c r="B43" s="53" t="s">
        <v>47</v>
      </c>
      <c r="C43" s="53" t="s">
        <v>2</v>
      </c>
      <c r="D43" s="64">
        <v>1.04</v>
      </c>
      <c r="E43" s="89">
        <f>E42*D43</f>
        <v>4.16</v>
      </c>
      <c r="F43" s="70"/>
      <c r="G43" s="84"/>
    </row>
    <row r="44" spans="1:7" s="19" customFormat="1" ht="19.5" customHeight="1">
      <c r="A44" s="67"/>
      <c r="B44" s="53" t="s">
        <v>62</v>
      </c>
      <c r="C44" s="53" t="s">
        <v>7</v>
      </c>
      <c r="D44" s="64">
        <v>0.08</v>
      </c>
      <c r="E44" s="87">
        <f>E42*D44</f>
        <v>0.32</v>
      </c>
      <c r="F44" s="65"/>
      <c r="G44" s="84"/>
    </row>
    <row r="45" spans="1:7" s="19" customFormat="1" ht="19.5" customHeight="1">
      <c r="A45" s="67"/>
      <c r="B45" s="53" t="s">
        <v>122</v>
      </c>
      <c r="C45" s="59" t="s">
        <v>69</v>
      </c>
      <c r="D45" s="61">
        <v>6</v>
      </c>
      <c r="E45" s="87">
        <f>E42*D45</f>
        <v>24</v>
      </c>
      <c r="F45" s="65"/>
      <c r="G45" s="84"/>
    </row>
    <row r="46" spans="1:7" s="20" customFormat="1" ht="15.75">
      <c r="A46" s="59"/>
      <c r="B46" s="53" t="s">
        <v>32</v>
      </c>
      <c r="C46" s="59" t="s">
        <v>22</v>
      </c>
      <c r="D46" s="59">
        <v>2</v>
      </c>
      <c r="E46" s="87">
        <f>E42*D46</f>
        <v>8</v>
      </c>
      <c r="F46" s="65"/>
      <c r="G46" s="84"/>
    </row>
    <row r="47" spans="1:7" s="19" customFormat="1" ht="19.5" customHeight="1">
      <c r="A47" s="67"/>
      <c r="B47" s="53" t="s">
        <v>70</v>
      </c>
      <c r="C47" s="53" t="s">
        <v>7</v>
      </c>
      <c r="D47" s="61">
        <v>1.4</v>
      </c>
      <c r="E47" s="87">
        <f>E42*D47</f>
        <v>5.6</v>
      </c>
      <c r="F47" s="65"/>
      <c r="G47" s="84"/>
    </row>
    <row r="48" spans="1:7" s="7" customFormat="1" ht="42" customHeight="1">
      <c r="A48" s="62" t="s">
        <v>116</v>
      </c>
      <c r="B48" s="49" t="s">
        <v>71</v>
      </c>
      <c r="C48" s="49" t="s">
        <v>69</v>
      </c>
      <c r="D48" s="63"/>
      <c r="E48" s="88">
        <f>3.6*E42</f>
        <v>14.4</v>
      </c>
      <c r="F48" s="66"/>
      <c r="G48" s="83"/>
    </row>
    <row r="49" spans="1:7" ht="19.5" customHeight="1">
      <c r="A49" s="69"/>
      <c r="B49" s="53" t="s">
        <v>47</v>
      </c>
      <c r="C49" s="53" t="s">
        <v>2</v>
      </c>
      <c r="D49" s="64">
        <v>0.14</v>
      </c>
      <c r="E49" s="89">
        <f>E48*D49</f>
        <v>2.0160000000000005</v>
      </c>
      <c r="F49" s="70"/>
      <c r="G49" s="84"/>
    </row>
    <row r="50" spans="1:7" s="19" customFormat="1" ht="19.5" customHeight="1">
      <c r="A50" s="67"/>
      <c r="B50" s="53" t="s">
        <v>62</v>
      </c>
      <c r="C50" s="53" t="s">
        <v>7</v>
      </c>
      <c r="D50" s="64">
        <v>0.01</v>
      </c>
      <c r="E50" s="87">
        <f>E48*D50</f>
        <v>0.14400000000000002</v>
      </c>
      <c r="F50" s="65"/>
      <c r="G50" s="84"/>
    </row>
    <row r="51" spans="1:7" s="19" customFormat="1" ht="19.5" customHeight="1">
      <c r="A51" s="67"/>
      <c r="B51" s="53" t="s">
        <v>127</v>
      </c>
      <c r="C51" s="59" t="s">
        <v>69</v>
      </c>
      <c r="D51" s="61">
        <v>1</v>
      </c>
      <c r="E51" s="87">
        <f>E48*D51</f>
        <v>14.4</v>
      </c>
      <c r="F51" s="65"/>
      <c r="G51" s="84"/>
    </row>
    <row r="52" spans="1:7" s="19" customFormat="1" ht="19.5" customHeight="1">
      <c r="A52" s="67"/>
      <c r="B52" s="53" t="s">
        <v>70</v>
      </c>
      <c r="C52" s="53" t="s">
        <v>7</v>
      </c>
      <c r="D52" s="61">
        <v>0.193</v>
      </c>
      <c r="E52" s="87">
        <f>E48*D52</f>
        <v>2.7792000000000003</v>
      </c>
      <c r="F52" s="65"/>
      <c r="G52" s="84"/>
    </row>
    <row r="53" spans="1:7" s="21" customFormat="1" ht="40.5" customHeight="1">
      <c r="A53" s="56">
        <v>11</v>
      </c>
      <c r="B53" s="49" t="s">
        <v>60</v>
      </c>
      <c r="C53" s="56" t="s">
        <v>61</v>
      </c>
      <c r="D53" s="56"/>
      <c r="E53" s="86">
        <f>3.6*E23/100</f>
        <v>2.88</v>
      </c>
      <c r="F53" s="68"/>
      <c r="G53" s="83"/>
    </row>
    <row r="54" spans="1:7" s="20" customFormat="1" ht="15.75">
      <c r="A54" s="71"/>
      <c r="B54" s="53" t="s">
        <v>47</v>
      </c>
      <c r="C54" s="53" t="s">
        <v>2</v>
      </c>
      <c r="D54" s="64">
        <v>77.3</v>
      </c>
      <c r="E54" s="85">
        <f>E53*D54</f>
        <v>222.624</v>
      </c>
      <c r="F54" s="54"/>
      <c r="G54" s="84"/>
    </row>
    <row r="55" spans="1:7" s="20" customFormat="1" ht="15.75">
      <c r="A55" s="71"/>
      <c r="B55" s="53" t="s">
        <v>62</v>
      </c>
      <c r="C55" s="53" t="s">
        <v>7</v>
      </c>
      <c r="D55" s="64">
        <v>0.84</v>
      </c>
      <c r="E55" s="85">
        <f>E53*D55</f>
        <v>2.4192</v>
      </c>
      <c r="F55" s="54"/>
      <c r="G55" s="84"/>
    </row>
    <row r="56" spans="1:7" s="20" customFormat="1" ht="18" customHeight="1">
      <c r="A56" s="71"/>
      <c r="B56" s="53" t="s">
        <v>63</v>
      </c>
      <c r="C56" s="53" t="s">
        <v>6</v>
      </c>
      <c r="D56" s="64">
        <v>32.1</v>
      </c>
      <c r="E56" s="85">
        <f>E53*D56</f>
        <v>92.44800000000001</v>
      </c>
      <c r="F56" s="54"/>
      <c r="G56" s="84"/>
    </row>
    <row r="57" spans="1:7" s="20" customFormat="1" ht="15.75">
      <c r="A57" s="71"/>
      <c r="B57" s="53" t="s">
        <v>64</v>
      </c>
      <c r="C57" s="53" t="s">
        <v>6</v>
      </c>
      <c r="D57" s="64">
        <v>3.6</v>
      </c>
      <c r="E57" s="85">
        <f>E53*D57</f>
        <v>10.368</v>
      </c>
      <c r="F57" s="54"/>
      <c r="G57" s="84"/>
    </row>
    <row r="58" spans="1:7" s="20" customFormat="1" ht="18" customHeight="1">
      <c r="A58" s="71"/>
      <c r="B58" s="53" t="s">
        <v>51</v>
      </c>
      <c r="C58" s="53" t="s">
        <v>7</v>
      </c>
      <c r="D58" s="64">
        <v>0.07</v>
      </c>
      <c r="E58" s="85">
        <f>E53*D58</f>
        <v>0.2016</v>
      </c>
      <c r="F58" s="54"/>
      <c r="G58" s="84"/>
    </row>
    <row r="59" spans="1:7" s="21" customFormat="1" ht="36" customHeight="1">
      <c r="A59" s="56">
        <v>12</v>
      </c>
      <c r="B59" s="49" t="s">
        <v>93</v>
      </c>
      <c r="C59" s="56" t="s">
        <v>21</v>
      </c>
      <c r="D59" s="56"/>
      <c r="E59" s="86">
        <v>1</v>
      </c>
      <c r="F59" s="68"/>
      <c r="G59" s="83"/>
    </row>
    <row r="60" spans="1:7" s="20" customFormat="1" ht="24" customHeight="1">
      <c r="A60" s="55"/>
      <c r="B60" s="49" t="s">
        <v>8</v>
      </c>
      <c r="C60" s="49" t="s">
        <v>7</v>
      </c>
      <c r="D60" s="66"/>
      <c r="E60" s="66"/>
      <c r="F60" s="66"/>
      <c r="G60" s="66"/>
    </row>
    <row r="61" spans="1:7" s="26" customFormat="1" ht="41.25" customHeight="1">
      <c r="A61" s="55"/>
      <c r="B61" s="49" t="s">
        <v>132</v>
      </c>
      <c r="C61" s="49" t="s">
        <v>7</v>
      </c>
      <c r="D61" s="72">
        <v>0.75</v>
      </c>
      <c r="E61" s="66"/>
      <c r="F61" s="66"/>
      <c r="G61" s="66"/>
    </row>
    <row r="62" spans="1:7" s="26" customFormat="1" ht="25.5" customHeight="1">
      <c r="A62" s="55"/>
      <c r="B62" s="49" t="s">
        <v>8</v>
      </c>
      <c r="C62" s="49" t="s">
        <v>7</v>
      </c>
      <c r="D62" s="72"/>
      <c r="E62" s="66"/>
      <c r="F62" s="66"/>
      <c r="G62" s="66"/>
    </row>
    <row r="63" spans="1:7" s="26" customFormat="1" ht="26.25" customHeight="1">
      <c r="A63" s="55"/>
      <c r="B63" s="49" t="s">
        <v>81</v>
      </c>
      <c r="C63" s="49" t="s">
        <v>7</v>
      </c>
      <c r="D63" s="72">
        <v>0.08</v>
      </c>
      <c r="E63" s="66"/>
      <c r="F63" s="66"/>
      <c r="G63" s="66"/>
    </row>
    <row r="64" spans="1:7" ht="22.5" customHeight="1">
      <c r="A64" s="73"/>
      <c r="B64" s="49" t="s">
        <v>9</v>
      </c>
      <c r="C64" s="49" t="s">
        <v>7</v>
      </c>
      <c r="D64" s="54"/>
      <c r="E64" s="54"/>
      <c r="F64" s="54"/>
      <c r="G64" s="66"/>
    </row>
    <row r="65" spans="1:6" ht="15.75">
      <c r="A65" s="15"/>
      <c r="B65" s="15"/>
      <c r="C65" s="15"/>
      <c r="D65" s="15"/>
      <c r="E65" s="15"/>
      <c r="F65" s="16"/>
    </row>
    <row r="66" spans="1:6" ht="15.75">
      <c r="A66" s="15"/>
      <c r="B66" s="15"/>
      <c r="C66" s="15"/>
      <c r="D66" s="15"/>
      <c r="E66" s="15"/>
      <c r="F66" s="16"/>
    </row>
  </sheetData>
  <sheetProtection/>
  <mergeCells count="8">
    <mergeCell ref="A4:A5"/>
    <mergeCell ref="B4:B5"/>
    <mergeCell ref="C4:C5"/>
    <mergeCell ref="D4:E4"/>
    <mergeCell ref="F4:G4"/>
    <mergeCell ref="A1:G1"/>
    <mergeCell ref="A2:G2"/>
    <mergeCell ref="A3:G3"/>
  </mergeCells>
  <printOptions/>
  <pageMargins left="0.23" right="0.19" top="0.31" bottom="0.75" header="0.24" footer="0.3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SheetLayoutView="100" zoomScalePageLayoutView="0" workbookViewId="0" topLeftCell="A43">
      <selection activeCell="J3" sqref="J3"/>
    </sheetView>
  </sheetViews>
  <sheetFormatPr defaultColWidth="9.140625" defaultRowHeight="12.75"/>
  <cols>
    <col min="1" max="1" width="4.00390625" style="13" customWidth="1"/>
    <col min="2" max="2" width="36.140625" style="1" customWidth="1"/>
    <col min="3" max="3" width="9.140625" style="1" customWidth="1"/>
    <col min="4" max="4" width="8.7109375" style="1" customWidth="1"/>
    <col min="5" max="5" width="13.00390625" style="1" customWidth="1"/>
    <col min="6" max="6" width="12.421875" style="14" customWidth="1"/>
    <col min="7" max="7" width="13.421875" style="9" customWidth="1"/>
    <col min="8" max="16384" width="9.140625" style="1" customWidth="1"/>
  </cols>
  <sheetData>
    <row r="1" spans="1:7" ht="24.75" customHeight="1">
      <c r="A1" s="105" t="s">
        <v>38</v>
      </c>
      <c r="B1" s="105"/>
      <c r="C1" s="105"/>
      <c r="D1" s="105"/>
      <c r="E1" s="105"/>
      <c r="F1" s="105"/>
      <c r="G1" s="105"/>
    </row>
    <row r="2" spans="1:7" ht="33.75" customHeight="1">
      <c r="A2" s="106" t="s">
        <v>89</v>
      </c>
      <c r="B2" s="106"/>
      <c r="C2" s="106"/>
      <c r="D2" s="106"/>
      <c r="E2" s="106"/>
      <c r="F2" s="106"/>
      <c r="G2" s="106"/>
    </row>
    <row r="3" spans="1:7" ht="24.75" customHeight="1">
      <c r="A3" s="105" t="s">
        <v>0</v>
      </c>
      <c r="B3" s="105"/>
      <c r="C3" s="105"/>
      <c r="D3" s="105"/>
      <c r="E3" s="105"/>
      <c r="F3" s="105"/>
      <c r="G3" s="105"/>
    </row>
    <row r="4" spans="1:7" ht="36" customHeight="1">
      <c r="A4" s="103" t="s">
        <v>75</v>
      </c>
      <c r="B4" s="104" t="s">
        <v>76</v>
      </c>
      <c r="C4" s="104" t="s">
        <v>77</v>
      </c>
      <c r="D4" s="103" t="s">
        <v>78</v>
      </c>
      <c r="E4" s="103"/>
      <c r="F4" s="104"/>
      <c r="G4" s="104"/>
    </row>
    <row r="5" spans="1:7" ht="73.5" customHeight="1">
      <c r="A5" s="103"/>
      <c r="B5" s="104"/>
      <c r="C5" s="104"/>
      <c r="D5" s="50" t="s">
        <v>79</v>
      </c>
      <c r="E5" s="50" t="s">
        <v>80</v>
      </c>
      <c r="F5" s="82" t="s">
        <v>133</v>
      </c>
      <c r="G5" s="82" t="s">
        <v>136</v>
      </c>
    </row>
    <row r="6" spans="1:7" s="6" customFormat="1" ht="15.75">
      <c r="A6" s="51"/>
      <c r="B6" s="52" t="s">
        <v>17</v>
      </c>
      <c r="C6" s="53"/>
      <c r="D6" s="53"/>
      <c r="E6" s="53"/>
      <c r="F6" s="54"/>
      <c r="G6" s="54"/>
    </row>
    <row r="7" spans="1:7" s="20" customFormat="1" ht="30">
      <c r="A7" s="56">
        <v>1</v>
      </c>
      <c r="B7" s="49" t="s">
        <v>56</v>
      </c>
      <c r="C7" s="49" t="s">
        <v>46</v>
      </c>
      <c r="D7" s="57"/>
      <c r="E7" s="86">
        <f>E9+E14</f>
        <v>0.26975</v>
      </c>
      <c r="F7" s="68"/>
      <c r="G7" s="83"/>
    </row>
    <row r="8" spans="1:7" s="20" customFormat="1" ht="15.75">
      <c r="A8" s="59"/>
      <c r="B8" s="53" t="s">
        <v>27</v>
      </c>
      <c r="C8" s="53" t="s">
        <v>2</v>
      </c>
      <c r="D8" s="60">
        <v>206</v>
      </c>
      <c r="E8" s="87">
        <f>D8*E7</f>
        <v>55.5685</v>
      </c>
      <c r="F8" s="65"/>
      <c r="G8" s="84"/>
    </row>
    <row r="9" spans="1:7" s="6" customFormat="1" ht="30">
      <c r="A9" s="62" t="s">
        <v>16</v>
      </c>
      <c r="B9" s="49" t="s">
        <v>57</v>
      </c>
      <c r="C9" s="49" t="s">
        <v>46</v>
      </c>
      <c r="D9" s="63"/>
      <c r="E9" s="88">
        <f>E14/12</f>
        <v>0.02075</v>
      </c>
      <c r="F9" s="66"/>
      <c r="G9" s="83"/>
    </row>
    <row r="10" spans="1:7" s="6" customFormat="1" ht="15">
      <c r="A10" s="62"/>
      <c r="B10" s="53" t="s">
        <v>47</v>
      </c>
      <c r="C10" s="53" t="s">
        <v>2</v>
      </c>
      <c r="D10" s="64">
        <v>137</v>
      </c>
      <c r="E10" s="85">
        <f>D10*E9</f>
        <v>2.84275</v>
      </c>
      <c r="F10" s="54"/>
      <c r="G10" s="84"/>
    </row>
    <row r="11" spans="1:7" s="7" customFormat="1" ht="15">
      <c r="A11" s="62"/>
      <c r="B11" s="53" t="s">
        <v>48</v>
      </c>
      <c r="C11" s="53" t="s">
        <v>7</v>
      </c>
      <c r="D11" s="64">
        <v>28.3</v>
      </c>
      <c r="E11" s="85">
        <f>E9*D11</f>
        <v>0.587225</v>
      </c>
      <c r="F11" s="54"/>
      <c r="G11" s="84"/>
    </row>
    <row r="12" spans="1:7" s="7" customFormat="1" ht="15">
      <c r="A12" s="62"/>
      <c r="B12" s="53" t="s">
        <v>120</v>
      </c>
      <c r="C12" s="53" t="s">
        <v>50</v>
      </c>
      <c r="D12" s="64">
        <v>102</v>
      </c>
      <c r="E12" s="85">
        <f>D12*E9</f>
        <v>2.1165000000000003</v>
      </c>
      <c r="F12" s="54"/>
      <c r="G12" s="84"/>
    </row>
    <row r="13" spans="1:7" s="6" customFormat="1" ht="15">
      <c r="A13" s="62"/>
      <c r="B13" s="53" t="s">
        <v>51</v>
      </c>
      <c r="C13" s="53" t="s">
        <v>7</v>
      </c>
      <c r="D13" s="64">
        <v>62</v>
      </c>
      <c r="E13" s="85">
        <f>E9*D13</f>
        <v>1.2865</v>
      </c>
      <c r="F13" s="54"/>
      <c r="G13" s="84"/>
    </row>
    <row r="14" spans="1:7" s="6" customFormat="1" ht="30">
      <c r="A14" s="62" t="s">
        <v>3</v>
      </c>
      <c r="B14" s="49" t="s">
        <v>58</v>
      </c>
      <c r="C14" s="49" t="s">
        <v>46</v>
      </c>
      <c r="D14" s="63"/>
      <c r="E14" s="88">
        <f>(0.5*0.5*1.2*(28)+(0.5*0.5*1.2+1*0.5*1.2)*5+(0.5*0.5*1.2+1*0.5*1.2*2)*8)/100</f>
        <v>0.249</v>
      </c>
      <c r="F14" s="66"/>
      <c r="G14" s="83"/>
    </row>
    <row r="15" spans="1:7" s="6" customFormat="1" ht="15">
      <c r="A15" s="62"/>
      <c r="B15" s="53" t="s">
        <v>47</v>
      </c>
      <c r="C15" s="53" t="s">
        <v>2</v>
      </c>
      <c r="D15" s="64">
        <v>410</v>
      </c>
      <c r="E15" s="85">
        <f>D15*E14</f>
        <v>102.09</v>
      </c>
      <c r="F15" s="54"/>
      <c r="G15" s="84"/>
    </row>
    <row r="16" spans="1:7" s="7" customFormat="1" ht="15">
      <c r="A16" s="62"/>
      <c r="B16" s="53" t="s">
        <v>48</v>
      </c>
      <c r="C16" s="53" t="s">
        <v>7</v>
      </c>
      <c r="D16" s="64">
        <v>112</v>
      </c>
      <c r="E16" s="85">
        <f>E14*D16</f>
        <v>27.887999999999998</v>
      </c>
      <c r="F16" s="54"/>
      <c r="G16" s="84"/>
    </row>
    <row r="17" spans="1:7" s="7" customFormat="1" ht="15">
      <c r="A17" s="62"/>
      <c r="B17" s="53" t="s">
        <v>121</v>
      </c>
      <c r="C17" s="53" t="s">
        <v>50</v>
      </c>
      <c r="D17" s="64">
        <v>101.5</v>
      </c>
      <c r="E17" s="85">
        <f>D17*E14</f>
        <v>25.2735</v>
      </c>
      <c r="F17" s="54"/>
      <c r="G17" s="84"/>
    </row>
    <row r="18" spans="1:7" s="7" customFormat="1" ht="15">
      <c r="A18" s="62"/>
      <c r="B18" s="53" t="s">
        <v>53</v>
      </c>
      <c r="C18" s="53" t="s">
        <v>54</v>
      </c>
      <c r="D18" s="64">
        <v>88.1</v>
      </c>
      <c r="E18" s="85">
        <f>E14*D18</f>
        <v>21.936899999999998</v>
      </c>
      <c r="F18" s="54"/>
      <c r="G18" s="84"/>
    </row>
    <row r="19" spans="1:7" s="20" customFormat="1" ht="15.75">
      <c r="A19" s="59"/>
      <c r="B19" s="53" t="s">
        <v>32</v>
      </c>
      <c r="C19" s="59" t="s">
        <v>22</v>
      </c>
      <c r="D19" s="59" t="s">
        <v>23</v>
      </c>
      <c r="E19" s="87">
        <f>E23*1</f>
        <v>41</v>
      </c>
      <c r="F19" s="65"/>
      <c r="G19" s="84"/>
    </row>
    <row r="20" spans="1:7" s="6" customFormat="1" ht="15">
      <c r="A20" s="62"/>
      <c r="B20" s="53" t="s">
        <v>55</v>
      </c>
      <c r="C20" s="53" t="s">
        <v>50</v>
      </c>
      <c r="D20" s="64">
        <v>1</v>
      </c>
      <c r="E20" s="85">
        <f>E14*D20</f>
        <v>0.249</v>
      </c>
      <c r="F20" s="65"/>
      <c r="G20" s="84"/>
    </row>
    <row r="21" spans="1:7" s="6" customFormat="1" ht="15">
      <c r="A21" s="62"/>
      <c r="B21" s="53" t="s">
        <v>51</v>
      </c>
      <c r="C21" s="53" t="s">
        <v>7</v>
      </c>
      <c r="D21" s="64">
        <v>26</v>
      </c>
      <c r="E21" s="85">
        <f>E14*D21</f>
        <v>6.474</v>
      </c>
      <c r="F21" s="54"/>
      <c r="G21" s="84"/>
    </row>
    <row r="22" spans="1:7" s="6" customFormat="1" ht="30">
      <c r="A22" s="62" t="s">
        <v>4</v>
      </c>
      <c r="B22" s="49" t="s">
        <v>110</v>
      </c>
      <c r="C22" s="49" t="s">
        <v>111</v>
      </c>
      <c r="D22" s="63"/>
      <c r="E22" s="88">
        <f>E14*100*2.43599</f>
        <v>60.656150999999994</v>
      </c>
      <c r="F22" s="66"/>
      <c r="G22" s="83"/>
    </row>
    <row r="23" spans="1:7" s="17" customFormat="1" ht="21" customHeight="1">
      <c r="A23" s="56">
        <v>5</v>
      </c>
      <c r="B23" s="49" t="s">
        <v>59</v>
      </c>
      <c r="C23" s="56" t="s">
        <v>21</v>
      </c>
      <c r="D23" s="56"/>
      <c r="E23" s="86">
        <f>28+5+8</f>
        <v>41</v>
      </c>
      <c r="F23" s="68"/>
      <c r="G23" s="83"/>
    </row>
    <row r="24" spans="1:7" s="17" customFormat="1" ht="15">
      <c r="A24" s="59"/>
      <c r="B24" s="53" t="s">
        <v>97</v>
      </c>
      <c r="C24" s="59" t="s">
        <v>22</v>
      </c>
      <c r="D24" s="59" t="s">
        <v>23</v>
      </c>
      <c r="E24" s="87">
        <f>8*(28)+16*5+24*8</f>
        <v>496</v>
      </c>
      <c r="F24" s="65"/>
      <c r="G24" s="84"/>
    </row>
    <row r="25" spans="1:7" s="17" customFormat="1" ht="30">
      <c r="A25" s="59"/>
      <c r="B25" s="53" t="s">
        <v>33</v>
      </c>
      <c r="C25" s="59" t="s">
        <v>24</v>
      </c>
      <c r="D25" s="59" t="s">
        <v>23</v>
      </c>
      <c r="E25" s="87">
        <f>0.0225*E23</f>
        <v>0.9225</v>
      </c>
      <c r="F25" s="65"/>
      <c r="G25" s="84"/>
    </row>
    <row r="26" spans="1:7" s="19" customFormat="1" ht="19.5" customHeight="1">
      <c r="A26" s="67"/>
      <c r="B26" s="53" t="s">
        <v>122</v>
      </c>
      <c r="C26" s="59" t="s">
        <v>69</v>
      </c>
      <c r="D26" s="59" t="s">
        <v>23</v>
      </c>
      <c r="E26" s="87">
        <f>E23*0.5</f>
        <v>20.5</v>
      </c>
      <c r="F26" s="65"/>
      <c r="G26" s="84"/>
    </row>
    <row r="27" spans="1:7" s="17" customFormat="1" ht="15">
      <c r="A27" s="59"/>
      <c r="B27" s="53" t="s">
        <v>25</v>
      </c>
      <c r="C27" s="59" t="s">
        <v>26</v>
      </c>
      <c r="D27" s="59">
        <v>0.5</v>
      </c>
      <c r="E27" s="87">
        <f>D27*E23</f>
        <v>20.5</v>
      </c>
      <c r="F27" s="54"/>
      <c r="G27" s="84"/>
    </row>
    <row r="28" spans="1:7" s="17" customFormat="1" ht="15">
      <c r="A28" s="59"/>
      <c r="B28" s="53" t="s">
        <v>27</v>
      </c>
      <c r="C28" s="59" t="s">
        <v>2</v>
      </c>
      <c r="D28" s="59">
        <v>6.5</v>
      </c>
      <c r="E28" s="87">
        <f>D28*E23</f>
        <v>266.5</v>
      </c>
      <c r="F28" s="65"/>
      <c r="G28" s="84"/>
    </row>
    <row r="29" spans="1:7" s="17" customFormat="1" ht="30">
      <c r="A29" s="59">
        <v>6</v>
      </c>
      <c r="B29" s="49" t="s">
        <v>115</v>
      </c>
      <c r="C29" s="49" t="s">
        <v>111</v>
      </c>
      <c r="D29" s="63"/>
      <c r="E29" s="88">
        <f>E24*12.133/1000</f>
        <v>6.017968</v>
      </c>
      <c r="F29" s="66"/>
      <c r="G29" s="83"/>
    </row>
    <row r="30" spans="1:7" s="18" customFormat="1" ht="34.5" customHeight="1">
      <c r="A30" s="56">
        <v>7</v>
      </c>
      <c r="B30" s="49" t="s">
        <v>123</v>
      </c>
      <c r="C30" s="56" t="s">
        <v>30</v>
      </c>
      <c r="D30" s="56"/>
      <c r="E30" s="86">
        <v>720</v>
      </c>
      <c r="F30" s="68"/>
      <c r="G30" s="83"/>
    </row>
    <row r="31" spans="1:7" s="18" customFormat="1" ht="15">
      <c r="A31" s="59"/>
      <c r="B31" s="59" t="s">
        <v>27</v>
      </c>
      <c r="C31" s="59" t="s">
        <v>2</v>
      </c>
      <c r="D31" s="59">
        <v>0.586</v>
      </c>
      <c r="E31" s="87">
        <f>D31*E30</f>
        <v>421.91999999999996</v>
      </c>
      <c r="F31" s="65"/>
      <c r="G31" s="84"/>
    </row>
    <row r="32" spans="1:7" s="18" customFormat="1" ht="15">
      <c r="A32" s="59"/>
      <c r="B32" s="59" t="s">
        <v>31</v>
      </c>
      <c r="C32" s="59" t="s">
        <v>7</v>
      </c>
      <c r="D32" s="59">
        <v>0.327</v>
      </c>
      <c r="E32" s="87">
        <f>D32*E30</f>
        <v>235.44</v>
      </c>
      <c r="F32" s="65"/>
      <c r="G32" s="84"/>
    </row>
    <row r="33" spans="1:7" s="18" customFormat="1" ht="30">
      <c r="A33" s="59"/>
      <c r="B33" s="53" t="s">
        <v>124</v>
      </c>
      <c r="C33" s="59" t="s">
        <v>22</v>
      </c>
      <c r="D33" s="59">
        <v>1.1</v>
      </c>
      <c r="E33" s="87">
        <f>D33*E30</f>
        <v>792.0000000000001</v>
      </c>
      <c r="F33" s="65"/>
      <c r="G33" s="84"/>
    </row>
    <row r="34" spans="1:7" s="18" customFormat="1" ht="15">
      <c r="A34" s="59"/>
      <c r="B34" s="53" t="s">
        <v>28</v>
      </c>
      <c r="C34" s="59" t="s">
        <v>21</v>
      </c>
      <c r="D34" s="59" t="s">
        <v>23</v>
      </c>
      <c r="E34" s="87">
        <f>24*4</f>
        <v>96</v>
      </c>
      <c r="F34" s="65"/>
      <c r="G34" s="84"/>
    </row>
    <row r="35" spans="1:7" s="18" customFormat="1" ht="15">
      <c r="A35" s="59"/>
      <c r="B35" s="53" t="s">
        <v>29</v>
      </c>
      <c r="C35" s="59" t="s">
        <v>26</v>
      </c>
      <c r="D35" s="59">
        <v>0.05</v>
      </c>
      <c r="E35" s="87">
        <f>D35*E30</f>
        <v>36</v>
      </c>
      <c r="F35" s="65"/>
      <c r="G35" s="84"/>
    </row>
    <row r="36" spans="1:10" s="18" customFormat="1" ht="39" customHeight="1">
      <c r="A36" s="56">
        <v>8</v>
      </c>
      <c r="B36" s="49" t="s">
        <v>128</v>
      </c>
      <c r="C36" s="56" t="s">
        <v>30</v>
      </c>
      <c r="D36" s="56"/>
      <c r="E36" s="86">
        <f>120+120+270</f>
        <v>510</v>
      </c>
      <c r="F36" s="68"/>
      <c r="G36" s="83"/>
      <c r="J36" s="27">
        <f>E36+E30</f>
        <v>1230</v>
      </c>
    </row>
    <row r="37" spans="1:7" s="18" customFormat="1" ht="18.75" customHeight="1">
      <c r="A37" s="59"/>
      <c r="B37" s="59" t="s">
        <v>27</v>
      </c>
      <c r="C37" s="59" t="s">
        <v>2</v>
      </c>
      <c r="D37" s="59">
        <v>0.586</v>
      </c>
      <c r="E37" s="87">
        <f>D37*E36</f>
        <v>298.85999999999996</v>
      </c>
      <c r="F37" s="65"/>
      <c r="G37" s="84"/>
    </row>
    <row r="38" spans="1:7" s="18" customFormat="1" ht="15">
      <c r="A38" s="59"/>
      <c r="B38" s="59" t="s">
        <v>31</v>
      </c>
      <c r="C38" s="59" t="s">
        <v>7</v>
      </c>
      <c r="D38" s="59">
        <v>0.327</v>
      </c>
      <c r="E38" s="87">
        <f>D38*E36</f>
        <v>166.77</v>
      </c>
      <c r="F38" s="65"/>
      <c r="G38" s="84"/>
    </row>
    <row r="39" spans="1:7" s="18" customFormat="1" ht="30">
      <c r="A39" s="59"/>
      <c r="B39" s="53" t="s">
        <v>129</v>
      </c>
      <c r="C39" s="59" t="s">
        <v>22</v>
      </c>
      <c r="D39" s="59">
        <v>1.1</v>
      </c>
      <c r="E39" s="87">
        <f>D39*E36</f>
        <v>561</v>
      </c>
      <c r="F39" s="65"/>
      <c r="G39" s="84"/>
    </row>
    <row r="40" spans="1:7" s="18" customFormat="1" ht="15">
      <c r="A40" s="59"/>
      <c r="B40" s="53" t="s">
        <v>28</v>
      </c>
      <c r="C40" s="59" t="s">
        <v>21</v>
      </c>
      <c r="D40" s="59" t="s">
        <v>23</v>
      </c>
      <c r="E40" s="87">
        <f>E23*4-E34</f>
        <v>68</v>
      </c>
      <c r="F40" s="65"/>
      <c r="G40" s="84"/>
    </row>
    <row r="41" spans="1:7" s="18" customFormat="1" ht="15">
      <c r="A41" s="59"/>
      <c r="B41" s="53" t="s">
        <v>29</v>
      </c>
      <c r="C41" s="59" t="s">
        <v>26</v>
      </c>
      <c r="D41" s="59">
        <v>0.05</v>
      </c>
      <c r="E41" s="87">
        <f>D41*E36</f>
        <v>25.5</v>
      </c>
      <c r="F41" s="65"/>
      <c r="G41" s="84"/>
    </row>
    <row r="42" spans="1:7" s="7" customFormat="1" ht="42" customHeight="1">
      <c r="A42" s="62" t="s">
        <v>113</v>
      </c>
      <c r="B42" s="49" t="s">
        <v>66</v>
      </c>
      <c r="C42" s="49" t="s">
        <v>67</v>
      </c>
      <c r="D42" s="63"/>
      <c r="E42" s="88">
        <v>2</v>
      </c>
      <c r="F42" s="66"/>
      <c r="G42" s="83"/>
    </row>
    <row r="43" spans="1:7" ht="19.5" customHeight="1">
      <c r="A43" s="69"/>
      <c r="B43" s="53" t="s">
        <v>47</v>
      </c>
      <c r="C43" s="53" t="s">
        <v>2</v>
      </c>
      <c r="D43" s="64">
        <v>1.04</v>
      </c>
      <c r="E43" s="89">
        <f>E42*D43</f>
        <v>2.08</v>
      </c>
      <c r="F43" s="70"/>
      <c r="G43" s="84"/>
    </row>
    <row r="44" spans="1:7" s="19" customFormat="1" ht="19.5" customHeight="1">
      <c r="A44" s="67"/>
      <c r="B44" s="53" t="s">
        <v>62</v>
      </c>
      <c r="C44" s="53" t="s">
        <v>7</v>
      </c>
      <c r="D44" s="64">
        <v>0.08</v>
      </c>
      <c r="E44" s="87">
        <f>E42*D44</f>
        <v>0.16</v>
      </c>
      <c r="F44" s="65"/>
      <c r="G44" s="84"/>
    </row>
    <row r="45" spans="1:7" s="19" customFormat="1" ht="19.5" customHeight="1">
      <c r="A45" s="67"/>
      <c r="B45" s="53" t="s">
        <v>122</v>
      </c>
      <c r="C45" s="59" t="s">
        <v>69</v>
      </c>
      <c r="D45" s="61">
        <v>6</v>
      </c>
      <c r="E45" s="87">
        <f>E42*D45</f>
        <v>12</v>
      </c>
      <c r="F45" s="65"/>
      <c r="G45" s="84"/>
    </row>
    <row r="46" spans="1:7" s="20" customFormat="1" ht="15.75">
      <c r="A46" s="59"/>
      <c r="B46" s="53" t="s">
        <v>32</v>
      </c>
      <c r="C46" s="59" t="s">
        <v>22</v>
      </c>
      <c r="D46" s="59">
        <v>2</v>
      </c>
      <c r="E46" s="87">
        <f>E42*D46</f>
        <v>4</v>
      </c>
      <c r="F46" s="65"/>
      <c r="G46" s="84"/>
    </row>
    <row r="47" spans="1:7" s="19" customFormat="1" ht="19.5" customHeight="1">
      <c r="A47" s="67"/>
      <c r="B47" s="53" t="s">
        <v>70</v>
      </c>
      <c r="C47" s="53" t="s">
        <v>7</v>
      </c>
      <c r="D47" s="61">
        <v>1.4</v>
      </c>
      <c r="E47" s="87">
        <f>E42*D47</f>
        <v>2.8</v>
      </c>
      <c r="F47" s="65"/>
      <c r="G47" s="84"/>
    </row>
    <row r="48" spans="1:7" s="7" customFormat="1" ht="42" customHeight="1">
      <c r="A48" s="62" t="s">
        <v>116</v>
      </c>
      <c r="B48" s="49" t="s">
        <v>71</v>
      </c>
      <c r="C48" s="49" t="s">
        <v>69</v>
      </c>
      <c r="D48" s="63"/>
      <c r="E48" s="88">
        <f>3.6*E42</f>
        <v>7.2</v>
      </c>
      <c r="F48" s="66"/>
      <c r="G48" s="83"/>
    </row>
    <row r="49" spans="1:7" ht="19.5" customHeight="1">
      <c r="A49" s="69"/>
      <c r="B49" s="53" t="s">
        <v>47</v>
      </c>
      <c r="C49" s="53" t="s">
        <v>2</v>
      </c>
      <c r="D49" s="64">
        <v>0.14</v>
      </c>
      <c r="E49" s="89">
        <f>E48*D49</f>
        <v>1.0080000000000002</v>
      </c>
      <c r="F49" s="70"/>
      <c r="G49" s="84"/>
    </row>
    <row r="50" spans="1:7" s="19" customFormat="1" ht="19.5" customHeight="1">
      <c r="A50" s="67"/>
      <c r="B50" s="53" t="s">
        <v>62</v>
      </c>
      <c r="C50" s="53" t="s">
        <v>7</v>
      </c>
      <c r="D50" s="64">
        <v>0.01</v>
      </c>
      <c r="E50" s="87">
        <f>E48*D50</f>
        <v>0.07200000000000001</v>
      </c>
      <c r="F50" s="65"/>
      <c r="G50" s="84"/>
    </row>
    <row r="51" spans="1:7" s="19" customFormat="1" ht="19.5" customHeight="1">
      <c r="A51" s="67"/>
      <c r="B51" s="53" t="s">
        <v>127</v>
      </c>
      <c r="C51" s="59" t="s">
        <v>69</v>
      </c>
      <c r="D51" s="61">
        <v>1</v>
      </c>
      <c r="E51" s="87">
        <f>E48*D51</f>
        <v>7.2</v>
      </c>
      <c r="F51" s="65"/>
      <c r="G51" s="84"/>
    </row>
    <row r="52" spans="1:7" s="19" customFormat="1" ht="19.5" customHeight="1">
      <c r="A52" s="67"/>
      <c r="B52" s="53" t="s">
        <v>70</v>
      </c>
      <c r="C52" s="53" t="s">
        <v>7</v>
      </c>
      <c r="D52" s="61">
        <v>0.193</v>
      </c>
      <c r="E52" s="87">
        <f>E48*D52</f>
        <v>1.3896000000000002</v>
      </c>
      <c r="F52" s="65"/>
      <c r="G52" s="84"/>
    </row>
    <row r="53" spans="1:7" s="21" customFormat="1" ht="39" customHeight="1">
      <c r="A53" s="56">
        <v>11</v>
      </c>
      <c r="B53" s="49" t="s">
        <v>60</v>
      </c>
      <c r="C53" s="56" t="s">
        <v>61</v>
      </c>
      <c r="D53" s="56"/>
      <c r="E53" s="86">
        <f>3.6*E23/100</f>
        <v>1.476</v>
      </c>
      <c r="F53" s="68"/>
      <c r="G53" s="83"/>
    </row>
    <row r="54" spans="1:7" s="20" customFormat="1" ht="15.75">
      <c r="A54" s="71"/>
      <c r="B54" s="53" t="s">
        <v>47</v>
      </c>
      <c r="C54" s="53" t="s">
        <v>2</v>
      </c>
      <c r="D54" s="64">
        <v>77.3</v>
      </c>
      <c r="E54" s="85">
        <f>E53*D54</f>
        <v>114.09479999999999</v>
      </c>
      <c r="F54" s="54"/>
      <c r="G54" s="84"/>
    </row>
    <row r="55" spans="1:7" s="20" customFormat="1" ht="15.75">
      <c r="A55" s="71"/>
      <c r="B55" s="53" t="s">
        <v>62</v>
      </c>
      <c r="C55" s="53" t="s">
        <v>7</v>
      </c>
      <c r="D55" s="64">
        <v>0.84</v>
      </c>
      <c r="E55" s="85">
        <f>E53*D55</f>
        <v>1.2398399999999998</v>
      </c>
      <c r="F55" s="54"/>
      <c r="G55" s="84"/>
    </row>
    <row r="56" spans="1:7" s="20" customFormat="1" ht="17.25" customHeight="1">
      <c r="A56" s="71"/>
      <c r="B56" s="53" t="s">
        <v>63</v>
      </c>
      <c r="C56" s="53" t="s">
        <v>6</v>
      </c>
      <c r="D56" s="64">
        <v>32.1</v>
      </c>
      <c r="E56" s="85">
        <f>E53*D56</f>
        <v>47.3796</v>
      </c>
      <c r="F56" s="54"/>
      <c r="G56" s="84"/>
    </row>
    <row r="57" spans="1:7" s="20" customFormat="1" ht="21" customHeight="1">
      <c r="A57" s="71"/>
      <c r="B57" s="53" t="s">
        <v>64</v>
      </c>
      <c r="C57" s="53" t="s">
        <v>6</v>
      </c>
      <c r="D57" s="64">
        <v>3.6</v>
      </c>
      <c r="E57" s="85">
        <f>E53*D57</f>
        <v>5.3136</v>
      </c>
      <c r="F57" s="54"/>
      <c r="G57" s="84"/>
    </row>
    <row r="58" spans="1:7" s="20" customFormat="1" ht="22.5" customHeight="1">
      <c r="A58" s="71"/>
      <c r="B58" s="53" t="s">
        <v>51</v>
      </c>
      <c r="C58" s="53" t="s">
        <v>7</v>
      </c>
      <c r="D58" s="64">
        <v>0.07</v>
      </c>
      <c r="E58" s="85">
        <f>E53*D58</f>
        <v>0.10332000000000001</v>
      </c>
      <c r="F58" s="54"/>
      <c r="G58" s="84"/>
    </row>
    <row r="59" spans="1:7" s="20" customFormat="1" ht="18" customHeight="1">
      <c r="A59" s="55"/>
      <c r="B59" s="49" t="s">
        <v>8</v>
      </c>
      <c r="C59" s="49" t="s">
        <v>7</v>
      </c>
      <c r="D59" s="66"/>
      <c r="E59" s="66"/>
      <c r="F59" s="66"/>
      <c r="G59" s="66"/>
    </row>
    <row r="60" spans="1:7" s="26" customFormat="1" ht="38.25" customHeight="1">
      <c r="A60" s="55"/>
      <c r="B60" s="49" t="s">
        <v>132</v>
      </c>
      <c r="C60" s="49" t="s">
        <v>7</v>
      </c>
      <c r="D60" s="72">
        <v>0.75</v>
      </c>
      <c r="E60" s="66"/>
      <c r="F60" s="66"/>
      <c r="G60" s="66"/>
    </row>
    <row r="61" spans="1:7" s="26" customFormat="1" ht="21" customHeight="1">
      <c r="A61" s="55"/>
      <c r="B61" s="49" t="s">
        <v>8</v>
      </c>
      <c r="C61" s="49" t="s">
        <v>7</v>
      </c>
      <c r="D61" s="72"/>
      <c r="E61" s="66"/>
      <c r="F61" s="66"/>
      <c r="G61" s="66"/>
    </row>
    <row r="62" spans="1:7" s="26" customFormat="1" ht="23.25" customHeight="1">
      <c r="A62" s="55"/>
      <c r="B62" s="49" t="s">
        <v>81</v>
      </c>
      <c r="C62" s="49" t="s">
        <v>7</v>
      </c>
      <c r="D62" s="72">
        <v>0.08</v>
      </c>
      <c r="E62" s="66"/>
      <c r="F62" s="66"/>
      <c r="G62" s="66"/>
    </row>
    <row r="63" spans="1:7" ht="21" customHeight="1">
      <c r="A63" s="73"/>
      <c r="B63" s="49" t="s">
        <v>9</v>
      </c>
      <c r="C63" s="49" t="s">
        <v>7</v>
      </c>
      <c r="D63" s="54"/>
      <c r="E63" s="54"/>
      <c r="F63" s="54"/>
      <c r="G63" s="66"/>
    </row>
    <row r="64" spans="1:6" ht="15.75">
      <c r="A64" s="15"/>
      <c r="B64" s="15"/>
      <c r="C64" s="15"/>
      <c r="D64" s="15"/>
      <c r="E64" s="15"/>
      <c r="F64" s="16"/>
    </row>
    <row r="65" spans="1:6" ht="15.75">
      <c r="A65" s="15"/>
      <c r="B65" s="15"/>
      <c r="C65" s="15"/>
      <c r="D65" s="15"/>
      <c r="E65" s="15"/>
      <c r="F65" s="16"/>
    </row>
  </sheetData>
  <sheetProtection/>
  <mergeCells count="8">
    <mergeCell ref="A4:A5"/>
    <mergeCell ref="B4:B5"/>
    <mergeCell ref="C4:C5"/>
    <mergeCell ref="D4:E4"/>
    <mergeCell ref="F4:G4"/>
    <mergeCell ref="A1:G1"/>
    <mergeCell ref="A2:G2"/>
    <mergeCell ref="A3:G3"/>
  </mergeCells>
  <printOptions/>
  <pageMargins left="0.32" right="0.21" top="0.54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37">
      <selection activeCell="J54" sqref="J54"/>
    </sheetView>
  </sheetViews>
  <sheetFormatPr defaultColWidth="9.140625" defaultRowHeight="12.75"/>
  <cols>
    <col min="1" max="1" width="4.00390625" style="13" customWidth="1"/>
    <col min="2" max="2" width="36.140625" style="1" customWidth="1"/>
    <col min="3" max="3" width="9.140625" style="1" customWidth="1"/>
    <col min="4" max="4" width="8.7109375" style="1" customWidth="1"/>
    <col min="5" max="5" width="12.140625" style="1" customWidth="1"/>
    <col min="6" max="6" width="13.421875" style="14" customWidth="1"/>
    <col min="7" max="7" width="12.8515625" style="9" customWidth="1"/>
    <col min="8" max="16384" width="9.140625" style="1" customWidth="1"/>
  </cols>
  <sheetData>
    <row r="1" spans="1:7" ht="24" customHeight="1">
      <c r="A1" s="107" t="s">
        <v>39</v>
      </c>
      <c r="B1" s="107"/>
      <c r="C1" s="107"/>
      <c r="D1" s="107"/>
      <c r="E1" s="107"/>
      <c r="F1" s="107"/>
      <c r="G1" s="107"/>
    </row>
    <row r="2" spans="1:7" ht="38.25" customHeight="1">
      <c r="A2" s="108" t="s">
        <v>90</v>
      </c>
      <c r="B2" s="108"/>
      <c r="C2" s="108"/>
      <c r="D2" s="108"/>
      <c r="E2" s="108"/>
      <c r="F2" s="108"/>
      <c r="G2" s="108"/>
    </row>
    <row r="3" spans="1:7" ht="30.75" customHeight="1">
      <c r="A3" s="107" t="s">
        <v>0</v>
      </c>
      <c r="B3" s="107"/>
      <c r="C3" s="107"/>
      <c r="D3" s="107"/>
      <c r="E3" s="107"/>
      <c r="F3" s="107"/>
      <c r="G3" s="107"/>
    </row>
    <row r="4" spans="1:7" ht="36" customHeight="1">
      <c r="A4" s="103" t="s">
        <v>75</v>
      </c>
      <c r="B4" s="104" t="s">
        <v>76</v>
      </c>
      <c r="C4" s="104" t="s">
        <v>77</v>
      </c>
      <c r="D4" s="103" t="s">
        <v>78</v>
      </c>
      <c r="E4" s="103"/>
      <c r="F4" s="104"/>
      <c r="G4" s="104"/>
    </row>
    <row r="5" spans="1:7" ht="73.5" customHeight="1">
      <c r="A5" s="103"/>
      <c r="B5" s="104"/>
      <c r="C5" s="104"/>
      <c r="D5" s="50" t="s">
        <v>79</v>
      </c>
      <c r="E5" s="50" t="s">
        <v>80</v>
      </c>
      <c r="F5" s="82" t="s">
        <v>135</v>
      </c>
      <c r="G5" s="82" t="s">
        <v>136</v>
      </c>
    </row>
    <row r="6" spans="1:7" s="6" customFormat="1" ht="15.75">
      <c r="A6" s="51"/>
      <c r="B6" s="52" t="s">
        <v>17</v>
      </c>
      <c r="C6" s="53"/>
      <c r="D6" s="53"/>
      <c r="E6" s="53"/>
      <c r="F6" s="54"/>
      <c r="G6" s="54"/>
    </row>
    <row r="7" spans="1:7" s="20" customFormat="1" ht="30">
      <c r="A7" s="56">
        <v>1</v>
      </c>
      <c r="B7" s="49" t="s">
        <v>56</v>
      </c>
      <c r="C7" s="49" t="s">
        <v>46</v>
      </c>
      <c r="D7" s="57"/>
      <c r="E7" s="86">
        <f>E9+E14</f>
        <v>0.169</v>
      </c>
      <c r="F7" s="68"/>
      <c r="G7" s="83"/>
    </row>
    <row r="8" spans="1:7" s="20" customFormat="1" ht="15.75">
      <c r="A8" s="59"/>
      <c r="B8" s="53" t="s">
        <v>27</v>
      </c>
      <c r="C8" s="53" t="s">
        <v>2</v>
      </c>
      <c r="D8" s="60">
        <v>206</v>
      </c>
      <c r="E8" s="87">
        <f>D8*E7</f>
        <v>34.814</v>
      </c>
      <c r="F8" s="65"/>
      <c r="G8" s="84"/>
    </row>
    <row r="9" spans="1:7" s="6" customFormat="1" ht="30">
      <c r="A9" s="62" t="s">
        <v>16</v>
      </c>
      <c r="B9" s="49" t="s">
        <v>57</v>
      </c>
      <c r="C9" s="49" t="s">
        <v>46</v>
      </c>
      <c r="D9" s="63"/>
      <c r="E9" s="88">
        <f>E14/12</f>
        <v>0.013</v>
      </c>
      <c r="F9" s="66"/>
      <c r="G9" s="83"/>
    </row>
    <row r="10" spans="1:7" s="6" customFormat="1" ht="18" customHeight="1">
      <c r="A10" s="62"/>
      <c r="B10" s="53" t="s">
        <v>47</v>
      </c>
      <c r="C10" s="53" t="s">
        <v>2</v>
      </c>
      <c r="D10" s="64">
        <v>137</v>
      </c>
      <c r="E10" s="85">
        <f>D10*E9</f>
        <v>1.781</v>
      </c>
      <c r="F10" s="54"/>
      <c r="G10" s="84"/>
    </row>
    <row r="11" spans="1:7" s="7" customFormat="1" ht="18" customHeight="1">
      <c r="A11" s="62"/>
      <c r="B11" s="53" t="s">
        <v>48</v>
      </c>
      <c r="C11" s="53" t="s">
        <v>7</v>
      </c>
      <c r="D11" s="64">
        <v>28.3</v>
      </c>
      <c r="E11" s="85">
        <f>E9*D11</f>
        <v>0.3679</v>
      </c>
      <c r="F11" s="54"/>
      <c r="G11" s="84"/>
    </row>
    <row r="12" spans="1:7" s="7" customFormat="1" ht="18" customHeight="1">
      <c r="A12" s="62"/>
      <c r="B12" s="53" t="s">
        <v>120</v>
      </c>
      <c r="C12" s="53" t="s">
        <v>50</v>
      </c>
      <c r="D12" s="64">
        <v>102</v>
      </c>
      <c r="E12" s="85">
        <f>D12*E9</f>
        <v>1.3259999999999998</v>
      </c>
      <c r="F12" s="54"/>
      <c r="G12" s="84"/>
    </row>
    <row r="13" spans="1:7" s="6" customFormat="1" ht="15">
      <c r="A13" s="62"/>
      <c r="B13" s="53" t="s">
        <v>51</v>
      </c>
      <c r="C13" s="53" t="s">
        <v>7</v>
      </c>
      <c r="D13" s="64">
        <v>62</v>
      </c>
      <c r="E13" s="85">
        <f>E9*D13</f>
        <v>0.8059999999999999</v>
      </c>
      <c r="F13" s="54"/>
      <c r="G13" s="84"/>
    </row>
    <row r="14" spans="1:7" s="6" customFormat="1" ht="30">
      <c r="A14" s="62" t="s">
        <v>3</v>
      </c>
      <c r="B14" s="49" t="s">
        <v>58</v>
      </c>
      <c r="C14" s="49" t="s">
        <v>46</v>
      </c>
      <c r="D14" s="63"/>
      <c r="E14" s="88">
        <f>(0.5*0.5*1.2*(16)+(0.5*0.5*1.2+1*0.5*1.2)*2+(0.5*0.5*1.2+1*0.5*1.2*2)*6)/100</f>
        <v>0.156</v>
      </c>
      <c r="F14" s="66"/>
      <c r="G14" s="83"/>
    </row>
    <row r="15" spans="1:7" s="6" customFormat="1" ht="18" customHeight="1">
      <c r="A15" s="62"/>
      <c r="B15" s="53" t="s">
        <v>47</v>
      </c>
      <c r="C15" s="53" t="s">
        <v>2</v>
      </c>
      <c r="D15" s="64">
        <v>410</v>
      </c>
      <c r="E15" s="85">
        <f>D15*E14</f>
        <v>63.96</v>
      </c>
      <c r="F15" s="54"/>
      <c r="G15" s="84"/>
    </row>
    <row r="16" spans="1:7" s="7" customFormat="1" ht="17.25" customHeight="1">
      <c r="A16" s="62"/>
      <c r="B16" s="53" t="s">
        <v>48</v>
      </c>
      <c r="C16" s="53" t="s">
        <v>7</v>
      </c>
      <c r="D16" s="64">
        <v>112</v>
      </c>
      <c r="E16" s="85">
        <f>E14*D16</f>
        <v>17.472</v>
      </c>
      <c r="F16" s="54"/>
      <c r="G16" s="84"/>
    </row>
    <row r="17" spans="1:7" s="7" customFormat="1" ht="18" customHeight="1">
      <c r="A17" s="62"/>
      <c r="B17" s="53" t="s">
        <v>121</v>
      </c>
      <c r="C17" s="53" t="s">
        <v>50</v>
      </c>
      <c r="D17" s="64">
        <v>101.5</v>
      </c>
      <c r="E17" s="85">
        <f>D17*E14</f>
        <v>15.834</v>
      </c>
      <c r="F17" s="54"/>
      <c r="G17" s="84"/>
    </row>
    <row r="18" spans="1:7" s="7" customFormat="1" ht="17.25" customHeight="1">
      <c r="A18" s="62"/>
      <c r="B18" s="53" t="s">
        <v>53</v>
      </c>
      <c r="C18" s="53" t="s">
        <v>54</v>
      </c>
      <c r="D18" s="64">
        <v>88.1</v>
      </c>
      <c r="E18" s="85">
        <f>E14*D18</f>
        <v>13.743599999999999</v>
      </c>
      <c r="F18" s="54"/>
      <c r="G18" s="84"/>
    </row>
    <row r="19" spans="1:7" s="20" customFormat="1" ht="18" customHeight="1">
      <c r="A19" s="59"/>
      <c r="B19" s="53" t="s">
        <v>32</v>
      </c>
      <c r="C19" s="59" t="s">
        <v>22</v>
      </c>
      <c r="D19" s="59" t="s">
        <v>23</v>
      </c>
      <c r="E19" s="87">
        <f>E23*1</f>
        <v>24</v>
      </c>
      <c r="F19" s="65"/>
      <c r="G19" s="84"/>
    </row>
    <row r="20" spans="1:7" s="6" customFormat="1" ht="20.25" customHeight="1">
      <c r="A20" s="62"/>
      <c r="B20" s="53" t="s">
        <v>55</v>
      </c>
      <c r="C20" s="53" t="s">
        <v>50</v>
      </c>
      <c r="D20" s="64">
        <v>1</v>
      </c>
      <c r="E20" s="85">
        <f>E14*D20</f>
        <v>0.156</v>
      </c>
      <c r="F20" s="65"/>
      <c r="G20" s="84"/>
    </row>
    <row r="21" spans="1:7" s="6" customFormat="1" ht="18" customHeight="1">
      <c r="A21" s="62"/>
      <c r="B21" s="53" t="s">
        <v>51</v>
      </c>
      <c r="C21" s="53" t="s">
        <v>7</v>
      </c>
      <c r="D21" s="64">
        <v>26</v>
      </c>
      <c r="E21" s="85">
        <f>E14*D21</f>
        <v>4.056</v>
      </c>
      <c r="F21" s="54"/>
      <c r="G21" s="84"/>
    </row>
    <row r="22" spans="1:7" s="6" customFormat="1" ht="33.75" customHeight="1">
      <c r="A22" s="62" t="s">
        <v>4</v>
      </c>
      <c r="B22" s="49" t="s">
        <v>110</v>
      </c>
      <c r="C22" s="49" t="s">
        <v>111</v>
      </c>
      <c r="D22" s="63"/>
      <c r="E22" s="88">
        <f>E14*100*2.43599</f>
        <v>38.001444</v>
      </c>
      <c r="F22" s="66"/>
      <c r="G22" s="83"/>
    </row>
    <row r="23" spans="1:7" s="17" customFormat="1" ht="23.25" customHeight="1">
      <c r="A23" s="56">
        <v>5</v>
      </c>
      <c r="B23" s="49" t="s">
        <v>59</v>
      </c>
      <c r="C23" s="56" t="s">
        <v>21</v>
      </c>
      <c r="D23" s="56"/>
      <c r="E23" s="58">
        <f>16+2+6</f>
        <v>24</v>
      </c>
      <c r="F23" s="68"/>
      <c r="G23" s="83"/>
    </row>
    <row r="24" spans="1:7" s="17" customFormat="1" ht="19.5" customHeight="1">
      <c r="A24" s="59"/>
      <c r="B24" s="53" t="s">
        <v>97</v>
      </c>
      <c r="C24" s="59" t="s">
        <v>22</v>
      </c>
      <c r="D24" s="59" t="s">
        <v>23</v>
      </c>
      <c r="E24" s="87">
        <f>8*16+16*2+24*6</f>
        <v>304</v>
      </c>
      <c r="F24" s="65"/>
      <c r="G24" s="84"/>
    </row>
    <row r="25" spans="1:7" s="17" customFormat="1" ht="32.25" customHeight="1">
      <c r="A25" s="59"/>
      <c r="B25" s="53" t="s">
        <v>33</v>
      </c>
      <c r="C25" s="59" t="s">
        <v>24</v>
      </c>
      <c r="D25" s="59" t="s">
        <v>23</v>
      </c>
      <c r="E25" s="87">
        <f>0.0225*E23</f>
        <v>0.54</v>
      </c>
      <c r="F25" s="65"/>
      <c r="G25" s="84"/>
    </row>
    <row r="26" spans="1:7" s="19" customFormat="1" ht="24.75" customHeight="1">
      <c r="A26" s="67"/>
      <c r="B26" s="53" t="s">
        <v>122</v>
      </c>
      <c r="C26" s="59" t="s">
        <v>69</v>
      </c>
      <c r="D26" s="59" t="s">
        <v>23</v>
      </c>
      <c r="E26" s="87">
        <f>E23*0.5</f>
        <v>12</v>
      </c>
      <c r="F26" s="65"/>
      <c r="G26" s="84"/>
    </row>
    <row r="27" spans="1:7" s="17" customFormat="1" ht="19.5" customHeight="1">
      <c r="A27" s="59"/>
      <c r="B27" s="53" t="s">
        <v>25</v>
      </c>
      <c r="C27" s="59" t="s">
        <v>26</v>
      </c>
      <c r="D27" s="59">
        <v>0.5</v>
      </c>
      <c r="E27" s="87">
        <f>D27*E23</f>
        <v>12</v>
      </c>
      <c r="F27" s="54"/>
      <c r="G27" s="84"/>
    </row>
    <row r="28" spans="1:7" s="17" customFormat="1" ht="18" customHeight="1">
      <c r="A28" s="59"/>
      <c r="B28" s="53" t="s">
        <v>27</v>
      </c>
      <c r="C28" s="59" t="s">
        <v>2</v>
      </c>
      <c r="D28" s="59">
        <v>6.5</v>
      </c>
      <c r="E28" s="87">
        <f>D28*E23</f>
        <v>156</v>
      </c>
      <c r="F28" s="65"/>
      <c r="G28" s="84"/>
    </row>
    <row r="29" spans="1:7" s="17" customFormat="1" ht="36" customHeight="1">
      <c r="A29" s="59">
        <v>6</v>
      </c>
      <c r="B29" s="49" t="s">
        <v>115</v>
      </c>
      <c r="C29" s="49" t="s">
        <v>111</v>
      </c>
      <c r="D29" s="63"/>
      <c r="E29" s="88">
        <f>E24*12.133/1000</f>
        <v>3.6884319999999997</v>
      </c>
      <c r="F29" s="66"/>
      <c r="G29" s="83"/>
    </row>
    <row r="30" spans="1:7" s="18" customFormat="1" ht="33" customHeight="1">
      <c r="A30" s="56">
        <v>7</v>
      </c>
      <c r="B30" s="49" t="s">
        <v>125</v>
      </c>
      <c r="C30" s="56" t="s">
        <v>30</v>
      </c>
      <c r="D30" s="56"/>
      <c r="E30" s="58">
        <f>720</f>
        <v>720</v>
      </c>
      <c r="F30" s="68"/>
      <c r="G30" s="83"/>
    </row>
    <row r="31" spans="1:7" s="18" customFormat="1" ht="18.75" customHeight="1">
      <c r="A31" s="59"/>
      <c r="B31" s="59" t="s">
        <v>27</v>
      </c>
      <c r="C31" s="59" t="s">
        <v>2</v>
      </c>
      <c r="D31" s="59">
        <v>0.586</v>
      </c>
      <c r="E31" s="87">
        <f>D31*E30</f>
        <v>421.91999999999996</v>
      </c>
      <c r="F31" s="65"/>
      <c r="G31" s="84"/>
    </row>
    <row r="32" spans="1:7" s="18" customFormat="1" ht="19.5" customHeight="1">
      <c r="A32" s="59"/>
      <c r="B32" s="59" t="s">
        <v>31</v>
      </c>
      <c r="C32" s="59" t="s">
        <v>7</v>
      </c>
      <c r="D32" s="59">
        <v>0.327</v>
      </c>
      <c r="E32" s="87">
        <f>D32*E30</f>
        <v>235.44</v>
      </c>
      <c r="F32" s="65"/>
      <c r="G32" s="84"/>
    </row>
    <row r="33" spans="1:7" s="18" customFormat="1" ht="33" customHeight="1">
      <c r="A33" s="59"/>
      <c r="B33" s="53" t="s">
        <v>126</v>
      </c>
      <c r="C33" s="59" t="s">
        <v>22</v>
      </c>
      <c r="D33" s="59">
        <v>1.1</v>
      </c>
      <c r="E33" s="87">
        <f>D33*E30</f>
        <v>792.0000000000001</v>
      </c>
      <c r="F33" s="65"/>
      <c r="G33" s="84"/>
    </row>
    <row r="34" spans="1:7" s="18" customFormat="1" ht="20.25" customHeight="1">
      <c r="A34" s="59"/>
      <c r="B34" s="53" t="s">
        <v>28</v>
      </c>
      <c r="C34" s="59" t="s">
        <v>21</v>
      </c>
      <c r="D34" s="59" t="s">
        <v>23</v>
      </c>
      <c r="E34" s="87">
        <f>E23*4</f>
        <v>96</v>
      </c>
      <c r="F34" s="65"/>
      <c r="G34" s="84"/>
    </row>
    <row r="35" spans="1:7" s="18" customFormat="1" ht="20.25" customHeight="1">
      <c r="A35" s="59"/>
      <c r="B35" s="53" t="s">
        <v>29</v>
      </c>
      <c r="C35" s="59" t="s">
        <v>26</v>
      </c>
      <c r="D35" s="59">
        <v>0.05</v>
      </c>
      <c r="E35" s="87">
        <f>D35*E30</f>
        <v>36</v>
      </c>
      <c r="F35" s="65"/>
      <c r="G35" s="84"/>
    </row>
    <row r="36" spans="1:7" s="7" customFormat="1" ht="42" customHeight="1">
      <c r="A36" s="62" t="s">
        <v>5</v>
      </c>
      <c r="B36" s="49" t="s">
        <v>66</v>
      </c>
      <c r="C36" s="49" t="s">
        <v>67</v>
      </c>
      <c r="D36" s="63"/>
      <c r="E36" s="88">
        <v>2</v>
      </c>
      <c r="F36" s="66"/>
      <c r="G36" s="83"/>
    </row>
    <row r="37" spans="1:7" ht="19.5" customHeight="1">
      <c r="A37" s="69"/>
      <c r="B37" s="53" t="s">
        <v>47</v>
      </c>
      <c r="C37" s="53" t="s">
        <v>2</v>
      </c>
      <c r="D37" s="64">
        <v>1.04</v>
      </c>
      <c r="E37" s="89">
        <f>E36*D37</f>
        <v>2.08</v>
      </c>
      <c r="F37" s="70"/>
      <c r="G37" s="84"/>
    </row>
    <row r="38" spans="1:7" s="19" customFormat="1" ht="19.5" customHeight="1">
      <c r="A38" s="67"/>
      <c r="B38" s="53" t="s">
        <v>62</v>
      </c>
      <c r="C38" s="53" t="s">
        <v>7</v>
      </c>
      <c r="D38" s="64">
        <v>0.08</v>
      </c>
      <c r="E38" s="87">
        <f>E36*D38</f>
        <v>0.16</v>
      </c>
      <c r="F38" s="65"/>
      <c r="G38" s="84"/>
    </row>
    <row r="39" spans="1:7" s="19" customFormat="1" ht="21.75" customHeight="1">
      <c r="A39" s="67"/>
      <c r="B39" s="53" t="s">
        <v>122</v>
      </c>
      <c r="C39" s="59" t="s">
        <v>69</v>
      </c>
      <c r="D39" s="61">
        <v>6</v>
      </c>
      <c r="E39" s="87">
        <f>E36*D39</f>
        <v>12</v>
      </c>
      <c r="F39" s="65"/>
      <c r="G39" s="84"/>
    </row>
    <row r="40" spans="1:7" s="20" customFormat="1" ht="19.5" customHeight="1">
      <c r="A40" s="59"/>
      <c r="B40" s="53" t="s">
        <v>32</v>
      </c>
      <c r="C40" s="59" t="s">
        <v>22</v>
      </c>
      <c r="D40" s="59">
        <v>2</v>
      </c>
      <c r="E40" s="87">
        <f>E36*D40</f>
        <v>4</v>
      </c>
      <c r="F40" s="65"/>
      <c r="G40" s="84"/>
    </row>
    <row r="41" spans="1:7" s="19" customFormat="1" ht="19.5" customHeight="1">
      <c r="A41" s="67"/>
      <c r="B41" s="53" t="s">
        <v>70</v>
      </c>
      <c r="C41" s="53" t="s">
        <v>7</v>
      </c>
      <c r="D41" s="61">
        <v>1.4</v>
      </c>
      <c r="E41" s="87">
        <f>E36*D41</f>
        <v>2.8</v>
      </c>
      <c r="F41" s="65"/>
      <c r="G41" s="84"/>
    </row>
    <row r="42" spans="1:7" s="7" customFormat="1" ht="42" customHeight="1">
      <c r="A42" s="62" t="s">
        <v>113</v>
      </c>
      <c r="B42" s="49" t="s">
        <v>71</v>
      </c>
      <c r="C42" s="49" t="s">
        <v>69</v>
      </c>
      <c r="D42" s="63"/>
      <c r="E42" s="88">
        <f>3.6*E36</f>
        <v>7.2</v>
      </c>
      <c r="F42" s="66"/>
      <c r="G42" s="83"/>
    </row>
    <row r="43" spans="1:7" ht="19.5" customHeight="1">
      <c r="A43" s="69"/>
      <c r="B43" s="53" t="s">
        <v>47</v>
      </c>
      <c r="C43" s="53" t="s">
        <v>2</v>
      </c>
      <c r="D43" s="64">
        <v>0.14</v>
      </c>
      <c r="E43" s="89">
        <f>E42*D43</f>
        <v>1.0080000000000002</v>
      </c>
      <c r="F43" s="70"/>
      <c r="G43" s="84"/>
    </row>
    <row r="44" spans="1:7" s="19" customFormat="1" ht="19.5" customHeight="1">
      <c r="A44" s="67"/>
      <c r="B44" s="53" t="s">
        <v>62</v>
      </c>
      <c r="C44" s="53" t="s">
        <v>7</v>
      </c>
      <c r="D44" s="64">
        <v>0.01</v>
      </c>
      <c r="E44" s="87">
        <f>E42*D44</f>
        <v>0.07200000000000001</v>
      </c>
      <c r="F44" s="65"/>
      <c r="G44" s="84"/>
    </row>
    <row r="45" spans="1:7" s="19" customFormat="1" ht="19.5" customHeight="1">
      <c r="A45" s="67"/>
      <c r="B45" s="53" t="s">
        <v>127</v>
      </c>
      <c r="C45" s="59" t="s">
        <v>69</v>
      </c>
      <c r="D45" s="61">
        <v>1</v>
      </c>
      <c r="E45" s="87">
        <f>E42*D45</f>
        <v>7.2</v>
      </c>
      <c r="F45" s="65"/>
      <c r="G45" s="84"/>
    </row>
    <row r="46" spans="1:7" s="19" customFormat="1" ht="19.5" customHeight="1">
      <c r="A46" s="67"/>
      <c r="B46" s="53" t="s">
        <v>70</v>
      </c>
      <c r="C46" s="53" t="s">
        <v>7</v>
      </c>
      <c r="D46" s="61">
        <v>0.193</v>
      </c>
      <c r="E46" s="87">
        <f>E42*D46</f>
        <v>1.3896000000000002</v>
      </c>
      <c r="F46" s="65"/>
      <c r="G46" s="84"/>
    </row>
    <row r="47" spans="1:7" s="21" customFormat="1" ht="39.75" customHeight="1">
      <c r="A47" s="56">
        <v>10</v>
      </c>
      <c r="B47" s="49" t="s">
        <v>60</v>
      </c>
      <c r="C47" s="56" t="s">
        <v>61</v>
      </c>
      <c r="D47" s="56"/>
      <c r="E47" s="86">
        <f>3.6*E23/100</f>
        <v>0.8640000000000001</v>
      </c>
      <c r="F47" s="68"/>
      <c r="G47" s="83"/>
    </row>
    <row r="48" spans="1:7" s="20" customFormat="1" ht="21" customHeight="1">
      <c r="A48" s="71"/>
      <c r="B48" s="53" t="s">
        <v>47</v>
      </c>
      <c r="C48" s="53" t="s">
        <v>2</v>
      </c>
      <c r="D48" s="64">
        <v>77.3</v>
      </c>
      <c r="E48" s="85">
        <f>E47*D48</f>
        <v>66.7872</v>
      </c>
      <c r="F48" s="54"/>
      <c r="G48" s="84"/>
    </row>
    <row r="49" spans="1:7" s="20" customFormat="1" ht="15.75">
      <c r="A49" s="71"/>
      <c r="B49" s="53" t="s">
        <v>62</v>
      </c>
      <c r="C49" s="53" t="s">
        <v>7</v>
      </c>
      <c r="D49" s="64">
        <v>0.84</v>
      </c>
      <c r="E49" s="85">
        <f>E47*D49</f>
        <v>0.7257600000000001</v>
      </c>
      <c r="F49" s="54"/>
      <c r="G49" s="84"/>
    </row>
    <row r="50" spans="1:7" s="20" customFormat="1" ht="15.75">
      <c r="A50" s="71"/>
      <c r="B50" s="53" t="s">
        <v>63</v>
      </c>
      <c r="C50" s="53" t="s">
        <v>6</v>
      </c>
      <c r="D50" s="64">
        <v>32.1</v>
      </c>
      <c r="E50" s="85">
        <f>E47*D50</f>
        <v>27.734400000000004</v>
      </c>
      <c r="F50" s="54"/>
      <c r="G50" s="84"/>
    </row>
    <row r="51" spans="1:7" s="20" customFormat="1" ht="15.75">
      <c r="A51" s="71"/>
      <c r="B51" s="53" t="s">
        <v>64</v>
      </c>
      <c r="C51" s="53" t="s">
        <v>6</v>
      </c>
      <c r="D51" s="64">
        <v>3.6</v>
      </c>
      <c r="E51" s="85">
        <f>E47*D51</f>
        <v>3.1104000000000003</v>
      </c>
      <c r="F51" s="54"/>
      <c r="G51" s="84"/>
    </row>
    <row r="52" spans="1:7" s="20" customFormat="1" ht="18" customHeight="1">
      <c r="A52" s="71"/>
      <c r="B52" s="53" t="s">
        <v>51</v>
      </c>
      <c r="C52" s="53" t="s">
        <v>7</v>
      </c>
      <c r="D52" s="64">
        <v>0.07</v>
      </c>
      <c r="E52" s="85">
        <f>E47*D52</f>
        <v>0.06048000000000001</v>
      </c>
      <c r="F52" s="54"/>
      <c r="G52" s="84"/>
    </row>
    <row r="53" spans="1:7" s="20" customFormat="1" ht="18" customHeight="1">
      <c r="A53" s="55"/>
      <c r="B53" s="49" t="s">
        <v>8</v>
      </c>
      <c r="C53" s="49" t="s">
        <v>7</v>
      </c>
      <c r="D53" s="66"/>
      <c r="E53" s="66"/>
      <c r="F53" s="66"/>
      <c r="G53" s="66"/>
    </row>
    <row r="54" spans="1:7" s="26" customFormat="1" ht="36.75" customHeight="1">
      <c r="A54" s="55"/>
      <c r="B54" s="49" t="s">
        <v>132</v>
      </c>
      <c r="C54" s="49" t="s">
        <v>7</v>
      </c>
      <c r="D54" s="72">
        <v>0.75</v>
      </c>
      <c r="E54" s="66"/>
      <c r="F54" s="66"/>
      <c r="G54" s="66"/>
    </row>
    <row r="55" spans="1:7" s="26" customFormat="1" ht="21.75" customHeight="1">
      <c r="A55" s="55"/>
      <c r="B55" s="49" t="s">
        <v>8</v>
      </c>
      <c r="C55" s="49" t="s">
        <v>7</v>
      </c>
      <c r="D55" s="72"/>
      <c r="E55" s="66"/>
      <c r="F55" s="66"/>
      <c r="G55" s="66"/>
    </row>
    <row r="56" spans="1:7" s="26" customFormat="1" ht="24.75" customHeight="1">
      <c r="A56" s="55"/>
      <c r="B56" s="49" t="s">
        <v>81</v>
      </c>
      <c r="C56" s="49" t="s">
        <v>7</v>
      </c>
      <c r="D56" s="72">
        <v>0.08</v>
      </c>
      <c r="E56" s="66"/>
      <c r="F56" s="66"/>
      <c r="G56" s="66"/>
    </row>
    <row r="57" spans="1:7" ht="23.25" customHeight="1">
      <c r="A57" s="73"/>
      <c r="B57" s="49" t="s">
        <v>9</v>
      </c>
      <c r="C57" s="49" t="s">
        <v>7</v>
      </c>
      <c r="D57" s="54"/>
      <c r="E57" s="54"/>
      <c r="F57" s="54"/>
      <c r="G57" s="66"/>
    </row>
    <row r="58" spans="1:6" ht="15.75">
      <c r="A58" s="15"/>
      <c r="B58" s="15"/>
      <c r="C58" s="15"/>
      <c r="D58" s="15"/>
      <c r="E58" s="15"/>
      <c r="F58" s="16"/>
    </row>
    <row r="59" spans="1:6" ht="15.75">
      <c r="A59" s="15"/>
      <c r="B59" s="15"/>
      <c r="C59" s="15"/>
      <c r="D59" s="15"/>
      <c r="E59" s="15"/>
      <c r="F59" s="16"/>
    </row>
  </sheetData>
  <sheetProtection/>
  <mergeCells count="8"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28" right="0.19" top="0.36" bottom="0.44" header="0.3" footer="0.3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4.00390625" style="13" customWidth="1"/>
    <col min="2" max="2" width="36.140625" style="1" customWidth="1"/>
    <col min="3" max="3" width="9.140625" style="1" customWidth="1"/>
    <col min="4" max="4" width="8.7109375" style="1" customWidth="1"/>
    <col min="5" max="5" width="11.28125" style="1" customWidth="1"/>
    <col min="6" max="6" width="12.28125" style="14" customWidth="1"/>
    <col min="7" max="7" width="13.00390625" style="9" customWidth="1"/>
    <col min="8" max="16384" width="9.140625" style="1" customWidth="1"/>
  </cols>
  <sheetData>
    <row r="1" spans="1:7" ht="25.5" customHeight="1">
      <c r="A1" s="105" t="s">
        <v>103</v>
      </c>
      <c r="B1" s="105"/>
      <c r="C1" s="105"/>
      <c r="D1" s="105"/>
      <c r="E1" s="105"/>
      <c r="F1" s="105"/>
      <c r="G1" s="105"/>
    </row>
    <row r="2" spans="1:7" ht="42" customHeight="1">
      <c r="A2" s="106" t="s">
        <v>91</v>
      </c>
      <c r="B2" s="106"/>
      <c r="C2" s="106"/>
      <c r="D2" s="106"/>
      <c r="E2" s="106"/>
      <c r="F2" s="106"/>
      <c r="G2" s="106"/>
    </row>
    <row r="3" spans="1:7" ht="27" customHeight="1">
      <c r="A3" s="105" t="s">
        <v>0</v>
      </c>
      <c r="B3" s="105"/>
      <c r="C3" s="105"/>
      <c r="D3" s="105"/>
      <c r="E3" s="105"/>
      <c r="F3" s="105"/>
      <c r="G3" s="105"/>
    </row>
    <row r="4" spans="1:7" ht="36" customHeight="1">
      <c r="A4" s="103" t="s">
        <v>75</v>
      </c>
      <c r="B4" s="104" t="s">
        <v>76</v>
      </c>
      <c r="C4" s="104" t="s">
        <v>77</v>
      </c>
      <c r="D4" s="103" t="s">
        <v>78</v>
      </c>
      <c r="E4" s="103"/>
      <c r="F4" s="104"/>
      <c r="G4" s="104"/>
    </row>
    <row r="5" spans="1:7" ht="73.5" customHeight="1">
      <c r="A5" s="103"/>
      <c r="B5" s="104"/>
      <c r="C5" s="104"/>
      <c r="D5" s="50" t="s">
        <v>79</v>
      </c>
      <c r="E5" s="50" t="s">
        <v>80</v>
      </c>
      <c r="F5" s="82" t="s">
        <v>135</v>
      </c>
      <c r="G5" s="82" t="s">
        <v>136</v>
      </c>
    </row>
    <row r="6" spans="1:7" s="6" customFormat="1" ht="21.75" customHeight="1">
      <c r="A6" s="51"/>
      <c r="B6" s="52" t="s">
        <v>17</v>
      </c>
      <c r="C6" s="53"/>
      <c r="D6" s="53"/>
      <c r="E6" s="53"/>
      <c r="F6" s="54"/>
      <c r="G6" s="54"/>
    </row>
    <row r="7" spans="1:7" s="20" customFormat="1" ht="30">
      <c r="A7" s="56">
        <v>1</v>
      </c>
      <c r="B7" s="49" t="s">
        <v>56</v>
      </c>
      <c r="C7" s="49" t="s">
        <v>46</v>
      </c>
      <c r="D7" s="57"/>
      <c r="E7" s="86">
        <f>E9+E14</f>
        <v>0.5914999999999999</v>
      </c>
      <c r="F7" s="68"/>
      <c r="G7" s="83"/>
    </row>
    <row r="8" spans="1:7" s="20" customFormat="1" ht="15.75">
      <c r="A8" s="59"/>
      <c r="B8" s="53" t="s">
        <v>27</v>
      </c>
      <c r="C8" s="53" t="s">
        <v>2</v>
      </c>
      <c r="D8" s="60">
        <v>206</v>
      </c>
      <c r="E8" s="87">
        <f>D8*E7</f>
        <v>121.84899999999999</v>
      </c>
      <c r="F8" s="65"/>
      <c r="G8" s="84"/>
    </row>
    <row r="9" spans="1:7" s="6" customFormat="1" ht="30">
      <c r="A9" s="62" t="s">
        <v>16</v>
      </c>
      <c r="B9" s="49" t="s">
        <v>57</v>
      </c>
      <c r="C9" s="49" t="s">
        <v>46</v>
      </c>
      <c r="D9" s="63"/>
      <c r="E9" s="88">
        <f>E14/12</f>
        <v>0.04549999999999999</v>
      </c>
      <c r="F9" s="66"/>
      <c r="G9" s="83"/>
    </row>
    <row r="10" spans="1:7" s="6" customFormat="1" ht="15">
      <c r="A10" s="62"/>
      <c r="B10" s="53" t="s">
        <v>47</v>
      </c>
      <c r="C10" s="53" t="s">
        <v>2</v>
      </c>
      <c r="D10" s="64">
        <v>137</v>
      </c>
      <c r="E10" s="85">
        <f>D10*E9</f>
        <v>6.2334999999999985</v>
      </c>
      <c r="F10" s="54"/>
      <c r="G10" s="84"/>
    </row>
    <row r="11" spans="1:7" s="7" customFormat="1" ht="15">
      <c r="A11" s="62"/>
      <c r="B11" s="53" t="s">
        <v>48</v>
      </c>
      <c r="C11" s="53" t="s">
        <v>7</v>
      </c>
      <c r="D11" s="64">
        <v>28.3</v>
      </c>
      <c r="E11" s="85">
        <f>E9*D11</f>
        <v>1.2876499999999997</v>
      </c>
      <c r="F11" s="54"/>
      <c r="G11" s="84"/>
    </row>
    <row r="12" spans="1:7" s="7" customFormat="1" ht="15">
      <c r="A12" s="62"/>
      <c r="B12" s="53" t="s">
        <v>120</v>
      </c>
      <c r="C12" s="53" t="s">
        <v>50</v>
      </c>
      <c r="D12" s="64">
        <v>102</v>
      </c>
      <c r="E12" s="85">
        <f>D12*E9</f>
        <v>4.640999999999999</v>
      </c>
      <c r="F12" s="54"/>
      <c r="G12" s="84"/>
    </row>
    <row r="13" spans="1:7" s="6" customFormat="1" ht="15">
      <c r="A13" s="62"/>
      <c r="B13" s="53" t="s">
        <v>51</v>
      </c>
      <c r="C13" s="53" t="s">
        <v>7</v>
      </c>
      <c r="D13" s="64">
        <v>62</v>
      </c>
      <c r="E13" s="85">
        <f>E9*D13</f>
        <v>2.8209999999999993</v>
      </c>
      <c r="F13" s="54"/>
      <c r="G13" s="84"/>
    </row>
    <row r="14" spans="1:7" s="6" customFormat="1" ht="30">
      <c r="A14" s="62" t="s">
        <v>3</v>
      </c>
      <c r="B14" s="49" t="s">
        <v>58</v>
      </c>
      <c r="C14" s="49" t="s">
        <v>46</v>
      </c>
      <c r="D14" s="63"/>
      <c r="E14" s="88">
        <f>(0.5*0.5*1.2*(23+47+19+32)+(0.5*0.5*1.2+1*0.5*1.2)*7+(0.5*0.5*1.2+1*0.5*1.2*2)*8)/100</f>
        <v>0.5459999999999999</v>
      </c>
      <c r="F14" s="66"/>
      <c r="G14" s="83"/>
    </row>
    <row r="15" spans="1:7" s="6" customFormat="1" ht="15">
      <c r="A15" s="62"/>
      <c r="B15" s="53" t="s">
        <v>47</v>
      </c>
      <c r="C15" s="53" t="s">
        <v>2</v>
      </c>
      <c r="D15" s="64">
        <v>410</v>
      </c>
      <c r="E15" s="85">
        <f>D15*E14</f>
        <v>223.85999999999999</v>
      </c>
      <c r="F15" s="54"/>
      <c r="G15" s="84"/>
    </row>
    <row r="16" spans="1:7" s="7" customFormat="1" ht="15.75" customHeight="1">
      <c r="A16" s="62"/>
      <c r="B16" s="53" t="s">
        <v>48</v>
      </c>
      <c r="C16" s="53" t="s">
        <v>7</v>
      </c>
      <c r="D16" s="64">
        <v>112</v>
      </c>
      <c r="E16" s="85">
        <f>E14*D16</f>
        <v>61.151999999999994</v>
      </c>
      <c r="F16" s="54"/>
      <c r="G16" s="84"/>
    </row>
    <row r="17" spans="1:7" s="7" customFormat="1" ht="18" customHeight="1">
      <c r="A17" s="62"/>
      <c r="B17" s="53" t="s">
        <v>121</v>
      </c>
      <c r="C17" s="53" t="s">
        <v>50</v>
      </c>
      <c r="D17" s="64">
        <v>101.5</v>
      </c>
      <c r="E17" s="85">
        <f>D17*E14</f>
        <v>55.41899999999999</v>
      </c>
      <c r="F17" s="54"/>
      <c r="G17" s="84"/>
    </row>
    <row r="18" spans="1:7" s="7" customFormat="1" ht="17.25" customHeight="1">
      <c r="A18" s="62"/>
      <c r="B18" s="53" t="s">
        <v>53</v>
      </c>
      <c r="C18" s="53" t="s">
        <v>54</v>
      </c>
      <c r="D18" s="64">
        <v>88.1</v>
      </c>
      <c r="E18" s="85">
        <f>E14*D18</f>
        <v>48.10259999999999</v>
      </c>
      <c r="F18" s="54"/>
      <c r="G18" s="84"/>
    </row>
    <row r="19" spans="1:7" s="20" customFormat="1" ht="18" customHeight="1">
      <c r="A19" s="59"/>
      <c r="B19" s="53" t="s">
        <v>32</v>
      </c>
      <c r="C19" s="59" t="s">
        <v>22</v>
      </c>
      <c r="D19" s="59" t="s">
        <v>23</v>
      </c>
      <c r="E19" s="87">
        <f>E23*1</f>
        <v>136</v>
      </c>
      <c r="F19" s="65"/>
      <c r="G19" s="84"/>
    </row>
    <row r="20" spans="1:7" s="6" customFormat="1" ht="18" customHeight="1">
      <c r="A20" s="62"/>
      <c r="B20" s="53" t="s">
        <v>55</v>
      </c>
      <c r="C20" s="53" t="s">
        <v>50</v>
      </c>
      <c r="D20" s="64">
        <v>1</v>
      </c>
      <c r="E20" s="85">
        <f>E14*D20</f>
        <v>0.5459999999999999</v>
      </c>
      <c r="F20" s="65"/>
      <c r="G20" s="84"/>
    </row>
    <row r="21" spans="1:7" s="6" customFormat="1" ht="15">
      <c r="A21" s="62"/>
      <c r="B21" s="53" t="s">
        <v>51</v>
      </c>
      <c r="C21" s="53" t="s">
        <v>7</v>
      </c>
      <c r="D21" s="64">
        <v>26</v>
      </c>
      <c r="E21" s="85">
        <f>E14*D21</f>
        <v>14.195999999999998</v>
      </c>
      <c r="F21" s="54"/>
      <c r="G21" s="84"/>
    </row>
    <row r="22" spans="1:7" s="6" customFormat="1" ht="30">
      <c r="A22" s="62" t="s">
        <v>4</v>
      </c>
      <c r="B22" s="49" t="s">
        <v>110</v>
      </c>
      <c r="C22" s="49" t="s">
        <v>111</v>
      </c>
      <c r="D22" s="63"/>
      <c r="E22" s="88">
        <f>E14*100*2.43599</f>
        <v>133.00505399999997</v>
      </c>
      <c r="F22" s="66"/>
      <c r="G22" s="83"/>
    </row>
    <row r="23" spans="1:7" s="17" customFormat="1" ht="20.25" customHeight="1">
      <c r="A23" s="56">
        <v>5</v>
      </c>
      <c r="B23" s="49" t="s">
        <v>59</v>
      </c>
      <c r="C23" s="56" t="s">
        <v>21</v>
      </c>
      <c r="D23" s="56"/>
      <c r="E23" s="86">
        <f>23+47+19+32+7+8</f>
        <v>136</v>
      </c>
      <c r="F23" s="68"/>
      <c r="G23" s="83"/>
    </row>
    <row r="24" spans="1:7" s="17" customFormat="1" ht="17.25" customHeight="1">
      <c r="A24" s="59"/>
      <c r="B24" s="53" t="s">
        <v>97</v>
      </c>
      <c r="C24" s="59" t="s">
        <v>22</v>
      </c>
      <c r="D24" s="59" t="s">
        <v>23</v>
      </c>
      <c r="E24" s="87">
        <f>8*(42)+16*11+24*7</f>
        <v>680</v>
      </c>
      <c r="F24" s="65"/>
      <c r="G24" s="84"/>
    </row>
    <row r="25" spans="1:7" s="17" customFormat="1" ht="30">
      <c r="A25" s="59"/>
      <c r="B25" s="53" t="s">
        <v>33</v>
      </c>
      <c r="C25" s="59" t="s">
        <v>24</v>
      </c>
      <c r="D25" s="59" t="s">
        <v>23</v>
      </c>
      <c r="E25" s="87">
        <f>0.0225*E23</f>
        <v>3.06</v>
      </c>
      <c r="F25" s="65"/>
      <c r="G25" s="84"/>
    </row>
    <row r="26" spans="1:7" s="19" customFormat="1" ht="19.5" customHeight="1">
      <c r="A26" s="67"/>
      <c r="B26" s="53" t="s">
        <v>122</v>
      </c>
      <c r="C26" s="59" t="s">
        <v>69</v>
      </c>
      <c r="D26" s="59" t="s">
        <v>23</v>
      </c>
      <c r="E26" s="87">
        <f>E23*0.5</f>
        <v>68</v>
      </c>
      <c r="F26" s="65"/>
      <c r="G26" s="84"/>
    </row>
    <row r="27" spans="1:7" s="17" customFormat="1" ht="21" customHeight="1">
      <c r="A27" s="59"/>
      <c r="B27" s="53" t="s">
        <v>25</v>
      </c>
      <c r="C27" s="59" t="s">
        <v>26</v>
      </c>
      <c r="D27" s="59">
        <v>0.5</v>
      </c>
      <c r="E27" s="87">
        <f>D27*E23</f>
        <v>68</v>
      </c>
      <c r="F27" s="54"/>
      <c r="G27" s="84"/>
    </row>
    <row r="28" spans="1:7" s="17" customFormat="1" ht="18" customHeight="1">
      <c r="A28" s="59"/>
      <c r="B28" s="53" t="s">
        <v>27</v>
      </c>
      <c r="C28" s="59" t="s">
        <v>2</v>
      </c>
      <c r="D28" s="59">
        <v>6.5</v>
      </c>
      <c r="E28" s="87">
        <f>D28*E23</f>
        <v>884</v>
      </c>
      <c r="F28" s="65"/>
      <c r="G28" s="84"/>
    </row>
    <row r="29" spans="1:7" s="17" customFormat="1" ht="34.5" customHeight="1">
      <c r="A29" s="59">
        <v>6</v>
      </c>
      <c r="B29" s="49" t="s">
        <v>115</v>
      </c>
      <c r="C29" s="49" t="s">
        <v>111</v>
      </c>
      <c r="D29" s="63"/>
      <c r="E29" s="88">
        <f>E24*12.133/1000</f>
        <v>8.25044</v>
      </c>
      <c r="F29" s="66"/>
      <c r="G29" s="83"/>
    </row>
    <row r="30" spans="1:7" s="18" customFormat="1" ht="34.5" customHeight="1">
      <c r="A30" s="56">
        <v>7</v>
      </c>
      <c r="B30" s="49" t="s">
        <v>123</v>
      </c>
      <c r="C30" s="56" t="s">
        <v>30</v>
      </c>
      <c r="D30" s="56"/>
      <c r="E30" s="86">
        <v>1710</v>
      </c>
      <c r="F30" s="68"/>
      <c r="G30" s="83"/>
    </row>
    <row r="31" spans="1:7" s="18" customFormat="1" ht="18" customHeight="1">
      <c r="A31" s="59"/>
      <c r="B31" s="59" t="s">
        <v>27</v>
      </c>
      <c r="C31" s="59" t="s">
        <v>2</v>
      </c>
      <c r="D31" s="59">
        <v>0.586</v>
      </c>
      <c r="E31" s="87">
        <f>D31*E30</f>
        <v>1002.06</v>
      </c>
      <c r="F31" s="65"/>
      <c r="G31" s="84"/>
    </row>
    <row r="32" spans="1:7" s="18" customFormat="1" ht="21" customHeight="1">
      <c r="A32" s="59"/>
      <c r="B32" s="59" t="s">
        <v>31</v>
      </c>
      <c r="C32" s="59" t="s">
        <v>7</v>
      </c>
      <c r="D32" s="59">
        <v>0.327</v>
      </c>
      <c r="E32" s="87">
        <f>D32*E30</f>
        <v>559.1700000000001</v>
      </c>
      <c r="F32" s="65"/>
      <c r="G32" s="84"/>
    </row>
    <row r="33" spans="1:7" s="18" customFormat="1" ht="30">
      <c r="A33" s="59"/>
      <c r="B33" s="53" t="s">
        <v>124</v>
      </c>
      <c r="C33" s="59" t="s">
        <v>22</v>
      </c>
      <c r="D33" s="59">
        <v>1.1</v>
      </c>
      <c r="E33" s="87">
        <f>D33*E30</f>
        <v>1881.0000000000002</v>
      </c>
      <c r="F33" s="65"/>
      <c r="G33" s="84"/>
    </row>
    <row r="34" spans="1:7" s="18" customFormat="1" ht="21" customHeight="1">
      <c r="A34" s="59"/>
      <c r="B34" s="53" t="s">
        <v>28</v>
      </c>
      <c r="C34" s="59" t="s">
        <v>21</v>
      </c>
      <c r="D34" s="59" t="s">
        <v>23</v>
      </c>
      <c r="E34" s="87">
        <f>57*4</f>
        <v>228</v>
      </c>
      <c r="F34" s="65"/>
      <c r="G34" s="84"/>
    </row>
    <row r="35" spans="1:7" s="18" customFormat="1" ht="20.25" customHeight="1">
      <c r="A35" s="59"/>
      <c r="B35" s="53" t="s">
        <v>29</v>
      </c>
      <c r="C35" s="59" t="s">
        <v>26</v>
      </c>
      <c r="D35" s="59">
        <v>0.05</v>
      </c>
      <c r="E35" s="87">
        <f>D35*E30</f>
        <v>85.5</v>
      </c>
      <c r="F35" s="65"/>
      <c r="G35" s="84"/>
    </row>
    <row r="36" spans="1:7" s="18" customFormat="1" ht="33" customHeight="1">
      <c r="A36" s="56">
        <v>8</v>
      </c>
      <c r="B36" s="49" t="s">
        <v>128</v>
      </c>
      <c r="C36" s="56" t="s">
        <v>30</v>
      </c>
      <c r="D36" s="56"/>
      <c r="E36" s="86">
        <f>750+300+90+1050+210</f>
        <v>2400</v>
      </c>
      <c r="F36" s="68"/>
      <c r="G36" s="83"/>
    </row>
    <row r="37" spans="1:7" s="18" customFormat="1" ht="18.75" customHeight="1">
      <c r="A37" s="59"/>
      <c r="B37" s="59" t="s">
        <v>27</v>
      </c>
      <c r="C37" s="59" t="s">
        <v>2</v>
      </c>
      <c r="D37" s="59">
        <v>0.586</v>
      </c>
      <c r="E37" s="87">
        <f>D37*E36</f>
        <v>1406.3999999999999</v>
      </c>
      <c r="F37" s="65"/>
      <c r="G37" s="84"/>
    </row>
    <row r="38" spans="1:7" s="18" customFormat="1" ht="20.25" customHeight="1">
      <c r="A38" s="59"/>
      <c r="B38" s="59" t="s">
        <v>31</v>
      </c>
      <c r="C38" s="59" t="s">
        <v>7</v>
      </c>
      <c r="D38" s="59">
        <v>0.327</v>
      </c>
      <c r="E38" s="87">
        <f>D38*E36</f>
        <v>784.8000000000001</v>
      </c>
      <c r="F38" s="65"/>
      <c r="G38" s="84"/>
    </row>
    <row r="39" spans="1:7" s="18" customFormat="1" ht="33.75" customHeight="1">
      <c r="A39" s="59"/>
      <c r="B39" s="53" t="s">
        <v>129</v>
      </c>
      <c r="C39" s="59" t="s">
        <v>22</v>
      </c>
      <c r="D39" s="59">
        <v>1.1</v>
      </c>
      <c r="E39" s="87">
        <f>D39*E36</f>
        <v>2640</v>
      </c>
      <c r="F39" s="65"/>
      <c r="G39" s="84"/>
    </row>
    <row r="40" spans="1:7" s="18" customFormat="1" ht="19.5" customHeight="1">
      <c r="A40" s="59"/>
      <c r="B40" s="53" t="s">
        <v>28</v>
      </c>
      <c r="C40" s="59" t="s">
        <v>21</v>
      </c>
      <c r="D40" s="59" t="s">
        <v>23</v>
      </c>
      <c r="E40" s="87">
        <f>E23*4-E34</f>
        <v>316</v>
      </c>
      <c r="F40" s="65"/>
      <c r="G40" s="84"/>
    </row>
    <row r="41" spans="1:7" s="18" customFormat="1" ht="18" customHeight="1">
      <c r="A41" s="59"/>
      <c r="B41" s="53" t="s">
        <v>29</v>
      </c>
      <c r="C41" s="59" t="s">
        <v>26</v>
      </c>
      <c r="D41" s="59">
        <v>0.05</v>
      </c>
      <c r="E41" s="87">
        <f>D41*E36</f>
        <v>120</v>
      </c>
      <c r="F41" s="65"/>
      <c r="G41" s="84"/>
    </row>
    <row r="42" spans="1:7" s="7" customFormat="1" ht="42" customHeight="1">
      <c r="A42" s="62" t="s">
        <v>113</v>
      </c>
      <c r="B42" s="49" t="s">
        <v>66</v>
      </c>
      <c r="C42" s="49" t="s">
        <v>67</v>
      </c>
      <c r="D42" s="63"/>
      <c r="E42" s="88">
        <v>5</v>
      </c>
      <c r="F42" s="66"/>
      <c r="G42" s="83"/>
    </row>
    <row r="43" spans="1:7" ht="19.5" customHeight="1">
      <c r="A43" s="69"/>
      <c r="B43" s="53" t="s">
        <v>47</v>
      </c>
      <c r="C43" s="53" t="s">
        <v>2</v>
      </c>
      <c r="D43" s="64">
        <v>1.04</v>
      </c>
      <c r="E43" s="89">
        <f>E42*D43</f>
        <v>5.2</v>
      </c>
      <c r="F43" s="70"/>
      <c r="G43" s="84"/>
    </row>
    <row r="44" spans="1:7" s="19" customFormat="1" ht="19.5" customHeight="1">
      <c r="A44" s="67"/>
      <c r="B44" s="53" t="s">
        <v>62</v>
      </c>
      <c r="C44" s="53" t="s">
        <v>7</v>
      </c>
      <c r="D44" s="64">
        <v>0.08</v>
      </c>
      <c r="E44" s="87">
        <f>E42*D44</f>
        <v>0.4</v>
      </c>
      <c r="F44" s="65"/>
      <c r="G44" s="84"/>
    </row>
    <row r="45" spans="1:7" s="19" customFormat="1" ht="19.5" customHeight="1">
      <c r="A45" s="67"/>
      <c r="B45" s="53" t="s">
        <v>122</v>
      </c>
      <c r="C45" s="59" t="s">
        <v>69</v>
      </c>
      <c r="D45" s="61">
        <v>6</v>
      </c>
      <c r="E45" s="87">
        <f>E42*D45</f>
        <v>30</v>
      </c>
      <c r="F45" s="65"/>
      <c r="G45" s="84"/>
    </row>
    <row r="46" spans="1:7" s="20" customFormat="1" ht="15.75">
      <c r="A46" s="59"/>
      <c r="B46" s="53" t="s">
        <v>32</v>
      </c>
      <c r="C46" s="59" t="s">
        <v>22</v>
      </c>
      <c r="D46" s="59">
        <v>2</v>
      </c>
      <c r="E46" s="87">
        <f>E42*D46</f>
        <v>10</v>
      </c>
      <c r="F46" s="65"/>
      <c r="G46" s="84"/>
    </row>
    <row r="47" spans="1:7" s="19" customFormat="1" ht="19.5" customHeight="1">
      <c r="A47" s="67"/>
      <c r="B47" s="53" t="s">
        <v>70</v>
      </c>
      <c r="C47" s="53" t="s">
        <v>7</v>
      </c>
      <c r="D47" s="61">
        <v>1.4</v>
      </c>
      <c r="E47" s="87">
        <f>E42*D47</f>
        <v>7</v>
      </c>
      <c r="F47" s="65"/>
      <c r="G47" s="84"/>
    </row>
    <row r="48" spans="1:7" s="7" customFormat="1" ht="42" customHeight="1">
      <c r="A48" s="62" t="s">
        <v>116</v>
      </c>
      <c r="B48" s="49" t="s">
        <v>71</v>
      </c>
      <c r="C48" s="49" t="s">
        <v>69</v>
      </c>
      <c r="D48" s="63"/>
      <c r="E48" s="88">
        <f>3.6*E42</f>
        <v>18</v>
      </c>
      <c r="F48" s="66"/>
      <c r="G48" s="83"/>
    </row>
    <row r="49" spans="1:7" ht="19.5" customHeight="1">
      <c r="A49" s="69"/>
      <c r="B49" s="53" t="s">
        <v>47</v>
      </c>
      <c r="C49" s="53" t="s">
        <v>2</v>
      </c>
      <c r="D49" s="64">
        <v>0.14</v>
      </c>
      <c r="E49" s="89">
        <f>E48*D49</f>
        <v>2.5200000000000005</v>
      </c>
      <c r="F49" s="70"/>
      <c r="G49" s="84"/>
    </row>
    <row r="50" spans="1:7" s="19" customFormat="1" ht="19.5" customHeight="1">
      <c r="A50" s="67"/>
      <c r="B50" s="53" t="s">
        <v>62</v>
      </c>
      <c r="C50" s="53" t="s">
        <v>7</v>
      </c>
      <c r="D50" s="64">
        <v>0.01</v>
      </c>
      <c r="E50" s="87">
        <f>E48*D50</f>
        <v>0.18</v>
      </c>
      <c r="F50" s="65"/>
      <c r="G50" s="84"/>
    </row>
    <row r="51" spans="1:7" s="19" customFormat="1" ht="19.5" customHeight="1">
      <c r="A51" s="67"/>
      <c r="B51" s="53" t="s">
        <v>127</v>
      </c>
      <c r="C51" s="59" t="s">
        <v>69</v>
      </c>
      <c r="D51" s="61">
        <v>1</v>
      </c>
      <c r="E51" s="87">
        <f>E48*D51</f>
        <v>18</v>
      </c>
      <c r="F51" s="65"/>
      <c r="G51" s="84"/>
    </row>
    <row r="52" spans="1:7" s="19" customFormat="1" ht="19.5" customHeight="1">
      <c r="A52" s="67"/>
      <c r="B52" s="53" t="s">
        <v>70</v>
      </c>
      <c r="C52" s="53" t="s">
        <v>7</v>
      </c>
      <c r="D52" s="61">
        <v>0.193</v>
      </c>
      <c r="E52" s="87">
        <f>E48*D52</f>
        <v>3.474</v>
      </c>
      <c r="F52" s="65"/>
      <c r="G52" s="84"/>
    </row>
    <row r="53" spans="1:7" s="21" customFormat="1" ht="38.25" customHeight="1">
      <c r="A53" s="56">
        <v>11</v>
      </c>
      <c r="B53" s="49" t="s">
        <v>60</v>
      </c>
      <c r="C53" s="56" t="s">
        <v>61</v>
      </c>
      <c r="D53" s="56"/>
      <c r="E53" s="86">
        <f>3.6*E23/100</f>
        <v>4.896</v>
      </c>
      <c r="F53" s="68"/>
      <c r="G53" s="83"/>
    </row>
    <row r="54" spans="1:7" s="20" customFormat="1" ht="19.5" customHeight="1">
      <c r="A54" s="71"/>
      <c r="B54" s="53" t="s">
        <v>47</v>
      </c>
      <c r="C54" s="53" t="s">
        <v>2</v>
      </c>
      <c r="D54" s="64">
        <v>77.3</v>
      </c>
      <c r="E54" s="85">
        <f>E53*D54</f>
        <v>378.4608</v>
      </c>
      <c r="F54" s="54"/>
      <c r="G54" s="84"/>
    </row>
    <row r="55" spans="1:7" s="20" customFormat="1" ht="20.25" customHeight="1">
      <c r="A55" s="71"/>
      <c r="B55" s="53" t="s">
        <v>62</v>
      </c>
      <c r="C55" s="53" t="s">
        <v>7</v>
      </c>
      <c r="D55" s="64">
        <v>0.84</v>
      </c>
      <c r="E55" s="85">
        <f>E53*D55</f>
        <v>4.11264</v>
      </c>
      <c r="F55" s="54"/>
      <c r="G55" s="84"/>
    </row>
    <row r="56" spans="1:7" s="20" customFormat="1" ht="18.75" customHeight="1">
      <c r="A56" s="71"/>
      <c r="B56" s="53" t="s">
        <v>63</v>
      </c>
      <c r="C56" s="53" t="s">
        <v>6</v>
      </c>
      <c r="D56" s="64">
        <v>32.1</v>
      </c>
      <c r="E56" s="85">
        <f>E53*D56</f>
        <v>157.1616</v>
      </c>
      <c r="F56" s="54"/>
      <c r="G56" s="84"/>
    </row>
    <row r="57" spans="1:7" s="20" customFormat="1" ht="21" customHeight="1">
      <c r="A57" s="71"/>
      <c r="B57" s="53" t="s">
        <v>64</v>
      </c>
      <c r="C57" s="53" t="s">
        <v>6</v>
      </c>
      <c r="D57" s="64">
        <v>3.6</v>
      </c>
      <c r="E57" s="85">
        <f>E53*D57</f>
        <v>17.6256</v>
      </c>
      <c r="F57" s="54"/>
      <c r="G57" s="84"/>
    </row>
    <row r="58" spans="1:7" s="20" customFormat="1" ht="18" customHeight="1">
      <c r="A58" s="71"/>
      <c r="B58" s="53" t="s">
        <v>51</v>
      </c>
      <c r="C58" s="53" t="s">
        <v>7</v>
      </c>
      <c r="D58" s="64">
        <v>0.07</v>
      </c>
      <c r="E58" s="85">
        <f>E53*D58</f>
        <v>0.34272</v>
      </c>
      <c r="F58" s="54"/>
      <c r="G58" s="84"/>
    </row>
    <row r="59" spans="1:7" s="20" customFormat="1" ht="23.25" customHeight="1">
      <c r="A59" s="55"/>
      <c r="B59" s="49" t="s">
        <v>8</v>
      </c>
      <c r="C59" s="49" t="s">
        <v>7</v>
      </c>
      <c r="D59" s="66"/>
      <c r="E59" s="66"/>
      <c r="F59" s="66"/>
      <c r="G59" s="66"/>
    </row>
    <row r="60" spans="1:7" s="26" customFormat="1" ht="39" customHeight="1">
      <c r="A60" s="55"/>
      <c r="B60" s="49" t="s">
        <v>132</v>
      </c>
      <c r="C60" s="49" t="s">
        <v>7</v>
      </c>
      <c r="D60" s="72">
        <v>0.75</v>
      </c>
      <c r="E60" s="66"/>
      <c r="F60" s="66"/>
      <c r="G60" s="66"/>
    </row>
    <row r="61" spans="1:7" s="26" customFormat="1" ht="22.5" customHeight="1">
      <c r="A61" s="55"/>
      <c r="B61" s="49" t="s">
        <v>8</v>
      </c>
      <c r="C61" s="49" t="s">
        <v>7</v>
      </c>
      <c r="D61" s="72"/>
      <c r="E61" s="66"/>
      <c r="F61" s="66"/>
      <c r="G61" s="66"/>
    </row>
    <row r="62" spans="1:7" s="26" customFormat="1" ht="26.25" customHeight="1">
      <c r="A62" s="55"/>
      <c r="B62" s="49" t="s">
        <v>81</v>
      </c>
      <c r="C62" s="49" t="s">
        <v>7</v>
      </c>
      <c r="D62" s="72">
        <v>0.08</v>
      </c>
      <c r="E62" s="66"/>
      <c r="F62" s="66"/>
      <c r="G62" s="66"/>
    </row>
    <row r="63" spans="1:7" ht="18.75" customHeight="1">
      <c r="A63" s="73"/>
      <c r="B63" s="49" t="s">
        <v>9</v>
      </c>
      <c r="C63" s="49" t="s">
        <v>7</v>
      </c>
      <c r="D63" s="54"/>
      <c r="E63" s="54"/>
      <c r="F63" s="54"/>
      <c r="G63" s="66"/>
    </row>
    <row r="64" spans="1:6" ht="15.75">
      <c r="A64" s="15"/>
      <c r="B64" s="15"/>
      <c r="C64" s="15"/>
      <c r="D64" s="15"/>
      <c r="E64" s="15"/>
      <c r="F64" s="16"/>
    </row>
  </sheetData>
  <sheetProtection/>
  <mergeCells count="8"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31" right="0.19" top="0.29" bottom="0.75" header="0.3" footer="0.3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4.00390625" style="13" customWidth="1"/>
    <col min="2" max="2" width="36.140625" style="1" customWidth="1"/>
    <col min="3" max="3" width="9.140625" style="1" customWidth="1"/>
    <col min="4" max="4" width="8.7109375" style="1" customWidth="1"/>
    <col min="5" max="5" width="11.57421875" style="1" customWidth="1"/>
    <col min="6" max="6" width="12.421875" style="14" customWidth="1"/>
    <col min="7" max="7" width="12.140625" style="9" customWidth="1"/>
    <col min="8" max="16384" width="9.140625" style="1" customWidth="1"/>
  </cols>
  <sheetData>
    <row r="1" spans="1:7" ht="24.75" customHeight="1">
      <c r="A1" s="107" t="s">
        <v>104</v>
      </c>
      <c r="B1" s="107"/>
      <c r="C1" s="107"/>
      <c r="D1" s="107"/>
      <c r="E1" s="107"/>
      <c r="F1" s="107"/>
      <c r="G1" s="107"/>
    </row>
    <row r="2" spans="1:7" ht="33.75" customHeight="1">
      <c r="A2" s="108" t="s">
        <v>92</v>
      </c>
      <c r="B2" s="108"/>
      <c r="C2" s="108"/>
      <c r="D2" s="108"/>
      <c r="E2" s="108"/>
      <c r="F2" s="108"/>
      <c r="G2" s="108"/>
    </row>
    <row r="3" spans="1:7" ht="21.75" customHeight="1">
      <c r="A3" s="107" t="s">
        <v>0</v>
      </c>
      <c r="B3" s="107"/>
      <c r="C3" s="107"/>
      <c r="D3" s="107"/>
      <c r="E3" s="107"/>
      <c r="F3" s="107"/>
      <c r="G3" s="107"/>
    </row>
    <row r="4" spans="1:7" ht="36" customHeight="1">
      <c r="A4" s="103" t="s">
        <v>75</v>
      </c>
      <c r="B4" s="104" t="s">
        <v>76</v>
      </c>
      <c r="C4" s="104" t="s">
        <v>77</v>
      </c>
      <c r="D4" s="103" t="s">
        <v>78</v>
      </c>
      <c r="E4" s="103"/>
      <c r="F4" s="104"/>
      <c r="G4" s="104"/>
    </row>
    <row r="5" spans="1:7" ht="73.5" customHeight="1">
      <c r="A5" s="103"/>
      <c r="B5" s="104"/>
      <c r="C5" s="104"/>
      <c r="D5" s="50" t="s">
        <v>79</v>
      </c>
      <c r="E5" s="50" t="s">
        <v>80</v>
      </c>
      <c r="F5" s="82" t="s">
        <v>135</v>
      </c>
      <c r="G5" s="82" t="s">
        <v>136</v>
      </c>
    </row>
    <row r="6" spans="1:7" s="6" customFormat="1" ht="22.5" customHeight="1">
      <c r="A6" s="51"/>
      <c r="B6" s="52" t="s">
        <v>17</v>
      </c>
      <c r="C6" s="53"/>
      <c r="D6" s="53"/>
      <c r="E6" s="53"/>
      <c r="F6" s="54"/>
      <c r="G6" s="54"/>
    </row>
    <row r="7" spans="1:7" s="20" customFormat="1" ht="30">
      <c r="A7" s="56">
        <v>1</v>
      </c>
      <c r="B7" s="49" t="s">
        <v>56</v>
      </c>
      <c r="C7" s="49" t="s">
        <v>46</v>
      </c>
      <c r="D7" s="57"/>
      <c r="E7" s="86">
        <f>E9+E14</f>
        <v>0.195</v>
      </c>
      <c r="F7" s="68"/>
      <c r="G7" s="83"/>
    </row>
    <row r="8" spans="1:7" s="20" customFormat="1" ht="23.25" customHeight="1">
      <c r="A8" s="59"/>
      <c r="B8" s="53" t="s">
        <v>27</v>
      </c>
      <c r="C8" s="53" t="s">
        <v>2</v>
      </c>
      <c r="D8" s="60">
        <v>206</v>
      </c>
      <c r="E8" s="87">
        <f>D8*E7</f>
        <v>40.17</v>
      </c>
      <c r="F8" s="65"/>
      <c r="G8" s="84"/>
    </row>
    <row r="9" spans="1:7" s="6" customFormat="1" ht="30">
      <c r="A9" s="62" t="s">
        <v>16</v>
      </c>
      <c r="B9" s="49" t="s">
        <v>57</v>
      </c>
      <c r="C9" s="49" t="s">
        <v>46</v>
      </c>
      <c r="D9" s="63"/>
      <c r="E9" s="88">
        <f>E14/12</f>
        <v>0.015</v>
      </c>
      <c r="F9" s="66"/>
      <c r="G9" s="83"/>
    </row>
    <row r="10" spans="1:7" s="6" customFormat="1" ht="15">
      <c r="A10" s="62"/>
      <c r="B10" s="53" t="s">
        <v>47</v>
      </c>
      <c r="C10" s="53" t="s">
        <v>2</v>
      </c>
      <c r="D10" s="64">
        <v>137</v>
      </c>
      <c r="E10" s="85">
        <f>D10*E9</f>
        <v>2.0549999999999997</v>
      </c>
      <c r="F10" s="54"/>
      <c r="G10" s="84"/>
    </row>
    <row r="11" spans="1:7" s="7" customFormat="1" ht="15">
      <c r="A11" s="62"/>
      <c r="B11" s="53" t="s">
        <v>48</v>
      </c>
      <c r="C11" s="53" t="s">
        <v>7</v>
      </c>
      <c r="D11" s="64">
        <v>28.3</v>
      </c>
      <c r="E11" s="85">
        <f>E9*D11</f>
        <v>0.4245</v>
      </c>
      <c r="F11" s="54"/>
      <c r="G11" s="84"/>
    </row>
    <row r="12" spans="1:7" s="7" customFormat="1" ht="15">
      <c r="A12" s="62"/>
      <c r="B12" s="53" t="s">
        <v>120</v>
      </c>
      <c r="C12" s="53" t="s">
        <v>50</v>
      </c>
      <c r="D12" s="64">
        <v>102</v>
      </c>
      <c r="E12" s="85">
        <f>D12*E9</f>
        <v>1.53</v>
      </c>
      <c r="F12" s="54"/>
      <c r="G12" s="84"/>
    </row>
    <row r="13" spans="1:7" s="6" customFormat="1" ht="15">
      <c r="A13" s="62"/>
      <c r="B13" s="53" t="s">
        <v>51</v>
      </c>
      <c r="C13" s="53" t="s">
        <v>7</v>
      </c>
      <c r="D13" s="64">
        <v>62</v>
      </c>
      <c r="E13" s="85">
        <f>E9*D13</f>
        <v>0.9299999999999999</v>
      </c>
      <c r="F13" s="54"/>
      <c r="G13" s="84"/>
    </row>
    <row r="14" spans="1:7" s="6" customFormat="1" ht="30">
      <c r="A14" s="62" t="s">
        <v>3</v>
      </c>
      <c r="B14" s="49" t="s">
        <v>58</v>
      </c>
      <c r="C14" s="49" t="s">
        <v>46</v>
      </c>
      <c r="D14" s="63"/>
      <c r="E14" s="88">
        <f>(0.5*0.5*1.2*(43)+(0.5*0.5*1.2+1*0.5*1.2)*4+(0.5*0.5*1.2+1*0.5*1.2*2)*1)/100</f>
        <v>0.18</v>
      </c>
      <c r="F14" s="66"/>
      <c r="G14" s="83"/>
    </row>
    <row r="15" spans="1:7" s="6" customFormat="1" ht="15">
      <c r="A15" s="62"/>
      <c r="B15" s="53" t="s">
        <v>47</v>
      </c>
      <c r="C15" s="53" t="s">
        <v>2</v>
      </c>
      <c r="D15" s="64">
        <v>410</v>
      </c>
      <c r="E15" s="85">
        <f>D15*E14</f>
        <v>73.8</v>
      </c>
      <c r="F15" s="54"/>
      <c r="G15" s="84"/>
    </row>
    <row r="16" spans="1:7" s="7" customFormat="1" ht="15">
      <c r="A16" s="62"/>
      <c r="B16" s="53" t="s">
        <v>48</v>
      </c>
      <c r="C16" s="53" t="s">
        <v>7</v>
      </c>
      <c r="D16" s="64">
        <v>112</v>
      </c>
      <c r="E16" s="85">
        <f>E14*D16</f>
        <v>20.16</v>
      </c>
      <c r="F16" s="54"/>
      <c r="G16" s="84"/>
    </row>
    <row r="17" spans="1:7" s="7" customFormat="1" ht="15">
      <c r="A17" s="62"/>
      <c r="B17" s="53" t="s">
        <v>121</v>
      </c>
      <c r="C17" s="53" t="s">
        <v>50</v>
      </c>
      <c r="D17" s="64">
        <v>101.5</v>
      </c>
      <c r="E17" s="85">
        <f>D17*E14</f>
        <v>18.27</v>
      </c>
      <c r="F17" s="54"/>
      <c r="G17" s="84"/>
    </row>
    <row r="18" spans="1:7" s="7" customFormat="1" ht="15">
      <c r="A18" s="62"/>
      <c r="B18" s="53" t="s">
        <v>53</v>
      </c>
      <c r="C18" s="53" t="s">
        <v>54</v>
      </c>
      <c r="D18" s="64">
        <v>88.1</v>
      </c>
      <c r="E18" s="85">
        <f>E14*D18</f>
        <v>15.857999999999999</v>
      </c>
      <c r="F18" s="54"/>
      <c r="G18" s="84"/>
    </row>
    <row r="19" spans="1:7" s="20" customFormat="1" ht="15.75">
      <c r="A19" s="59"/>
      <c r="B19" s="53" t="s">
        <v>32</v>
      </c>
      <c r="C19" s="59" t="s">
        <v>22</v>
      </c>
      <c r="D19" s="59" t="s">
        <v>23</v>
      </c>
      <c r="E19" s="87">
        <f>E23*1</f>
        <v>48</v>
      </c>
      <c r="F19" s="65"/>
      <c r="G19" s="84"/>
    </row>
    <row r="20" spans="1:7" s="6" customFormat="1" ht="15">
      <c r="A20" s="62"/>
      <c r="B20" s="53" t="s">
        <v>55</v>
      </c>
      <c r="C20" s="53" t="s">
        <v>50</v>
      </c>
      <c r="D20" s="64">
        <v>1</v>
      </c>
      <c r="E20" s="85">
        <f>E14*D20</f>
        <v>0.18</v>
      </c>
      <c r="F20" s="65"/>
      <c r="G20" s="84"/>
    </row>
    <row r="21" spans="1:7" s="6" customFormat="1" ht="15">
      <c r="A21" s="62"/>
      <c r="B21" s="53" t="s">
        <v>51</v>
      </c>
      <c r="C21" s="53" t="s">
        <v>7</v>
      </c>
      <c r="D21" s="64">
        <v>26</v>
      </c>
      <c r="E21" s="85">
        <f>E14*D21</f>
        <v>4.68</v>
      </c>
      <c r="F21" s="54"/>
      <c r="G21" s="84"/>
    </row>
    <row r="22" spans="1:7" s="6" customFormat="1" ht="30">
      <c r="A22" s="62" t="s">
        <v>4</v>
      </c>
      <c r="B22" s="49" t="s">
        <v>110</v>
      </c>
      <c r="C22" s="49" t="s">
        <v>111</v>
      </c>
      <c r="D22" s="63"/>
      <c r="E22" s="88">
        <f>E14*100*2.433599</f>
        <v>43.804782</v>
      </c>
      <c r="F22" s="66"/>
      <c r="G22" s="83"/>
    </row>
    <row r="23" spans="1:7" s="17" customFormat="1" ht="18" customHeight="1">
      <c r="A23" s="56">
        <v>5</v>
      </c>
      <c r="B23" s="49" t="s">
        <v>59</v>
      </c>
      <c r="C23" s="56" t="s">
        <v>21</v>
      </c>
      <c r="D23" s="56"/>
      <c r="E23" s="86">
        <v>48</v>
      </c>
      <c r="F23" s="68"/>
      <c r="G23" s="83"/>
    </row>
    <row r="24" spans="1:7" s="17" customFormat="1" ht="15">
      <c r="A24" s="59"/>
      <c r="B24" s="53" t="s">
        <v>97</v>
      </c>
      <c r="C24" s="59" t="s">
        <v>22</v>
      </c>
      <c r="D24" s="59" t="s">
        <v>23</v>
      </c>
      <c r="E24" s="87">
        <f>8*(43)+16*4+24*1</f>
        <v>432</v>
      </c>
      <c r="F24" s="65"/>
      <c r="G24" s="84"/>
    </row>
    <row r="25" spans="1:7" s="17" customFormat="1" ht="30">
      <c r="A25" s="59"/>
      <c r="B25" s="53" t="s">
        <v>33</v>
      </c>
      <c r="C25" s="59" t="s">
        <v>24</v>
      </c>
      <c r="D25" s="59" t="s">
        <v>23</v>
      </c>
      <c r="E25" s="87">
        <f>0.0225*E23</f>
        <v>1.08</v>
      </c>
      <c r="F25" s="65"/>
      <c r="G25" s="84"/>
    </row>
    <row r="26" spans="1:7" s="19" customFormat="1" ht="19.5" customHeight="1">
      <c r="A26" s="67"/>
      <c r="B26" s="53" t="s">
        <v>122</v>
      </c>
      <c r="C26" s="59" t="s">
        <v>69</v>
      </c>
      <c r="D26" s="59" t="s">
        <v>23</v>
      </c>
      <c r="E26" s="87">
        <f>E23*0.5</f>
        <v>24</v>
      </c>
      <c r="F26" s="65"/>
      <c r="G26" s="84"/>
    </row>
    <row r="27" spans="1:7" s="17" customFormat="1" ht="15">
      <c r="A27" s="59"/>
      <c r="B27" s="53" t="s">
        <v>25</v>
      </c>
      <c r="C27" s="59" t="s">
        <v>26</v>
      </c>
      <c r="D27" s="59">
        <v>0.5</v>
      </c>
      <c r="E27" s="87">
        <f>D27*E23</f>
        <v>24</v>
      </c>
      <c r="F27" s="54"/>
      <c r="G27" s="84"/>
    </row>
    <row r="28" spans="1:7" s="17" customFormat="1" ht="15">
      <c r="A28" s="59"/>
      <c r="B28" s="53" t="s">
        <v>27</v>
      </c>
      <c r="C28" s="59" t="s">
        <v>2</v>
      </c>
      <c r="D28" s="59">
        <v>6.5</v>
      </c>
      <c r="E28" s="87">
        <f>D28*E23</f>
        <v>312</v>
      </c>
      <c r="F28" s="65"/>
      <c r="G28" s="84"/>
    </row>
    <row r="29" spans="1:7" s="17" customFormat="1" ht="30">
      <c r="A29" s="59">
        <v>6</v>
      </c>
      <c r="B29" s="49" t="s">
        <v>115</v>
      </c>
      <c r="C29" s="49" t="s">
        <v>111</v>
      </c>
      <c r="D29" s="63"/>
      <c r="E29" s="88">
        <f>E24*12.133/1000</f>
        <v>5.2414559999999994</v>
      </c>
      <c r="F29" s="66"/>
      <c r="G29" s="83"/>
    </row>
    <row r="30" spans="1:7" s="18" customFormat="1" ht="33" customHeight="1">
      <c r="A30" s="56">
        <v>7</v>
      </c>
      <c r="B30" s="49" t="s">
        <v>128</v>
      </c>
      <c r="C30" s="56" t="s">
        <v>30</v>
      </c>
      <c r="D30" s="56"/>
      <c r="E30" s="86">
        <v>1440</v>
      </c>
      <c r="F30" s="68"/>
      <c r="G30" s="83"/>
    </row>
    <row r="31" spans="1:7" s="18" customFormat="1" ht="15">
      <c r="A31" s="59"/>
      <c r="B31" s="59" t="s">
        <v>27</v>
      </c>
      <c r="C31" s="59" t="s">
        <v>2</v>
      </c>
      <c r="D31" s="59">
        <v>0.586</v>
      </c>
      <c r="E31" s="87">
        <f>D31*E30</f>
        <v>843.8399999999999</v>
      </c>
      <c r="F31" s="65"/>
      <c r="G31" s="84"/>
    </row>
    <row r="32" spans="1:7" s="18" customFormat="1" ht="15">
      <c r="A32" s="59"/>
      <c r="B32" s="59" t="s">
        <v>31</v>
      </c>
      <c r="C32" s="59" t="s">
        <v>7</v>
      </c>
      <c r="D32" s="59">
        <v>0.327</v>
      </c>
      <c r="E32" s="87">
        <f>D32*E30</f>
        <v>470.88</v>
      </c>
      <c r="F32" s="65"/>
      <c r="G32" s="84"/>
    </row>
    <row r="33" spans="1:7" s="18" customFormat="1" ht="30">
      <c r="A33" s="59"/>
      <c r="B33" s="53" t="s">
        <v>129</v>
      </c>
      <c r="C33" s="59" t="s">
        <v>22</v>
      </c>
      <c r="D33" s="59">
        <v>1.1</v>
      </c>
      <c r="E33" s="87">
        <f>D33*E30</f>
        <v>1584.0000000000002</v>
      </c>
      <c r="F33" s="65"/>
      <c r="G33" s="84"/>
    </row>
    <row r="34" spans="1:7" s="18" customFormat="1" ht="15">
      <c r="A34" s="59"/>
      <c r="B34" s="53" t="s">
        <v>28</v>
      </c>
      <c r="C34" s="59" t="s">
        <v>21</v>
      </c>
      <c r="D34" s="59" t="s">
        <v>23</v>
      </c>
      <c r="E34" s="87">
        <f>E23*4</f>
        <v>192</v>
      </c>
      <c r="F34" s="65"/>
      <c r="G34" s="84"/>
    </row>
    <row r="35" spans="1:7" s="18" customFormat="1" ht="15">
      <c r="A35" s="59"/>
      <c r="B35" s="53" t="s">
        <v>29</v>
      </c>
      <c r="C35" s="59" t="s">
        <v>26</v>
      </c>
      <c r="D35" s="59">
        <v>0.05</v>
      </c>
      <c r="E35" s="87">
        <f>D35*E30</f>
        <v>72</v>
      </c>
      <c r="F35" s="65"/>
      <c r="G35" s="84"/>
    </row>
    <row r="36" spans="1:7" s="7" customFormat="1" ht="42" customHeight="1">
      <c r="A36" s="62" t="s">
        <v>5</v>
      </c>
      <c r="B36" s="49" t="s">
        <v>66</v>
      </c>
      <c r="C36" s="49" t="s">
        <v>67</v>
      </c>
      <c r="D36" s="63"/>
      <c r="E36" s="88">
        <v>5</v>
      </c>
      <c r="F36" s="66"/>
      <c r="G36" s="83"/>
    </row>
    <row r="37" spans="1:7" ht="19.5" customHeight="1">
      <c r="A37" s="69"/>
      <c r="B37" s="53" t="s">
        <v>47</v>
      </c>
      <c r="C37" s="53" t="s">
        <v>2</v>
      </c>
      <c r="D37" s="64">
        <v>1.04</v>
      </c>
      <c r="E37" s="89">
        <f>E36*D37</f>
        <v>5.2</v>
      </c>
      <c r="F37" s="70"/>
      <c r="G37" s="84"/>
    </row>
    <row r="38" spans="1:7" s="19" customFormat="1" ht="19.5" customHeight="1">
      <c r="A38" s="67"/>
      <c r="B38" s="53" t="s">
        <v>62</v>
      </c>
      <c r="C38" s="53" t="s">
        <v>7</v>
      </c>
      <c r="D38" s="64">
        <v>0.08</v>
      </c>
      <c r="E38" s="87">
        <f>E36*D38</f>
        <v>0.4</v>
      </c>
      <c r="F38" s="65"/>
      <c r="G38" s="84"/>
    </row>
    <row r="39" spans="1:7" s="19" customFormat="1" ht="19.5" customHeight="1">
      <c r="A39" s="67"/>
      <c r="B39" s="53" t="s">
        <v>122</v>
      </c>
      <c r="C39" s="59" t="s">
        <v>69</v>
      </c>
      <c r="D39" s="61">
        <v>6</v>
      </c>
      <c r="E39" s="87">
        <f>E36*D39</f>
        <v>30</v>
      </c>
      <c r="F39" s="65"/>
      <c r="G39" s="84"/>
    </row>
    <row r="40" spans="1:7" s="20" customFormat="1" ht="15.75">
      <c r="A40" s="59"/>
      <c r="B40" s="53" t="s">
        <v>32</v>
      </c>
      <c r="C40" s="59" t="s">
        <v>22</v>
      </c>
      <c r="D40" s="59">
        <v>2</v>
      </c>
      <c r="E40" s="87">
        <f>E36*D40</f>
        <v>10</v>
      </c>
      <c r="F40" s="65"/>
      <c r="G40" s="84"/>
    </row>
    <row r="41" spans="1:7" s="19" customFormat="1" ht="19.5" customHeight="1">
      <c r="A41" s="67"/>
      <c r="B41" s="53" t="s">
        <v>70</v>
      </c>
      <c r="C41" s="53" t="s">
        <v>7</v>
      </c>
      <c r="D41" s="61">
        <v>1.4</v>
      </c>
      <c r="E41" s="87">
        <f>E36*D41</f>
        <v>7</v>
      </c>
      <c r="F41" s="65"/>
      <c r="G41" s="84"/>
    </row>
    <row r="42" spans="1:7" s="7" customFormat="1" ht="42" customHeight="1">
      <c r="A42" s="62" t="s">
        <v>113</v>
      </c>
      <c r="B42" s="49" t="s">
        <v>71</v>
      </c>
      <c r="C42" s="49" t="s">
        <v>69</v>
      </c>
      <c r="D42" s="63"/>
      <c r="E42" s="88">
        <f>3.6*E36</f>
        <v>18</v>
      </c>
      <c r="F42" s="66"/>
      <c r="G42" s="83"/>
    </row>
    <row r="43" spans="1:7" ht="19.5" customHeight="1">
      <c r="A43" s="69"/>
      <c r="B43" s="53" t="s">
        <v>47</v>
      </c>
      <c r="C43" s="53" t="s">
        <v>2</v>
      </c>
      <c r="D43" s="64">
        <v>0.14</v>
      </c>
      <c r="E43" s="89">
        <f>E42*D43</f>
        <v>2.5200000000000005</v>
      </c>
      <c r="F43" s="70"/>
      <c r="G43" s="84"/>
    </row>
    <row r="44" spans="1:7" s="19" customFormat="1" ht="19.5" customHeight="1">
      <c r="A44" s="67"/>
      <c r="B44" s="53" t="s">
        <v>62</v>
      </c>
      <c r="C44" s="53" t="s">
        <v>7</v>
      </c>
      <c r="D44" s="64">
        <v>0.01</v>
      </c>
      <c r="E44" s="87">
        <f>E42*D44</f>
        <v>0.18</v>
      </c>
      <c r="F44" s="65"/>
      <c r="G44" s="84"/>
    </row>
    <row r="45" spans="1:7" s="19" customFormat="1" ht="19.5" customHeight="1">
      <c r="A45" s="67"/>
      <c r="B45" s="53" t="s">
        <v>127</v>
      </c>
      <c r="C45" s="59" t="s">
        <v>69</v>
      </c>
      <c r="D45" s="61">
        <v>1</v>
      </c>
      <c r="E45" s="87">
        <f>E42*D45</f>
        <v>18</v>
      </c>
      <c r="F45" s="65"/>
      <c r="G45" s="84"/>
    </row>
    <row r="46" spans="1:7" s="19" customFormat="1" ht="19.5" customHeight="1">
      <c r="A46" s="67"/>
      <c r="B46" s="53" t="s">
        <v>70</v>
      </c>
      <c r="C46" s="53" t="s">
        <v>7</v>
      </c>
      <c r="D46" s="61">
        <v>0.193</v>
      </c>
      <c r="E46" s="87">
        <f>E42*D46</f>
        <v>3.474</v>
      </c>
      <c r="F46" s="65"/>
      <c r="G46" s="84"/>
    </row>
    <row r="47" spans="1:7" s="21" customFormat="1" ht="39" customHeight="1">
      <c r="A47" s="56">
        <v>10</v>
      </c>
      <c r="B47" s="49" t="s">
        <v>60</v>
      </c>
      <c r="C47" s="56" t="s">
        <v>61</v>
      </c>
      <c r="D47" s="56"/>
      <c r="E47" s="86">
        <f>3.6*E23/100</f>
        <v>1.7280000000000002</v>
      </c>
      <c r="F47" s="68"/>
      <c r="G47" s="83"/>
    </row>
    <row r="48" spans="1:7" s="20" customFormat="1" ht="20.25" customHeight="1">
      <c r="A48" s="71"/>
      <c r="B48" s="53" t="s">
        <v>47</v>
      </c>
      <c r="C48" s="53" t="s">
        <v>2</v>
      </c>
      <c r="D48" s="64">
        <v>77.3</v>
      </c>
      <c r="E48" s="85">
        <f>E47*D48</f>
        <v>133.5744</v>
      </c>
      <c r="F48" s="54"/>
      <c r="G48" s="84"/>
    </row>
    <row r="49" spans="1:7" s="20" customFormat="1" ht="19.5" customHeight="1">
      <c r="A49" s="71"/>
      <c r="B49" s="53" t="s">
        <v>62</v>
      </c>
      <c r="C49" s="53" t="s">
        <v>7</v>
      </c>
      <c r="D49" s="64">
        <v>0.84</v>
      </c>
      <c r="E49" s="85">
        <f>E47*D49</f>
        <v>1.4515200000000001</v>
      </c>
      <c r="F49" s="54"/>
      <c r="G49" s="84"/>
    </row>
    <row r="50" spans="1:7" s="20" customFormat="1" ht="20.25" customHeight="1">
      <c r="A50" s="71"/>
      <c r="B50" s="53" t="s">
        <v>63</v>
      </c>
      <c r="C50" s="53" t="s">
        <v>6</v>
      </c>
      <c r="D50" s="64">
        <v>32.1</v>
      </c>
      <c r="E50" s="85">
        <f>E47*D50</f>
        <v>55.46880000000001</v>
      </c>
      <c r="F50" s="54"/>
      <c r="G50" s="84"/>
    </row>
    <row r="51" spans="1:7" s="20" customFormat="1" ht="15.75">
      <c r="A51" s="71"/>
      <c r="B51" s="53" t="s">
        <v>64</v>
      </c>
      <c r="C51" s="53" t="s">
        <v>6</v>
      </c>
      <c r="D51" s="64">
        <v>3.6</v>
      </c>
      <c r="E51" s="85">
        <f>E47*D51</f>
        <v>6.2208000000000006</v>
      </c>
      <c r="F51" s="54"/>
      <c r="G51" s="84"/>
    </row>
    <row r="52" spans="1:7" s="20" customFormat="1" ht="18" customHeight="1">
      <c r="A52" s="71"/>
      <c r="B52" s="53" t="s">
        <v>51</v>
      </c>
      <c r="C52" s="53" t="s">
        <v>7</v>
      </c>
      <c r="D52" s="64">
        <v>0.07</v>
      </c>
      <c r="E52" s="85">
        <f>E47*D52</f>
        <v>0.12096000000000003</v>
      </c>
      <c r="F52" s="54"/>
      <c r="G52" s="84"/>
    </row>
    <row r="53" spans="1:7" s="20" customFormat="1" ht="18" customHeight="1">
      <c r="A53" s="55"/>
      <c r="B53" s="49" t="s">
        <v>8</v>
      </c>
      <c r="C53" s="49" t="s">
        <v>7</v>
      </c>
      <c r="D53" s="66"/>
      <c r="E53" s="66"/>
      <c r="F53" s="66"/>
      <c r="G53" s="66"/>
    </row>
    <row r="54" spans="1:7" s="26" customFormat="1" ht="37.5" customHeight="1">
      <c r="A54" s="55"/>
      <c r="B54" s="49" t="s">
        <v>132</v>
      </c>
      <c r="C54" s="49" t="s">
        <v>7</v>
      </c>
      <c r="D54" s="72">
        <v>0.75</v>
      </c>
      <c r="E54" s="66"/>
      <c r="F54" s="66"/>
      <c r="G54" s="66"/>
    </row>
    <row r="55" spans="1:7" s="26" customFormat="1" ht="20.25" customHeight="1">
      <c r="A55" s="55"/>
      <c r="B55" s="49" t="s">
        <v>8</v>
      </c>
      <c r="C55" s="49" t="s">
        <v>7</v>
      </c>
      <c r="D55" s="72"/>
      <c r="E55" s="66"/>
      <c r="F55" s="66"/>
      <c r="G55" s="66"/>
    </row>
    <row r="56" spans="1:7" s="26" customFormat="1" ht="25.5" customHeight="1">
      <c r="A56" s="55"/>
      <c r="B56" s="49" t="s">
        <v>81</v>
      </c>
      <c r="C56" s="49" t="s">
        <v>7</v>
      </c>
      <c r="D56" s="72">
        <v>0.08</v>
      </c>
      <c r="E56" s="66"/>
      <c r="F56" s="66"/>
      <c r="G56" s="66"/>
    </row>
    <row r="57" spans="1:7" ht="22.5" customHeight="1">
      <c r="A57" s="73"/>
      <c r="B57" s="49" t="s">
        <v>9</v>
      </c>
      <c r="C57" s="49" t="s">
        <v>7</v>
      </c>
      <c r="D57" s="54"/>
      <c r="E57" s="54"/>
      <c r="F57" s="54"/>
      <c r="G57" s="66"/>
    </row>
    <row r="58" spans="1:6" ht="15.75">
      <c r="A58" s="15"/>
      <c r="B58" s="15"/>
      <c r="C58" s="15"/>
      <c r="D58" s="15"/>
      <c r="E58" s="15"/>
      <c r="F58" s="16"/>
    </row>
    <row r="59" spans="1:6" ht="15.75">
      <c r="A59" s="15"/>
      <c r="B59" s="15"/>
      <c r="C59" s="15"/>
      <c r="D59" s="15"/>
      <c r="E59" s="15"/>
      <c r="F59" s="16"/>
    </row>
  </sheetData>
  <sheetProtection/>
  <mergeCells count="8"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25" right="0.24" top="0.24" bottom="0.2" header="0.3" footer="0.3"/>
  <pageSetup horizontalDpi="600" verticalDpi="600" orientation="landscape" paperSize="9" scale="89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Maia</cp:lastModifiedBy>
  <cp:lastPrinted>2021-01-27T11:25:32Z</cp:lastPrinted>
  <dcterms:created xsi:type="dcterms:W3CDTF">1996-10-14T23:33:28Z</dcterms:created>
  <dcterms:modified xsi:type="dcterms:W3CDTF">2022-05-18T21:28:00Z</dcterms:modified>
  <cp:category/>
  <cp:version/>
  <cp:contentType/>
  <cp:contentStatus/>
</cp:coreProperties>
</file>