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D:\D დისკიდან\Khatuna\2022 W E L I\2022 ტენდერები\454 რეაბილიტაცია\454 მუცო\"/>
    </mc:Choice>
  </mc:AlternateContent>
  <xr:revisionPtr revIDLastSave="0" documentId="8_{BC88B0E8-48A2-44F6-BC64-217C8FA34EF7}" xr6:coauthVersionLast="47" xr6:coauthVersionMax="47" xr10:uidLastSave="{00000000-0000-0000-0000-000000000000}"/>
  <bookViews>
    <workbookView xWindow="-120" yWindow="-120" windowWidth="29040" windowHeight="15840" tabRatio="996" xr2:uid="{00000000-000D-0000-FFFF-FFFF00000000}"/>
  </bookViews>
  <sheets>
    <sheet name="TV" sheetId="10" r:id="rId1"/>
    <sheet name="GB" sheetId="11" r:id="rId2"/>
    <sheet name="K.X." sheetId="20" r:id="rId3"/>
    <sheet name="x.2-1" sheetId="1" r:id="rId4"/>
    <sheet name="x.2-2" sheetId="21" r:id="rId5"/>
    <sheet name="x.2-3" sheetId="23" r:id="rId6"/>
    <sheet name="კალკულცია" sheetId="22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5" i="23" l="1"/>
  <c r="I34" i="23"/>
  <c r="I31" i="23"/>
  <c r="I26" i="23"/>
  <c r="I23" i="23"/>
  <c r="I20" i="23"/>
  <c r="K56" i="1"/>
  <c r="K69" i="21"/>
  <c r="I68" i="21"/>
  <c r="I67" i="21"/>
  <c r="I63" i="21"/>
  <c r="I62" i="21"/>
  <c r="I61" i="21"/>
  <c r="I57" i="21"/>
  <c r="I56" i="21"/>
  <c r="I49" i="21" l="1"/>
  <c r="I48" i="21"/>
  <c r="I43" i="21"/>
  <c r="I42" i="21"/>
  <c r="I37" i="21"/>
  <c r="I36" i="21"/>
  <c r="I31" i="21"/>
  <c r="I55" i="1"/>
  <c r="I54" i="1"/>
  <c r="I50" i="1"/>
  <c r="I46" i="1"/>
  <c r="I45" i="1"/>
  <c r="I41" i="1"/>
  <c r="I40" i="1"/>
  <c r="I36" i="1"/>
  <c r="I35" i="1"/>
  <c r="I34" i="1"/>
  <c r="I33" i="1"/>
  <c r="I32" i="1"/>
  <c r="I31" i="1"/>
  <c r="I28" i="1"/>
  <c r="I27" i="1"/>
  <c r="I23" i="1"/>
  <c r="I22" i="1"/>
  <c r="I21" i="1"/>
  <c r="I20" i="1"/>
  <c r="K20" i="22"/>
  <c r="F53" i="21" l="1"/>
  <c r="F49" i="1"/>
  <c r="F48" i="1"/>
  <c r="F35" i="1"/>
  <c r="F34" i="23" l="1"/>
  <c r="J34" i="23" s="1"/>
  <c r="M34" i="23" s="1"/>
  <c r="E33" i="23"/>
  <c r="F33" i="23" s="1"/>
  <c r="H33" i="23" s="1"/>
  <c r="M33" i="23" s="1"/>
  <c r="E37" i="23" l="1"/>
  <c r="F37" i="23" s="1"/>
  <c r="H37" i="23" s="1"/>
  <c r="M37" i="23" s="1"/>
  <c r="L35" i="23"/>
  <c r="M35" i="23" s="1"/>
  <c r="F31" i="23"/>
  <c r="J31" i="23" s="1"/>
  <c r="M31" i="23" s="1"/>
  <c r="F30" i="23"/>
  <c r="H30" i="23" s="1"/>
  <c r="M30" i="23" s="1"/>
  <c r="E28" i="23"/>
  <c r="F28" i="23" s="1"/>
  <c r="H28" i="23" s="1"/>
  <c r="M28" i="23" s="1"/>
  <c r="F26" i="23"/>
  <c r="J26" i="23" s="1"/>
  <c r="M26" i="23" s="1"/>
  <c r="E25" i="23"/>
  <c r="F25" i="23" s="1"/>
  <c r="H25" i="23" s="1"/>
  <c r="M25" i="23" s="1"/>
  <c r="E19" i="23"/>
  <c r="F19" i="23" s="1"/>
  <c r="H19" i="23" s="1"/>
  <c r="M19" i="23" s="1"/>
  <c r="F20" i="23"/>
  <c r="J20" i="23" s="1"/>
  <c r="M20" i="23" s="1"/>
  <c r="E22" i="23"/>
  <c r="L38" i="23" l="1"/>
  <c r="F23" i="23"/>
  <c r="J23" i="23" s="1"/>
  <c r="M23" i="23" s="1"/>
  <c r="J38" i="23" l="1"/>
  <c r="F22" i="23"/>
  <c r="H22" i="23" s="1"/>
  <c r="M22" i="23" l="1"/>
  <c r="M38" i="23" s="1"/>
  <c r="H38" i="23"/>
  <c r="F72" i="21" l="1"/>
  <c r="F73" i="21" s="1"/>
  <c r="H73" i="21" s="1"/>
  <c r="M73" i="21" s="1"/>
  <c r="F74" i="21"/>
  <c r="E76" i="21"/>
  <c r="E75" i="21"/>
  <c r="E71" i="21"/>
  <c r="F71" i="21" s="1"/>
  <c r="H71" i="21" s="1"/>
  <c r="M71" i="21" s="1"/>
  <c r="L69" i="21"/>
  <c r="M69" i="21" s="1"/>
  <c r="F68" i="21"/>
  <c r="J68" i="21" s="1"/>
  <c r="M68" i="21" s="1"/>
  <c r="F67" i="21"/>
  <c r="J67" i="21" s="1"/>
  <c r="M67" i="21" s="1"/>
  <c r="F66" i="21"/>
  <c r="L66" i="21" s="1"/>
  <c r="M66" i="21" s="1"/>
  <c r="F65" i="21"/>
  <c r="H65" i="21" s="1"/>
  <c r="M65" i="21" s="1"/>
  <c r="F58" i="21"/>
  <c r="F63" i="21" s="1"/>
  <c r="J63" i="21" s="1"/>
  <c r="M63" i="21" s="1"/>
  <c r="F49" i="21"/>
  <c r="J49" i="21" s="1"/>
  <c r="M49" i="21" s="1"/>
  <c r="F48" i="21"/>
  <c r="J48" i="21" s="1"/>
  <c r="M48" i="21" s="1"/>
  <c r="F47" i="21"/>
  <c r="L47" i="21" s="1"/>
  <c r="M47" i="21" s="1"/>
  <c r="F46" i="21"/>
  <c r="L46" i="21" s="1"/>
  <c r="M46" i="21" s="1"/>
  <c r="F45" i="21"/>
  <c r="H45" i="21" s="1"/>
  <c r="M45" i="21" s="1"/>
  <c r="F43" i="21"/>
  <c r="J43" i="21" s="1"/>
  <c r="M43" i="21" s="1"/>
  <c r="F42" i="21"/>
  <c r="J42" i="21" s="1"/>
  <c r="M42" i="21" s="1"/>
  <c r="F41" i="21"/>
  <c r="J41" i="21" s="1"/>
  <c r="M41" i="21" s="1"/>
  <c r="F40" i="21"/>
  <c r="L40" i="21" s="1"/>
  <c r="M40" i="21" s="1"/>
  <c r="F39" i="21"/>
  <c r="H39" i="21" s="1"/>
  <c r="M39" i="21" s="1"/>
  <c r="F76" i="21" l="1"/>
  <c r="L76" i="21" s="1"/>
  <c r="M76" i="21" s="1"/>
  <c r="L39" i="23"/>
  <c r="L40" i="23" s="1"/>
  <c r="J40" i="23"/>
  <c r="H39" i="23"/>
  <c r="H40" i="23" s="1"/>
  <c r="F75" i="21"/>
  <c r="H75" i="21" s="1"/>
  <c r="M75" i="21" s="1"/>
  <c r="F61" i="21"/>
  <c r="J61" i="21" s="1"/>
  <c r="M61" i="21" s="1"/>
  <c r="F60" i="21"/>
  <c r="L60" i="21" s="1"/>
  <c r="M60" i="21" s="1"/>
  <c r="F62" i="21"/>
  <c r="J62" i="21" s="1"/>
  <c r="M62" i="21" s="1"/>
  <c r="F59" i="21"/>
  <c r="H59" i="21" s="1"/>
  <c r="M59" i="21" s="1"/>
  <c r="E37" i="21"/>
  <c r="E36" i="21"/>
  <c r="E34" i="21"/>
  <c r="E33" i="21"/>
  <c r="E30" i="21"/>
  <c r="F30" i="21" s="1"/>
  <c r="H30" i="21" s="1"/>
  <c r="M30" i="21" s="1"/>
  <c r="F31" i="21"/>
  <c r="J31" i="21" s="1"/>
  <c r="M31" i="21" s="1"/>
  <c r="E28" i="21"/>
  <c r="F28" i="21" s="1"/>
  <c r="H28" i="21" s="1"/>
  <c r="M28" i="21" s="1"/>
  <c r="E26" i="21"/>
  <c r="F26" i="21" s="1"/>
  <c r="H26" i="21" s="1"/>
  <c r="M26" i="21" s="1"/>
  <c r="E22" i="21"/>
  <c r="F22" i="21" s="1"/>
  <c r="E60" i="1"/>
  <c r="E30" i="1"/>
  <c r="E19" i="1"/>
  <c r="E25" i="1"/>
  <c r="F24" i="21"/>
  <c r="H24" i="21" s="1"/>
  <c r="M24" i="21" s="1"/>
  <c r="F20" i="21"/>
  <c r="L20" i="21" s="1"/>
  <c r="M20" i="21" s="1"/>
  <c r="F19" i="21"/>
  <c r="H19" i="21" s="1"/>
  <c r="M19" i="21" l="1"/>
  <c r="L41" i="23"/>
  <c r="L42" i="23" s="1"/>
  <c r="H41" i="23"/>
  <c r="M39" i="23"/>
  <c r="M40" i="23" s="1"/>
  <c r="J41" i="23"/>
  <c r="J42" i="23" s="1"/>
  <c r="L11" i="23"/>
  <c r="H22" i="21"/>
  <c r="M22" i="21" s="1"/>
  <c r="M41" i="23" l="1"/>
  <c r="J43" i="23"/>
  <c r="J44" i="23" s="1"/>
  <c r="L43" i="23"/>
  <c r="L44" i="23" s="1"/>
  <c r="H42" i="23"/>
  <c r="H43" i="23" l="1"/>
  <c r="M43" i="23" s="1"/>
  <c r="M42" i="23"/>
  <c r="H44" i="23" l="1"/>
  <c r="M44" i="23" s="1"/>
  <c r="L10" i="23" s="1"/>
  <c r="D15" i="20" s="1"/>
  <c r="H15" i="20" s="1"/>
  <c r="F18" i="22"/>
  <c r="F20" i="22" l="1"/>
  <c r="L20" i="22" s="1"/>
  <c r="M20" i="22" s="1"/>
  <c r="F21" i="22"/>
  <c r="E23" i="22"/>
  <c r="F23" i="22" s="1"/>
  <c r="H23" i="22" s="1"/>
  <c r="M23" i="22" s="1"/>
  <c r="F28" i="22"/>
  <c r="H28" i="22" s="1"/>
  <c r="M28" i="22" s="1"/>
  <c r="L26" i="22"/>
  <c r="M26" i="22" s="1"/>
  <c r="F19" i="22" l="1"/>
  <c r="H19" i="22" s="1"/>
  <c r="M19" i="22" s="1"/>
  <c r="F25" i="22"/>
  <c r="H25" i="22" s="1"/>
  <c r="M25" i="22" s="1"/>
  <c r="F57" i="1"/>
  <c r="F58" i="1"/>
  <c r="H58" i="1" s="1"/>
  <c r="M58" i="1" s="1"/>
  <c r="E63" i="1"/>
  <c r="F63" i="1" s="1"/>
  <c r="H63" i="1" s="1"/>
  <c r="M63" i="1" s="1"/>
  <c r="F65" i="1"/>
  <c r="H65" i="1" s="1"/>
  <c r="M65" i="1" s="1"/>
  <c r="E61" i="1"/>
  <c r="F61" i="1"/>
  <c r="L61" i="1" s="1"/>
  <c r="M61" i="1" s="1"/>
  <c r="L21" i="22" l="1"/>
  <c r="L29" i="22" s="1"/>
  <c r="H29" i="22"/>
  <c r="F60" i="1"/>
  <c r="H60" i="1"/>
  <c r="M60" i="1" l="1"/>
  <c r="M21" i="22"/>
  <c r="M29" i="22" s="1"/>
  <c r="M30" i="22" s="1"/>
  <c r="L56" i="1" l="1"/>
  <c r="M56" i="1" s="1"/>
  <c r="F50" i="1"/>
  <c r="J50" i="1" s="1"/>
  <c r="M50" i="1" s="1"/>
  <c r="L49" i="1"/>
  <c r="M49" i="1" s="1"/>
  <c r="H48" i="1"/>
  <c r="M48" i="1" s="1"/>
  <c r="F46" i="1"/>
  <c r="J46" i="1" s="1"/>
  <c r="M46" i="1" s="1"/>
  <c r="F45" i="1"/>
  <c r="J45" i="1" s="1"/>
  <c r="M45" i="1" s="1"/>
  <c r="F44" i="1"/>
  <c r="L44" i="1" s="1"/>
  <c r="M44" i="1" s="1"/>
  <c r="F43" i="1"/>
  <c r="H43" i="1" s="1"/>
  <c r="M43" i="1" s="1"/>
  <c r="F40" i="1"/>
  <c r="J40" i="1" s="1"/>
  <c r="M40" i="1" s="1"/>
  <c r="F41" i="1"/>
  <c r="J41" i="1" s="1"/>
  <c r="M41" i="1" s="1"/>
  <c r="F39" i="1"/>
  <c r="L39" i="1" s="1"/>
  <c r="M39" i="1" s="1"/>
  <c r="F38" i="1"/>
  <c r="H38" i="1" s="1"/>
  <c r="M38" i="1" s="1"/>
  <c r="E54" i="1"/>
  <c r="J26" i="1"/>
  <c r="M26" i="1" s="1"/>
  <c r="F24" i="1"/>
  <c r="F23" i="1" l="1"/>
  <c r="J23" i="1" s="1"/>
  <c r="M23" i="1" s="1"/>
  <c r="F22" i="1"/>
  <c r="J22" i="1" s="1"/>
  <c r="M22" i="1" s="1"/>
  <c r="F21" i="1"/>
  <c r="J21" i="1" s="1"/>
  <c r="M21" i="1" s="1"/>
  <c r="E20" i="1"/>
  <c r="F20" i="1" s="1"/>
  <c r="J20" i="1" s="1"/>
  <c r="M20" i="1" s="1"/>
  <c r="F19" i="1"/>
  <c r="H19" i="1" s="1"/>
  <c r="A3" i="20"/>
  <c r="M19" i="1" l="1"/>
  <c r="F57" i="21"/>
  <c r="J57" i="21" s="1"/>
  <c r="M57" i="21" s="1"/>
  <c r="F56" i="21"/>
  <c r="J56" i="21" s="1"/>
  <c r="M56" i="21" s="1"/>
  <c r="F55" i="21"/>
  <c r="H55" i="21" s="1"/>
  <c r="M55" i="21" s="1"/>
  <c r="F37" i="21" l="1"/>
  <c r="J37" i="21" s="1"/>
  <c r="M37" i="21" s="1"/>
  <c r="F36" i="21"/>
  <c r="J36" i="21" s="1"/>
  <c r="M36" i="21" s="1"/>
  <c r="F34" i="21"/>
  <c r="L34" i="21" s="1"/>
  <c r="F33" i="21"/>
  <c r="H33" i="21" s="1"/>
  <c r="J53" i="21"/>
  <c r="E52" i="21"/>
  <c r="E51" i="21"/>
  <c r="F35" i="21"/>
  <c r="L35" i="21" s="1"/>
  <c r="M35" i="21" s="1"/>
  <c r="M34" i="21" l="1"/>
  <c r="M33" i="21"/>
  <c r="H77" i="21"/>
  <c r="M53" i="21"/>
  <c r="J77" i="21"/>
  <c r="J79" i="21" s="1"/>
  <c r="J80" i="21" s="1"/>
  <c r="F51" i="21"/>
  <c r="H51" i="21" s="1"/>
  <c r="M51" i="21" s="1"/>
  <c r="F52" i="21"/>
  <c r="L52" i="21" s="1"/>
  <c r="M52" i="21" s="1"/>
  <c r="L77" i="21" l="1"/>
  <c r="L78" i="21" s="1"/>
  <c r="L79" i="21" s="1"/>
  <c r="L80" i="21" s="1"/>
  <c r="L81" i="21" s="1"/>
  <c r="L82" i="21" s="1"/>
  <c r="L83" i="21" s="1"/>
  <c r="M77" i="21"/>
  <c r="H78" i="21"/>
  <c r="M78" i="21" s="1"/>
  <c r="J81" i="21"/>
  <c r="F28" i="1"/>
  <c r="J28" i="1" s="1"/>
  <c r="M28" i="1" s="1"/>
  <c r="F27" i="1"/>
  <c r="J27" i="1" s="1"/>
  <c r="M27" i="1" s="1"/>
  <c r="F25" i="1"/>
  <c r="H25" i="1" s="1"/>
  <c r="L11" i="21" l="1"/>
  <c r="H79" i="21"/>
  <c r="H80" i="21" s="1"/>
  <c r="H81" i="21" s="1"/>
  <c r="H82" i="21" s="1"/>
  <c r="H83" i="21" s="1"/>
  <c r="M79" i="21"/>
  <c r="J82" i="21"/>
  <c r="M25" i="1"/>
  <c r="M81" i="21" l="1"/>
  <c r="M80" i="21"/>
  <c r="J83" i="21"/>
  <c r="M83" i="21" s="1"/>
  <c r="L10" i="21" s="1"/>
  <c r="D14" i="20" s="1"/>
  <c r="M82" i="21"/>
  <c r="A1" i="1"/>
  <c r="A1" i="22" l="1"/>
  <c r="A1" i="23"/>
  <c r="A1" i="21"/>
  <c r="F52" i="1" l="1"/>
  <c r="H52" i="1" s="1"/>
  <c r="M52" i="1" s="1"/>
  <c r="F32" i="1"/>
  <c r="J32" i="1" s="1"/>
  <c r="M32" i="1" s="1"/>
  <c r="F53" i="1" l="1"/>
  <c r="L53" i="1" s="1"/>
  <c r="F55" i="1"/>
  <c r="J55" i="1" s="1"/>
  <c r="M55" i="1" s="1"/>
  <c r="F54" i="1"/>
  <c r="J54" i="1" s="1"/>
  <c r="M54" i="1" s="1"/>
  <c r="F36" i="1"/>
  <c r="J36" i="1" s="1"/>
  <c r="M36" i="1" s="1"/>
  <c r="F33" i="1"/>
  <c r="J33" i="1" s="1"/>
  <c r="M33" i="1" s="1"/>
  <c r="J31" i="1"/>
  <c r="F34" i="1"/>
  <c r="J34" i="1" s="1"/>
  <c r="M34" i="1" s="1"/>
  <c r="F30" i="1"/>
  <c r="M53" i="1" l="1"/>
  <c r="M31" i="1"/>
  <c r="H30" i="1"/>
  <c r="H66" i="1" s="1"/>
  <c r="J35" i="1"/>
  <c r="M35" i="1" s="1"/>
  <c r="M30" i="1" l="1"/>
  <c r="H14" i="20"/>
  <c r="L66" i="1" l="1"/>
  <c r="M66" i="1" l="1"/>
  <c r="J66" i="1"/>
  <c r="H67" i="1"/>
  <c r="L11" i="1" s="1"/>
  <c r="G25" i="20" s="1"/>
  <c r="J68" i="1" l="1"/>
  <c r="H68" i="1"/>
  <c r="H69" i="1" l="1"/>
  <c r="H70" i="1" s="1"/>
  <c r="H71" i="1" s="1"/>
  <c r="H72" i="1" s="1"/>
  <c r="J69" i="1"/>
  <c r="J70" i="1" s="1"/>
  <c r="J71" i="1" s="1"/>
  <c r="J72" i="1" s="1"/>
  <c r="L67" i="1" l="1"/>
  <c r="M67" i="1" s="1"/>
  <c r="L68" i="1" l="1"/>
  <c r="M68" i="1"/>
  <c r="L69" i="1" l="1"/>
  <c r="M69" i="1" s="1"/>
  <c r="L70" i="1" l="1"/>
  <c r="H25" i="20"/>
  <c r="L71" i="1" l="1"/>
  <c r="L72" i="1" s="1"/>
  <c r="M72" i="1" s="1"/>
  <c r="M70" i="1"/>
  <c r="M71" i="1" l="1"/>
  <c r="L10" i="1"/>
  <c r="D13" i="20" s="1"/>
  <c r="D16" i="20" s="1"/>
  <c r="H13" i="20" l="1"/>
  <c r="H16" i="20" s="1"/>
  <c r="D19" i="20" l="1"/>
  <c r="D21" i="20" s="1"/>
  <c r="D22" i="20" s="1"/>
  <c r="D24" i="20" s="1"/>
  <c r="H19" i="20" l="1"/>
  <c r="H21" i="20" s="1"/>
  <c r="H22" i="20" s="1"/>
  <c r="G23" i="20" l="1"/>
  <c r="G24" i="20" s="1"/>
  <c r="G26" i="20" s="1"/>
  <c r="H20" i="20"/>
  <c r="D26" i="20"/>
  <c r="H23" i="20" l="1"/>
  <c r="H24" i="20" l="1"/>
  <c r="H26" i="20" s="1"/>
  <c r="G9" i="11" s="1"/>
  <c r="C10" i="11" l="1"/>
  <c r="L15" i="10"/>
</calcChain>
</file>

<file path=xl/sharedStrings.xml><?xml version="1.0" encoding="utf-8"?>
<sst xmlns="http://schemas.openxmlformats.org/spreadsheetml/2006/main" count="646" uniqueCount="270">
  <si>
    <t>q. kalandaZe</t>
  </si>
  <si>
    <t>xarjTaRmricxveli:</t>
  </si>
  <si>
    <t>jami</t>
  </si>
  <si>
    <t>gegmiuri mogeba</t>
  </si>
  <si>
    <t>kac/sT</t>
  </si>
  <si>
    <t>SromiTi resursebi</t>
  </si>
  <si>
    <t>kub.m.</t>
  </si>
  <si>
    <t>lari</t>
  </si>
  <si>
    <t>proeqtiT</t>
  </si>
  <si>
    <t>cali</t>
  </si>
  <si>
    <t>tona</t>
  </si>
  <si>
    <t>manqanebi</t>
  </si>
  <si>
    <t>13'</t>
  </si>
  <si>
    <t>12'</t>
  </si>
  <si>
    <t>11'</t>
  </si>
  <si>
    <t>10'</t>
  </si>
  <si>
    <t>9'</t>
  </si>
  <si>
    <t>8'</t>
  </si>
  <si>
    <t>7'</t>
  </si>
  <si>
    <t>6'</t>
  </si>
  <si>
    <t>5'</t>
  </si>
  <si>
    <t>4'</t>
  </si>
  <si>
    <t>3'</t>
  </si>
  <si>
    <t>2'</t>
  </si>
  <si>
    <t>1'</t>
  </si>
  <si>
    <t>fasi</t>
  </si>
  <si>
    <t>sul</t>
  </si>
  <si>
    <t>erT.</t>
  </si>
  <si>
    <t>erTeulze</t>
  </si>
  <si>
    <t>ganz.</t>
  </si>
  <si>
    <t>dasaxeleba</t>
  </si>
  <si>
    <t>safuZveli</t>
  </si>
  <si>
    <t>#</t>
  </si>
  <si>
    <t xml:space="preserve">   meqanizmebi</t>
  </si>
  <si>
    <t xml:space="preserve">     resursi</t>
  </si>
  <si>
    <t>s a m u S a o s</t>
  </si>
  <si>
    <t xml:space="preserve">   samSeneblo </t>
  </si>
  <si>
    <t xml:space="preserve">     masala</t>
  </si>
  <si>
    <t xml:space="preserve">   xelfasi</t>
  </si>
  <si>
    <t xml:space="preserve">   normatiuli</t>
  </si>
  <si>
    <t xml:space="preserve"> maT Soris xelfasi</t>
  </si>
  <si>
    <t xml:space="preserve">saxarjTaRricxvo Rirebuleba </t>
  </si>
  <si>
    <t xml:space="preserve">safuZveli: proeqti                              </t>
  </si>
  <si>
    <t xml:space="preserve"> /obieqtis, samuSaos da danaxarjebis dasaxeleba/</t>
  </si>
  <si>
    <t>______________________________</t>
  </si>
  <si>
    <t>/mSeneblobis dasaxeleba/</t>
  </si>
  <si>
    <t>______________________________________________</t>
  </si>
  <si>
    <t xml:space="preserve">saxarjTaRricxvo Rirebuleba   </t>
  </si>
  <si>
    <t>aTasi  lari</t>
  </si>
  <si>
    <t>VI iatakebi</t>
  </si>
  <si>
    <t>ganmartebiTi baraTi</t>
  </si>
  <si>
    <t xml:space="preserve">xarjTaRricxvaze daricxulia Semdegi xarjebi: </t>
  </si>
  <si>
    <t>dRg - 18%.</t>
  </si>
  <si>
    <t xml:space="preserve">saerTo saxarjTaRricxvo Rirebulebaa _   </t>
  </si>
  <si>
    <t xml:space="preserve"> aTasi  lari.</t>
  </si>
  <si>
    <t xml:space="preserve"> d.R.g. _ </t>
  </si>
  <si>
    <t xml:space="preserve"> aTasi  lari, </t>
  </si>
  <si>
    <t xml:space="preserve">   saxarjTaRricxvo dokumentacia sabazro urTierTobaTa pirobebSi gansazRvravs mSeneblobis</t>
  </si>
  <si>
    <t>winaswar Rirebulebas da ar warmoadgens damkveTsa da moijarades Soris gadaxdis saSualebas.</t>
  </si>
  <si>
    <t>maT Soris angariSsworeba xdeba faqtiuri danaxarjebis mixedviT, saTanado dokumentaciis wardgeniT.</t>
  </si>
  <si>
    <t>saxarjTaRricxvo Rirebuleba</t>
  </si>
  <si>
    <t>samSeneblo samuSaoebis</t>
  </si>
  <si>
    <t>samontaJo samuSaoebis</t>
  </si>
  <si>
    <t>meToduri miT. 2019w. p.4.8  saqarTvelos kanoni #3303</t>
  </si>
  <si>
    <t xml:space="preserve"> gauTvaliswinebeli xarjebi 5%.</t>
  </si>
  <si>
    <t>gauTvaliswinebeli xarji 5%</t>
  </si>
  <si>
    <t>kv.m.</t>
  </si>
  <si>
    <t>kg</t>
  </si>
  <si>
    <t>mSeneblobis Rirebuleba</t>
  </si>
  <si>
    <t>krebsiTi saxarjTaRricxvo gaangariSeba</t>
  </si>
  <si>
    <t xml:space="preserve"> /mSeneblobis dasaxeleba/</t>
  </si>
  <si>
    <t>xarjTaR-ricxvebis da angaruSebis #</t>
  </si>
  <si>
    <t>Tavebis, obieqtebis, samuSaoebisa da danaxarjebis dasaxeleba</t>
  </si>
  <si>
    <t>saerTo  saxarjTaRri-cxvo Rir-ba        aTasi lari</t>
  </si>
  <si>
    <t>danadgarebis avejis da inventaris</t>
  </si>
  <si>
    <t>sxvadasxva xarjebi</t>
  </si>
  <si>
    <t>Tavi 2</t>
  </si>
  <si>
    <t>mSeneblobis ZiriTadi obieqtebi</t>
  </si>
  <si>
    <t>me-2 Tavis jami</t>
  </si>
  <si>
    <t>Tavi 8</t>
  </si>
  <si>
    <t>droebiTi Senobebi da nagebobebi</t>
  </si>
  <si>
    <t>СНИП IV-9-82</t>
  </si>
  <si>
    <t>droebiTi Senobebi da nagebobebi 1.5%</t>
  </si>
  <si>
    <t>ukan dasabrunebeli Tanxa 15%</t>
  </si>
  <si>
    <t>me-8 Tavis jami</t>
  </si>
  <si>
    <t>damsaqmeblis mier dasaqmebulis sasargeblod Sesatni dagroviTi pensiis fonSi xelfasis 2% zednadebisa da mogebis gareSe</t>
  </si>
  <si>
    <t>krebsiTi saxarjTaRricxa</t>
  </si>
  <si>
    <t xml:space="preserve">SromiTi resursebi </t>
  </si>
  <si>
    <t xml:space="preserve">Sedgenilia 2020w. Ikv. mimdinare doneze                                 </t>
  </si>
  <si>
    <t>lursmani</t>
  </si>
  <si>
    <t>litri</t>
  </si>
  <si>
    <t>toli</t>
  </si>
  <si>
    <t>10-37-1.</t>
  </si>
  <si>
    <t>xis masalis cecxldacva</t>
  </si>
  <si>
    <t>xanZarsawinaaRmdego xsnari</t>
  </si>
  <si>
    <t>kg.</t>
  </si>
  <si>
    <t xml:space="preserve">Sromis danaxarjebi      </t>
  </si>
  <si>
    <t xml:space="preserve">daxerxilis xis masala </t>
  </si>
  <si>
    <t xml:space="preserve">mavTuli  </t>
  </si>
  <si>
    <t>naWedi</t>
  </si>
  <si>
    <t>grZ.m.</t>
  </si>
  <si>
    <t>antiseptiki</t>
  </si>
  <si>
    <t>qeCa</t>
  </si>
  <si>
    <t>fisi</t>
  </si>
  <si>
    <t>xis masala gadaxurvis k=1,05</t>
  </si>
  <si>
    <t>wyali</t>
  </si>
  <si>
    <t>2-8 Tavebis jami</t>
  </si>
  <si>
    <t>ВЗЕР-88 miTiTeb. danarTi-6</t>
  </si>
  <si>
    <t>lok.x.#2-1</t>
  </si>
  <si>
    <t>lok.x.#2-2</t>
  </si>
  <si>
    <t>lokalur-resursuli xarjTaRricxva #2-2</t>
  </si>
  <si>
    <t>lokalur-resursuli xarjTaRricxva #2-1</t>
  </si>
  <si>
    <t xml:space="preserve">manqanebi </t>
  </si>
  <si>
    <t>100c</t>
  </si>
  <si>
    <t xml:space="preserve">Sromis danaxarjebi </t>
  </si>
  <si>
    <t xml:space="preserve">burRi </t>
  </si>
  <si>
    <t>manq/sT</t>
  </si>
  <si>
    <t>SromiTi resursebi k=1,15</t>
  </si>
  <si>
    <t>manqanebi k=1,25</t>
  </si>
  <si>
    <t>danarCeni xarjebi</t>
  </si>
  <si>
    <t>6-9-1.</t>
  </si>
  <si>
    <t>46-42-1</t>
  </si>
  <si>
    <t xml:space="preserve">sxva masala </t>
  </si>
  <si>
    <t>ВЗЕР-88 3-48</t>
  </si>
  <si>
    <t xml:space="preserve">  zednadebi xarjebi 10%;  saxarjTaRricxvo mogeba 8%.</t>
  </si>
  <si>
    <t>ВЗЕР-88 1-127,128</t>
  </si>
  <si>
    <t>46-43-1</t>
  </si>
  <si>
    <t>damzadebul budeebSi ankerebis Camagreba 36g.m.</t>
  </si>
  <si>
    <t xml:space="preserve">naburRis Sevseba polimercementis xsnariT </t>
  </si>
  <si>
    <t>zednadebi xarjebi</t>
  </si>
  <si>
    <t>saarTvelos kulturuli memkvidreobis dacvis erovnuli saagento.</t>
  </si>
  <si>
    <t>duSeTis municipalitetis sofel mucos istoriul arqiteqturuli kompleqsis sareabilitacio samuSaoebis VIII etapi.</t>
  </si>
  <si>
    <t>samsaxuris ufrosi:</t>
  </si>
  <si>
    <t>g. sosaniZe</t>
  </si>
  <si>
    <t>o. berianiZe</t>
  </si>
  <si>
    <t>proeqtis arqiteqtorebi:</t>
  </si>
  <si>
    <t>e. narouSvili</t>
  </si>
  <si>
    <t>proeqtis  konstruqtori:</t>
  </si>
  <si>
    <t>Tbilisi 2022 weli</t>
  </si>
  <si>
    <t xml:space="preserve">Sedgenilia 2021w. IVkv. mimdinare doneze                                 </t>
  </si>
  <si>
    <t>Sedgenilia 2021w. IV kv. fasebiT</t>
  </si>
  <si>
    <t xml:space="preserve">   xarjTaRricxva Sedgenilia  saqarTvelos premier-ministris dadgenileba #52-is da dadgenileba #55-is (.2014w. 14 ianavri) safuZvelze 1984 wlis normebiTa da mSeneblobis SemfasebelTa  kavSiris mier gamocemuli samSeneblo  resursebis fasebiT  2021 wlis IV kvartlis doneze, agreTve meToduri cnobaris (mSeneblobis da saremonto samuSaoebis saxarjTaRricxvo fasebis gaangariSebis Sesaxeb) 2020w.</t>
  </si>
  <si>
    <t>#25 koSkis reabilitacia</t>
  </si>
  <si>
    <t xml:space="preserve">xis arainventaruli xaraCoebis mowyoba </t>
  </si>
  <si>
    <t xml:space="preserve"> fiqalis qva</t>
  </si>
  <si>
    <t>koSkis kedlebis aRdgeba axali sipi qviT (gansakuTrebuli rTuli wyobiT) sisqe 90-100sm (56,5/0,95=59,47)</t>
  </si>
  <si>
    <t>miwa</t>
  </si>
  <si>
    <t>ЕРиРВ-86 4-3gam</t>
  </si>
  <si>
    <t>ЕРиРВ-86  5-21-3</t>
  </si>
  <si>
    <t>5-11.</t>
  </si>
  <si>
    <t>1.8-1.</t>
  </si>
  <si>
    <t>4.1-249.</t>
  </si>
  <si>
    <t>4.1-390.</t>
  </si>
  <si>
    <t>4.1-540.</t>
  </si>
  <si>
    <t>4.2-7.</t>
  </si>
  <si>
    <t>4.2-18.</t>
  </si>
  <si>
    <t>sxva masala</t>
  </si>
  <si>
    <t>ВЗЕР-86 4-13</t>
  </si>
  <si>
    <t>gadaxurvis xis kavebis mowoba 8X12sm</t>
  </si>
  <si>
    <t>lursmani samSeneblo</t>
  </si>
  <si>
    <t>xis Zelaki 8X12</t>
  </si>
  <si>
    <t>5-28.</t>
  </si>
  <si>
    <t>ВЗЕР-86 4-26</t>
  </si>
  <si>
    <t>kavebze ficris fenilis mowyoba</t>
  </si>
  <si>
    <t>ficari 40mm</t>
  </si>
  <si>
    <t>5-18.</t>
  </si>
  <si>
    <t>10-39-5.</t>
  </si>
  <si>
    <t>molartyvis antiseptireba</t>
  </si>
  <si>
    <t>srf2021-IV T14</t>
  </si>
  <si>
    <t>masalis transportireba Tbilisidan mucomde 156km</t>
  </si>
  <si>
    <t>qvis mopovebisa da transportirebis samuSaoebi.</t>
  </si>
  <si>
    <t>kalkulacia #1</t>
  </si>
  <si>
    <t xml:space="preserve">safuZveli: </t>
  </si>
  <si>
    <t>ЕРнРВР  21-2-1,</t>
  </si>
  <si>
    <t>ЕРиРВ-86  21-10-1,2</t>
  </si>
  <si>
    <t>1 atana</t>
  </si>
  <si>
    <t>masalebis gadazidva sabagiro gziT 300m-e (asatani masalis erT jerze 300kg) sul asatani 115,5tona</t>
  </si>
  <si>
    <t>ЕНиР Е1-19 (me-3 punqti)</t>
  </si>
  <si>
    <t>samSeneblo masalebis azidva xeliT saSualod 10 m-is simaRleze</t>
  </si>
  <si>
    <t>samSeneblo masalebis gadaadgileba  xeliT 40m-is manZilze</t>
  </si>
  <si>
    <t>SromiTi resursebi 1.5+0.56*3</t>
  </si>
  <si>
    <t>koeficienti xelfasze da m/meq. Eeqspluaraciaze maRalmTian raionisTvis zRv.d. 1880m-mde k=1,15</t>
  </si>
  <si>
    <t>ВЗЕР-88 1-5gam</t>
  </si>
  <si>
    <t>samSeneblo masalebis datvirTva xeliT sabagiroze</t>
  </si>
  <si>
    <t>1-84-4</t>
  </si>
  <si>
    <t>m/sT</t>
  </si>
  <si>
    <t>mucos sinamdvilisTvis kedlis wyobaSi gamoyenebuli fiqali qvebis mopovebis mizniT kldovani qanebis damuSaveba karierSi, pnevmaturi CaquCiT.</t>
  </si>
  <si>
    <t>Camoxsnili qvebis gadarCeva, nawilobriv damuSaveba, 30 metrze xeliT gadaadgileba da manqanebze dasatvirT baqanze dasawyobeba</t>
  </si>
  <si>
    <t>sabazro</t>
  </si>
  <si>
    <t>gadarCeuli samSeneblo qvis datvirTva, manqanebze xeliT</t>
  </si>
  <si>
    <t>CamotvirTva da samSeneblo moednis qveda baqanze dasawyobeba</t>
  </si>
  <si>
    <t>sul. 1 kbm samSeneblod vargisi qvis mopoveba da transportireba sabagiromde</t>
  </si>
  <si>
    <t>transportireba 20 km-ze sabagiromde</t>
  </si>
  <si>
    <t>SromiTi resursebi 1.5+0.56*2</t>
  </si>
  <si>
    <t>46-23-1gam</t>
  </si>
  <si>
    <t xml:space="preserve">arsebuli avariuli fiqalis qvis kedlebis daSla </t>
  </si>
  <si>
    <t>ЕРиРВ-86  d-1-12-1</t>
  </si>
  <si>
    <t>ВЗЕР-88   1-6</t>
  </si>
  <si>
    <t>miwis moWra xeliT interierSi</t>
  </si>
  <si>
    <t>gruntis datvirTva da gadmotvirTva urikebze gadaadgilebiT 55m-ze</t>
  </si>
  <si>
    <t>SromiTi resursebi 2,9+0,44*1,5=</t>
  </si>
  <si>
    <t>samSeneblo nagvis (58,3t) datvirTva da gadmotvirTva urikebze gadaadgilebiT 55m-ze</t>
  </si>
  <si>
    <t>ВЗЕР-88 1-129,123</t>
  </si>
  <si>
    <t>SromiTi resursebi 4,2+0,48*1,5=</t>
  </si>
  <si>
    <t>masala</t>
  </si>
  <si>
    <t>ЕРнРВР  21-2-5,6gam</t>
  </si>
  <si>
    <r>
      <t xml:space="preserve"> kedlis horizontaluri gaxvreta mimebis mosawyobad </t>
    </r>
    <r>
      <rPr>
        <sz val="11"/>
        <color indexed="8"/>
        <rFont val="Calibri"/>
        <family val="2"/>
        <charset val="204"/>
      </rPr>
      <t>Ø20</t>
    </r>
    <r>
      <rPr>
        <sz val="11"/>
        <color indexed="8"/>
        <rFont val="AcadNusx"/>
      </rPr>
      <t xml:space="preserve">mm </t>
    </r>
    <r>
      <rPr>
        <sz val="11"/>
        <color indexed="8"/>
        <rFont val="Calibri"/>
        <family val="2"/>
        <charset val="204"/>
      </rPr>
      <t>L=1000</t>
    </r>
    <r>
      <rPr>
        <sz val="11"/>
        <color indexed="8"/>
        <rFont val="AcadNusx"/>
      </rPr>
      <t xml:space="preserve">mm, </t>
    </r>
  </si>
  <si>
    <t>Sromis danaxarjebi  54.7+(0.93X80)</t>
  </si>
  <si>
    <t>burRi 27.4+(0.46X80)</t>
  </si>
  <si>
    <t>almazis burRebi 2.52+(0.126X80)</t>
  </si>
  <si>
    <t>sxva masala 0.36+(0.01X800)</t>
  </si>
  <si>
    <t>46-2-3</t>
  </si>
  <si>
    <t>kedlebis gaZliereba WimebiT</t>
  </si>
  <si>
    <t>qanCi</t>
  </si>
  <si>
    <r>
      <t xml:space="preserve">kldovani qanis CaburRva liTonis konstruqciis kldeSi Casamagreblad  </t>
    </r>
    <r>
      <rPr>
        <sz val="11"/>
        <color indexed="8"/>
        <rFont val="Calibri"/>
        <family val="2"/>
        <charset val="204"/>
      </rPr>
      <t>Ø16</t>
    </r>
    <r>
      <rPr>
        <sz val="11"/>
        <color indexed="8"/>
        <rFont val="AcadNusx"/>
      </rPr>
      <t xml:space="preserve">mm </t>
    </r>
    <r>
      <rPr>
        <sz val="11"/>
        <color indexed="8"/>
        <rFont val="Calibri"/>
        <family val="2"/>
        <charset val="204"/>
      </rPr>
      <t>L=200</t>
    </r>
    <r>
      <rPr>
        <sz val="11"/>
        <color indexed="8"/>
        <rFont val="AcadNusx"/>
      </rPr>
      <t xml:space="preserve">mm </t>
    </r>
  </si>
  <si>
    <t xml:space="preserve">almazis burRebi </t>
  </si>
  <si>
    <r>
      <rPr>
        <sz val="11"/>
        <rFont val="Calibri"/>
        <family val="2"/>
        <charset val="204"/>
      </rPr>
      <t>Ø20</t>
    </r>
    <r>
      <rPr>
        <sz val="11"/>
        <rFont val="Calibri"/>
        <family val="2"/>
        <charset val="204"/>
        <scheme val="minor"/>
      </rPr>
      <t xml:space="preserve"> A500C </t>
    </r>
    <r>
      <rPr>
        <sz val="11"/>
        <rFont val="AcadNusx"/>
      </rPr>
      <t xml:space="preserve"> armatura </t>
    </r>
  </si>
  <si>
    <t>1.1-11.</t>
  </si>
  <si>
    <t>4.1-229</t>
  </si>
  <si>
    <t>polimercementis xsnari 1kg-0,95l (1800X0,95)</t>
  </si>
  <si>
    <t>46-2-2</t>
  </si>
  <si>
    <t>cementis xsnari 1:2</t>
  </si>
  <si>
    <t>gamagreba liTonis konstruqciebiT  interierSi da fasadebze.</t>
  </si>
  <si>
    <t>konstruviis Rirebuleba</t>
  </si>
  <si>
    <t>1.7-115.</t>
  </si>
  <si>
    <t>4.1-385</t>
  </si>
  <si>
    <t>13-18-18</t>
  </si>
  <si>
    <t>liTonis elementebis SeRebva laqiT</t>
  </si>
  <si>
    <t>gamamyarebeli</t>
  </si>
  <si>
    <t>antikoroziuli laqi</t>
  </si>
  <si>
    <t>4.2-111</t>
  </si>
  <si>
    <t>4.2-13.</t>
  </si>
  <si>
    <t>samSeneblo masalebis gadaadgileba  xeliT 55m-is manZilze</t>
  </si>
  <si>
    <t>SromiTi resursebi 1.5+0.56*4,5</t>
  </si>
  <si>
    <t>masalebis gadazidva sabagiro gziT 300m-e (asatani masalis erT jerze 300kg) sul asatani 10,4tona</t>
  </si>
  <si>
    <t>#28 koSkis reabilitacia</t>
  </si>
  <si>
    <t xml:space="preserve">Sedgenilia 2021w. VIkv. mimdinare doneze                                 </t>
  </si>
  <si>
    <t>sabagiro gzis reabilitacia</t>
  </si>
  <si>
    <t>ЕРиРВ-86  28-3-3 cxr.2-2</t>
  </si>
  <si>
    <t>sabagiros, arsebuli, dazianebuli mzidi bagiris demontaJi d-8 mm da axali gamwevi bagiris montaJi d-8 mm</t>
  </si>
  <si>
    <t>SromiTi resursebi k=1,6</t>
  </si>
  <si>
    <t>bagiri d-8</t>
  </si>
  <si>
    <t>grZm.</t>
  </si>
  <si>
    <t>ЕРиРВ-86  28-3-58</t>
  </si>
  <si>
    <t>bagirze arsebuli samuxruWe meqanizmis moxsna da axali samuxruWe meqanizmis montaJi</t>
  </si>
  <si>
    <t>kompl.</t>
  </si>
  <si>
    <t>sabagiros, arsebuli, dazianebuli mzidi bagiris demontaJi d-14 mm da axali gamwevi bagiris montaJi d-14 mm</t>
  </si>
  <si>
    <t>bagiri d-14</t>
  </si>
  <si>
    <t>bagirgzis amZravi meqanizmis demontaJi da gadatana zeda sadgurze.</t>
  </si>
  <si>
    <t xml:space="preserve">ЕРиРВ-86  28-3-60gam </t>
  </si>
  <si>
    <t>amwevi jalambris aRdgena-reabilitacia, xundebis Secvla da sxva</t>
  </si>
  <si>
    <t>bagirgzis gamwevi bagiris demontaJi d-8 mm da axali gamwevi bagiris montaJi  d-8 mm</t>
  </si>
  <si>
    <t>bagirebis gadaadgileba  kompleqsze xeliTT 40m-is manZilze</t>
  </si>
  <si>
    <t>samuxruWe mqanizmi</t>
  </si>
  <si>
    <t>1.10-3.</t>
  </si>
  <si>
    <t>1.10-4.</t>
  </si>
  <si>
    <t>faqt.danx</t>
  </si>
  <si>
    <t>lok.x.#2-3</t>
  </si>
  <si>
    <t>g. WanuyvaZe</t>
  </si>
  <si>
    <t>kalkulacia</t>
  </si>
  <si>
    <r>
      <t>konstruqciis Rirebuleba (</t>
    </r>
    <r>
      <rPr>
        <sz val="11"/>
        <rFont val="Calibri"/>
        <family val="2"/>
        <charset val="204"/>
        <scheme val="minor"/>
      </rPr>
      <t>Ø20 A500C</t>
    </r>
    <r>
      <rPr>
        <sz val="11"/>
        <rFont val="AcadNusx"/>
      </rPr>
      <t xml:space="preserve">  armatura )</t>
    </r>
  </si>
  <si>
    <t>1.8-32.</t>
  </si>
  <si>
    <t>liTonis xaraCos mowyoba fasadebze,  gansakuTrebiT rTul reliefze, koSkis Ziris doneze baqanis mowyobiT.</t>
  </si>
  <si>
    <t>koSkis garSemoteritoriis gasuTaveba gruntisa da mcenareuli safarisagan, kldovan relieze</t>
  </si>
  <si>
    <t>gdaxurviskoebis aRdgena qivis uxeSad damuSavebuli morebiT d-25-30sm</t>
  </si>
  <si>
    <t>kodi3410;</t>
  </si>
  <si>
    <t>kodi0801</t>
  </si>
  <si>
    <t xml:space="preserve">momngrevi CaquCebi </t>
  </si>
  <si>
    <t xml:space="preserve"> moZrav kompresori Sida wvis ZraviT 7atm. 3kub.m./wT (benzinze)</t>
  </si>
  <si>
    <t>masala baqanis CaTvliT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</si>
</sst>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"/>
    <numFmt numFmtId="165" formatCode="0.0000"/>
    <numFmt numFmtId="166" formatCode="0.0"/>
    <numFmt numFmtId="167" formatCode="_-* #,##0.00_р_._-;\-* #,##0.00_р_._-;_-* &quot;-&quot;??_р_._-;_-@_-"/>
    <numFmt numFmtId="168" formatCode="_-* #,##0.000_р_._-;\-* #,##0.000_р_._-;_-* &quot;-&quot;??_р_._-;_-@_-"/>
    <numFmt numFmtId="169" formatCode="_-* #,##0.000_р_._-;\-* #,##0.000_р_._-;_-* &quot;-&quot;???_р_._-;_-@_-"/>
    <numFmt numFmtId="170" formatCode="0.00000"/>
  </numFmts>
  <fonts count="33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  <charset val="204"/>
    </font>
    <font>
      <sz val="12"/>
      <name val="AcadNusx"/>
    </font>
    <font>
      <sz val="10"/>
      <name val="Arial"/>
      <family val="2"/>
    </font>
    <font>
      <sz val="10"/>
      <name val="AcadNusx"/>
    </font>
    <font>
      <sz val="11"/>
      <name val="AcadNusx"/>
    </font>
    <font>
      <b/>
      <sz val="10"/>
      <name val="AcadNusx"/>
    </font>
    <font>
      <b/>
      <sz val="12"/>
      <name val="AcadNusx"/>
    </font>
    <font>
      <b/>
      <sz val="11"/>
      <name val="AcadNusx"/>
    </font>
    <font>
      <sz val="11"/>
      <color theme="1"/>
      <name val="Calibri"/>
      <family val="2"/>
      <scheme val="minor"/>
    </font>
    <font>
      <sz val="9"/>
      <name val="AcadNusx"/>
    </font>
    <font>
      <sz val="14"/>
      <name val="AcadNusx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b/>
      <sz val="16"/>
      <name val="AcadNusx"/>
    </font>
    <font>
      <u/>
      <sz val="11"/>
      <name val="AcadNusx"/>
    </font>
    <font>
      <sz val="7"/>
      <name val="AcadNusx"/>
    </font>
    <font>
      <sz val="11"/>
      <name val="Calibri"/>
      <family val="2"/>
      <charset val="204"/>
    </font>
    <font>
      <b/>
      <sz val="14"/>
      <name val="AcadNusx"/>
    </font>
    <font>
      <sz val="8"/>
      <name val="Calibri"/>
      <family val="2"/>
      <charset val="1"/>
      <scheme val="minor"/>
    </font>
    <font>
      <sz val="11"/>
      <color theme="1"/>
      <name val="Calibri"/>
      <family val="2"/>
      <charset val="204"/>
    </font>
    <font>
      <b/>
      <sz val="8"/>
      <name val="AcadNusx"/>
    </font>
    <font>
      <b/>
      <sz val="11"/>
      <name val="AcadMtavr"/>
    </font>
    <font>
      <sz val="8"/>
      <name val="AcadNusx"/>
    </font>
    <font>
      <sz val="9"/>
      <name val="Calibri"/>
      <family val="2"/>
      <charset val="204"/>
      <scheme val="minor"/>
    </font>
    <font>
      <b/>
      <sz val="9"/>
      <name val="AcadNusx"/>
    </font>
    <font>
      <sz val="11"/>
      <color indexed="8"/>
      <name val="AcadNusx"/>
    </font>
    <font>
      <sz val="11"/>
      <name val="Calibri"/>
      <family val="2"/>
      <charset val="204"/>
      <scheme val="minor"/>
    </font>
    <font>
      <sz val="11"/>
      <name val="AcadNusx"/>
      <family val="2"/>
      <charset val="204"/>
    </font>
    <font>
      <sz val="11"/>
      <color indexed="8"/>
      <name val="Calibri"/>
      <family val="2"/>
      <charset val="204"/>
    </font>
    <font>
      <b/>
      <sz val="7"/>
      <name val="AcadNusx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7">
    <xf numFmtId="0" fontId="0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10" fillId="0" borderId="0"/>
    <xf numFmtId="0" fontId="4" fillId="0" borderId="0"/>
    <xf numFmtId="0" fontId="10" fillId="0" borderId="0"/>
    <xf numFmtId="0" fontId="2" fillId="0" borderId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10" fillId="0" borderId="0"/>
    <xf numFmtId="0" fontId="4" fillId="0" borderId="0"/>
    <xf numFmtId="0" fontId="13" fillId="0" borderId="0"/>
    <xf numFmtId="0" fontId="10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5" fillId="0" borderId="0"/>
    <xf numFmtId="0" fontId="4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167" fontId="10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2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9" fontId="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" fillId="0" borderId="0"/>
    <xf numFmtId="0" fontId="10" fillId="0" borderId="0"/>
    <xf numFmtId="167" fontId="15" fillId="0" borderId="0" applyFont="0" applyFill="0" applyBorder="0" applyAlignment="0" applyProtection="0"/>
    <xf numFmtId="0" fontId="2" fillId="0" borderId="0"/>
    <xf numFmtId="0" fontId="14" fillId="0" borderId="0"/>
  </cellStyleXfs>
  <cellXfs count="304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3" applyFont="1"/>
    <xf numFmtId="0" fontId="3" fillId="0" borderId="0" xfId="4" applyFont="1"/>
    <xf numFmtId="0" fontId="3" fillId="0" borderId="0" xfId="3" applyFont="1" applyAlignment="1">
      <alignment horizontal="center"/>
    </xf>
    <xf numFmtId="0" fontId="3" fillId="0" borderId="0" xfId="1" applyFont="1"/>
    <xf numFmtId="0" fontId="3" fillId="2" borderId="0" xfId="1" applyFont="1" applyFill="1"/>
    <xf numFmtId="0" fontId="3" fillId="2" borderId="0" xfId="1" applyFont="1" applyFill="1" applyAlignment="1">
      <alignment horizontal="center"/>
    </xf>
    <xf numFmtId="2" fontId="3" fillId="2" borderId="0" xfId="1" applyNumberFormat="1" applyFont="1" applyFill="1" applyAlignment="1">
      <alignment horizontal="center"/>
    </xf>
    <xf numFmtId="0" fontId="3" fillId="0" borderId="1" xfId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/>
    </xf>
    <xf numFmtId="0" fontId="6" fillId="0" borderId="1" xfId="1" applyFont="1" applyBorder="1" applyAlignment="1">
      <alignment horizontal="center"/>
    </xf>
    <xf numFmtId="2" fontId="6" fillId="2" borderId="2" xfId="1" applyNumberFormat="1" applyFont="1" applyFill="1" applyBorder="1" applyAlignment="1">
      <alignment horizontal="center"/>
    </xf>
    <xf numFmtId="164" fontId="6" fillId="2" borderId="2" xfId="1" applyNumberFormat="1" applyFont="1" applyFill="1" applyBorder="1" applyAlignment="1">
      <alignment horizontal="center"/>
    </xf>
    <xf numFmtId="9" fontId="9" fillId="2" borderId="2" xfId="1" applyNumberFormat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0" borderId="0" xfId="4" applyFont="1"/>
    <xf numFmtId="0" fontId="3" fillId="0" borderId="0" xfId="4" applyFont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0" fontId="5" fillId="2" borderId="8" xfId="2" applyFont="1" applyFill="1" applyBorder="1" applyAlignment="1">
      <alignment horizontal="center"/>
    </xf>
    <xf numFmtId="0" fontId="5" fillId="2" borderId="9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5" fillId="2" borderId="6" xfId="2" applyFont="1" applyFill="1" applyBorder="1" applyAlignment="1">
      <alignment horizontal="center"/>
    </xf>
    <xf numFmtId="0" fontId="5" fillId="2" borderId="5" xfId="2" applyFont="1" applyFill="1" applyBorder="1"/>
    <xf numFmtId="0" fontId="5" fillId="2" borderId="7" xfId="2" applyFont="1" applyFill="1" applyBorder="1"/>
    <xf numFmtId="0" fontId="5" fillId="2" borderId="3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5" fillId="2" borderId="6" xfId="2" applyFont="1" applyFill="1" applyBorder="1"/>
    <xf numFmtId="0" fontId="5" fillId="2" borderId="10" xfId="2" applyFont="1" applyFill="1" applyBorder="1"/>
    <xf numFmtId="0" fontId="5" fillId="2" borderId="7" xfId="2" applyFont="1" applyFill="1" applyBorder="1" applyAlignment="1">
      <alignment horizontal="center"/>
    </xf>
    <xf numFmtId="0" fontId="6" fillId="2" borderId="0" xfId="2" applyFont="1" applyFill="1" applyAlignment="1">
      <alignment horizontal="center"/>
    </xf>
    <xf numFmtId="0" fontId="5" fillId="2" borderId="1" xfId="2" applyFont="1" applyFill="1" applyBorder="1"/>
    <xf numFmtId="0" fontId="5" fillId="2" borderId="11" xfId="2" applyFont="1" applyFill="1" applyBorder="1" applyAlignment="1">
      <alignment horizontal="center"/>
    </xf>
    <xf numFmtId="0" fontId="5" fillId="2" borderId="12" xfId="2" applyFont="1" applyFill="1" applyBorder="1"/>
    <xf numFmtId="0" fontId="5" fillId="2" borderId="13" xfId="2" applyFont="1" applyFill="1" applyBorder="1"/>
    <xf numFmtId="0" fontId="5" fillId="2" borderId="14" xfId="2" applyFont="1" applyFill="1" applyBorder="1"/>
    <xf numFmtId="0" fontId="5" fillId="2" borderId="0" xfId="2" applyFont="1" applyFill="1" applyAlignment="1">
      <alignment horizontal="left"/>
    </xf>
    <xf numFmtId="0" fontId="5" fillId="2" borderId="15" xfId="2" applyFont="1" applyFill="1" applyBorder="1" applyAlignment="1">
      <alignment horizontal="center"/>
    </xf>
    <xf numFmtId="0" fontId="5" fillId="2" borderId="0" xfId="2" applyFont="1" applyFill="1" applyAlignment="1">
      <alignment horizontal="center"/>
    </xf>
    <xf numFmtId="0" fontId="5" fillId="2" borderId="3" xfId="2" applyFont="1" applyFill="1" applyBorder="1"/>
    <xf numFmtId="0" fontId="5" fillId="2" borderId="12" xfId="2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0" xfId="10" applyFont="1" applyFill="1" applyAlignment="1">
      <alignment horizontal="center"/>
    </xf>
    <xf numFmtId="2" fontId="7" fillId="2" borderId="0" xfId="10" applyNumberFormat="1" applyFont="1" applyFill="1" applyAlignment="1">
      <alignment horizontal="center"/>
    </xf>
    <xf numFmtId="0" fontId="3" fillId="2" borderId="0" xfId="10" applyFont="1" applyFill="1" applyAlignment="1">
      <alignment horizontal="right"/>
    </xf>
    <xf numFmtId="0" fontId="5" fillId="2" borderId="0" xfId="2" applyFont="1" applyFill="1"/>
    <xf numFmtId="0" fontId="5" fillId="2" borderId="0" xfId="2" applyFont="1" applyFill="1" applyBorder="1"/>
    <xf numFmtId="0" fontId="3" fillId="2" borderId="0" xfId="2" applyFont="1" applyFill="1" applyAlignment="1">
      <alignment horizontal="left"/>
    </xf>
    <xf numFmtId="0" fontId="3" fillId="2" borderId="0" xfId="2" applyFont="1" applyFill="1"/>
    <xf numFmtId="0" fontId="5" fillId="2" borderId="0" xfId="1" applyFont="1" applyFill="1" applyAlignment="1">
      <alignment horizontal="center"/>
    </xf>
    <xf numFmtId="0" fontId="5" fillId="2" borderId="0" xfId="1" applyFont="1" applyFill="1" applyAlignment="1">
      <alignment horizontal="left"/>
    </xf>
    <xf numFmtId="0" fontId="12" fillId="2" borderId="0" xfId="1" applyFont="1" applyFill="1" applyAlignment="1">
      <alignment horizontal="left"/>
    </xf>
    <xf numFmtId="0" fontId="9" fillId="2" borderId="0" xfId="1" applyFont="1" applyFill="1" applyAlignment="1">
      <alignment vertical="center" wrapText="1"/>
    </xf>
    <xf numFmtId="0" fontId="6" fillId="0" borderId="0" xfId="3" applyFont="1"/>
    <xf numFmtId="0" fontId="6" fillId="0" borderId="3" xfId="14" applyFont="1" applyBorder="1" applyAlignment="1">
      <alignment horizontal="center"/>
    </xf>
    <xf numFmtId="0" fontId="6" fillId="0" borderId="6" xfId="14" applyFont="1" applyBorder="1" applyAlignment="1">
      <alignment horizontal="center"/>
    </xf>
    <xf numFmtId="0" fontId="6" fillId="0" borderId="5" xfId="14" applyFont="1" applyBorder="1" applyAlignment="1">
      <alignment horizontal="center"/>
    </xf>
    <xf numFmtId="0" fontId="6" fillId="0" borderId="3" xfId="14" applyFont="1" applyBorder="1" applyAlignment="1">
      <alignment horizontal="center" vertical="center" wrapText="1"/>
    </xf>
    <xf numFmtId="2" fontId="6" fillId="0" borderId="6" xfId="14" applyNumberFormat="1" applyFont="1" applyBorder="1" applyAlignment="1">
      <alignment horizontal="center"/>
    </xf>
    <xf numFmtId="2" fontId="6" fillId="0" borderId="5" xfId="14" applyNumberFormat="1" applyFont="1" applyBorder="1" applyAlignment="1">
      <alignment horizontal="center"/>
    </xf>
    <xf numFmtId="0" fontId="3" fillId="0" borderId="0" xfId="6" applyFont="1" applyAlignment="1">
      <alignment horizontal="left"/>
    </xf>
    <xf numFmtId="0" fontId="5" fillId="0" borderId="0" xfId="4" applyFont="1"/>
    <xf numFmtId="0" fontId="12" fillId="0" borderId="0" xfId="4" applyFont="1"/>
    <xf numFmtId="0" fontId="16" fillId="0" borderId="0" xfId="4" applyFont="1"/>
    <xf numFmtId="0" fontId="7" fillId="0" borderId="0" xfId="4" applyFont="1"/>
    <xf numFmtId="164" fontId="12" fillId="0" borderId="0" xfId="4" applyNumberFormat="1" applyFont="1"/>
    <xf numFmtId="0" fontId="8" fillId="0" borderId="0" xfId="4" applyFont="1"/>
    <xf numFmtId="0" fontId="5" fillId="3" borderId="0" xfId="4" applyFont="1" applyFill="1"/>
    <xf numFmtId="0" fontId="3" fillId="0" borderId="0" xfId="4" applyFont="1" applyBorder="1"/>
    <xf numFmtId="164" fontId="3" fillId="0" borderId="0" xfId="4" applyNumberFormat="1" applyFont="1"/>
    <xf numFmtId="0" fontId="6" fillId="0" borderId="0" xfId="3" applyFont="1" applyBorder="1"/>
    <xf numFmtId="0" fontId="3" fillId="2" borderId="0" xfId="4" applyFont="1" applyFill="1" applyBorder="1"/>
    <xf numFmtId="0" fontId="3" fillId="0" borderId="6" xfId="3" applyFont="1" applyBorder="1"/>
    <xf numFmtId="0" fontId="3" fillId="0" borderId="0" xfId="3" applyFont="1" applyBorder="1"/>
    <xf numFmtId="0" fontId="3" fillId="0" borderId="4" xfId="3" applyFont="1" applyBorder="1"/>
    <xf numFmtId="0" fontId="3" fillId="0" borderId="8" xfId="3" applyFont="1" applyBorder="1"/>
    <xf numFmtId="0" fontId="5" fillId="0" borderId="5" xfId="3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/>
    </xf>
    <xf numFmtId="0" fontId="3" fillId="0" borderId="8" xfId="3" applyFont="1" applyBorder="1" applyAlignment="1">
      <alignment horizontal="center"/>
    </xf>
    <xf numFmtId="0" fontId="6" fillId="0" borderId="3" xfId="3" applyFont="1" applyBorder="1" applyAlignment="1">
      <alignment horizontal="center"/>
    </xf>
    <xf numFmtId="0" fontId="6" fillId="0" borderId="0" xfId="3" applyFont="1" applyAlignment="1">
      <alignment horizontal="center"/>
    </xf>
    <xf numFmtId="0" fontId="6" fillId="0" borderId="3" xfId="3" applyFont="1" applyBorder="1"/>
    <xf numFmtId="0" fontId="6" fillId="0" borderId="0" xfId="3" applyFont="1" applyAlignment="1">
      <alignment vertical="center"/>
    </xf>
    <xf numFmtId="0" fontId="6" fillId="0" borderId="0" xfId="3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6" fillId="0" borderId="0" xfId="0" applyFont="1"/>
    <xf numFmtId="16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6" fillId="0" borderId="3" xfId="14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0" fontId="6" fillId="0" borderId="3" xfId="14" applyFont="1" applyBorder="1" applyAlignment="1">
      <alignment horizontal="center" vertical="center"/>
    </xf>
    <xf numFmtId="2" fontId="6" fillId="0" borderId="3" xfId="14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3" fillId="0" borderId="6" xfId="3" applyFont="1" applyBorder="1" applyAlignment="1">
      <alignment horizontal="center"/>
    </xf>
    <xf numFmtId="0" fontId="5" fillId="0" borderId="6" xfId="3" applyFont="1" applyBorder="1" applyAlignment="1">
      <alignment horizontal="center" vertical="center" wrapText="1"/>
    </xf>
    <xf numFmtId="0" fontId="5" fillId="0" borderId="7" xfId="3" applyFont="1" applyBorder="1" applyAlignment="1">
      <alignment horizontal="center" vertical="center" wrapText="1"/>
    </xf>
    <xf numFmtId="0" fontId="17" fillId="0" borderId="3" xfId="3" applyFont="1" applyBorder="1" applyAlignment="1">
      <alignment horizontal="center"/>
    </xf>
    <xf numFmtId="168" fontId="6" fillId="0" borderId="0" xfId="42" applyNumberFormat="1" applyFont="1" applyAlignment="1">
      <alignment horizontal="center"/>
    </xf>
    <xf numFmtId="168" fontId="6" fillId="0" borderId="3" xfId="42" applyNumberFormat="1" applyFont="1" applyBorder="1" applyAlignment="1">
      <alignment horizontal="center"/>
    </xf>
    <xf numFmtId="0" fontId="6" fillId="0" borderId="5" xfId="3" applyFont="1" applyBorder="1" applyAlignment="1">
      <alignment horizontal="center"/>
    </xf>
    <xf numFmtId="0" fontId="6" fillId="0" borderId="6" xfId="3" applyFont="1" applyBorder="1"/>
    <xf numFmtId="168" fontId="6" fillId="0" borderId="5" xfId="42" applyNumberFormat="1" applyFont="1" applyBorder="1" applyAlignment="1">
      <alignment horizontal="center"/>
    </xf>
    <xf numFmtId="168" fontId="6" fillId="0" borderId="0" xfId="42" applyNumberFormat="1" applyFont="1"/>
    <xf numFmtId="168" fontId="6" fillId="0" borderId="3" xfId="42" applyNumberFormat="1" applyFont="1" applyBorder="1"/>
    <xf numFmtId="168" fontId="6" fillId="0" borderId="15" xfId="42" applyNumberFormat="1" applyFont="1" applyBorder="1" applyAlignment="1">
      <alignment horizontal="center"/>
    </xf>
    <xf numFmtId="0" fontId="6" fillId="0" borderId="2" xfId="3" applyFont="1" applyBorder="1" applyAlignment="1">
      <alignment horizontal="center"/>
    </xf>
    <xf numFmtId="0" fontId="6" fillId="0" borderId="2" xfId="3" applyFont="1" applyBorder="1"/>
    <xf numFmtId="168" fontId="6" fillId="0" borderId="2" xfId="42" applyNumberFormat="1" applyFont="1" applyBorder="1" applyAlignment="1">
      <alignment horizontal="center"/>
    </xf>
    <xf numFmtId="0" fontId="18" fillId="4" borderId="2" xfId="1" applyFont="1" applyFill="1" applyBorder="1" applyAlignment="1">
      <alignment horizontal="center" vertical="center" wrapText="1"/>
    </xf>
    <xf numFmtId="168" fontId="6" fillId="0" borderId="2" xfId="42" applyNumberFormat="1" applyFont="1" applyBorder="1" applyAlignment="1">
      <alignment horizontal="center" vertical="center"/>
    </xf>
    <xf numFmtId="0" fontId="3" fillId="0" borderId="0" xfId="3" applyFont="1" applyBorder="1" applyAlignment="1">
      <alignment horizontal="center"/>
    </xf>
    <xf numFmtId="169" fontId="3" fillId="0" borderId="0" xfId="3" applyNumberFormat="1" applyFont="1" applyBorder="1"/>
    <xf numFmtId="2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6" fontId="7" fillId="2" borderId="0" xfId="10" applyNumberFormat="1" applyFont="1" applyFill="1" applyAlignment="1">
      <alignment horizontal="center"/>
    </xf>
    <xf numFmtId="0" fontId="9" fillId="4" borderId="2" xfId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8" fillId="0" borderId="0" xfId="4" applyFont="1" applyAlignment="1">
      <alignment vertical="center" wrapText="1"/>
    </xf>
    <xf numFmtId="0" fontId="6" fillId="0" borderId="0" xfId="14" applyFont="1" applyAlignment="1">
      <alignment horizontal="center"/>
    </xf>
    <xf numFmtId="2" fontId="6" fillId="0" borderId="0" xfId="14" applyNumberFormat="1" applyFont="1" applyAlignment="1">
      <alignment horizontal="center"/>
    </xf>
    <xf numFmtId="2" fontId="6" fillId="0" borderId="0" xfId="14" applyNumberFormat="1" applyFont="1" applyAlignment="1">
      <alignment horizontal="center" vertical="center" wrapText="1"/>
    </xf>
    <xf numFmtId="0" fontId="6" fillId="0" borderId="0" xfId="14" applyFont="1" applyAlignment="1">
      <alignment horizontal="center" vertical="center" wrapText="1"/>
    </xf>
    <xf numFmtId="164" fontId="9" fillId="4" borderId="2" xfId="1" applyNumberFormat="1" applyFont="1" applyFill="1" applyBorder="1" applyAlignment="1">
      <alignment horizontal="center" vertical="center"/>
    </xf>
    <xf numFmtId="0" fontId="9" fillId="4" borderId="2" xfId="2" applyFont="1" applyFill="1" applyBorder="1" applyAlignment="1">
      <alignment horizontal="center" vertical="center"/>
    </xf>
    <xf numFmtId="9" fontId="9" fillId="4" borderId="2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6" fillId="0" borderId="0" xfId="14" applyNumberFormat="1" applyFont="1" applyAlignment="1">
      <alignment horizontal="center" vertical="center"/>
    </xf>
    <xf numFmtId="2" fontId="23" fillId="4" borderId="2" xfId="2" applyNumberFormat="1" applyFont="1" applyFill="1" applyBorder="1" applyAlignment="1">
      <alignment horizontal="center" vertical="center"/>
    </xf>
    <xf numFmtId="2" fontId="23" fillId="4" borderId="2" xfId="1" applyNumberFormat="1" applyFont="1" applyFill="1" applyBorder="1" applyAlignment="1">
      <alignment horizontal="center" vertical="center"/>
    </xf>
    <xf numFmtId="166" fontId="23" fillId="2" borderId="2" xfId="1" applyNumberFormat="1" applyFont="1" applyFill="1" applyBorder="1" applyAlignment="1">
      <alignment horizontal="center"/>
    </xf>
    <xf numFmtId="2" fontId="23" fillId="2" borderId="2" xfId="1" applyNumberFormat="1" applyFont="1" applyFill="1" applyBorder="1" applyAlignment="1">
      <alignment horizontal="center"/>
    </xf>
    <xf numFmtId="0" fontId="16" fillId="0" borderId="0" xfId="4" applyFont="1" applyAlignment="1"/>
    <xf numFmtId="0" fontId="1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quotePrefix="1" applyFont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/>
    </xf>
    <xf numFmtId="0" fontId="11" fillId="0" borderId="6" xfId="0" quotePrefix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2" fontId="25" fillId="0" borderId="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26" fillId="0" borderId="0" xfId="0" applyFont="1" applyAlignment="1">
      <alignment horizontal="center" vertical="center" wrapText="1"/>
    </xf>
    <xf numFmtId="2" fontId="6" fillId="0" borderId="3" xfId="14" applyNumberFormat="1" applyFont="1" applyBorder="1" applyAlignment="1">
      <alignment horizontal="center" vertical="center"/>
    </xf>
    <xf numFmtId="0" fontId="27" fillId="4" borderId="2" xfId="1" applyFont="1" applyFill="1" applyBorder="1" applyAlignment="1">
      <alignment horizontal="center" wrapText="1"/>
    </xf>
    <xf numFmtId="0" fontId="3" fillId="2" borderId="0" xfId="1" applyFont="1" applyFill="1" applyAlignment="1">
      <alignment horizontal="left"/>
    </xf>
    <xf numFmtId="0" fontId="6" fillId="0" borderId="3" xfId="3" applyFont="1" applyBorder="1" applyAlignment="1">
      <alignment horizontal="center" vertical="center" wrapText="1"/>
    </xf>
    <xf numFmtId="0" fontId="6" fillId="0" borderId="0" xfId="3" applyFont="1" applyAlignment="1">
      <alignment horizontal="center" vertical="center" wrapText="1"/>
    </xf>
    <xf numFmtId="168" fontId="6" fillId="0" borderId="0" xfId="42" applyNumberFormat="1" applyFont="1" applyAlignment="1">
      <alignment horizontal="center" vertical="center" wrapText="1"/>
    </xf>
    <xf numFmtId="168" fontId="6" fillId="0" borderId="3" xfId="42" applyNumberFormat="1" applyFont="1" applyBorder="1" applyAlignment="1">
      <alignment horizontal="center" vertical="center" wrapText="1"/>
    </xf>
    <xf numFmtId="0" fontId="6" fillId="0" borderId="0" xfId="3" applyFont="1" applyAlignment="1">
      <alignment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4" fontId="6" fillId="0" borderId="3" xfId="0" applyNumberFormat="1" applyFont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0" fontId="28" fillId="0" borderId="3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2" fontId="28" fillId="0" borderId="3" xfId="0" applyNumberFormat="1" applyFont="1" applyBorder="1" applyAlignment="1">
      <alignment horizontal="center" vertical="center"/>
    </xf>
    <xf numFmtId="2" fontId="28" fillId="0" borderId="0" xfId="0" applyNumberFormat="1" applyFont="1" applyAlignment="1">
      <alignment horizontal="center" vertical="center" wrapText="1"/>
    </xf>
    <xf numFmtId="2" fontId="28" fillId="0" borderId="0" xfId="0" applyNumberFormat="1" applyFont="1" applyAlignment="1">
      <alignment horizontal="center" vertical="center"/>
    </xf>
    <xf numFmtId="0" fontId="28" fillId="0" borderId="3" xfId="0" applyFont="1" applyBorder="1" applyAlignment="1">
      <alignment horizontal="left" vertical="top"/>
    </xf>
    <xf numFmtId="0" fontId="28" fillId="0" borderId="0" xfId="0" applyFont="1" applyAlignment="1">
      <alignment horizontal="left" vertical="top"/>
    </xf>
    <xf numFmtId="0" fontId="28" fillId="0" borderId="3" xfId="0" applyFont="1" applyBorder="1" applyAlignment="1">
      <alignment horizontal="center" vertical="top"/>
    </xf>
    <xf numFmtId="0" fontId="28" fillId="0" borderId="0" xfId="0" applyFont="1" applyAlignment="1">
      <alignment horizontal="center" vertical="center"/>
    </xf>
    <xf numFmtId="0" fontId="28" fillId="2" borderId="0" xfId="0" applyFont="1" applyFill="1" applyAlignment="1">
      <alignment horizontal="left" vertical="top"/>
    </xf>
    <xf numFmtId="0" fontId="6" fillId="0" borderId="0" xfId="1" applyFont="1" applyAlignment="1">
      <alignment horizontal="center" vertical="center" wrapText="1"/>
    </xf>
    <xf numFmtId="0" fontId="28" fillId="0" borderId="5" xfId="0" applyFont="1" applyBorder="1" applyAlignment="1">
      <alignment horizontal="left" vertical="top"/>
    </xf>
    <xf numFmtId="0" fontId="28" fillId="0" borderId="6" xfId="0" applyFont="1" applyBorder="1" applyAlignment="1">
      <alignment horizontal="left" vertical="top"/>
    </xf>
    <xf numFmtId="0" fontId="28" fillId="0" borderId="5" xfId="0" applyFont="1" applyBorder="1" applyAlignment="1">
      <alignment horizontal="center" vertical="top"/>
    </xf>
    <xf numFmtId="0" fontId="28" fillId="0" borderId="6" xfId="0" applyFont="1" applyBorder="1" applyAlignment="1">
      <alignment horizontal="center" vertical="center"/>
    </xf>
    <xf numFmtId="2" fontId="28" fillId="0" borderId="5" xfId="0" applyNumberFormat="1" applyFont="1" applyBorder="1" applyAlignment="1">
      <alignment horizontal="center" vertical="center"/>
    </xf>
    <xf numFmtId="2" fontId="28" fillId="0" borderId="6" xfId="0" applyNumberFormat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165" fontId="6" fillId="0" borderId="0" xfId="0" applyNumberFormat="1" applyFont="1" applyAlignment="1">
      <alignment horizontal="center" vertical="center" wrapText="1"/>
    </xf>
    <xf numFmtId="170" fontId="6" fillId="0" borderId="0" xfId="0" applyNumberFormat="1" applyFont="1" applyAlignment="1">
      <alignment horizontal="center"/>
    </xf>
    <xf numFmtId="2" fontId="6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0" fontId="6" fillId="0" borderId="7" xfId="14" applyFont="1" applyBorder="1" applyAlignment="1">
      <alignment horizontal="center"/>
    </xf>
    <xf numFmtId="2" fontId="6" fillId="0" borderId="7" xfId="14" applyNumberFormat="1" applyFont="1" applyBorder="1" applyAlignment="1">
      <alignment horizontal="center"/>
    </xf>
    <xf numFmtId="0" fontId="28" fillId="0" borderId="0" xfId="0" applyFont="1" applyAlignment="1">
      <alignment horizontal="center" vertical="top" wrapText="1"/>
    </xf>
    <xf numFmtId="0" fontId="28" fillId="0" borderId="3" xfId="0" applyFont="1" applyBorder="1" applyAlignment="1">
      <alignment horizontal="center" vertical="top" wrapText="1"/>
    </xf>
    <xf numFmtId="14" fontId="6" fillId="0" borderId="3" xfId="0" applyNumberFormat="1" applyFont="1" applyBorder="1" applyAlignment="1">
      <alignment horizontal="center" vertical="center" wrapText="1"/>
    </xf>
    <xf numFmtId="16" fontId="5" fillId="0" borderId="1" xfId="0" applyNumberFormat="1" applyFont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6" fontId="6" fillId="0" borderId="5" xfId="0" applyNumberFormat="1" applyFont="1" applyBorder="1" applyAlignment="1">
      <alignment horizontal="center" vertical="center" wrapText="1"/>
    </xf>
    <xf numFmtId="0" fontId="12" fillId="2" borderId="0" xfId="1" applyFont="1" applyFill="1" applyAlignment="1">
      <alignment horizontal="center"/>
    </xf>
    <xf numFmtId="2" fontId="5" fillId="4" borderId="0" xfId="5" applyNumberFormat="1" applyFont="1" applyFill="1" applyAlignment="1">
      <alignment horizontal="right" vertical="center" wrapText="1"/>
    </xf>
    <xf numFmtId="2" fontId="5" fillId="4" borderId="0" xfId="5" applyNumberFormat="1" applyFont="1" applyFill="1" applyAlignment="1">
      <alignment horizontal="right"/>
    </xf>
    <xf numFmtId="2" fontId="5" fillId="4" borderId="0" xfId="5" applyNumberFormat="1" applyFont="1" applyFill="1" applyAlignment="1">
      <alignment horizontal="center" vertical="center" wrapText="1"/>
    </xf>
    <xf numFmtId="0" fontId="6" fillId="4" borderId="3" xfId="5" applyFont="1" applyFill="1" applyBorder="1" applyAlignment="1">
      <alignment horizontal="center" vertical="center" wrapText="1"/>
    </xf>
    <xf numFmtId="0" fontId="25" fillId="4" borderId="0" xfId="5" applyFont="1" applyFill="1" applyAlignment="1">
      <alignment horizontal="center" vertical="center" wrapText="1"/>
    </xf>
    <xf numFmtId="0" fontId="5" fillId="4" borderId="3" xfId="5" applyFont="1" applyFill="1" applyBorder="1" applyAlignment="1">
      <alignment horizontal="center" vertical="center" wrapText="1"/>
    </xf>
    <xf numFmtId="0" fontId="5" fillId="4" borderId="0" xfId="5" applyFont="1" applyFill="1" applyAlignment="1">
      <alignment horizontal="center" vertical="center" wrapText="1"/>
    </xf>
    <xf numFmtId="164" fontId="5" fillId="4" borderId="3" xfId="5" applyNumberFormat="1" applyFont="1" applyFill="1" applyBorder="1" applyAlignment="1">
      <alignment horizontal="center" vertical="center" wrapText="1"/>
    </xf>
    <xf numFmtId="0" fontId="5" fillId="4" borderId="3" xfId="14" applyFont="1" applyFill="1" applyBorder="1" applyAlignment="1">
      <alignment horizontal="center" vertical="center" wrapText="1"/>
    </xf>
    <xf numFmtId="0" fontId="5" fillId="4" borderId="0" xfId="14" applyFont="1" applyFill="1" applyAlignment="1">
      <alignment horizontal="center" vertical="center" wrapText="1"/>
    </xf>
    <xf numFmtId="2" fontId="5" fillId="4" borderId="3" xfId="5" applyNumberFormat="1" applyFont="1" applyFill="1" applyBorder="1" applyAlignment="1">
      <alignment horizontal="center" vertical="center" wrapText="1"/>
    </xf>
    <xf numFmtId="0" fontId="6" fillId="4" borderId="0" xfId="5" applyFont="1" applyFill="1" applyAlignment="1">
      <alignment vertical="center" wrapText="1"/>
    </xf>
    <xf numFmtId="0" fontId="6" fillId="4" borderId="0" xfId="1" applyFont="1" applyFill="1" applyAlignment="1">
      <alignment horizontal="center"/>
    </xf>
    <xf numFmtId="0" fontId="6" fillId="4" borderId="5" xfId="5" applyFont="1" applyFill="1" applyBorder="1" applyAlignment="1">
      <alignment horizontal="center" vertical="center"/>
    </xf>
    <xf numFmtId="0" fontId="25" fillId="4" borderId="5" xfId="5" applyFont="1" applyFill="1" applyBorder="1" applyAlignment="1">
      <alignment horizontal="center" vertical="center"/>
    </xf>
    <xf numFmtId="0" fontId="5" fillId="4" borderId="5" xfId="5" applyFont="1" applyFill="1" applyBorder="1" applyAlignment="1">
      <alignment horizontal="center" vertical="center"/>
    </xf>
    <xf numFmtId="2" fontId="5" fillId="4" borderId="5" xfId="5" applyNumberFormat="1" applyFont="1" applyFill="1" applyBorder="1" applyAlignment="1">
      <alignment horizontal="center" vertical="center"/>
    </xf>
    <xf numFmtId="164" fontId="5" fillId="4" borderId="6" xfId="5" applyNumberFormat="1" applyFont="1" applyFill="1" applyBorder="1" applyAlignment="1">
      <alignment horizontal="center" vertical="center"/>
    </xf>
    <xf numFmtId="2" fontId="5" fillId="4" borderId="6" xfId="5" applyNumberFormat="1" applyFont="1" applyFill="1" applyBorder="1" applyAlignment="1">
      <alignment horizontal="center" vertical="center"/>
    </xf>
    <xf numFmtId="2" fontId="5" fillId="4" borderId="5" xfId="14" applyNumberFormat="1" applyFont="1" applyFill="1" applyBorder="1" applyAlignment="1">
      <alignment horizontal="center" vertical="center"/>
    </xf>
    <xf numFmtId="2" fontId="5" fillId="4" borderId="6" xfId="14" applyNumberFormat="1" applyFont="1" applyFill="1" applyBorder="1" applyAlignment="1">
      <alignment horizontal="center" vertical="center"/>
    </xf>
    <xf numFmtId="0" fontId="6" fillId="4" borderId="0" xfId="5" applyFont="1" applyFill="1" applyAlignment="1">
      <alignment horizontal="center"/>
    </xf>
    <xf numFmtId="0" fontId="32" fillId="4" borderId="2" xfId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0" fontId="9" fillId="0" borderId="2" xfId="55" applyFont="1" applyBorder="1" applyAlignment="1">
      <alignment horizontal="center" vertical="center"/>
    </xf>
    <xf numFmtId="0" fontId="9" fillId="0" borderId="0" xfId="55" applyFont="1" applyBorder="1" applyAlignment="1">
      <alignment horizontal="center" vertical="center"/>
    </xf>
    <xf numFmtId="2" fontId="5" fillId="2" borderId="2" xfId="2" applyNumberFormat="1" applyFont="1" applyFill="1" applyBorder="1" applyAlignment="1">
      <alignment horizontal="center"/>
    </xf>
    <xf numFmtId="2" fontId="6" fillId="2" borderId="2" xfId="2" applyNumberFormat="1" applyFont="1" applyFill="1" applyBorder="1" applyAlignment="1">
      <alignment horizontal="center"/>
    </xf>
    <xf numFmtId="0" fontId="9" fillId="0" borderId="2" xfId="55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5" fillId="0" borderId="0" xfId="0" applyFont="1"/>
    <xf numFmtId="0" fontId="6" fillId="0" borderId="0" xfId="14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7" fillId="4" borderId="0" xfId="2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wrapText="1"/>
    </xf>
    <xf numFmtId="0" fontId="5" fillId="2" borderId="5" xfId="2" applyFont="1" applyFill="1" applyBorder="1" applyAlignment="1">
      <alignment horizontal="center" wrapText="1"/>
    </xf>
    <xf numFmtId="0" fontId="5" fillId="2" borderId="11" xfId="2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0" xfId="14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164" fontId="6" fillId="0" borderId="11" xfId="55" applyNumberFormat="1" applyFont="1" applyBorder="1" applyAlignment="1">
      <alignment horizontal="center" vertical="center" wrapText="1"/>
    </xf>
    <xf numFmtId="0" fontId="6" fillId="0" borderId="2" xfId="3" applyFont="1" applyBorder="1" applyAlignment="1">
      <alignment vertical="center"/>
    </xf>
    <xf numFmtId="0" fontId="6" fillId="0" borderId="3" xfId="3" applyFont="1" applyBorder="1" applyAlignment="1">
      <alignment horizontal="center" vertical="center"/>
    </xf>
    <xf numFmtId="9" fontId="6" fillId="0" borderId="3" xfId="11" applyFont="1" applyBorder="1" applyAlignment="1">
      <alignment horizontal="center" vertical="center"/>
    </xf>
    <xf numFmtId="168" fontId="6" fillId="0" borderId="0" xfId="42" applyNumberFormat="1" applyFont="1" applyAlignment="1">
      <alignment vertical="center"/>
    </xf>
    <xf numFmtId="168" fontId="6" fillId="0" borderId="3" xfId="42" applyNumberFormat="1" applyFont="1" applyBorder="1" applyAlignment="1">
      <alignment vertical="center"/>
    </xf>
    <xf numFmtId="168" fontId="6" fillId="0" borderId="3" xfId="42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 wrapText="1"/>
    </xf>
    <xf numFmtId="0" fontId="16" fillId="0" borderId="0" xfId="4" applyFont="1" applyAlignment="1">
      <alignment horizontal="center"/>
    </xf>
    <xf numFmtId="0" fontId="20" fillId="0" borderId="0" xfId="4" applyFont="1" applyAlignment="1">
      <alignment horizontal="center" vertical="center" wrapText="1"/>
    </xf>
    <xf numFmtId="0" fontId="12" fillId="0" borderId="0" xfId="4" applyFont="1" applyAlignment="1">
      <alignment horizontal="center" vertical="center" wrapText="1"/>
    </xf>
    <xf numFmtId="0" fontId="5" fillId="0" borderId="0" xfId="4" applyFont="1"/>
    <xf numFmtId="0" fontId="3" fillId="0" borderId="0" xfId="4" applyFont="1" applyAlignment="1">
      <alignment horizontal="left" vertical="center" wrapText="1"/>
    </xf>
    <xf numFmtId="0" fontId="3" fillId="0" borderId="0" xfId="4" applyFont="1" applyAlignment="1">
      <alignment vertical="center" wrapText="1"/>
    </xf>
    <xf numFmtId="0" fontId="12" fillId="0" borderId="0" xfId="4" applyFont="1" applyAlignment="1">
      <alignment horizontal="center" vertical="center"/>
    </xf>
    <xf numFmtId="0" fontId="12" fillId="0" borderId="0" xfId="3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24" fillId="0" borderId="0" xfId="1" applyFont="1" applyAlignment="1">
      <alignment horizontal="center" vertical="center" wrapText="1"/>
    </xf>
    <xf numFmtId="0" fontId="5" fillId="0" borderId="0" xfId="3" applyFont="1" applyAlignment="1">
      <alignment horizontal="center"/>
    </xf>
    <xf numFmtId="0" fontId="11" fillId="0" borderId="11" xfId="3" applyFont="1" applyBorder="1" applyAlignment="1">
      <alignment horizontal="center" vertical="center" wrapText="1"/>
    </xf>
    <xf numFmtId="0" fontId="11" fillId="0" borderId="5" xfId="3" applyFont="1" applyBorder="1" applyAlignment="1">
      <alignment horizontal="center" vertical="center" wrapText="1"/>
    </xf>
    <xf numFmtId="0" fontId="5" fillId="0" borderId="11" xfId="3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0" fontId="3" fillId="0" borderId="11" xfId="3" applyFont="1" applyBorder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0" fontId="9" fillId="0" borderId="0" xfId="4" applyFont="1" applyAlignment="1">
      <alignment horizontal="left" vertical="center" wrapText="1"/>
    </xf>
    <xf numFmtId="0" fontId="8" fillId="0" borderId="0" xfId="4" applyFont="1" applyAlignment="1">
      <alignment horizontal="left" vertical="center" wrapText="1"/>
    </xf>
  </cellXfs>
  <cellStyles count="67">
    <cellStyle name="Comma 17" xfId="43" xr:uid="{00000000-0005-0000-0000-000000000000}"/>
    <cellStyle name="Comma 17 2" xfId="64" xr:uid="{9D3EA6DF-71C6-4A8E-A687-85D2EA372077}"/>
    <cellStyle name="Comma 18" xfId="42" xr:uid="{00000000-0005-0000-0000-000001000000}"/>
    <cellStyle name="Comma 18 3" xfId="61" xr:uid="{6C2F100F-B78F-4A83-90C0-52B7F4EA67E7}"/>
    <cellStyle name="Normal" xfId="0" builtinId="0"/>
    <cellStyle name="Normal 10" xfId="6" xr:uid="{00000000-0005-0000-0000-000003000000}"/>
    <cellStyle name="Normal 11 2" xfId="9" xr:uid="{00000000-0005-0000-0000-000004000000}"/>
    <cellStyle name="Normal 11 2 2" xfId="19" xr:uid="{00000000-0005-0000-0000-000005000000}"/>
    <cellStyle name="Normal 12 2" xfId="28" xr:uid="{00000000-0005-0000-0000-000006000000}"/>
    <cellStyle name="Normal 13 2" xfId="32" xr:uid="{00000000-0005-0000-0000-000007000000}"/>
    <cellStyle name="Normal 13 2 2 2" xfId="53" xr:uid="{641660AF-F1E6-483B-831A-ACB38470321B}"/>
    <cellStyle name="Normal 13 2 3 2" xfId="44" xr:uid="{00000000-0005-0000-0000-000008000000}"/>
    <cellStyle name="Normal 13 2 4" xfId="51" xr:uid="{9DAD4D4B-4819-4B62-869F-F13FACE5632A}"/>
    <cellStyle name="Normal 13 3 2 2" xfId="54" xr:uid="{146E39CC-446B-44FB-82EC-D4A50A98D83B}"/>
    <cellStyle name="Normal 13 3 3" xfId="5" xr:uid="{00000000-0005-0000-0000-000009000000}"/>
    <cellStyle name="Normal 13 3 3 2" xfId="34" xr:uid="{00000000-0005-0000-0000-00000A000000}"/>
    <cellStyle name="Normal 13 3 3 6" xfId="48" xr:uid="{00000000-0005-0000-0000-00000B000000}"/>
    <cellStyle name="Normal 13 4" xfId="29" xr:uid="{00000000-0005-0000-0000-00000C000000}"/>
    <cellStyle name="Normal 13 5 3 2" xfId="27" xr:uid="{00000000-0005-0000-0000-00000D000000}"/>
    <cellStyle name="Normal 13 5 3 3" xfId="45" xr:uid="{00000000-0005-0000-0000-00000E000000}"/>
    <cellStyle name="Normal 13 5 3 3 2" xfId="49" xr:uid="{5E5BC3AD-9EC6-447E-9A50-94F60AE6CFE9}"/>
    <cellStyle name="Normal 13 5 3 4" xfId="50" xr:uid="{D3617A2D-6529-4B56-943A-E48F8F7FEFC2}"/>
    <cellStyle name="Normal 13 5 3 7" xfId="24" xr:uid="{00000000-0005-0000-0000-00000F000000}"/>
    <cellStyle name="Normal 14" xfId="58" xr:uid="{079B6965-46A1-4401-959E-E7A91F1678B1}"/>
    <cellStyle name="Normal 14 3 2" xfId="30" xr:uid="{00000000-0005-0000-0000-000010000000}"/>
    <cellStyle name="Normal 14 4" xfId="66" xr:uid="{320B8CAE-1451-4AAB-AD4D-E2C5CA837017}"/>
    <cellStyle name="Normal 14_anakia II etapi.xls sm. defeqturi" xfId="35" xr:uid="{00000000-0005-0000-0000-000011000000}"/>
    <cellStyle name="Normal 16 2" xfId="4" xr:uid="{00000000-0005-0000-0000-000013000000}"/>
    <cellStyle name="Normal 2" xfId="13" xr:uid="{00000000-0005-0000-0000-000014000000}"/>
    <cellStyle name="Normal 2 10" xfId="15" xr:uid="{00000000-0005-0000-0000-000015000000}"/>
    <cellStyle name="Normal 29" xfId="17" xr:uid="{00000000-0005-0000-0000-000016000000}"/>
    <cellStyle name="Normal 3" xfId="3" xr:uid="{00000000-0005-0000-0000-000017000000}"/>
    <cellStyle name="Normal 3 2_Q.W. ADMINISTRACIULI SENOBA" xfId="31" xr:uid="{00000000-0005-0000-0000-000018000000}"/>
    <cellStyle name="Normal 3 3" xfId="33" xr:uid="{00000000-0005-0000-0000-000019000000}"/>
    <cellStyle name="Normal 30" xfId="46" xr:uid="{00000000-0005-0000-0000-00001A000000}"/>
    <cellStyle name="Normal 31" xfId="25" xr:uid="{00000000-0005-0000-0000-00001B000000}"/>
    <cellStyle name="Normal 35 2" xfId="36" xr:uid="{00000000-0005-0000-0000-00001C000000}"/>
    <cellStyle name="Normal 36 2 2" xfId="18" xr:uid="{00000000-0005-0000-0000-00001D000000}"/>
    <cellStyle name="Normal 36 2 2 2 2" xfId="41" xr:uid="{00000000-0005-0000-0000-00001E000000}"/>
    <cellStyle name="Normal 36 2 2 3 2" xfId="52" xr:uid="{2293CCB8-E688-47FD-96C2-2BD900C777F2}"/>
    <cellStyle name="Normal 36 2 2 6" xfId="38" xr:uid="{00000000-0005-0000-0000-00001F000000}"/>
    <cellStyle name="Normal 36 2 3" xfId="7" xr:uid="{00000000-0005-0000-0000-000020000000}"/>
    <cellStyle name="Normal 36 2 3 2" xfId="12" xr:uid="{00000000-0005-0000-0000-000021000000}"/>
    <cellStyle name="Normal 37" xfId="47" xr:uid="{00000000-0005-0000-0000-000022000000}"/>
    <cellStyle name="Normal 37 2" xfId="39" xr:uid="{00000000-0005-0000-0000-000023000000}"/>
    <cellStyle name="Normal 38 2" xfId="65" xr:uid="{5FC3168E-9A12-47FD-AABF-3F1F81E36546}"/>
    <cellStyle name="Normal 38 3" xfId="23" xr:uid="{00000000-0005-0000-0000-000024000000}"/>
    <cellStyle name="Normal 4" xfId="55" xr:uid="{894C187D-D277-4CDD-9726-AFB891615C22}"/>
    <cellStyle name="Normal 42 3" xfId="22" xr:uid="{00000000-0005-0000-0000-000025000000}"/>
    <cellStyle name="Normal 47 2" xfId="16" xr:uid="{00000000-0005-0000-0000-000026000000}"/>
    <cellStyle name="Normal 47 4 2" xfId="57" xr:uid="{A130A16A-C234-4277-B932-8954F7D28318}"/>
    <cellStyle name="Normal 48 2" xfId="56" xr:uid="{58377229-B0CC-4647-8EC6-673D700035BF}"/>
    <cellStyle name="Normal 48 2 2" xfId="63" xr:uid="{97DBA88D-068A-4F2C-98D4-025B5821E49E}"/>
    <cellStyle name="Normal 5 4 2" xfId="26" xr:uid="{00000000-0005-0000-0000-000027000000}"/>
    <cellStyle name="Normal 55" xfId="62" xr:uid="{A1B18D86-51E0-42E7-8DF4-DBBC045E6C60}"/>
    <cellStyle name="Normal 56" xfId="59" xr:uid="{DBE16C7F-A36F-4701-91CA-8F586F9C97BF}"/>
    <cellStyle name="Normal_gare wyalsadfenigagarini 10" xfId="14" xr:uid="{00000000-0005-0000-0000-00002B000000}"/>
    <cellStyle name="Normal_gare wyalsadfenigagarini 2 2" xfId="2" xr:uid="{00000000-0005-0000-0000-00002C000000}"/>
    <cellStyle name="Normal_sida wyalsadeni 2 2" xfId="10" xr:uid="{00000000-0005-0000-0000-000038000000}"/>
    <cellStyle name="Percent 2" xfId="11" xr:uid="{00000000-0005-0000-0000-00003D000000}"/>
    <cellStyle name="Обычный 2 2" xfId="8" xr:uid="{00000000-0005-0000-0000-00003E000000}"/>
    <cellStyle name="Обычный 3" xfId="40" xr:uid="{00000000-0005-0000-0000-00003F000000}"/>
    <cellStyle name="Обычный 4 2" xfId="1" xr:uid="{00000000-0005-0000-0000-000040000000}"/>
    <cellStyle name="Обычный 4 3" xfId="20" xr:uid="{00000000-0005-0000-0000-000041000000}"/>
    <cellStyle name="Обычный 5 2 2" xfId="37" xr:uid="{00000000-0005-0000-0000-000042000000}"/>
    <cellStyle name="Обычный_ELEQ 3" xfId="21" xr:uid="{00000000-0005-0000-0000-000043000000}"/>
    <cellStyle name="Процентный 2" xfId="60" xr:uid="{C018C5B5-A296-4BAA-AFD0-89A5221D6670}"/>
  </cellStyles>
  <dxfs count="0"/>
  <tableStyles count="0" defaultTableStyle="TableStyleMedium2" defaultPivotStyle="PivotStyleLight16"/>
  <colors>
    <mruColors>
      <color rgb="FF4080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10</xdr:col>
      <xdr:colOff>228600</xdr:colOff>
      <xdr:row>23</xdr:row>
      <xdr:rowOff>0</xdr:rowOff>
    </xdr:to>
    <xdr:pic>
      <xdr:nvPicPr>
        <xdr:cNvPr id="2" name="Рисунок 1" descr="Q. kALANDAZ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86400" y="4895850"/>
          <a:ext cx="838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15</xdr:row>
      <xdr:rowOff>0</xdr:rowOff>
    </xdr:from>
    <xdr:to>
      <xdr:col>6</xdr:col>
      <xdr:colOff>838200</xdr:colOff>
      <xdr:row>17</xdr:row>
      <xdr:rowOff>28575</xdr:rowOff>
    </xdr:to>
    <xdr:pic>
      <xdr:nvPicPr>
        <xdr:cNvPr id="2" name="Рисунок 1" descr="Q. kALANDAZE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57625" y="4248150"/>
          <a:ext cx="838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688731</xdr:colOff>
      <xdr:row>31</xdr:row>
      <xdr:rowOff>73270</xdr:rowOff>
    </xdr:from>
    <xdr:to>
      <xdr:col>5</xdr:col>
      <xdr:colOff>715840</xdr:colOff>
      <xdr:row>33</xdr:row>
      <xdr:rowOff>175847</xdr:rowOff>
    </xdr:to>
    <xdr:pic>
      <xdr:nvPicPr>
        <xdr:cNvPr id="3" name="Рисунок 1" descr="Q. kALANDAZE.jpg">
          <a:extLst>
            <a:ext uri="{FF2B5EF4-FFF2-40B4-BE49-F238E27FC236}">
              <a16:creationId xmlns:a16="http://schemas.microsoft.com/office/drawing/2014/main" id="{CF179870-4E95-488C-9CE8-BB5C12E56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8577" y="8352693"/>
          <a:ext cx="847725" cy="498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73</xdr:row>
      <xdr:rowOff>0</xdr:rowOff>
    </xdr:from>
    <xdr:ext cx="773112" cy="396875"/>
    <xdr:pic>
      <xdr:nvPicPr>
        <xdr:cNvPr id="2" name="Рисунок 1" descr="Q. kALANDAZE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8459450"/>
          <a:ext cx="773112" cy="39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84</xdr:row>
      <xdr:rowOff>0</xdr:rowOff>
    </xdr:from>
    <xdr:ext cx="773112" cy="396875"/>
    <xdr:pic>
      <xdr:nvPicPr>
        <xdr:cNvPr id="3" name="Рисунок 1" descr="Q. kALANDAZE.jpg">
          <a:extLst>
            <a:ext uri="{FF2B5EF4-FFF2-40B4-BE49-F238E27FC236}">
              <a16:creationId xmlns:a16="http://schemas.microsoft.com/office/drawing/2014/main" id="{D2F47294-DA9C-4F92-B23A-0C68F0223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05350" y="17611725"/>
          <a:ext cx="773112" cy="39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45</xdr:row>
      <xdr:rowOff>0</xdr:rowOff>
    </xdr:from>
    <xdr:ext cx="773112" cy="396875"/>
    <xdr:pic>
      <xdr:nvPicPr>
        <xdr:cNvPr id="2" name="Рисунок 1" descr="Q. kALANDAZE.jpg">
          <a:extLst>
            <a:ext uri="{FF2B5EF4-FFF2-40B4-BE49-F238E27FC236}">
              <a16:creationId xmlns:a16="http://schemas.microsoft.com/office/drawing/2014/main" id="{AAF6E3B3-6A93-4C76-9460-408AED1588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05350" y="21945600"/>
          <a:ext cx="773112" cy="39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32</xdr:row>
      <xdr:rowOff>0</xdr:rowOff>
    </xdr:from>
    <xdr:ext cx="773112" cy="396875"/>
    <xdr:pic>
      <xdr:nvPicPr>
        <xdr:cNvPr id="2" name="Рисунок 1" descr="Q. kALANDAZE.jpg">
          <a:extLst>
            <a:ext uri="{FF2B5EF4-FFF2-40B4-BE49-F238E27FC236}">
              <a16:creationId xmlns:a16="http://schemas.microsoft.com/office/drawing/2014/main" id="{F8C5C041-CFC4-46C4-A159-0C48F1DC2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05350" y="86925150"/>
          <a:ext cx="773112" cy="39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08046"/>
  </sheetPr>
  <dimension ref="A1:O512"/>
  <sheetViews>
    <sheetView tabSelected="1" workbookViewId="0">
      <selection activeCell="L22" sqref="L22"/>
    </sheetView>
  </sheetViews>
  <sheetFormatPr defaultColWidth="9.140625" defaultRowHeight="15" customHeight="1"/>
  <cols>
    <col min="1" max="11" width="9.140625" style="68"/>
    <col min="12" max="12" width="13" style="68" customWidth="1"/>
    <col min="13" max="16384" width="9.140625" style="68"/>
  </cols>
  <sheetData>
    <row r="1" spans="1:15" ht="15" customHeight="1">
      <c r="G1" s="21"/>
    </row>
    <row r="2" spans="1:15" ht="15" customHeight="1">
      <c r="L2" s="69"/>
    </row>
    <row r="3" spans="1:15" ht="19.5" customHeight="1">
      <c r="D3" s="70"/>
      <c r="E3" s="71"/>
      <c r="F3" s="71"/>
      <c r="G3" s="71"/>
      <c r="H3" s="71"/>
      <c r="I3" s="71"/>
      <c r="J3" s="71"/>
    </row>
    <row r="4" spans="1:15" ht="18.75" customHeight="1">
      <c r="A4" s="285" t="s">
        <v>130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162"/>
    </row>
    <row r="6" spans="1:15" ht="15" customHeight="1">
      <c r="L6" s="5"/>
    </row>
    <row r="7" spans="1:15" ht="15" customHeight="1">
      <c r="L7" s="5"/>
    </row>
    <row r="10" spans="1:15" ht="17.25" customHeight="1">
      <c r="A10" s="285" t="s">
        <v>86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</row>
    <row r="11" spans="1:15" ht="15" customHeight="1">
      <c r="B11" s="67"/>
    </row>
    <row r="12" spans="1:15" s="69" customFormat="1" ht="41.25" customHeight="1">
      <c r="A12" s="286" t="s">
        <v>131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</row>
    <row r="13" spans="1:15" ht="16.5" customHeight="1">
      <c r="A13" s="288"/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</row>
    <row r="15" spans="1:15" ht="18.75" customHeight="1">
      <c r="G15" s="69" t="s">
        <v>47</v>
      </c>
      <c r="L15" s="72">
        <f>GB!G9</f>
        <v>275.70689657413266</v>
      </c>
      <c r="M15" s="69" t="s">
        <v>48</v>
      </c>
    </row>
    <row r="18" spans="1:12" s="5" customFormat="1" ht="21.75" customHeight="1">
      <c r="A18" s="21"/>
      <c r="B18" s="73" t="s">
        <v>132</v>
      </c>
      <c r="D18" s="73"/>
      <c r="E18" s="73"/>
      <c r="F18" s="73"/>
      <c r="G18" s="73"/>
      <c r="H18" s="73"/>
      <c r="I18" s="73"/>
      <c r="J18" s="73"/>
      <c r="L18" s="73" t="s">
        <v>133</v>
      </c>
    </row>
    <row r="19" spans="1:12" s="5" customFormat="1" ht="21.75" customHeight="1">
      <c r="A19" s="21"/>
      <c r="B19" s="5" t="s">
        <v>135</v>
      </c>
      <c r="L19" s="5" t="s">
        <v>134</v>
      </c>
    </row>
    <row r="20" spans="1:12" s="5" customFormat="1" ht="21.75" customHeight="1">
      <c r="A20" s="21"/>
      <c r="L20" s="5" t="s">
        <v>136</v>
      </c>
    </row>
    <row r="21" spans="1:12" s="5" customFormat="1" ht="21.75" customHeight="1">
      <c r="A21" s="21"/>
      <c r="B21" s="5" t="s">
        <v>137</v>
      </c>
      <c r="L21" s="5" t="s">
        <v>258</v>
      </c>
    </row>
    <row r="22" spans="1:12" s="5" customFormat="1" ht="21.75" customHeight="1">
      <c r="A22" s="21"/>
      <c r="B22" s="5" t="s">
        <v>1</v>
      </c>
      <c r="L22" s="5" t="s">
        <v>0</v>
      </c>
    </row>
    <row r="23" spans="1:12" ht="15" customHeight="1">
      <c r="C23" s="5"/>
    </row>
    <row r="25" spans="1:12" ht="15" customHeight="1">
      <c r="C25" s="73"/>
      <c r="D25" s="71"/>
      <c r="E25" s="71"/>
      <c r="F25" s="71"/>
      <c r="G25" s="71"/>
      <c r="H25" s="71"/>
      <c r="I25" s="71"/>
      <c r="J25" s="71"/>
      <c r="K25" s="73"/>
    </row>
    <row r="26" spans="1:12" ht="18.75" customHeight="1">
      <c r="G26" s="69" t="s">
        <v>138</v>
      </c>
    </row>
    <row r="49" spans="1:1" ht="15" customHeight="1">
      <c r="A49" s="68">
        <v>4</v>
      </c>
    </row>
    <row r="55" spans="1:1" ht="15" customHeight="1">
      <c r="A55" s="68">
        <v>5</v>
      </c>
    </row>
    <row r="60" spans="1:1" ht="15" customHeight="1">
      <c r="A60" s="68">
        <v>6</v>
      </c>
    </row>
    <row r="111" spans="9:9" ht="15" customHeight="1">
      <c r="I111" s="74"/>
    </row>
    <row r="124" spans="9:9" ht="15" customHeight="1">
      <c r="I124" s="74"/>
    </row>
    <row r="512" spans="3:3" ht="15" customHeight="1">
      <c r="C512" s="68" t="s">
        <v>49</v>
      </c>
    </row>
  </sheetData>
  <mergeCells count="4">
    <mergeCell ref="A10:N10"/>
    <mergeCell ref="A12:N12"/>
    <mergeCell ref="A13:N13"/>
    <mergeCell ref="A4:N4"/>
  </mergeCells>
  <pageMargins left="0.25" right="0.25" top="0.75" bottom="0.75" header="0.3" footer="0.3"/>
  <pageSetup paperSize="9" orientation="landscape" r:id="rId1"/>
  <headerFooter alignWithMargins="0">
    <oddFooter>&amp;C&amp;R&amp;P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408046"/>
  </sheetPr>
  <dimension ref="A1:IV386"/>
  <sheetViews>
    <sheetView workbookViewId="0">
      <selection activeCell="G10" sqref="G10"/>
    </sheetView>
  </sheetViews>
  <sheetFormatPr defaultColWidth="9.140625" defaultRowHeight="17.25" customHeight="1"/>
  <cols>
    <col min="1" max="2" width="9.140625" style="5"/>
    <col min="3" max="3" width="12.140625" style="5" customWidth="1"/>
    <col min="4" max="6" width="9.140625" style="5"/>
    <col min="7" max="7" width="13.42578125" style="5" customWidth="1"/>
    <col min="8" max="16384" width="9.140625" style="5"/>
  </cols>
  <sheetData>
    <row r="1" spans="1:256" ht="17.25" customHeight="1">
      <c r="E1" s="69" t="s">
        <v>50</v>
      </c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</row>
    <row r="2" spans="1:256" ht="17.25" customHeight="1"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</row>
    <row r="3" spans="1:256" ht="17.25" customHeight="1">
      <c r="A3" s="289" t="s">
        <v>141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</row>
    <row r="4" spans="1:256" ht="66" customHeigh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</row>
    <row r="5" spans="1:256" ht="17.25" customHeight="1">
      <c r="B5" s="5" t="s">
        <v>51</v>
      </c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</row>
    <row r="6" spans="1:256" ht="26.25" customHeight="1">
      <c r="A6" s="290" t="s">
        <v>124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</row>
    <row r="7" spans="1:256" ht="17.25" customHeight="1">
      <c r="B7" s="5" t="s">
        <v>64</v>
      </c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</row>
    <row r="8" spans="1:256" ht="17.25" customHeight="1">
      <c r="B8" s="5" t="s">
        <v>52</v>
      </c>
    </row>
    <row r="9" spans="1:256" ht="17.25" customHeight="1">
      <c r="B9" s="5" t="s">
        <v>53</v>
      </c>
      <c r="G9" s="76">
        <f>'K.X.'!H26</f>
        <v>275.70689657413266</v>
      </c>
      <c r="H9" s="5" t="s">
        <v>54</v>
      </c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</row>
    <row r="10" spans="1:256" ht="17.25" customHeight="1">
      <c r="B10" s="5" t="s">
        <v>55</v>
      </c>
      <c r="C10" s="76" t="e">
        <f>'K.X.'!#REF!</f>
        <v>#REF!</v>
      </c>
      <c r="D10" s="5" t="s">
        <v>56</v>
      </c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</row>
    <row r="11" spans="1:256" ht="17.25" customHeight="1"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</row>
    <row r="12" spans="1:256" s="77" customFormat="1" ht="17.25" customHeight="1">
      <c r="A12" s="20" t="s">
        <v>57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</row>
    <row r="13" spans="1:256" s="77" customFormat="1" ht="17.25" customHeight="1">
      <c r="A13" s="20" t="s">
        <v>58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</row>
    <row r="14" spans="1:256" s="77" customFormat="1" ht="17.25" customHeight="1">
      <c r="A14" s="20" t="s">
        <v>59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256" ht="17.25" customHeight="1"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</row>
    <row r="16" spans="1:256" ht="17.25" customHeight="1">
      <c r="C16" s="5" t="s">
        <v>1</v>
      </c>
      <c r="I16" s="5" t="s">
        <v>0</v>
      </c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</row>
    <row r="17" spans="14:37" ht="17.25" customHeight="1"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</row>
    <row r="18" spans="14:37" s="78" customFormat="1" ht="17.25" customHeight="1"/>
    <row r="19" spans="14:37" s="78" customFormat="1" ht="17.25" customHeight="1"/>
    <row r="20" spans="14:37" s="78" customFormat="1" ht="17.25" customHeight="1"/>
    <row r="21" spans="14:37" s="78" customFormat="1" ht="17.25" customHeight="1"/>
    <row r="22" spans="14:37" s="78" customFormat="1" ht="17.25" customHeight="1"/>
    <row r="23" spans="14:37" s="78" customFormat="1" ht="17.25" customHeight="1"/>
    <row r="24" spans="14:37" s="78" customFormat="1" ht="17.25" customHeight="1"/>
    <row r="25" spans="14:37" s="78" customFormat="1" ht="17.25" customHeight="1"/>
    <row r="26" spans="14:37" s="78" customFormat="1" ht="17.25" customHeight="1"/>
    <row r="27" spans="14:37" s="78" customFormat="1" ht="17.25" customHeight="1"/>
    <row r="28" spans="14:37" s="78" customFormat="1" ht="17.25" customHeight="1"/>
    <row r="29" spans="14:37" s="78" customFormat="1" ht="17.25" customHeight="1"/>
    <row r="30" spans="14:37" s="78" customFormat="1" ht="17.25" customHeight="1"/>
    <row r="31" spans="14:37" s="78" customFormat="1" ht="17.25" customHeight="1"/>
    <row r="32" spans="14:37" s="78" customFormat="1" ht="17.25" customHeight="1"/>
    <row r="33" s="78" customFormat="1" ht="17.25" customHeight="1"/>
    <row r="34" s="78" customFormat="1" ht="17.25" customHeight="1"/>
    <row r="35" s="78" customFormat="1" ht="17.25" customHeight="1"/>
    <row r="36" s="78" customFormat="1" ht="17.25" customHeight="1"/>
    <row r="37" s="78" customFormat="1" ht="17.25" customHeight="1"/>
    <row r="38" s="78" customFormat="1" ht="17.25" customHeight="1"/>
    <row r="39" s="78" customFormat="1" ht="17.25" customHeight="1"/>
    <row r="40" s="78" customFormat="1" ht="17.25" customHeight="1"/>
    <row r="41" s="78" customFormat="1" ht="17.25" customHeight="1"/>
    <row r="42" s="78" customFormat="1" ht="17.25" customHeight="1"/>
    <row r="43" s="78" customFormat="1" ht="17.25" customHeight="1"/>
    <row r="44" s="78" customFormat="1" ht="17.25" customHeight="1"/>
    <row r="45" s="78" customFormat="1" ht="17.25" customHeight="1"/>
    <row r="46" s="78" customFormat="1" ht="17.25" customHeight="1"/>
    <row r="47" s="78" customFormat="1" ht="17.25" customHeight="1"/>
    <row r="48" s="78" customFormat="1" ht="17.25" customHeight="1"/>
    <row r="49" s="78" customFormat="1" ht="17.25" customHeight="1"/>
    <row r="50" s="78" customFormat="1" ht="17.25" customHeight="1"/>
    <row r="51" s="78" customFormat="1" ht="17.25" customHeight="1"/>
    <row r="52" s="78" customFormat="1" ht="17.25" customHeight="1"/>
    <row r="53" s="78" customFormat="1" ht="17.25" customHeight="1"/>
    <row r="54" s="78" customFormat="1" ht="17.25" customHeight="1"/>
    <row r="55" s="78" customFormat="1" ht="17.25" customHeight="1"/>
    <row r="56" s="78" customFormat="1" ht="17.25" customHeight="1"/>
    <row r="57" s="78" customFormat="1" ht="17.25" customHeight="1"/>
    <row r="58" s="78" customFormat="1" ht="17.25" customHeight="1"/>
    <row r="59" s="78" customFormat="1" ht="17.25" customHeight="1"/>
    <row r="60" s="78" customFormat="1" ht="17.25" customHeight="1"/>
    <row r="61" s="78" customFormat="1" ht="17.25" customHeight="1"/>
    <row r="62" s="78" customFormat="1" ht="17.25" customHeight="1"/>
    <row r="63" s="78" customFormat="1" ht="17.25" customHeight="1"/>
    <row r="64" s="78" customFormat="1" ht="17.25" customHeight="1"/>
    <row r="65" s="78" customFormat="1" ht="17.25" customHeight="1"/>
    <row r="66" s="78" customFormat="1" ht="17.25" customHeight="1"/>
    <row r="67" s="78" customFormat="1" ht="17.25" customHeight="1"/>
    <row r="68" s="78" customFormat="1" ht="17.25" customHeight="1"/>
    <row r="69" s="78" customFormat="1" ht="17.25" customHeight="1"/>
    <row r="70" s="78" customFormat="1" ht="17.25" customHeight="1"/>
    <row r="71" s="78" customFormat="1" ht="17.25" customHeight="1"/>
    <row r="72" s="78" customFormat="1" ht="17.25" customHeight="1"/>
    <row r="73" s="78" customFormat="1" ht="17.25" customHeight="1"/>
    <row r="74" s="78" customFormat="1" ht="17.25" customHeight="1"/>
    <row r="75" s="78" customFormat="1" ht="17.25" customHeight="1"/>
    <row r="76" s="78" customFormat="1" ht="17.25" customHeight="1"/>
    <row r="77" s="78" customFormat="1" ht="17.25" customHeight="1"/>
    <row r="78" s="78" customFormat="1" ht="17.25" customHeight="1"/>
    <row r="79" s="78" customFormat="1" ht="17.25" customHeight="1"/>
    <row r="80" s="78" customFormat="1" ht="17.25" customHeight="1"/>
    <row r="81" s="78" customFormat="1" ht="17.25" customHeight="1"/>
    <row r="82" s="78" customFormat="1" ht="17.25" customHeight="1"/>
    <row r="83" s="78" customFormat="1" ht="17.25" customHeight="1"/>
    <row r="84" s="78" customFormat="1" ht="17.25" customHeight="1"/>
    <row r="85" s="78" customFormat="1" ht="17.25" customHeight="1"/>
    <row r="86" s="78" customFormat="1" ht="17.25" customHeight="1"/>
    <row r="87" s="78" customFormat="1" ht="17.25" customHeight="1"/>
    <row r="88" s="78" customFormat="1" ht="17.25" customHeight="1"/>
    <row r="89" s="78" customFormat="1" ht="17.25" customHeight="1"/>
    <row r="90" s="78" customFormat="1" ht="17.25" customHeight="1"/>
    <row r="91" s="78" customFormat="1" ht="17.25" customHeight="1"/>
    <row r="92" s="78" customFormat="1" ht="17.25" customHeight="1"/>
    <row r="93" s="78" customFormat="1" ht="17.25" customHeight="1"/>
    <row r="94" s="78" customFormat="1" ht="17.25" customHeight="1"/>
    <row r="95" s="78" customFormat="1" ht="17.25" customHeight="1"/>
    <row r="96" s="78" customFormat="1" ht="17.25" customHeight="1"/>
    <row r="97" s="78" customFormat="1" ht="17.25" customHeight="1"/>
    <row r="98" s="78" customFormat="1" ht="17.25" customHeight="1"/>
    <row r="99" s="78" customFormat="1" ht="17.25" customHeight="1"/>
    <row r="100" s="78" customFormat="1" ht="17.25" customHeight="1"/>
    <row r="101" s="78" customFormat="1" ht="17.25" customHeight="1"/>
    <row r="102" s="78" customFormat="1" ht="17.25" customHeight="1"/>
    <row r="103" s="78" customFormat="1" ht="17.25" customHeight="1"/>
    <row r="104" s="78" customFormat="1" ht="17.25" customHeight="1"/>
    <row r="105" s="78" customFormat="1" ht="17.25" customHeight="1"/>
    <row r="106" s="78" customFormat="1" ht="17.25" customHeight="1"/>
    <row r="107" s="78" customFormat="1" ht="17.25" customHeight="1"/>
    <row r="108" s="78" customFormat="1" ht="17.25" customHeight="1"/>
    <row r="109" s="78" customFormat="1" ht="17.25" customHeight="1"/>
    <row r="110" s="78" customFormat="1" ht="17.25" customHeight="1"/>
    <row r="111" s="78" customFormat="1" ht="17.25" customHeight="1"/>
    <row r="112" s="78" customFormat="1" ht="17.25" customHeight="1"/>
    <row r="113" s="78" customFormat="1" ht="17.25" customHeight="1"/>
    <row r="114" s="78" customFormat="1" ht="17.25" customHeight="1"/>
    <row r="115" s="78" customFormat="1" ht="17.25" customHeight="1"/>
    <row r="116" s="78" customFormat="1" ht="17.25" customHeight="1"/>
    <row r="117" s="78" customFormat="1" ht="17.25" customHeight="1"/>
    <row r="118" s="78" customFormat="1" ht="17.25" customHeight="1"/>
    <row r="119" s="78" customFormat="1" ht="17.25" customHeight="1"/>
    <row r="120" s="78" customFormat="1" ht="17.25" customHeight="1"/>
    <row r="121" s="78" customFormat="1" ht="17.25" customHeight="1"/>
    <row r="122" s="78" customFormat="1" ht="17.25" customHeight="1"/>
    <row r="123" s="78" customFormat="1" ht="17.25" customHeight="1"/>
    <row r="124" s="78" customFormat="1" ht="17.25" customHeight="1"/>
    <row r="125" s="78" customFormat="1" ht="17.25" customHeight="1"/>
    <row r="126" s="78" customFormat="1" ht="17.25" customHeight="1"/>
    <row r="127" s="78" customFormat="1" ht="17.25" customHeight="1"/>
    <row r="128" s="78" customFormat="1" ht="17.25" customHeight="1"/>
    <row r="129" s="78" customFormat="1" ht="17.25" customHeight="1"/>
    <row r="130" s="78" customFormat="1" ht="17.25" customHeight="1"/>
    <row r="131" s="78" customFormat="1" ht="17.25" customHeight="1"/>
    <row r="132" s="78" customFormat="1" ht="17.25" customHeight="1"/>
    <row r="133" s="78" customFormat="1" ht="17.25" customHeight="1"/>
    <row r="134" s="78" customFormat="1" ht="17.25" customHeight="1"/>
    <row r="135" s="78" customFormat="1" ht="17.25" customHeight="1"/>
    <row r="136" s="78" customFormat="1" ht="17.25" customHeight="1"/>
    <row r="137" s="78" customFormat="1" ht="17.25" customHeight="1"/>
    <row r="138" s="78" customFormat="1" ht="17.25" customHeight="1"/>
    <row r="139" s="78" customFormat="1" ht="17.25" customHeight="1"/>
    <row r="140" s="78" customFormat="1" ht="17.25" customHeight="1"/>
    <row r="141" s="78" customFormat="1" ht="17.25" customHeight="1"/>
    <row r="142" s="78" customFormat="1" ht="17.25" customHeight="1"/>
    <row r="143" s="78" customFormat="1" ht="17.25" customHeight="1"/>
    <row r="144" s="78" customFormat="1" ht="17.25" customHeight="1"/>
    <row r="145" s="78" customFormat="1" ht="17.25" customHeight="1"/>
    <row r="146" s="78" customFormat="1" ht="17.25" customHeight="1"/>
    <row r="147" s="78" customFormat="1" ht="17.25" customHeight="1"/>
    <row r="148" s="78" customFormat="1" ht="17.25" customHeight="1"/>
    <row r="149" s="78" customFormat="1" ht="17.25" customHeight="1"/>
    <row r="150" s="78" customFormat="1" ht="17.25" customHeight="1"/>
    <row r="151" s="78" customFormat="1" ht="17.25" customHeight="1"/>
    <row r="152" s="78" customFormat="1" ht="17.25" customHeight="1"/>
    <row r="153" s="78" customFormat="1" ht="17.25" customHeight="1"/>
    <row r="154" s="78" customFormat="1" ht="17.25" customHeight="1"/>
    <row r="155" s="78" customFormat="1" ht="17.25" customHeight="1"/>
    <row r="156" s="78" customFormat="1" ht="17.25" customHeight="1"/>
    <row r="157" s="78" customFormat="1" ht="17.25" customHeight="1"/>
    <row r="158" s="78" customFormat="1" ht="17.25" customHeight="1"/>
    <row r="159" s="78" customFormat="1" ht="17.25" customHeight="1"/>
    <row r="160" s="78" customFormat="1" ht="17.25" customHeight="1"/>
    <row r="161" s="78" customFormat="1" ht="17.25" customHeight="1"/>
    <row r="162" s="78" customFormat="1" ht="17.25" customHeight="1"/>
    <row r="163" s="78" customFormat="1" ht="17.25" customHeight="1"/>
    <row r="164" s="78" customFormat="1" ht="17.25" customHeight="1"/>
    <row r="165" s="78" customFormat="1" ht="17.25" customHeight="1"/>
    <row r="166" s="78" customFormat="1" ht="17.25" customHeight="1"/>
    <row r="167" s="78" customFormat="1" ht="17.25" customHeight="1"/>
    <row r="168" s="78" customFormat="1" ht="17.25" customHeight="1"/>
    <row r="169" s="78" customFormat="1" ht="17.25" customHeight="1"/>
    <row r="170" s="78" customFormat="1" ht="17.25" customHeight="1"/>
    <row r="171" s="78" customFormat="1" ht="17.25" customHeight="1"/>
    <row r="172" s="78" customFormat="1" ht="17.25" customHeight="1"/>
    <row r="173" s="78" customFormat="1" ht="17.25" customHeight="1"/>
    <row r="174" s="78" customFormat="1" ht="17.25" customHeight="1"/>
    <row r="175" s="78" customFormat="1" ht="17.25" customHeight="1"/>
    <row r="176" s="78" customFormat="1" ht="17.25" customHeight="1"/>
    <row r="177" s="78" customFormat="1" ht="17.25" customHeight="1"/>
    <row r="178" s="78" customFormat="1" ht="17.25" customHeight="1"/>
    <row r="179" s="78" customFormat="1" ht="17.25" customHeight="1"/>
    <row r="180" s="78" customFormat="1" ht="17.25" customHeight="1"/>
    <row r="181" s="78" customFormat="1" ht="17.25" customHeight="1"/>
    <row r="182" s="78" customFormat="1" ht="17.25" customHeight="1"/>
    <row r="183" s="78" customFormat="1" ht="17.25" customHeight="1"/>
    <row r="184" s="78" customFormat="1" ht="17.25" customHeight="1"/>
    <row r="185" s="78" customFormat="1" ht="17.25" customHeight="1"/>
    <row r="186" s="78" customFormat="1" ht="17.25" customHeight="1"/>
    <row r="187" s="78" customFormat="1" ht="17.25" customHeight="1"/>
    <row r="188" s="78" customFormat="1" ht="17.25" customHeight="1"/>
    <row r="189" s="78" customFormat="1" ht="17.25" customHeight="1"/>
    <row r="190" s="78" customFormat="1" ht="17.25" customHeight="1"/>
    <row r="191" s="78" customFormat="1" ht="17.25" customHeight="1"/>
    <row r="192" s="78" customFormat="1" ht="17.25" customHeight="1"/>
    <row r="193" s="78" customFormat="1" ht="17.25" customHeight="1"/>
    <row r="194" s="78" customFormat="1" ht="17.25" customHeight="1"/>
    <row r="195" s="78" customFormat="1" ht="17.25" customHeight="1"/>
    <row r="196" s="78" customFormat="1" ht="17.25" customHeight="1"/>
    <row r="197" s="78" customFormat="1" ht="17.25" customHeight="1"/>
    <row r="198" s="78" customFormat="1" ht="17.25" customHeight="1"/>
    <row r="199" s="78" customFormat="1" ht="17.25" customHeight="1"/>
    <row r="200" s="78" customFormat="1" ht="17.25" customHeight="1"/>
    <row r="201" s="78" customFormat="1" ht="17.25" customHeight="1"/>
    <row r="202" s="78" customFormat="1" ht="17.25" customHeight="1"/>
    <row r="203" s="78" customFormat="1" ht="17.25" customHeight="1"/>
    <row r="204" s="78" customFormat="1" ht="17.25" customHeight="1"/>
    <row r="205" s="78" customFormat="1" ht="17.25" customHeight="1"/>
    <row r="206" s="78" customFormat="1" ht="17.25" customHeight="1"/>
    <row r="207" s="78" customFormat="1" ht="17.25" customHeight="1"/>
    <row r="208" s="78" customFormat="1" ht="17.25" customHeight="1"/>
    <row r="209" s="78" customFormat="1" ht="17.25" customHeight="1"/>
    <row r="210" s="78" customFormat="1" ht="17.25" customHeight="1"/>
    <row r="211" s="78" customFormat="1" ht="17.25" customHeight="1"/>
    <row r="212" s="78" customFormat="1" ht="17.25" customHeight="1"/>
    <row r="213" s="78" customFormat="1" ht="17.25" customHeight="1"/>
    <row r="214" s="78" customFormat="1" ht="17.25" customHeight="1"/>
    <row r="215" s="78" customFormat="1" ht="17.25" customHeight="1"/>
    <row r="216" s="78" customFormat="1" ht="17.25" customHeight="1"/>
    <row r="217" s="78" customFormat="1" ht="17.25" customHeight="1"/>
    <row r="218" s="78" customFormat="1" ht="17.25" customHeight="1"/>
    <row r="219" s="78" customFormat="1" ht="17.25" customHeight="1"/>
    <row r="220" s="78" customFormat="1" ht="17.25" customHeight="1"/>
    <row r="221" s="78" customFormat="1" ht="17.25" customHeight="1"/>
    <row r="222" s="78" customFormat="1" ht="17.25" customHeight="1"/>
    <row r="223" s="78" customFormat="1" ht="17.25" customHeight="1"/>
    <row r="224" s="78" customFormat="1" ht="17.25" customHeight="1"/>
    <row r="225" s="78" customFormat="1" ht="17.25" customHeight="1"/>
    <row r="226" s="78" customFormat="1" ht="17.25" customHeight="1"/>
    <row r="227" s="78" customFormat="1" ht="17.25" customHeight="1"/>
    <row r="228" s="78" customFormat="1" ht="17.25" customHeight="1"/>
    <row r="229" s="78" customFormat="1" ht="17.25" customHeight="1"/>
    <row r="230" s="78" customFormat="1" ht="17.25" customHeight="1"/>
    <row r="231" s="78" customFormat="1" ht="17.25" customHeight="1"/>
    <row r="232" s="78" customFormat="1" ht="17.25" customHeight="1"/>
    <row r="233" s="78" customFormat="1" ht="17.25" customHeight="1"/>
    <row r="234" s="78" customFormat="1" ht="17.25" customHeight="1"/>
    <row r="235" s="78" customFormat="1" ht="17.25" customHeight="1"/>
    <row r="236" s="78" customFormat="1" ht="17.25" customHeight="1"/>
    <row r="237" s="78" customFormat="1" ht="17.25" customHeight="1"/>
    <row r="238" s="78" customFormat="1" ht="17.25" customHeight="1"/>
    <row r="239" s="78" customFormat="1" ht="17.25" customHeight="1"/>
    <row r="240" s="78" customFormat="1" ht="17.25" customHeight="1"/>
    <row r="241" s="78" customFormat="1" ht="17.25" customHeight="1"/>
    <row r="242" s="78" customFormat="1" ht="17.25" customHeight="1"/>
    <row r="243" s="78" customFormat="1" ht="17.25" customHeight="1"/>
    <row r="244" s="78" customFormat="1" ht="17.25" customHeight="1"/>
    <row r="245" s="78" customFormat="1" ht="17.25" customHeight="1"/>
    <row r="246" s="78" customFormat="1" ht="17.25" customHeight="1"/>
    <row r="247" s="78" customFormat="1" ht="17.25" customHeight="1"/>
    <row r="248" s="78" customFormat="1" ht="17.25" customHeight="1"/>
    <row r="249" s="78" customFormat="1" ht="17.25" customHeight="1"/>
    <row r="250" s="78" customFormat="1" ht="17.25" customHeight="1"/>
    <row r="251" s="78" customFormat="1" ht="17.25" customHeight="1"/>
    <row r="252" s="78" customFormat="1" ht="17.25" customHeight="1"/>
    <row r="253" s="78" customFormat="1" ht="17.25" customHeight="1"/>
    <row r="254" s="78" customFormat="1" ht="17.25" customHeight="1"/>
    <row r="255" s="78" customFormat="1" ht="17.25" customHeight="1"/>
    <row r="256" s="78" customFormat="1" ht="17.25" customHeight="1"/>
    <row r="257" s="78" customFormat="1" ht="17.25" customHeight="1"/>
    <row r="258" s="78" customFormat="1" ht="17.25" customHeight="1"/>
    <row r="259" s="78" customFormat="1" ht="17.25" customHeight="1"/>
    <row r="260" s="78" customFormat="1" ht="17.25" customHeight="1"/>
    <row r="261" s="78" customFormat="1" ht="17.25" customHeight="1"/>
    <row r="262" s="78" customFormat="1" ht="17.25" customHeight="1"/>
    <row r="263" s="78" customFormat="1" ht="17.25" customHeight="1"/>
    <row r="264" s="78" customFormat="1" ht="17.25" customHeight="1"/>
    <row r="265" s="78" customFormat="1" ht="17.25" customHeight="1"/>
    <row r="266" s="78" customFormat="1" ht="17.25" customHeight="1"/>
    <row r="267" s="78" customFormat="1" ht="17.25" customHeight="1"/>
    <row r="268" s="78" customFormat="1" ht="17.25" customHeight="1"/>
    <row r="269" s="78" customFormat="1" ht="17.25" customHeight="1"/>
    <row r="270" s="78" customFormat="1" ht="17.25" customHeight="1"/>
    <row r="271" s="78" customFormat="1" ht="17.25" customHeight="1"/>
    <row r="272" s="78" customFormat="1" ht="17.25" customHeight="1"/>
    <row r="273" s="78" customFormat="1" ht="17.25" customHeight="1"/>
    <row r="274" s="78" customFormat="1" ht="17.25" customHeight="1"/>
    <row r="275" s="78" customFormat="1" ht="17.25" customHeight="1"/>
    <row r="276" s="78" customFormat="1" ht="17.25" customHeight="1"/>
    <row r="277" s="78" customFormat="1" ht="17.25" customHeight="1"/>
    <row r="278" s="78" customFormat="1" ht="17.25" customHeight="1"/>
    <row r="279" s="78" customFormat="1" ht="17.25" customHeight="1"/>
    <row r="280" s="78" customFormat="1" ht="17.25" customHeight="1"/>
    <row r="281" s="78" customFormat="1" ht="17.25" customHeight="1"/>
    <row r="282" s="78" customFormat="1" ht="17.25" customHeight="1"/>
    <row r="283" s="78" customFormat="1" ht="17.25" customHeight="1"/>
    <row r="284" s="78" customFormat="1" ht="17.25" customHeight="1"/>
    <row r="285" s="78" customFormat="1" ht="17.25" customHeight="1"/>
    <row r="286" s="78" customFormat="1" ht="17.25" customHeight="1"/>
    <row r="287" s="78" customFormat="1" ht="17.25" customHeight="1"/>
    <row r="288" s="78" customFormat="1" ht="17.25" customHeight="1"/>
    <row r="289" s="78" customFormat="1" ht="17.25" customHeight="1"/>
    <row r="290" s="78" customFormat="1" ht="17.25" customHeight="1"/>
    <row r="291" s="78" customFormat="1" ht="17.25" customHeight="1"/>
    <row r="292" s="78" customFormat="1" ht="17.25" customHeight="1"/>
    <row r="293" s="78" customFormat="1" ht="17.25" customHeight="1"/>
    <row r="294" s="78" customFormat="1" ht="17.25" customHeight="1"/>
    <row r="295" s="78" customFormat="1" ht="17.25" customHeight="1"/>
    <row r="296" s="78" customFormat="1" ht="17.25" customHeight="1"/>
    <row r="297" s="78" customFormat="1" ht="17.25" customHeight="1"/>
    <row r="298" s="78" customFormat="1" ht="17.25" customHeight="1"/>
    <row r="299" s="78" customFormat="1" ht="17.25" customHeight="1"/>
    <row r="300" s="78" customFormat="1" ht="17.25" customHeight="1"/>
    <row r="301" s="78" customFormat="1" ht="17.25" customHeight="1"/>
    <row r="302" s="78" customFormat="1" ht="17.25" customHeight="1"/>
    <row r="303" s="78" customFormat="1" ht="17.25" customHeight="1"/>
    <row r="304" s="78" customFormat="1" ht="17.25" customHeight="1"/>
    <row r="305" s="78" customFormat="1" ht="17.25" customHeight="1"/>
    <row r="306" s="78" customFormat="1" ht="17.25" customHeight="1"/>
    <row r="307" s="78" customFormat="1" ht="17.25" customHeight="1"/>
    <row r="308" s="78" customFormat="1" ht="17.25" customHeight="1"/>
    <row r="309" s="78" customFormat="1" ht="17.25" customHeight="1"/>
    <row r="310" s="78" customFormat="1" ht="17.25" customHeight="1"/>
    <row r="311" s="78" customFormat="1" ht="17.25" customHeight="1"/>
    <row r="312" s="78" customFormat="1" ht="17.25" customHeight="1"/>
    <row r="313" s="78" customFormat="1" ht="17.25" customHeight="1"/>
    <row r="314" s="78" customFormat="1" ht="17.25" customHeight="1"/>
    <row r="315" s="78" customFormat="1" ht="17.25" customHeight="1"/>
    <row r="316" s="78" customFormat="1" ht="17.25" customHeight="1"/>
    <row r="317" s="78" customFormat="1" ht="17.25" customHeight="1"/>
    <row r="318" s="78" customFormat="1" ht="17.25" customHeight="1"/>
    <row r="319" s="78" customFormat="1" ht="17.25" customHeight="1"/>
    <row r="320" s="78" customFormat="1" ht="17.25" customHeight="1"/>
    <row r="321" s="78" customFormat="1" ht="17.25" customHeight="1"/>
    <row r="322" s="78" customFormat="1" ht="17.25" customHeight="1"/>
    <row r="323" s="78" customFormat="1" ht="17.25" customHeight="1"/>
    <row r="324" s="78" customFormat="1" ht="17.25" customHeight="1"/>
    <row r="325" s="78" customFormat="1" ht="17.25" customHeight="1"/>
    <row r="326" s="78" customFormat="1" ht="17.25" customHeight="1"/>
    <row r="327" s="78" customFormat="1" ht="17.25" customHeight="1"/>
    <row r="328" s="78" customFormat="1" ht="17.25" customHeight="1"/>
    <row r="329" s="78" customFormat="1" ht="17.25" customHeight="1"/>
    <row r="330" s="78" customFormat="1" ht="17.25" customHeight="1"/>
    <row r="331" s="78" customFormat="1" ht="17.25" customHeight="1"/>
    <row r="332" s="78" customFormat="1" ht="17.25" customHeight="1"/>
    <row r="333" s="78" customFormat="1" ht="17.25" customHeight="1"/>
    <row r="334" s="78" customFormat="1" ht="17.25" customHeight="1"/>
    <row r="335" s="78" customFormat="1" ht="17.25" customHeight="1"/>
    <row r="336" s="78" customFormat="1" ht="17.25" customHeight="1"/>
    <row r="337" s="78" customFormat="1" ht="17.25" customHeight="1"/>
    <row r="338" s="78" customFormat="1" ht="17.25" customHeight="1"/>
    <row r="339" s="78" customFormat="1" ht="17.25" customHeight="1"/>
    <row r="340" s="78" customFormat="1" ht="17.25" customHeight="1"/>
    <row r="341" s="78" customFormat="1" ht="17.25" customHeight="1"/>
    <row r="342" s="78" customFormat="1" ht="17.25" customHeight="1"/>
    <row r="343" s="78" customFormat="1" ht="17.25" customHeight="1"/>
    <row r="344" s="78" customFormat="1" ht="17.25" customHeight="1"/>
    <row r="345" s="78" customFormat="1" ht="17.25" customHeight="1"/>
    <row r="346" s="78" customFormat="1" ht="17.25" customHeight="1"/>
    <row r="347" s="78" customFormat="1" ht="17.25" customHeight="1"/>
    <row r="348" s="78" customFormat="1" ht="17.25" customHeight="1"/>
    <row r="349" s="78" customFormat="1" ht="17.25" customHeight="1"/>
    <row r="350" s="78" customFormat="1" ht="17.25" customHeight="1"/>
    <row r="351" s="78" customFormat="1" ht="17.25" customHeight="1"/>
    <row r="352" s="78" customFormat="1" ht="17.25" customHeight="1"/>
    <row r="353" spans="14:37" s="78" customFormat="1" ht="17.25" customHeight="1"/>
    <row r="354" spans="14:37" s="78" customFormat="1" ht="17.25" customHeight="1"/>
    <row r="355" spans="14:37" s="78" customFormat="1" ht="17.25" customHeight="1"/>
    <row r="356" spans="14:37" s="78" customFormat="1" ht="17.25" customHeight="1"/>
    <row r="357" spans="14:37" s="78" customFormat="1" ht="17.25" customHeight="1"/>
    <row r="358" spans="14:37" s="78" customFormat="1" ht="17.25" customHeight="1"/>
    <row r="359" spans="14:37" s="78" customFormat="1" ht="17.25" customHeight="1"/>
    <row r="360" spans="14:37" s="78" customFormat="1" ht="17.25" customHeight="1"/>
    <row r="361" spans="14:37" s="78" customFormat="1" ht="17.25" customHeight="1"/>
    <row r="362" spans="14:37" ht="17.25" customHeight="1"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  <c r="AJ362" s="75"/>
      <c r="AK362" s="75"/>
    </row>
    <row r="363" spans="14:37" ht="17.25" customHeight="1"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</row>
    <row r="364" spans="14:37" ht="17.25" customHeight="1"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  <c r="AJ364" s="75"/>
      <c r="AK364" s="75"/>
    </row>
    <row r="365" spans="14:37" ht="17.25" customHeight="1"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  <c r="AJ365" s="75"/>
      <c r="AK365" s="75"/>
    </row>
    <row r="366" spans="14:37" ht="17.25" customHeight="1"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  <c r="AJ366" s="75"/>
      <c r="AK366" s="75"/>
    </row>
    <row r="367" spans="14:37" ht="17.25" customHeight="1"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  <c r="AJ367" s="75"/>
      <c r="AK367" s="75"/>
    </row>
    <row r="368" spans="14:37" ht="17.25" customHeight="1"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  <c r="AJ368" s="75"/>
      <c r="AK368" s="75"/>
    </row>
    <row r="369" spans="14:37" ht="17.25" customHeight="1"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  <c r="AJ369" s="75"/>
      <c r="AK369" s="75"/>
    </row>
    <row r="370" spans="14:37" ht="17.25" customHeight="1"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  <c r="AA370" s="75"/>
      <c r="AB370" s="75"/>
      <c r="AC370" s="75"/>
      <c r="AD370" s="75"/>
      <c r="AE370" s="75"/>
      <c r="AF370" s="75"/>
      <c r="AG370" s="75"/>
      <c r="AH370" s="75"/>
      <c r="AI370" s="75"/>
      <c r="AJ370" s="75"/>
      <c r="AK370" s="75"/>
    </row>
    <row r="371" spans="14:37" ht="17.25" customHeight="1"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  <c r="AA371" s="75"/>
      <c r="AB371" s="75"/>
      <c r="AC371" s="75"/>
      <c r="AD371" s="75"/>
      <c r="AE371" s="75"/>
      <c r="AF371" s="75"/>
      <c r="AG371" s="75"/>
      <c r="AH371" s="75"/>
      <c r="AI371" s="75"/>
      <c r="AJ371" s="75"/>
      <c r="AK371" s="75"/>
    </row>
    <row r="372" spans="14:37" ht="17.25" customHeight="1"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  <c r="AA372" s="75"/>
      <c r="AB372" s="75"/>
      <c r="AC372" s="75"/>
      <c r="AD372" s="75"/>
      <c r="AE372" s="75"/>
      <c r="AF372" s="75"/>
      <c r="AG372" s="75"/>
      <c r="AH372" s="75"/>
      <c r="AI372" s="75"/>
      <c r="AJ372" s="75"/>
      <c r="AK372" s="75"/>
    </row>
    <row r="373" spans="14:37" ht="17.25" customHeight="1"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  <c r="AA373" s="75"/>
      <c r="AB373" s="75"/>
      <c r="AC373" s="75"/>
      <c r="AD373" s="75"/>
      <c r="AE373" s="75"/>
      <c r="AF373" s="75"/>
      <c r="AG373" s="75"/>
      <c r="AH373" s="75"/>
      <c r="AI373" s="75"/>
      <c r="AJ373" s="75"/>
      <c r="AK373" s="75"/>
    </row>
    <row r="374" spans="14:37" ht="17.25" customHeight="1"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  <c r="AA374" s="75"/>
      <c r="AB374" s="75"/>
      <c r="AC374" s="75"/>
      <c r="AD374" s="75"/>
      <c r="AE374" s="75"/>
      <c r="AF374" s="75"/>
      <c r="AG374" s="75"/>
      <c r="AH374" s="75"/>
      <c r="AI374" s="75"/>
      <c r="AJ374" s="75"/>
      <c r="AK374" s="75"/>
    </row>
    <row r="375" spans="14:37" ht="17.25" customHeight="1"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  <c r="AA375" s="75"/>
      <c r="AB375" s="75"/>
      <c r="AC375" s="75"/>
      <c r="AD375" s="75"/>
      <c r="AE375" s="75"/>
      <c r="AF375" s="75"/>
      <c r="AG375" s="75"/>
      <c r="AH375" s="75"/>
      <c r="AI375" s="75"/>
      <c r="AJ375" s="75"/>
      <c r="AK375" s="75"/>
    </row>
    <row r="376" spans="14:37" ht="17.25" customHeight="1"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  <c r="AA376" s="75"/>
      <c r="AB376" s="75"/>
      <c r="AC376" s="75"/>
      <c r="AD376" s="75"/>
      <c r="AE376" s="75"/>
      <c r="AF376" s="75"/>
      <c r="AG376" s="75"/>
      <c r="AH376" s="75"/>
      <c r="AI376" s="75"/>
      <c r="AJ376" s="75"/>
      <c r="AK376" s="75"/>
    </row>
    <row r="377" spans="14:37" ht="17.25" customHeight="1"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/>
      <c r="AB377" s="75"/>
      <c r="AC377" s="75"/>
      <c r="AD377" s="75"/>
      <c r="AE377" s="75"/>
      <c r="AF377" s="75"/>
      <c r="AG377" s="75"/>
      <c r="AH377" s="75"/>
      <c r="AI377" s="75"/>
      <c r="AJ377" s="75"/>
      <c r="AK377" s="75"/>
    </row>
    <row r="378" spans="14:37" ht="17.25" customHeight="1"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  <c r="AA378" s="75"/>
      <c r="AB378" s="75"/>
      <c r="AC378" s="75"/>
      <c r="AD378" s="75"/>
      <c r="AE378" s="75"/>
      <c r="AF378" s="75"/>
      <c r="AG378" s="75"/>
      <c r="AH378" s="75"/>
      <c r="AI378" s="75"/>
      <c r="AJ378" s="75"/>
      <c r="AK378" s="75"/>
    </row>
    <row r="379" spans="14:37" ht="17.25" customHeight="1"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  <c r="AA379" s="75"/>
      <c r="AB379" s="75"/>
      <c r="AC379" s="75"/>
      <c r="AD379" s="75"/>
      <c r="AE379" s="75"/>
      <c r="AF379" s="75"/>
      <c r="AG379" s="75"/>
      <c r="AH379" s="75"/>
      <c r="AI379" s="75"/>
      <c r="AJ379" s="75"/>
      <c r="AK379" s="75"/>
    </row>
    <row r="380" spans="14:37" ht="17.25" customHeight="1"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  <c r="AA380" s="75"/>
      <c r="AB380" s="75"/>
      <c r="AC380" s="75"/>
      <c r="AD380" s="75"/>
      <c r="AE380" s="75"/>
      <c r="AF380" s="75"/>
      <c r="AG380" s="75"/>
      <c r="AH380" s="75"/>
      <c r="AI380" s="75"/>
      <c r="AJ380" s="75"/>
      <c r="AK380" s="75"/>
    </row>
    <row r="381" spans="14:37" ht="17.25" customHeight="1"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  <c r="AA381" s="75"/>
      <c r="AB381" s="75"/>
      <c r="AC381" s="75"/>
      <c r="AD381" s="75"/>
      <c r="AE381" s="75"/>
      <c r="AF381" s="75"/>
      <c r="AG381" s="75"/>
      <c r="AH381" s="75"/>
      <c r="AI381" s="75"/>
      <c r="AJ381" s="75"/>
      <c r="AK381" s="75"/>
    </row>
    <row r="382" spans="14:37" ht="17.25" customHeight="1"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  <c r="AA382" s="75"/>
      <c r="AB382" s="75"/>
      <c r="AC382" s="75"/>
      <c r="AD382" s="75"/>
      <c r="AE382" s="75"/>
      <c r="AF382" s="75"/>
      <c r="AG382" s="75"/>
      <c r="AH382" s="75"/>
      <c r="AI382" s="75"/>
      <c r="AJ382" s="75"/>
      <c r="AK382" s="75"/>
    </row>
    <row r="383" spans="14:37" ht="17.25" customHeight="1"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  <c r="AA383" s="75"/>
      <c r="AB383" s="75"/>
      <c r="AC383" s="75"/>
      <c r="AD383" s="75"/>
      <c r="AE383" s="75"/>
      <c r="AF383" s="75"/>
      <c r="AG383" s="75"/>
      <c r="AH383" s="75"/>
      <c r="AI383" s="75"/>
      <c r="AJ383" s="75"/>
      <c r="AK383" s="75"/>
    </row>
    <row r="384" spans="14:37" ht="17.25" customHeight="1"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  <c r="AA384" s="75"/>
      <c r="AB384" s="75"/>
      <c r="AC384" s="75"/>
      <c r="AD384" s="75"/>
      <c r="AE384" s="75"/>
      <c r="AF384" s="75"/>
      <c r="AG384" s="75"/>
      <c r="AH384" s="75"/>
      <c r="AI384" s="75"/>
      <c r="AJ384" s="75"/>
      <c r="AK384" s="75"/>
    </row>
    <row r="385" spans="14:37" ht="17.25" customHeight="1"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  <c r="AA385" s="75"/>
      <c r="AB385" s="75"/>
      <c r="AC385" s="75"/>
      <c r="AD385" s="75"/>
      <c r="AE385" s="75"/>
      <c r="AF385" s="75"/>
      <c r="AG385" s="75"/>
      <c r="AH385" s="75"/>
      <c r="AI385" s="75"/>
      <c r="AJ385" s="75"/>
      <c r="AK385" s="75"/>
    </row>
    <row r="386" spans="14:37" ht="17.25" customHeight="1"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  <c r="AA386" s="75"/>
      <c r="AB386" s="75"/>
      <c r="AC386" s="75"/>
      <c r="AD386" s="75"/>
      <c r="AE386" s="75"/>
      <c r="AF386" s="75"/>
      <c r="AG386" s="75"/>
      <c r="AH386" s="75"/>
      <c r="AI386" s="75"/>
      <c r="AJ386" s="75"/>
      <c r="AK386" s="75"/>
    </row>
  </sheetData>
  <mergeCells count="2">
    <mergeCell ref="A3:M4"/>
    <mergeCell ref="A6:M6"/>
  </mergeCells>
  <pageMargins left="0.82677165354330717" right="0.23622047244094491" top="0.74803149606299213" bottom="0.74803149606299213" header="0.31496062992125984" footer="0.31496062992125984"/>
  <pageSetup paperSize="9" orientation="landscape" r:id="rId1"/>
  <headerFooter alignWithMargins="0">
    <oddFooter>&amp;C&amp;R&amp;P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408046"/>
  </sheetPr>
  <dimension ref="A1:H35"/>
  <sheetViews>
    <sheetView topLeftCell="A16" zoomScale="130" zoomScaleNormal="130" workbookViewId="0">
      <selection activeCell="H24" sqref="H24"/>
    </sheetView>
  </sheetViews>
  <sheetFormatPr defaultColWidth="9.140625" defaultRowHeight="16.5"/>
  <cols>
    <col min="1" max="1" width="3.7109375" style="6" customWidth="1"/>
    <col min="2" max="2" width="14.5703125" style="4" customWidth="1"/>
    <col min="3" max="3" width="51" style="4" customWidth="1"/>
    <col min="4" max="4" width="13.28515625" style="4" customWidth="1"/>
    <col min="5" max="5" width="12.28515625" style="4" customWidth="1"/>
    <col min="6" max="6" width="13.5703125" style="4" customWidth="1"/>
    <col min="7" max="7" width="12.5703125" style="4" customWidth="1"/>
    <col min="8" max="8" width="13.7109375" style="4" customWidth="1"/>
    <col min="9" max="16384" width="9.140625" style="4"/>
  </cols>
  <sheetData>
    <row r="1" spans="1:8" ht="18" customHeight="1">
      <c r="A1" s="292" t="s">
        <v>68</v>
      </c>
      <c r="B1" s="292"/>
      <c r="C1" s="292"/>
      <c r="D1" s="292"/>
      <c r="E1" s="292"/>
      <c r="F1" s="292"/>
      <c r="G1" s="292"/>
      <c r="H1" s="292"/>
    </row>
    <row r="2" spans="1:8" ht="18.75" customHeight="1">
      <c r="A2" s="293" t="s">
        <v>69</v>
      </c>
      <c r="B2" s="293"/>
      <c r="C2" s="293"/>
      <c r="D2" s="293"/>
      <c r="E2" s="293"/>
      <c r="F2" s="293"/>
      <c r="G2" s="293"/>
      <c r="H2" s="293"/>
    </row>
    <row r="3" spans="1:8" ht="30" customHeight="1">
      <c r="A3" s="294" t="str">
        <f>TV!A12</f>
        <v>duSeTis municipalitetis sofel mucos istoriul arqiteqturuli kompleqsis sareabilitacio samuSaoebis VIII etapi.</v>
      </c>
      <c r="B3" s="294"/>
      <c r="C3" s="294"/>
      <c r="D3" s="294"/>
      <c r="E3" s="294"/>
      <c r="F3" s="294"/>
      <c r="G3" s="294"/>
      <c r="H3" s="294"/>
    </row>
    <row r="4" spans="1:8" ht="2.25" customHeight="1">
      <c r="A4" s="294"/>
      <c r="B4" s="294"/>
      <c r="C4" s="294"/>
      <c r="D4" s="294"/>
      <c r="E4" s="294"/>
      <c r="F4" s="294"/>
      <c r="G4" s="294"/>
      <c r="H4" s="294"/>
    </row>
    <row r="5" spans="1:8" ht="15" customHeight="1">
      <c r="A5" s="295" t="s">
        <v>70</v>
      </c>
      <c r="B5" s="295"/>
      <c r="C5" s="295"/>
      <c r="D5" s="295"/>
      <c r="E5" s="295"/>
      <c r="F5" s="295"/>
      <c r="G5" s="295"/>
      <c r="H5" s="295"/>
    </row>
    <row r="6" spans="1:8" ht="15" customHeight="1">
      <c r="B6" s="4" t="s">
        <v>140</v>
      </c>
    </row>
    <row r="7" spans="1:8" s="80" customFormat="1" ht="8.25" customHeight="1">
      <c r="A7" s="119"/>
      <c r="B7" s="79"/>
      <c r="C7" s="79"/>
      <c r="D7" s="79"/>
      <c r="E7" s="79"/>
      <c r="F7" s="79"/>
      <c r="G7" s="79"/>
    </row>
    <row r="8" spans="1:8">
      <c r="A8" s="300" t="s">
        <v>32</v>
      </c>
      <c r="B8" s="296" t="s">
        <v>71</v>
      </c>
      <c r="C8" s="298" t="s">
        <v>72</v>
      </c>
      <c r="D8" s="81" t="s">
        <v>60</v>
      </c>
      <c r="E8" s="82"/>
      <c r="F8" s="82"/>
      <c r="G8" s="82"/>
      <c r="H8" s="298" t="s">
        <v>73</v>
      </c>
    </row>
    <row r="9" spans="1:8" ht="38.25" customHeight="1">
      <c r="A9" s="301"/>
      <c r="B9" s="297"/>
      <c r="C9" s="299"/>
      <c r="D9" s="120" t="s">
        <v>61</v>
      </c>
      <c r="E9" s="83" t="s">
        <v>62</v>
      </c>
      <c r="F9" s="120" t="s">
        <v>74</v>
      </c>
      <c r="G9" s="121" t="s">
        <v>75</v>
      </c>
      <c r="H9" s="299"/>
    </row>
    <row r="10" spans="1:8" ht="15" customHeight="1">
      <c r="A10" s="84">
        <v>1</v>
      </c>
      <c r="B10" s="85">
        <v>2</v>
      </c>
      <c r="C10" s="84">
        <v>3</v>
      </c>
      <c r="D10" s="85">
        <v>4</v>
      </c>
      <c r="E10" s="84">
        <v>5</v>
      </c>
      <c r="F10" s="85">
        <v>6</v>
      </c>
      <c r="G10" s="84">
        <v>7</v>
      </c>
      <c r="H10" s="84">
        <v>8</v>
      </c>
    </row>
    <row r="11" spans="1:8" s="60" customFormat="1" ht="21.75" customHeight="1">
      <c r="A11" s="86"/>
      <c r="C11" s="122" t="s">
        <v>76</v>
      </c>
      <c r="E11" s="88"/>
      <c r="G11" s="88"/>
      <c r="H11" s="88"/>
    </row>
    <row r="12" spans="1:8" s="60" customFormat="1" ht="21.75" customHeight="1">
      <c r="A12" s="86"/>
      <c r="C12" s="122" t="s">
        <v>77</v>
      </c>
      <c r="E12" s="88"/>
      <c r="G12" s="88"/>
      <c r="H12" s="88"/>
    </row>
    <row r="13" spans="1:8" s="188" customFormat="1" ht="21.75" customHeight="1">
      <c r="A13" s="184">
        <v>1</v>
      </c>
      <c r="B13" s="185" t="s">
        <v>108</v>
      </c>
      <c r="C13" s="184" t="s">
        <v>142</v>
      </c>
      <c r="D13" s="186">
        <f>'x.2-1'!L10/1000</f>
        <v>164.3363884882942</v>
      </c>
      <c r="E13" s="187"/>
      <c r="F13" s="186"/>
      <c r="G13" s="187"/>
      <c r="H13" s="187">
        <f t="shared" ref="H13:H14" si="0">D13+E13+F13</f>
        <v>164.3363884882942</v>
      </c>
    </row>
    <row r="14" spans="1:8" s="188" customFormat="1" ht="21.75" customHeight="1">
      <c r="A14" s="184">
        <v>2</v>
      </c>
      <c r="B14" s="185" t="s">
        <v>109</v>
      </c>
      <c r="C14" s="184" t="s">
        <v>235</v>
      </c>
      <c r="D14" s="186">
        <f>'x.2-2'!L10/1000</f>
        <v>82.9266314739846</v>
      </c>
      <c r="E14" s="187"/>
      <c r="F14" s="186"/>
      <c r="G14" s="187"/>
      <c r="H14" s="187">
        <f t="shared" si="0"/>
        <v>82.9266314739846</v>
      </c>
    </row>
    <row r="15" spans="1:8" s="188" customFormat="1" ht="21.75" customHeight="1">
      <c r="A15" s="184">
        <v>3</v>
      </c>
      <c r="B15" s="185" t="s">
        <v>257</v>
      </c>
      <c r="C15" s="184" t="s">
        <v>237</v>
      </c>
      <c r="D15" s="186">
        <f>'x.2-3'!L10/1000</f>
        <v>9.832213203120002</v>
      </c>
      <c r="E15" s="187"/>
      <c r="F15" s="186"/>
      <c r="G15" s="187"/>
      <c r="H15" s="187">
        <f t="shared" ref="H15" si="1">D15+E15+F15</f>
        <v>9.832213203120002</v>
      </c>
    </row>
    <row r="16" spans="1:8" s="60" customFormat="1" ht="21.75" customHeight="1">
      <c r="A16" s="86"/>
      <c r="B16" s="90"/>
      <c r="C16" s="86" t="s">
        <v>78</v>
      </c>
      <c r="D16" s="124">
        <f>SUM(D13:D15)</f>
        <v>257.09523316539878</v>
      </c>
      <c r="E16" s="124"/>
      <c r="F16" s="124"/>
      <c r="G16" s="124"/>
      <c r="H16" s="124">
        <f>SUM(H13:H15)</f>
        <v>257.09523316539878</v>
      </c>
    </row>
    <row r="17" spans="1:8" s="60" customFormat="1" ht="21.75" customHeight="1">
      <c r="A17" s="86"/>
      <c r="C17" s="122" t="s">
        <v>79</v>
      </c>
      <c r="D17" s="128"/>
      <c r="E17" s="129"/>
      <c r="F17" s="128"/>
      <c r="G17" s="129"/>
      <c r="H17" s="129"/>
    </row>
    <row r="18" spans="1:8" s="60" customFormat="1" ht="21.75" customHeight="1">
      <c r="A18" s="86"/>
      <c r="B18" s="77"/>
      <c r="C18" s="122" t="s">
        <v>80</v>
      </c>
      <c r="D18" s="124"/>
      <c r="E18" s="130"/>
      <c r="F18" s="130"/>
      <c r="G18" s="124"/>
      <c r="H18" s="124"/>
    </row>
    <row r="19" spans="1:8" s="60" customFormat="1" ht="21.75" customHeight="1">
      <c r="A19" s="86">
        <v>4</v>
      </c>
      <c r="B19" s="60" t="s">
        <v>81</v>
      </c>
      <c r="C19" s="86" t="s">
        <v>82</v>
      </c>
      <c r="D19" s="124">
        <f>D16*1.5%</f>
        <v>3.8564284974809815</v>
      </c>
      <c r="E19" s="124"/>
      <c r="F19" s="123"/>
      <c r="G19" s="124"/>
      <c r="H19" s="124">
        <f>D19+E19</f>
        <v>3.8564284974809815</v>
      </c>
    </row>
    <row r="20" spans="1:8" s="60" customFormat="1" ht="21.75" customHeight="1">
      <c r="A20" s="86"/>
      <c r="C20" s="86" t="s">
        <v>83</v>
      </c>
      <c r="D20" s="128"/>
      <c r="E20" s="129"/>
      <c r="F20" s="128"/>
      <c r="G20" s="129"/>
      <c r="H20" s="124">
        <f>H19*15%</f>
        <v>0.57846427462214722</v>
      </c>
    </row>
    <row r="21" spans="1:8" s="60" customFormat="1" ht="21.75" customHeight="1">
      <c r="A21" s="86"/>
      <c r="B21" s="87"/>
      <c r="C21" s="86" t="s">
        <v>84</v>
      </c>
      <c r="D21" s="124">
        <f>D19</f>
        <v>3.8564284974809815</v>
      </c>
      <c r="E21" s="124"/>
      <c r="F21" s="124"/>
      <c r="G21" s="124"/>
      <c r="H21" s="124">
        <f>H19</f>
        <v>3.8564284974809815</v>
      </c>
    </row>
    <row r="22" spans="1:8" s="60" customFormat="1" ht="21.75" customHeight="1">
      <c r="A22" s="125"/>
      <c r="B22" s="126"/>
      <c r="C22" s="125" t="s">
        <v>106</v>
      </c>
      <c r="D22" s="127">
        <f>D16+D21</f>
        <v>260.95166166287976</v>
      </c>
      <c r="E22" s="127"/>
      <c r="F22" s="127"/>
      <c r="G22" s="127"/>
      <c r="H22" s="127">
        <f>H16+H21</f>
        <v>260.95166166287976</v>
      </c>
    </row>
    <row r="23" spans="1:8" s="89" customFormat="1" ht="21.75" customHeight="1">
      <c r="A23" s="279">
        <v>5</v>
      </c>
      <c r="C23" s="280" t="s">
        <v>65</v>
      </c>
      <c r="D23" s="281"/>
      <c r="E23" s="282"/>
      <c r="F23" s="281"/>
      <c r="G23" s="283">
        <f>H22*5%</f>
        <v>13.047583083143989</v>
      </c>
      <c r="H23" s="283">
        <f>G23</f>
        <v>13.047583083143989</v>
      </c>
    </row>
    <row r="24" spans="1:8" s="60" customFormat="1" ht="21.75" customHeight="1">
      <c r="A24" s="131"/>
      <c r="B24" s="132"/>
      <c r="C24" s="131" t="s">
        <v>2</v>
      </c>
      <c r="D24" s="133">
        <f>D22</f>
        <v>260.95166166287976</v>
      </c>
      <c r="E24" s="133"/>
      <c r="F24" s="133"/>
      <c r="G24" s="133">
        <f>G23</f>
        <v>13.047583083143989</v>
      </c>
      <c r="H24" s="133">
        <f>H22+H23</f>
        <v>273.99924474602375</v>
      </c>
    </row>
    <row r="25" spans="1:8" s="89" customFormat="1" ht="40.5" customHeight="1">
      <c r="A25" s="146">
        <v>6</v>
      </c>
      <c r="B25" s="134" t="s">
        <v>63</v>
      </c>
      <c r="C25" s="107" t="s">
        <v>85</v>
      </c>
      <c r="D25" s="135"/>
      <c r="E25" s="135"/>
      <c r="F25" s="135"/>
      <c r="G25" s="135">
        <f>('x.2-1'!L11+'x.2-2'!L11+'x.2-3'!L11)/1000*2%</f>
        <v>1.7076518281088997</v>
      </c>
      <c r="H25" s="135">
        <f>G25</f>
        <v>1.7076518281088997</v>
      </c>
    </row>
    <row r="26" spans="1:8" s="89" customFormat="1" ht="21.75" customHeight="1">
      <c r="A26" s="146"/>
      <c r="B26" s="278"/>
      <c r="C26" s="146" t="s">
        <v>2</v>
      </c>
      <c r="D26" s="135">
        <f>D24+D25</f>
        <v>260.95166166287976</v>
      </c>
      <c r="E26" s="135"/>
      <c r="F26" s="135"/>
      <c r="G26" s="135">
        <f>G24+G25</f>
        <v>14.755234911252888</v>
      </c>
      <c r="H26" s="135">
        <f>H24+H25</f>
        <v>275.70689657413266</v>
      </c>
    </row>
    <row r="27" spans="1:8" ht="15.75" customHeight="1">
      <c r="A27" s="90"/>
      <c r="B27" s="90"/>
      <c r="C27" s="147"/>
      <c r="D27" s="80"/>
      <c r="E27" s="80"/>
      <c r="F27" s="80"/>
      <c r="G27" s="80"/>
      <c r="H27" s="137"/>
    </row>
    <row r="28" spans="1:8" ht="15.75" customHeight="1">
      <c r="A28" s="90"/>
      <c r="B28" s="90"/>
      <c r="C28" s="147"/>
      <c r="D28" s="80"/>
      <c r="E28" s="80"/>
      <c r="F28" s="80"/>
      <c r="G28" s="80"/>
      <c r="H28" s="137"/>
    </row>
    <row r="29" spans="1:8" ht="15.75" customHeight="1">
      <c r="A29" s="136"/>
      <c r="B29" s="73" t="s">
        <v>132</v>
      </c>
      <c r="C29" s="136"/>
      <c r="D29" s="80"/>
      <c r="E29" s="80"/>
      <c r="F29" s="73"/>
      <c r="G29" s="73" t="s">
        <v>133</v>
      </c>
      <c r="H29" s="137"/>
    </row>
    <row r="30" spans="1:8" ht="15.75" customHeight="1">
      <c r="A30" s="136"/>
      <c r="B30" s="5" t="s">
        <v>135</v>
      </c>
      <c r="C30" s="136"/>
      <c r="D30" s="80"/>
      <c r="E30" s="80"/>
      <c r="F30" s="5"/>
      <c r="G30" s="5" t="s">
        <v>134</v>
      </c>
      <c r="H30" s="137"/>
    </row>
    <row r="31" spans="1:8" ht="15.75" customHeight="1">
      <c r="B31" s="5"/>
      <c r="F31" s="5"/>
      <c r="G31" s="5" t="s">
        <v>136</v>
      </c>
    </row>
    <row r="32" spans="1:8" ht="15.75" customHeight="1">
      <c r="B32" s="5" t="s">
        <v>137</v>
      </c>
      <c r="F32" s="5"/>
      <c r="G32" s="5" t="s">
        <v>258</v>
      </c>
    </row>
    <row r="33" spans="1:8" ht="15.75" customHeight="1">
      <c r="B33" s="5" t="s">
        <v>1</v>
      </c>
      <c r="F33" s="5"/>
      <c r="G33" s="5" t="s">
        <v>0</v>
      </c>
    </row>
    <row r="34" spans="1:8" ht="15.75" customHeight="1">
      <c r="B34" s="5"/>
      <c r="F34" s="5"/>
    </row>
    <row r="35" spans="1:8" ht="15.75" customHeight="1">
      <c r="A35" s="291" t="s">
        <v>138</v>
      </c>
      <c r="B35" s="291"/>
      <c r="C35" s="291"/>
      <c r="D35" s="291"/>
      <c r="E35" s="291"/>
      <c r="F35" s="291"/>
      <c r="G35" s="291"/>
      <c r="H35" s="291"/>
    </row>
  </sheetData>
  <mergeCells count="9">
    <mergeCell ref="A35:H35"/>
    <mergeCell ref="A1:H1"/>
    <mergeCell ref="A2:H2"/>
    <mergeCell ref="A3:H4"/>
    <mergeCell ref="A5:H5"/>
    <mergeCell ref="B8:B9"/>
    <mergeCell ref="C8:C9"/>
    <mergeCell ref="H8:H9"/>
    <mergeCell ref="A8:A9"/>
  </mergeCells>
  <phoneticPr fontId="21" type="noConversion"/>
  <printOptions horizontalCentered="1"/>
  <pageMargins left="0.19685039370078741" right="0.19685039370078741" top="0.59055118110236227" bottom="0.70866141732283472" header="0.31496062992125984" footer="0.31496062992125984"/>
  <pageSetup paperSize="9" orientation="landscape" r:id="rId1"/>
  <headerFooter alignWithMargins="0">
    <oddFooter>&amp;R&amp;P</oddFooter>
  </headerFooter>
  <ignoredErrors>
    <ignoredError sqref="D25:G25 H24:H25" formula="1"/>
    <ignoredError sqref="D26:F26 G26 H26" evalError="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408046"/>
  </sheetPr>
  <dimension ref="A1:IV77"/>
  <sheetViews>
    <sheetView topLeftCell="A15" zoomScale="126" zoomScaleNormal="126" workbookViewId="0">
      <selection activeCell="F31" sqref="F31"/>
    </sheetView>
  </sheetViews>
  <sheetFormatPr defaultColWidth="9.140625" defaultRowHeight="16.5"/>
  <cols>
    <col min="1" max="1" width="3.85546875" style="1" customWidth="1"/>
    <col min="2" max="2" width="8.7109375" style="1" customWidth="1"/>
    <col min="3" max="3" width="41.5703125" style="1" customWidth="1"/>
    <col min="4" max="4" width="7.7109375" style="1" customWidth="1"/>
    <col min="5" max="5" width="8.7109375" style="1" customWidth="1"/>
    <col min="6" max="6" width="9.85546875" style="1" customWidth="1"/>
    <col min="7" max="7" width="7.140625" style="1" customWidth="1"/>
    <col min="8" max="8" width="8.140625" style="1" customWidth="1"/>
    <col min="9" max="9" width="8" style="1" customWidth="1"/>
    <col min="10" max="10" width="8.5703125" style="1" customWidth="1"/>
    <col min="11" max="11" width="7" style="1" customWidth="1"/>
    <col min="12" max="12" width="9.85546875" style="1" customWidth="1"/>
    <col min="13" max="13" width="10.5703125" style="1" customWidth="1"/>
    <col min="14" max="16384" width="9.140625" style="1"/>
  </cols>
  <sheetData>
    <row r="1" spans="1:22" ht="29.25" customHeight="1">
      <c r="A1" s="302" t="str">
        <f>'K.X.'!A3</f>
        <v>duSeTis municipalitetis sofel mucos istoriul arqiteqturuli kompleqsis sareabilitacio samuSaoebis VIII etapi.</v>
      </c>
      <c r="B1" s="302"/>
      <c r="C1" s="302"/>
      <c r="D1" s="302"/>
      <c r="E1" s="302"/>
      <c r="F1" s="302"/>
      <c r="G1" s="148"/>
      <c r="H1" s="59"/>
      <c r="I1" s="47"/>
      <c r="J1" s="47"/>
      <c r="K1" s="47"/>
      <c r="L1" s="47"/>
      <c r="M1" s="47"/>
      <c r="N1" s="2"/>
      <c r="O1" s="2"/>
      <c r="P1" s="2"/>
      <c r="Q1" s="2"/>
      <c r="R1" s="2"/>
      <c r="S1" s="2"/>
      <c r="T1" s="2"/>
      <c r="U1" s="2"/>
      <c r="V1" s="2"/>
    </row>
    <row r="2" spans="1:22" ht="15" customHeight="1">
      <c r="A2" s="9" t="s">
        <v>46</v>
      </c>
      <c r="B2" s="9"/>
      <c r="C2" s="9"/>
      <c r="D2" s="9"/>
      <c r="E2" s="9"/>
      <c r="F2" s="9"/>
      <c r="G2" s="9"/>
      <c r="H2" s="9"/>
      <c r="I2" s="47"/>
      <c r="J2" s="47"/>
      <c r="K2" s="47"/>
      <c r="L2" s="47"/>
      <c r="M2" s="47"/>
      <c r="N2" s="2"/>
      <c r="O2" s="2"/>
      <c r="P2" s="2"/>
      <c r="Q2" s="2"/>
      <c r="R2" s="2"/>
      <c r="S2" s="2"/>
      <c r="T2" s="2"/>
      <c r="U2" s="2"/>
      <c r="V2" s="2"/>
    </row>
    <row r="3" spans="1:22" ht="15" customHeight="1">
      <c r="A3" s="9"/>
      <c r="B3" s="9"/>
      <c r="C3" s="57" t="s">
        <v>45</v>
      </c>
      <c r="D3" s="9"/>
      <c r="E3" s="9"/>
      <c r="F3" s="9"/>
      <c r="G3" s="9"/>
      <c r="H3" s="9"/>
      <c r="I3" s="47"/>
      <c r="J3" s="47"/>
      <c r="K3" s="47"/>
      <c r="L3" s="47"/>
      <c r="M3" s="47"/>
      <c r="N3" s="2"/>
      <c r="O3" s="2"/>
      <c r="P3" s="2"/>
      <c r="Q3" s="2"/>
      <c r="R3" s="2"/>
      <c r="S3" s="2"/>
      <c r="T3" s="2"/>
      <c r="U3" s="2"/>
      <c r="V3" s="2"/>
    </row>
    <row r="4" spans="1:22" ht="15" customHeight="1">
      <c r="A4" s="9"/>
      <c r="B4" s="9"/>
      <c r="C4" s="9"/>
      <c r="D4" s="9"/>
      <c r="E4" s="9"/>
      <c r="F4" s="9"/>
      <c r="G4" s="9"/>
      <c r="H4" s="9"/>
      <c r="I4" s="47"/>
      <c r="J4" s="47"/>
      <c r="K4" s="47"/>
      <c r="L4" s="47"/>
      <c r="M4" s="47"/>
      <c r="N4" s="2"/>
      <c r="O4" s="2"/>
      <c r="P4" s="2"/>
      <c r="Q4" s="2"/>
      <c r="R4" s="2"/>
      <c r="S4" s="2"/>
      <c r="T4" s="2"/>
      <c r="U4" s="2"/>
      <c r="V4" s="2"/>
    </row>
    <row r="5" spans="1:22" ht="18" customHeight="1">
      <c r="A5" s="9"/>
      <c r="B5" s="9"/>
      <c r="C5" s="58" t="s">
        <v>111</v>
      </c>
      <c r="D5" s="9"/>
      <c r="E5" s="9"/>
      <c r="F5" s="9"/>
      <c r="G5" s="9"/>
      <c r="H5" s="9"/>
      <c r="I5" s="47"/>
      <c r="J5" s="47"/>
      <c r="K5" s="47"/>
      <c r="L5" s="47"/>
      <c r="M5" s="47"/>
      <c r="N5" s="2"/>
      <c r="O5" s="2"/>
      <c r="P5" s="2"/>
      <c r="Q5" s="2"/>
      <c r="R5" s="2"/>
      <c r="S5" s="2"/>
      <c r="T5" s="2"/>
      <c r="U5" s="2"/>
      <c r="V5" s="2"/>
    </row>
    <row r="6" spans="1:22" ht="15" customHeight="1">
      <c r="A6" s="9"/>
      <c r="B6" s="9"/>
      <c r="C6" s="9" t="s">
        <v>142</v>
      </c>
      <c r="D6" s="9"/>
      <c r="E6" s="9"/>
      <c r="F6" s="9"/>
      <c r="G6" s="9"/>
      <c r="H6" s="9"/>
      <c r="I6" s="47"/>
      <c r="J6" s="47"/>
      <c r="K6" s="47"/>
      <c r="L6" s="47"/>
      <c r="M6" s="47"/>
      <c r="N6" s="2"/>
      <c r="O6" s="2"/>
      <c r="P6" s="2"/>
      <c r="Q6" s="2"/>
      <c r="R6" s="2"/>
      <c r="S6" s="2"/>
      <c r="T6" s="2"/>
      <c r="U6" s="2"/>
      <c r="V6" s="2"/>
    </row>
    <row r="7" spans="1:22" ht="10.5" customHeight="1">
      <c r="A7" s="9"/>
      <c r="B7" s="9"/>
      <c r="C7" s="9" t="s">
        <v>44</v>
      </c>
      <c r="D7" s="9"/>
      <c r="E7" s="9"/>
      <c r="F7" s="9"/>
      <c r="G7" s="9"/>
      <c r="H7" s="9"/>
      <c r="I7" s="47"/>
      <c r="J7" s="47"/>
      <c r="K7" s="47"/>
      <c r="L7" s="47"/>
      <c r="M7" s="47"/>
      <c r="N7" s="2"/>
      <c r="O7" s="2"/>
      <c r="P7" s="2"/>
      <c r="Q7" s="2"/>
      <c r="R7" s="2"/>
      <c r="S7" s="2"/>
      <c r="T7" s="2"/>
      <c r="U7" s="2"/>
      <c r="V7" s="2"/>
    </row>
    <row r="8" spans="1:22" ht="15" customHeight="1">
      <c r="A8" s="9"/>
      <c r="B8" s="9"/>
      <c r="C8" s="57" t="s">
        <v>43</v>
      </c>
      <c r="D8" s="9"/>
      <c r="E8" s="9"/>
      <c r="F8" s="9"/>
      <c r="G8" s="9"/>
      <c r="H8" s="9"/>
      <c r="I8" s="47"/>
      <c r="J8" s="47"/>
      <c r="K8" s="47"/>
      <c r="L8" s="47"/>
      <c r="M8" s="47"/>
      <c r="N8" s="2"/>
      <c r="O8" s="2"/>
      <c r="P8" s="2"/>
      <c r="Q8" s="2"/>
      <c r="R8" s="2"/>
      <c r="S8" s="2"/>
      <c r="T8" s="2"/>
      <c r="U8" s="2"/>
      <c r="V8" s="2"/>
    </row>
    <row r="9" spans="1:22" ht="15" customHeight="1">
      <c r="A9" s="9"/>
      <c r="B9" s="9"/>
      <c r="C9" s="56"/>
      <c r="D9" s="9"/>
      <c r="E9" s="9"/>
      <c r="F9" s="9"/>
      <c r="G9" s="9"/>
      <c r="H9" s="9"/>
      <c r="I9" s="47"/>
      <c r="J9" s="47"/>
      <c r="K9" s="47"/>
      <c r="L9" s="47"/>
      <c r="M9" s="47"/>
      <c r="N9" s="2"/>
      <c r="O9" s="2"/>
      <c r="P9" s="2"/>
      <c r="Q9" s="2"/>
      <c r="R9" s="2"/>
      <c r="S9" s="2"/>
      <c r="T9" s="2"/>
      <c r="U9" s="2"/>
      <c r="V9" s="2"/>
    </row>
    <row r="10" spans="1:22" ht="15" customHeight="1">
      <c r="A10" s="55" t="s">
        <v>42</v>
      </c>
      <c r="B10" s="44"/>
      <c r="C10" s="44"/>
      <c r="D10" s="52"/>
      <c r="E10" s="44"/>
      <c r="F10" s="52"/>
      <c r="G10" s="52"/>
      <c r="H10" s="52"/>
      <c r="I10" s="52"/>
      <c r="J10" s="52"/>
      <c r="K10" s="51" t="s">
        <v>41</v>
      </c>
      <c r="L10" s="143">
        <f>M72</f>
        <v>164336.38848829421</v>
      </c>
      <c r="M10" s="49" t="s">
        <v>7</v>
      </c>
      <c r="N10" s="2"/>
      <c r="O10" s="2"/>
      <c r="P10" s="2"/>
      <c r="Q10" s="2"/>
      <c r="R10" s="2"/>
      <c r="S10" s="2"/>
      <c r="T10" s="2"/>
      <c r="U10" s="2"/>
      <c r="V10" s="2"/>
    </row>
    <row r="11" spans="1:22" ht="15" customHeight="1">
      <c r="A11" s="54" t="s">
        <v>139</v>
      </c>
      <c r="B11" s="44"/>
      <c r="C11" s="44"/>
      <c r="D11" s="52"/>
      <c r="E11" s="31"/>
      <c r="F11" s="53"/>
      <c r="G11" s="53"/>
      <c r="H11" s="52"/>
      <c r="I11" s="52"/>
      <c r="J11" s="52"/>
      <c r="K11" s="51" t="s">
        <v>40</v>
      </c>
      <c r="L11" s="50">
        <f>H66+H67</f>
        <v>68189.155475503256</v>
      </c>
      <c r="M11" s="49" t="s">
        <v>7</v>
      </c>
      <c r="N11" s="2"/>
      <c r="O11" s="2"/>
      <c r="P11" s="2"/>
      <c r="Q11" s="2"/>
      <c r="R11" s="2"/>
      <c r="S11" s="2"/>
      <c r="T11" s="2"/>
      <c r="U11" s="2"/>
      <c r="V11" s="2"/>
    </row>
    <row r="12" spans="1:22" s="2" customFormat="1" ht="15" customHeight="1">
      <c r="A12" s="47"/>
      <c r="B12" s="47"/>
      <c r="C12" s="47"/>
      <c r="D12" s="48"/>
      <c r="E12" s="48"/>
      <c r="F12" s="48"/>
      <c r="G12" s="48"/>
      <c r="H12" s="47"/>
      <c r="I12" s="47"/>
      <c r="J12" s="47"/>
      <c r="K12" s="47"/>
      <c r="L12" s="47"/>
      <c r="M12" s="47"/>
    </row>
    <row r="13" spans="1:22">
      <c r="A13" s="41"/>
      <c r="B13" s="38"/>
      <c r="C13" s="46"/>
      <c r="D13" s="45"/>
      <c r="E13" s="44" t="s">
        <v>39</v>
      </c>
      <c r="F13" s="43"/>
      <c r="G13" s="42" t="s">
        <v>38</v>
      </c>
      <c r="H13" s="40"/>
      <c r="I13" s="41" t="s">
        <v>37</v>
      </c>
      <c r="J13" s="40"/>
      <c r="K13" s="39" t="s">
        <v>36</v>
      </c>
      <c r="L13" s="39"/>
      <c r="M13" s="38"/>
      <c r="N13" s="2"/>
      <c r="O13" s="2"/>
      <c r="P13" s="2"/>
      <c r="Q13" s="2"/>
      <c r="R13" s="2"/>
      <c r="S13" s="2"/>
      <c r="T13" s="2"/>
      <c r="U13" s="2"/>
      <c r="V13" s="2"/>
    </row>
    <row r="14" spans="1:22" ht="16.5" customHeight="1">
      <c r="A14" s="37"/>
      <c r="B14" s="30"/>
      <c r="C14" s="36" t="s">
        <v>35</v>
      </c>
      <c r="D14" s="28"/>
      <c r="E14" s="35" t="s">
        <v>34</v>
      </c>
      <c r="F14" s="34"/>
      <c r="G14" s="29"/>
      <c r="H14" s="34"/>
      <c r="I14" s="29"/>
      <c r="J14" s="34"/>
      <c r="K14" s="29" t="s">
        <v>33</v>
      </c>
      <c r="L14" s="33"/>
      <c r="M14" s="30" t="s">
        <v>2</v>
      </c>
      <c r="N14" s="2"/>
      <c r="O14" s="2"/>
      <c r="P14" s="2"/>
      <c r="Q14" s="2"/>
      <c r="R14" s="2"/>
      <c r="S14" s="2"/>
      <c r="T14" s="2"/>
      <c r="U14" s="2"/>
      <c r="V14" s="2"/>
    </row>
    <row r="15" spans="1:22">
      <c r="A15" s="32" t="s">
        <v>32</v>
      </c>
      <c r="B15" s="30" t="s">
        <v>31</v>
      </c>
      <c r="C15" s="9" t="s">
        <v>30</v>
      </c>
      <c r="D15" s="30" t="s">
        <v>29</v>
      </c>
      <c r="E15" s="30" t="s">
        <v>28</v>
      </c>
      <c r="F15" s="31" t="s">
        <v>26</v>
      </c>
      <c r="G15" s="30" t="s">
        <v>27</v>
      </c>
      <c r="H15" s="31" t="s">
        <v>26</v>
      </c>
      <c r="I15" s="30" t="s">
        <v>27</v>
      </c>
      <c r="J15" s="31" t="s">
        <v>26</v>
      </c>
      <c r="K15" s="30" t="s">
        <v>27</v>
      </c>
      <c r="L15" s="31" t="s">
        <v>26</v>
      </c>
      <c r="M15" s="30"/>
      <c r="N15" s="2"/>
      <c r="O15" s="2"/>
      <c r="P15" s="2"/>
      <c r="Q15" s="2"/>
      <c r="R15" s="2"/>
      <c r="S15" s="2"/>
      <c r="T15" s="2"/>
      <c r="U15" s="2"/>
      <c r="V15" s="2"/>
    </row>
    <row r="16" spans="1:22">
      <c r="A16" s="29"/>
      <c r="B16" s="26"/>
      <c r="C16" s="27"/>
      <c r="D16" s="28"/>
      <c r="E16" s="26"/>
      <c r="F16" s="27"/>
      <c r="G16" s="26" t="s">
        <v>25</v>
      </c>
      <c r="H16" s="27"/>
      <c r="I16" s="26" t="s">
        <v>25</v>
      </c>
      <c r="J16" s="27"/>
      <c r="K16" s="26" t="s">
        <v>25</v>
      </c>
      <c r="L16" s="27"/>
      <c r="M16" s="26"/>
      <c r="N16" s="2"/>
      <c r="O16" s="2"/>
      <c r="P16" s="2"/>
      <c r="Q16" s="2"/>
      <c r="R16" s="2"/>
      <c r="S16" s="2"/>
      <c r="T16" s="2"/>
      <c r="U16" s="2"/>
      <c r="V16" s="2"/>
    </row>
    <row r="17" spans="1:22">
      <c r="A17" s="23" t="s">
        <v>24</v>
      </c>
      <c r="B17" s="22" t="s">
        <v>23</v>
      </c>
      <c r="C17" s="24" t="s">
        <v>22</v>
      </c>
      <c r="D17" s="23" t="s">
        <v>21</v>
      </c>
      <c r="E17" s="22" t="s">
        <v>20</v>
      </c>
      <c r="F17" s="25" t="s">
        <v>19</v>
      </c>
      <c r="G17" s="24" t="s">
        <v>18</v>
      </c>
      <c r="H17" s="23" t="s">
        <v>17</v>
      </c>
      <c r="I17" s="22" t="s">
        <v>16</v>
      </c>
      <c r="J17" s="24" t="s">
        <v>15</v>
      </c>
      <c r="K17" s="22" t="s">
        <v>14</v>
      </c>
      <c r="L17" s="23" t="s">
        <v>13</v>
      </c>
      <c r="M17" s="22" t="s">
        <v>12</v>
      </c>
      <c r="N17" s="2"/>
      <c r="O17" s="2"/>
      <c r="P17" s="2"/>
      <c r="Q17" s="2"/>
      <c r="R17" s="2"/>
      <c r="S17" s="2"/>
      <c r="T17" s="2"/>
      <c r="U17" s="2"/>
      <c r="V17" s="2"/>
    </row>
    <row r="18" spans="1:22" s="116" customFormat="1" ht="31.5">
      <c r="A18" s="101">
        <v>1</v>
      </c>
      <c r="B18" s="177" t="s">
        <v>173</v>
      </c>
      <c r="C18" s="104" t="s">
        <v>143</v>
      </c>
      <c r="D18" s="110" t="s">
        <v>66</v>
      </c>
      <c r="E18" s="104"/>
      <c r="F18" s="138">
        <v>80</v>
      </c>
      <c r="G18" s="101"/>
      <c r="H18" s="138"/>
      <c r="I18" s="104"/>
      <c r="J18" s="138"/>
      <c r="K18" s="104"/>
      <c r="L18" s="138"/>
      <c r="M18" s="106"/>
    </row>
    <row r="19" spans="1:22" s="116" customFormat="1" ht="15.75">
      <c r="A19" s="101"/>
      <c r="B19" s="110"/>
      <c r="C19" s="104" t="s">
        <v>96</v>
      </c>
      <c r="D19" s="110" t="s">
        <v>4</v>
      </c>
      <c r="E19" s="105">
        <f>(0.46)/0.6005</f>
        <v>0.76602830974188174</v>
      </c>
      <c r="F19" s="138">
        <f>F18*E19</f>
        <v>61.282264779350541</v>
      </c>
      <c r="G19" s="141">
        <v>8.5</v>
      </c>
      <c r="H19" s="138">
        <f>F19*G19</f>
        <v>520.89925062447958</v>
      </c>
      <c r="I19" s="106"/>
      <c r="J19" s="138"/>
      <c r="K19" s="106"/>
      <c r="L19" s="138"/>
      <c r="M19" s="94">
        <f>H19</f>
        <v>520.89925062447958</v>
      </c>
    </row>
    <row r="20" spans="1:22" s="116" customFormat="1" ht="15.75">
      <c r="A20" s="101"/>
      <c r="B20" s="167"/>
      <c r="C20" s="104" t="s">
        <v>97</v>
      </c>
      <c r="D20" s="110" t="s">
        <v>6</v>
      </c>
      <c r="E20" s="168">
        <f>0.0189+0.001+0.05+0.025</f>
        <v>9.4900000000000012E-2</v>
      </c>
      <c r="F20" s="138">
        <f>F18*E20</f>
        <v>7.5920000000000005</v>
      </c>
      <c r="G20" s="141"/>
      <c r="H20" s="138"/>
      <c r="I20" s="106">
        <f>636*1.18</f>
        <v>750.4799999999999</v>
      </c>
      <c r="J20" s="138">
        <f>F20*I20</f>
        <v>5697.6441599999998</v>
      </c>
      <c r="K20" s="106"/>
      <c r="L20" s="138"/>
      <c r="M20" s="94">
        <f>J20</f>
        <v>5697.6441599999998</v>
      </c>
    </row>
    <row r="21" spans="1:22" s="116" customFormat="1" ht="15.75">
      <c r="A21" s="101"/>
      <c r="B21" s="167"/>
      <c r="C21" s="104" t="s">
        <v>98</v>
      </c>
      <c r="D21" s="110" t="s">
        <v>67</v>
      </c>
      <c r="E21" s="104">
        <v>0.18</v>
      </c>
      <c r="F21" s="138">
        <f>F18*E21</f>
        <v>14.399999999999999</v>
      </c>
      <c r="G21" s="168"/>
      <c r="H21" s="138"/>
      <c r="I21" s="106">
        <f>1.18*2.72</f>
        <v>3.2096</v>
      </c>
      <c r="J21" s="138">
        <f>F21*I21</f>
        <v>46.218239999999994</v>
      </c>
      <c r="K21" s="106"/>
      <c r="L21" s="138"/>
      <c r="M21" s="94">
        <f>J21</f>
        <v>46.218239999999994</v>
      </c>
    </row>
    <row r="22" spans="1:22" s="116" customFormat="1" ht="15.75">
      <c r="A22" s="101"/>
      <c r="B22" s="167"/>
      <c r="C22" s="104" t="s">
        <v>99</v>
      </c>
      <c r="D22" s="110" t="s">
        <v>67</v>
      </c>
      <c r="E22" s="104">
        <v>0.95</v>
      </c>
      <c r="F22" s="138">
        <f>F18*E22</f>
        <v>76</v>
      </c>
      <c r="G22" s="168"/>
      <c r="H22" s="138"/>
      <c r="I22" s="106">
        <f>1.18*4</f>
        <v>4.72</v>
      </c>
      <c r="J22" s="138">
        <f>F22*I22</f>
        <v>358.71999999999997</v>
      </c>
      <c r="K22" s="106"/>
      <c r="L22" s="138"/>
      <c r="M22" s="94">
        <f>J22</f>
        <v>358.71999999999997</v>
      </c>
    </row>
    <row r="23" spans="1:22" s="116" customFormat="1" ht="15.75">
      <c r="A23" s="117"/>
      <c r="B23" s="169"/>
      <c r="C23" s="170" t="s">
        <v>89</v>
      </c>
      <c r="D23" s="171" t="s">
        <v>67</v>
      </c>
      <c r="E23" s="170">
        <v>0.11</v>
      </c>
      <c r="F23" s="172">
        <f>F18*E23</f>
        <v>8.8000000000000007</v>
      </c>
      <c r="G23" s="118"/>
      <c r="H23" s="172"/>
      <c r="I23" s="173">
        <f>1.18*4.1</f>
        <v>4.8379999999999992</v>
      </c>
      <c r="J23" s="173">
        <f>F23*I23</f>
        <v>42.574399999999997</v>
      </c>
      <c r="K23" s="173"/>
      <c r="L23" s="172"/>
      <c r="M23" s="99">
        <f>J23</f>
        <v>42.574399999999997</v>
      </c>
    </row>
    <row r="24" spans="1:22" s="110" customFormat="1" ht="47.25">
      <c r="A24" s="104">
        <v>2</v>
      </c>
      <c r="B24" s="177" t="s">
        <v>147</v>
      </c>
      <c r="C24" s="104" t="s">
        <v>145</v>
      </c>
      <c r="D24" s="110" t="s">
        <v>66</v>
      </c>
      <c r="E24" s="105"/>
      <c r="F24" s="138">
        <f>56.5/0.95</f>
        <v>59.473684210526315</v>
      </c>
      <c r="G24" s="64"/>
      <c r="H24" s="152"/>
      <c r="I24" s="106"/>
      <c r="K24" s="64"/>
      <c r="L24" s="152"/>
      <c r="M24" s="106"/>
    </row>
    <row r="25" spans="1:22" s="95" customFormat="1" ht="15.75">
      <c r="A25" s="91"/>
      <c r="B25" s="91"/>
      <c r="C25" s="91" t="s">
        <v>5</v>
      </c>
      <c r="D25" s="91" t="s">
        <v>4</v>
      </c>
      <c r="E25" s="105">
        <f>(50.72)/0.79</f>
        <v>64.202531645569621</v>
      </c>
      <c r="F25" s="93">
        <f>F24*E25</f>
        <v>3818.36109260493</v>
      </c>
      <c r="G25" s="94">
        <v>8.5</v>
      </c>
      <c r="H25" s="139">
        <f>F25*G25</f>
        <v>32456.069287141905</v>
      </c>
      <c r="I25" s="111"/>
      <c r="J25" s="150"/>
      <c r="K25" s="111"/>
      <c r="L25" s="150"/>
      <c r="M25" s="94">
        <f>H25</f>
        <v>32456.069287141905</v>
      </c>
    </row>
    <row r="26" spans="1:22" s="95" customFormat="1" ht="15.75">
      <c r="A26" s="91"/>
      <c r="B26" s="274" t="s">
        <v>259</v>
      </c>
      <c r="C26" s="91" t="s">
        <v>144</v>
      </c>
      <c r="D26" s="95" t="s">
        <v>6</v>
      </c>
      <c r="E26" s="112" t="s">
        <v>8</v>
      </c>
      <c r="F26" s="93">
        <v>56.5</v>
      </c>
      <c r="G26" s="61"/>
      <c r="H26" s="150"/>
      <c r="I26" s="94">
        <v>297.89466666666669</v>
      </c>
      <c r="J26" s="139">
        <f>F26*I26</f>
        <v>16831.048666666669</v>
      </c>
      <c r="K26" s="111"/>
      <c r="L26" s="150"/>
      <c r="M26" s="94">
        <f>J26</f>
        <v>16831.048666666669</v>
      </c>
    </row>
    <row r="27" spans="1:22" s="142" customFormat="1" ht="15.75">
      <c r="A27" s="101"/>
      <c r="B27" s="180"/>
      <c r="C27" s="101" t="s">
        <v>146</v>
      </c>
      <c r="D27" s="142" t="s">
        <v>6</v>
      </c>
      <c r="E27" s="102">
        <v>7.3999999999999996E-2</v>
      </c>
      <c r="F27" s="145">
        <f>F24*E27</f>
        <v>4.4010526315789473</v>
      </c>
      <c r="G27" s="114"/>
      <c r="H27" s="157"/>
      <c r="I27" s="141">
        <f>1.18*25</f>
        <v>29.5</v>
      </c>
      <c r="J27" s="191">
        <f t="shared" ref="J27:J28" si="0">F27*I27</f>
        <v>129.83105263157896</v>
      </c>
      <c r="K27" s="181"/>
      <c r="L27" s="157"/>
      <c r="M27" s="141">
        <f t="shared" ref="M27:M28" si="1">J27</f>
        <v>129.83105263157896</v>
      </c>
    </row>
    <row r="28" spans="1:22" s="95" customFormat="1" ht="15.75">
      <c r="A28" s="96"/>
      <c r="B28" s="179" t="s">
        <v>151</v>
      </c>
      <c r="C28" s="96" t="s">
        <v>105</v>
      </c>
      <c r="D28" s="97" t="s">
        <v>6</v>
      </c>
      <c r="E28" s="103">
        <v>0.16</v>
      </c>
      <c r="F28" s="98">
        <f>F24*E28</f>
        <v>9.5157894736842099</v>
      </c>
      <c r="G28" s="63"/>
      <c r="H28" s="65"/>
      <c r="I28" s="99">
        <f>1.18*4.31</f>
        <v>5.085799999999999</v>
      </c>
      <c r="J28" s="100">
        <f t="shared" si="0"/>
        <v>48.395402105263145</v>
      </c>
      <c r="K28" s="66"/>
      <c r="L28" s="65"/>
      <c r="M28" s="99">
        <f t="shared" si="1"/>
        <v>48.395402105263145</v>
      </c>
    </row>
    <row r="29" spans="1:22" s="166" customFormat="1" ht="30" customHeight="1">
      <c r="A29" s="104">
        <v>3</v>
      </c>
      <c r="B29" s="163" t="s">
        <v>148</v>
      </c>
      <c r="C29" s="164" t="s">
        <v>264</v>
      </c>
      <c r="D29" s="164" t="s">
        <v>100</v>
      </c>
      <c r="E29" s="164"/>
      <c r="F29" s="165">
        <v>16</v>
      </c>
      <c r="G29" s="115"/>
      <c r="H29" s="151"/>
      <c r="I29" s="115"/>
      <c r="J29" s="151"/>
      <c r="K29" s="106"/>
      <c r="L29" s="138"/>
      <c r="M29" s="106"/>
    </row>
    <row r="30" spans="1:22" s="156" customFormat="1">
      <c r="A30" s="91"/>
      <c r="C30" s="91" t="s">
        <v>5</v>
      </c>
      <c r="D30" s="91" t="s">
        <v>4</v>
      </c>
      <c r="E30" s="105">
        <f>(1.29)/0.79</f>
        <v>1.6329113924050633</v>
      </c>
      <c r="F30" s="139">
        <f>F29*E30</f>
        <v>26.126582278481013</v>
      </c>
      <c r="G30" s="94">
        <v>8.5</v>
      </c>
      <c r="H30" s="139">
        <f>F30*G30</f>
        <v>222.07594936708861</v>
      </c>
      <c r="I30" s="111"/>
      <c r="J30" s="150"/>
      <c r="K30" s="111"/>
      <c r="L30" s="150"/>
      <c r="M30" s="94">
        <f>H30</f>
        <v>222.07594936708861</v>
      </c>
    </row>
    <row r="31" spans="1:22" s="156" customFormat="1">
      <c r="A31" s="140"/>
      <c r="B31" s="223" t="s">
        <v>149</v>
      </c>
      <c r="C31" s="140" t="s">
        <v>104</v>
      </c>
      <c r="D31" s="140" t="s">
        <v>6</v>
      </c>
      <c r="E31" s="175" t="s">
        <v>8</v>
      </c>
      <c r="F31" s="93">
        <v>1.5072000000000001</v>
      </c>
      <c r="G31" s="111"/>
      <c r="H31" s="150"/>
      <c r="I31" s="94">
        <f>1.18*695</f>
        <v>820.09999999999991</v>
      </c>
      <c r="J31" s="139">
        <f t="shared" ref="J31:J36" si="2">F31*I31</f>
        <v>1236.0547199999999</v>
      </c>
      <c r="K31" s="111"/>
      <c r="L31" s="150"/>
      <c r="M31" s="94">
        <f t="shared" ref="M31:M36" si="3">J31</f>
        <v>1236.0547199999999</v>
      </c>
    </row>
    <row r="32" spans="1:22" s="156" customFormat="1">
      <c r="A32" s="140"/>
      <c r="B32" s="140" t="s">
        <v>150</v>
      </c>
      <c r="C32" s="140" t="s">
        <v>89</v>
      </c>
      <c r="D32" s="140" t="s">
        <v>67</v>
      </c>
      <c r="E32" s="91">
        <v>3.4000000000000002E-2</v>
      </c>
      <c r="F32" s="139">
        <f>F29*E32</f>
        <v>0.54400000000000004</v>
      </c>
      <c r="G32" s="94"/>
      <c r="H32" s="139"/>
      <c r="I32" s="94">
        <f>1.18*4.1</f>
        <v>4.8379999999999992</v>
      </c>
      <c r="J32" s="139">
        <f t="shared" si="2"/>
        <v>2.6318719999999995</v>
      </c>
      <c r="K32" s="111"/>
      <c r="L32" s="150"/>
      <c r="M32" s="94">
        <f t="shared" si="3"/>
        <v>2.6318719999999995</v>
      </c>
    </row>
    <row r="33" spans="1:13" s="156" customFormat="1">
      <c r="A33" s="140"/>
      <c r="B33" s="140"/>
      <c r="C33" s="140" t="s">
        <v>102</v>
      </c>
      <c r="D33" s="140" t="s">
        <v>66</v>
      </c>
      <c r="E33" s="91">
        <v>0.04</v>
      </c>
      <c r="F33" s="139">
        <f>F29*E33</f>
        <v>0.64</v>
      </c>
      <c r="G33" s="111"/>
      <c r="H33" s="150"/>
      <c r="I33" s="94">
        <f>1.18*10.1</f>
        <v>11.917999999999999</v>
      </c>
      <c r="J33" s="139">
        <f t="shared" si="2"/>
        <v>7.6275199999999996</v>
      </c>
      <c r="K33" s="111"/>
      <c r="L33" s="150"/>
      <c r="M33" s="94">
        <f>J33</f>
        <v>7.6275199999999996</v>
      </c>
    </row>
    <row r="34" spans="1:13" s="156" customFormat="1">
      <c r="A34" s="140"/>
      <c r="B34" s="140" t="s">
        <v>152</v>
      </c>
      <c r="C34" s="140" t="s">
        <v>91</v>
      </c>
      <c r="D34" s="140" t="s">
        <v>66</v>
      </c>
      <c r="E34" s="91">
        <v>0.16</v>
      </c>
      <c r="F34" s="139">
        <f>F29*E34</f>
        <v>2.56</v>
      </c>
      <c r="G34" s="111"/>
      <c r="H34" s="150"/>
      <c r="I34" s="94">
        <f>1.18*6</f>
        <v>7.08</v>
      </c>
      <c r="J34" s="139">
        <f t="shared" si="2"/>
        <v>18.1248</v>
      </c>
      <c r="K34" s="111"/>
      <c r="L34" s="150"/>
      <c r="M34" s="94">
        <f t="shared" si="3"/>
        <v>18.1248</v>
      </c>
    </row>
    <row r="35" spans="1:13" s="156" customFormat="1">
      <c r="A35" s="140"/>
      <c r="B35" s="140" t="s">
        <v>153</v>
      </c>
      <c r="C35" s="140" t="s">
        <v>103</v>
      </c>
      <c r="D35" s="140" t="s">
        <v>67</v>
      </c>
      <c r="E35" s="91">
        <v>0.1</v>
      </c>
      <c r="F35" s="139">
        <f>F29*E35</f>
        <v>1.6</v>
      </c>
      <c r="G35" s="111"/>
      <c r="H35" s="150"/>
      <c r="I35" s="94">
        <f>1.18*6.9</f>
        <v>8.1419999999999995</v>
      </c>
      <c r="J35" s="139">
        <f t="shared" ref="J35" si="4">F35*I35</f>
        <v>13.027200000000001</v>
      </c>
      <c r="K35" s="111"/>
      <c r="L35" s="150"/>
      <c r="M35" s="94">
        <f t="shared" ref="M35" si="5">J35</f>
        <v>13.027200000000001</v>
      </c>
    </row>
    <row r="36" spans="1:13" s="156" customFormat="1">
      <c r="A36" s="174"/>
      <c r="B36" s="174" t="s">
        <v>154</v>
      </c>
      <c r="C36" s="174" t="s">
        <v>101</v>
      </c>
      <c r="D36" s="174" t="s">
        <v>67</v>
      </c>
      <c r="E36" s="96">
        <v>0.43</v>
      </c>
      <c r="F36" s="100">
        <f>F29*E36</f>
        <v>6.88</v>
      </c>
      <c r="G36" s="66"/>
      <c r="H36" s="65"/>
      <c r="I36" s="99">
        <f>1.18*10.2</f>
        <v>12.035999999999998</v>
      </c>
      <c r="J36" s="100">
        <f t="shared" si="2"/>
        <v>82.807679999999991</v>
      </c>
      <c r="K36" s="66"/>
      <c r="L36" s="65"/>
      <c r="M36" s="99">
        <f t="shared" si="3"/>
        <v>82.807679999999991</v>
      </c>
    </row>
    <row r="37" spans="1:13" s="193" customFormat="1" ht="31.5">
      <c r="A37" s="104">
        <v>4</v>
      </c>
      <c r="B37" s="110" t="s">
        <v>157</v>
      </c>
      <c r="C37" s="104" t="s">
        <v>158</v>
      </c>
      <c r="D37" s="110" t="s">
        <v>100</v>
      </c>
      <c r="E37" s="105"/>
      <c r="F37" s="138">
        <v>120</v>
      </c>
      <c r="G37" s="64"/>
      <c r="H37" s="152"/>
      <c r="I37" s="64"/>
      <c r="J37" s="152"/>
      <c r="K37" s="64"/>
      <c r="L37" s="152"/>
      <c r="M37" s="64"/>
    </row>
    <row r="38" spans="1:13" s="108" customFormat="1" ht="15.75">
      <c r="A38" s="91"/>
      <c r="B38" s="194"/>
      <c r="C38" s="91" t="s">
        <v>5</v>
      </c>
      <c r="D38" s="91" t="s">
        <v>4</v>
      </c>
      <c r="E38" s="92">
        <v>0.19500000000000001</v>
      </c>
      <c r="F38" s="93">
        <f>F37*E38</f>
        <v>23.400000000000002</v>
      </c>
      <c r="G38" s="94">
        <v>8.5</v>
      </c>
      <c r="H38" s="139">
        <f>F38*G38</f>
        <v>198.9</v>
      </c>
      <c r="I38" s="111"/>
      <c r="J38" s="150"/>
      <c r="K38" s="111"/>
      <c r="L38" s="150"/>
      <c r="M38" s="94">
        <f>H38</f>
        <v>198.9</v>
      </c>
    </row>
    <row r="39" spans="1:13" s="108" customFormat="1" ht="15.75">
      <c r="A39" s="91"/>
      <c r="B39" s="95"/>
      <c r="C39" s="91" t="s">
        <v>112</v>
      </c>
      <c r="D39" s="95" t="s">
        <v>7</v>
      </c>
      <c r="E39" s="92">
        <v>0.06</v>
      </c>
      <c r="F39" s="93">
        <f>F37*E39</f>
        <v>7.1999999999999993</v>
      </c>
      <c r="G39" s="61"/>
      <c r="H39" s="150"/>
      <c r="I39" s="111"/>
      <c r="J39" s="150"/>
      <c r="K39" s="94">
        <v>4</v>
      </c>
      <c r="L39" s="139">
        <f>F39*K39</f>
        <v>28.799999999999997</v>
      </c>
      <c r="M39" s="94">
        <f>L39</f>
        <v>28.799999999999997</v>
      </c>
    </row>
    <row r="40" spans="1:13" s="108" customFormat="1" ht="15.75">
      <c r="A40" s="91"/>
      <c r="B40" s="95" t="s">
        <v>161</v>
      </c>
      <c r="C40" s="91" t="s">
        <v>160</v>
      </c>
      <c r="D40" s="95" t="s">
        <v>6</v>
      </c>
      <c r="E40" s="175" t="s">
        <v>8</v>
      </c>
      <c r="F40" s="93">
        <f>0.08*0.12*120</f>
        <v>1.1519999999999999</v>
      </c>
      <c r="G40" s="61"/>
      <c r="H40" s="150"/>
      <c r="I40" s="94">
        <f>1.18*678</f>
        <v>800.04</v>
      </c>
      <c r="J40" s="139">
        <f>F40*I40</f>
        <v>921.64607999999987</v>
      </c>
      <c r="K40" s="111"/>
      <c r="L40" s="150"/>
      <c r="M40" s="94">
        <f>J40</f>
        <v>921.64607999999987</v>
      </c>
    </row>
    <row r="41" spans="1:13" s="108" customFormat="1" ht="15.75">
      <c r="A41" s="96"/>
      <c r="B41" s="96" t="s">
        <v>150</v>
      </c>
      <c r="C41" s="96" t="s">
        <v>159</v>
      </c>
      <c r="D41" s="97" t="s">
        <v>67</v>
      </c>
      <c r="E41" s="103">
        <v>0.08</v>
      </c>
      <c r="F41" s="98">
        <f>F37*E41</f>
        <v>9.6</v>
      </c>
      <c r="G41" s="63"/>
      <c r="H41" s="65"/>
      <c r="I41" s="99">
        <f>1.18*4</f>
        <v>4.72</v>
      </c>
      <c r="J41" s="100">
        <f>F41*I41</f>
        <v>45.311999999999998</v>
      </c>
      <c r="K41" s="66"/>
      <c r="L41" s="65"/>
      <c r="M41" s="99">
        <f>J41</f>
        <v>45.311999999999998</v>
      </c>
    </row>
    <row r="42" spans="1:13" s="193" customFormat="1" ht="31.5">
      <c r="A42" s="104">
        <v>5</v>
      </c>
      <c r="B42" s="110" t="s">
        <v>162</v>
      </c>
      <c r="C42" s="104" t="s">
        <v>163</v>
      </c>
      <c r="D42" s="110" t="s">
        <v>66</v>
      </c>
      <c r="E42" s="105"/>
      <c r="F42" s="109">
        <v>12</v>
      </c>
      <c r="G42" s="64"/>
      <c r="H42" s="152"/>
      <c r="I42" s="64"/>
      <c r="J42" s="152"/>
      <c r="K42" s="64"/>
      <c r="L42" s="152"/>
      <c r="M42" s="64"/>
    </row>
    <row r="43" spans="1:13" s="108" customFormat="1" ht="15.75">
      <c r="A43" s="91"/>
      <c r="B43" s="194"/>
      <c r="C43" s="91" t="s">
        <v>5</v>
      </c>
      <c r="D43" s="91" t="s">
        <v>4</v>
      </c>
      <c r="E43" s="92">
        <v>1.99</v>
      </c>
      <c r="F43" s="93">
        <f>F42*E43</f>
        <v>23.88</v>
      </c>
      <c r="G43" s="94">
        <v>8.5</v>
      </c>
      <c r="H43" s="139">
        <f>F43*G43</f>
        <v>202.98</v>
      </c>
      <c r="I43" s="111"/>
      <c r="J43" s="150"/>
      <c r="K43" s="111"/>
      <c r="L43" s="150"/>
      <c r="M43" s="94">
        <f>H43</f>
        <v>202.98</v>
      </c>
    </row>
    <row r="44" spans="1:13" s="108" customFormat="1" ht="15.75">
      <c r="A44" s="91"/>
      <c r="B44" s="95"/>
      <c r="C44" s="91" t="s">
        <v>112</v>
      </c>
      <c r="D44" s="95" t="s">
        <v>7</v>
      </c>
      <c r="E44" s="94">
        <v>0.04</v>
      </c>
      <c r="F44" s="93">
        <f>F42*E44</f>
        <v>0.48</v>
      </c>
      <c r="G44" s="61"/>
      <c r="H44" s="150"/>
      <c r="I44" s="111"/>
      <c r="J44" s="150"/>
      <c r="K44" s="94">
        <v>4</v>
      </c>
      <c r="L44" s="139">
        <f>F44*K44</f>
        <v>1.92</v>
      </c>
      <c r="M44" s="94">
        <f>L44</f>
        <v>1.92</v>
      </c>
    </row>
    <row r="45" spans="1:13" s="108" customFormat="1" ht="15.75">
      <c r="A45" s="91"/>
      <c r="B45" s="95" t="s">
        <v>165</v>
      </c>
      <c r="C45" s="91" t="s">
        <v>164</v>
      </c>
      <c r="D45" s="95" t="s">
        <v>6</v>
      </c>
      <c r="E45" s="113">
        <v>3.3599999999999998E-2</v>
      </c>
      <c r="F45" s="93">
        <f>F42*E45</f>
        <v>0.4032</v>
      </c>
      <c r="G45" s="61"/>
      <c r="H45" s="150"/>
      <c r="I45" s="94">
        <f>1.18*674</f>
        <v>795.31999999999994</v>
      </c>
      <c r="J45" s="139">
        <f>F45*I45</f>
        <v>320.673024</v>
      </c>
      <c r="K45" s="111"/>
      <c r="L45" s="150"/>
      <c r="M45" s="94">
        <f>J45</f>
        <v>320.673024</v>
      </c>
    </row>
    <row r="46" spans="1:13" s="108" customFormat="1" ht="15.75">
      <c r="A46" s="96"/>
      <c r="B46" s="97"/>
      <c r="C46" s="96" t="s">
        <v>156</v>
      </c>
      <c r="D46" s="97" t="s">
        <v>7</v>
      </c>
      <c r="E46" s="103">
        <v>0.15</v>
      </c>
      <c r="F46" s="98">
        <f>F42*E46</f>
        <v>1.7999999999999998</v>
      </c>
      <c r="G46" s="63"/>
      <c r="H46" s="62"/>
      <c r="I46" s="99">
        <f>1.18*4</f>
        <v>4.72</v>
      </c>
      <c r="J46" s="100">
        <f>F46*I46</f>
        <v>8.4959999999999987</v>
      </c>
      <c r="K46" s="63"/>
      <c r="L46" s="62"/>
      <c r="M46" s="99">
        <f>J46</f>
        <v>8.4959999999999987</v>
      </c>
    </row>
    <row r="47" spans="1:13" s="156" customFormat="1">
      <c r="A47" s="224">
        <v>6</v>
      </c>
      <c r="B47" s="91" t="s">
        <v>166</v>
      </c>
      <c r="C47" s="91" t="s">
        <v>167</v>
      </c>
      <c r="D47" s="95" t="s">
        <v>66</v>
      </c>
      <c r="E47" s="92"/>
      <c r="F47" s="139">
        <v>12</v>
      </c>
      <c r="G47" s="61"/>
      <c r="H47" s="149"/>
      <c r="I47" s="61"/>
      <c r="J47" s="149"/>
      <c r="K47" s="94"/>
      <c r="L47" s="95"/>
      <c r="M47" s="94"/>
    </row>
    <row r="48" spans="1:13" s="156" customFormat="1">
      <c r="A48" s="91"/>
      <c r="C48" s="91" t="s">
        <v>5</v>
      </c>
      <c r="D48" s="91" t="s">
        <v>4</v>
      </c>
      <c r="E48" s="113">
        <v>6.1000000000000004E-3</v>
      </c>
      <c r="F48" s="93">
        <f>F47*E48</f>
        <v>7.3200000000000001E-2</v>
      </c>
      <c r="G48" s="94">
        <v>8.5</v>
      </c>
      <c r="H48" s="139">
        <f>F48*G48</f>
        <v>0.62219999999999998</v>
      </c>
      <c r="I48" s="111"/>
      <c r="J48" s="150"/>
      <c r="K48" s="111"/>
      <c r="L48" s="150"/>
      <c r="M48" s="94">
        <f>H48</f>
        <v>0.62219999999999998</v>
      </c>
    </row>
    <row r="49" spans="1:24" s="156" customFormat="1">
      <c r="A49" s="91"/>
      <c r="B49" s="95"/>
      <c r="C49" s="91" t="s">
        <v>11</v>
      </c>
      <c r="D49" s="95" t="s">
        <v>7</v>
      </c>
      <c r="E49" s="113">
        <v>2.0000000000000001E-4</v>
      </c>
      <c r="F49" s="93">
        <f>F47*E49</f>
        <v>2.4000000000000002E-3</v>
      </c>
      <c r="G49" s="91"/>
      <c r="H49" s="139"/>
      <c r="I49" s="94"/>
      <c r="J49" s="139"/>
      <c r="K49" s="94">
        <v>4</v>
      </c>
      <c r="L49" s="139">
        <f>F49*K49</f>
        <v>9.6000000000000009E-3</v>
      </c>
      <c r="M49" s="94">
        <f>L49</f>
        <v>9.6000000000000009E-3</v>
      </c>
    </row>
    <row r="50" spans="1:24" s="156" customFormat="1">
      <c r="A50" s="96"/>
      <c r="B50" s="174" t="s">
        <v>154</v>
      </c>
      <c r="C50" s="96" t="s">
        <v>101</v>
      </c>
      <c r="D50" s="97" t="s">
        <v>67</v>
      </c>
      <c r="E50" s="103">
        <v>0.04</v>
      </c>
      <c r="F50" s="98">
        <f>F47*E50</f>
        <v>0.48</v>
      </c>
      <c r="G50" s="63"/>
      <c r="H50" s="65"/>
      <c r="I50" s="99">
        <f>1.18*10.2</f>
        <v>12.035999999999998</v>
      </c>
      <c r="J50" s="100">
        <f>F50*I50</f>
        <v>5.7772799999999984</v>
      </c>
      <c r="K50" s="66"/>
      <c r="L50" s="65"/>
      <c r="M50" s="99">
        <f>J50</f>
        <v>5.7772799999999984</v>
      </c>
    </row>
    <row r="51" spans="1:24" s="95" customFormat="1" ht="15.75">
      <c r="A51" s="91">
        <v>7</v>
      </c>
      <c r="B51" s="91" t="s">
        <v>92</v>
      </c>
      <c r="C51" s="91" t="s">
        <v>93</v>
      </c>
      <c r="D51" s="95" t="s">
        <v>6</v>
      </c>
      <c r="E51" s="92"/>
      <c r="F51" s="139">
        <v>51.5</v>
      </c>
      <c r="G51" s="61"/>
      <c r="H51" s="150"/>
      <c r="I51" s="94"/>
      <c r="J51" s="139"/>
      <c r="K51" s="111"/>
      <c r="L51" s="150"/>
      <c r="M51" s="94"/>
    </row>
    <row r="52" spans="1:24" s="95" customFormat="1" ht="15.75">
      <c r="A52" s="91"/>
      <c r="C52" s="91" t="s">
        <v>5</v>
      </c>
      <c r="D52" s="91" t="s">
        <v>4</v>
      </c>
      <c r="E52" s="92">
        <v>0.87</v>
      </c>
      <c r="F52" s="93">
        <f>F51*E52</f>
        <v>44.805</v>
      </c>
      <c r="G52" s="94">
        <v>8.5</v>
      </c>
      <c r="H52" s="139">
        <f>F52*G52</f>
        <v>380.84249999999997</v>
      </c>
      <c r="I52" s="111"/>
      <c r="J52" s="150"/>
      <c r="K52" s="111"/>
      <c r="L52" s="150"/>
      <c r="M52" s="94">
        <f>H52</f>
        <v>380.84249999999997</v>
      </c>
    </row>
    <row r="53" spans="1:24" s="95" customFormat="1" ht="15.75">
      <c r="A53" s="91"/>
      <c r="C53" s="91" t="s">
        <v>11</v>
      </c>
      <c r="D53" s="95" t="s">
        <v>7</v>
      </c>
      <c r="E53" s="92">
        <v>0.13</v>
      </c>
      <c r="F53" s="93">
        <f>F51*E53</f>
        <v>6.6950000000000003</v>
      </c>
      <c r="G53" s="61"/>
      <c r="H53" s="150"/>
      <c r="I53" s="111"/>
      <c r="J53" s="150"/>
      <c r="K53" s="94">
        <v>4</v>
      </c>
      <c r="L53" s="139">
        <f>F53*K53</f>
        <v>26.78</v>
      </c>
      <c r="M53" s="94">
        <f>L53</f>
        <v>26.78</v>
      </c>
    </row>
    <row r="54" spans="1:24" s="95" customFormat="1" ht="15.75">
      <c r="A54" s="91"/>
      <c r="B54" s="95" t="s">
        <v>155</v>
      </c>
      <c r="C54" s="91" t="s">
        <v>94</v>
      </c>
      <c r="D54" s="95" t="s">
        <v>90</v>
      </c>
      <c r="E54" s="92">
        <f>1/9.26</f>
        <v>0.10799136069114471</v>
      </c>
      <c r="F54" s="93">
        <f>F51*E54</f>
        <v>5.5615550755939527</v>
      </c>
      <c r="G54" s="61"/>
      <c r="H54" s="150"/>
      <c r="I54" s="94">
        <f>1.18*8.5</f>
        <v>10.029999999999999</v>
      </c>
      <c r="J54" s="139">
        <f>F54*I54</f>
        <v>55.782397408207345</v>
      </c>
      <c r="K54" s="111"/>
      <c r="L54" s="150"/>
      <c r="M54" s="94">
        <f>J54</f>
        <v>55.782397408207345</v>
      </c>
    </row>
    <row r="55" spans="1:24" s="95" customFormat="1" ht="15.75">
      <c r="A55" s="96"/>
      <c r="B55" s="97"/>
      <c r="C55" s="96" t="s">
        <v>156</v>
      </c>
      <c r="D55" s="97" t="s">
        <v>7</v>
      </c>
      <c r="E55" s="103">
        <v>0.1</v>
      </c>
      <c r="F55" s="98">
        <f>F51*E55</f>
        <v>5.15</v>
      </c>
      <c r="G55" s="63"/>
      <c r="H55" s="65"/>
      <c r="I55" s="99">
        <f>1.18*4</f>
        <v>4.72</v>
      </c>
      <c r="J55" s="100">
        <f>F55*I55</f>
        <v>24.308</v>
      </c>
      <c r="K55" s="66"/>
      <c r="L55" s="65"/>
      <c r="M55" s="99">
        <f>J55</f>
        <v>24.308</v>
      </c>
    </row>
    <row r="56" spans="1:24" s="193" customFormat="1" ht="31.5">
      <c r="A56" s="170">
        <v>8</v>
      </c>
      <c r="B56" s="225" t="s">
        <v>168</v>
      </c>
      <c r="C56" s="170" t="s">
        <v>169</v>
      </c>
      <c r="D56" s="171" t="s">
        <v>10</v>
      </c>
      <c r="E56" s="178"/>
      <c r="F56" s="172">
        <v>45</v>
      </c>
      <c r="G56" s="170"/>
      <c r="H56" s="171"/>
      <c r="I56" s="170"/>
      <c r="J56" s="171"/>
      <c r="K56" s="173">
        <f>1.18*60.91</f>
        <v>71.873799999999989</v>
      </c>
      <c r="L56" s="171">
        <f>F56*K56</f>
        <v>3234.3209999999995</v>
      </c>
      <c r="M56" s="226">
        <f>L56</f>
        <v>3234.3209999999995</v>
      </c>
    </row>
    <row r="57" spans="1:24" s="193" customFormat="1" ht="31.5">
      <c r="A57" s="104">
        <v>9</v>
      </c>
      <c r="B57" s="177" t="s">
        <v>182</v>
      </c>
      <c r="C57" s="104" t="s">
        <v>183</v>
      </c>
      <c r="D57" s="110" t="s">
        <v>6</v>
      </c>
      <c r="E57" s="105"/>
      <c r="F57" s="109">
        <f>115.5*2.6</f>
        <v>300.3</v>
      </c>
      <c r="G57" s="106"/>
      <c r="H57" s="104"/>
      <c r="I57" s="104"/>
      <c r="J57" s="110"/>
      <c r="K57" s="104"/>
      <c r="L57" s="110"/>
      <c r="M57" s="104"/>
    </row>
    <row r="58" spans="1:24" s="108" customFormat="1" ht="15.75">
      <c r="A58" s="96"/>
      <c r="B58" s="96"/>
      <c r="C58" s="96" t="s">
        <v>5</v>
      </c>
      <c r="D58" s="96" t="s">
        <v>4</v>
      </c>
      <c r="E58" s="103">
        <v>1.21</v>
      </c>
      <c r="F58" s="98">
        <f>F57*E58</f>
        <v>363.363</v>
      </c>
      <c r="G58" s="99">
        <v>6.6</v>
      </c>
      <c r="H58" s="100">
        <f>F58*G58</f>
        <v>2398.1958</v>
      </c>
      <c r="I58" s="63"/>
      <c r="J58" s="62"/>
      <c r="K58" s="63"/>
      <c r="L58" s="62"/>
      <c r="M58" s="99">
        <f>H58</f>
        <v>2398.1958</v>
      </c>
    </row>
    <row r="59" spans="1:24" s="166" customFormat="1" ht="47.25" customHeight="1">
      <c r="A59" s="104">
        <v>10</v>
      </c>
      <c r="B59" s="163" t="s">
        <v>174</v>
      </c>
      <c r="C59" s="164" t="s">
        <v>176</v>
      </c>
      <c r="D59" s="164" t="s">
        <v>175</v>
      </c>
      <c r="E59" s="164"/>
      <c r="F59" s="165">
        <v>520.13</v>
      </c>
      <c r="G59" s="115"/>
      <c r="H59" s="151"/>
      <c r="I59" s="115"/>
      <c r="J59" s="151"/>
      <c r="K59" s="106"/>
      <c r="L59" s="138"/>
      <c r="M59" s="106"/>
    </row>
    <row r="60" spans="1:24" s="156" customFormat="1">
      <c r="A60" s="91"/>
      <c r="C60" s="91" t="s">
        <v>5</v>
      </c>
      <c r="D60" s="91" t="s">
        <v>4</v>
      </c>
      <c r="E60" s="105">
        <f>(0.07+0.02*58)/0.6005</f>
        <v>2.0482930890924229</v>
      </c>
      <c r="F60" s="139">
        <f>F59*E60</f>
        <v>1065.3786844296419</v>
      </c>
      <c r="G60" s="94">
        <v>8.5</v>
      </c>
      <c r="H60" s="139">
        <f>F60*G60</f>
        <v>9055.7188176519558</v>
      </c>
      <c r="I60" s="111"/>
      <c r="J60" s="150"/>
      <c r="K60" s="111"/>
      <c r="L60" s="150"/>
      <c r="M60" s="94">
        <f>H60</f>
        <v>9055.7188176519558</v>
      </c>
    </row>
    <row r="61" spans="1:24" s="95" customFormat="1" ht="15.75">
      <c r="A61" s="96"/>
      <c r="B61" s="97"/>
      <c r="C61" s="96" t="s">
        <v>11</v>
      </c>
      <c r="D61" s="97" t="s">
        <v>7</v>
      </c>
      <c r="E61" s="103">
        <f>0.04+0.03*58</f>
        <v>1.78</v>
      </c>
      <c r="F61" s="98">
        <f>F59*E61</f>
        <v>925.83140000000003</v>
      </c>
      <c r="G61" s="63"/>
      <c r="H61" s="65"/>
      <c r="I61" s="66"/>
      <c r="J61" s="65"/>
      <c r="K61" s="99">
        <v>38</v>
      </c>
      <c r="L61" s="100">
        <f>F61*K61</f>
        <v>35181.593200000003</v>
      </c>
      <c r="M61" s="99">
        <f>L61</f>
        <v>35181.593200000003</v>
      </c>
    </row>
    <row r="62" spans="1:24" s="240" customFormat="1" ht="30.75" customHeight="1">
      <c r="A62" s="231">
        <v>11</v>
      </c>
      <c r="B62" s="232" t="s">
        <v>177</v>
      </c>
      <c r="C62" s="233" t="s">
        <v>179</v>
      </c>
      <c r="D62" s="234" t="s">
        <v>10</v>
      </c>
      <c r="E62" s="235"/>
      <c r="F62" s="230">
        <v>115.5</v>
      </c>
      <c r="G62" s="236"/>
      <c r="H62" s="237"/>
      <c r="I62" s="238"/>
      <c r="J62" s="234"/>
      <c r="K62" s="236"/>
      <c r="L62" s="237"/>
      <c r="M62" s="238"/>
      <c r="N62" s="239"/>
      <c r="O62" s="228"/>
    </row>
    <row r="63" spans="1:24" s="240" customFormat="1" ht="15.75">
      <c r="A63" s="241"/>
      <c r="B63" s="242"/>
      <c r="C63" s="243" t="s">
        <v>180</v>
      </c>
      <c r="D63" s="243" t="s">
        <v>4</v>
      </c>
      <c r="E63" s="244">
        <f>1.5+0.56*3</f>
        <v>3.18</v>
      </c>
      <c r="F63" s="245">
        <f>F62*E63</f>
        <v>367.29</v>
      </c>
      <c r="G63" s="244">
        <v>6.6</v>
      </c>
      <c r="H63" s="246">
        <f>F63*G63</f>
        <v>2424.114</v>
      </c>
      <c r="I63" s="247"/>
      <c r="J63" s="248"/>
      <c r="K63" s="247"/>
      <c r="L63" s="248"/>
      <c r="M63" s="244">
        <f>H63</f>
        <v>2424.114</v>
      </c>
      <c r="N63" s="249"/>
      <c r="O63" s="229"/>
      <c r="P63" s="249"/>
      <c r="Q63" s="249"/>
      <c r="R63" s="249"/>
      <c r="S63" s="249"/>
      <c r="T63" s="249"/>
      <c r="U63" s="249"/>
      <c r="V63" s="249"/>
      <c r="W63" s="249"/>
      <c r="X63" s="249"/>
    </row>
    <row r="64" spans="1:24" s="240" customFormat="1" ht="36" customHeight="1">
      <c r="A64" s="231">
        <v>12</v>
      </c>
      <c r="B64" s="232" t="s">
        <v>177</v>
      </c>
      <c r="C64" s="233" t="s">
        <v>178</v>
      </c>
      <c r="D64" s="234" t="s">
        <v>10</v>
      </c>
      <c r="E64" s="235"/>
      <c r="F64" s="230">
        <v>115.5</v>
      </c>
      <c r="G64" s="236"/>
      <c r="H64" s="237"/>
      <c r="I64" s="238"/>
      <c r="J64" s="234"/>
      <c r="K64" s="236"/>
      <c r="L64" s="237"/>
      <c r="M64" s="238"/>
      <c r="N64" s="239"/>
      <c r="O64" s="228"/>
      <c r="P64" s="239"/>
      <c r="Q64" s="239"/>
      <c r="R64" s="239"/>
      <c r="S64" s="239"/>
      <c r="T64" s="239"/>
      <c r="U64" s="239"/>
      <c r="V64" s="239"/>
      <c r="W64" s="239"/>
      <c r="X64" s="239"/>
    </row>
    <row r="65" spans="1:256" s="240" customFormat="1" ht="15.75">
      <c r="A65" s="241"/>
      <c r="B65" s="242"/>
      <c r="C65" s="243" t="s">
        <v>87</v>
      </c>
      <c r="D65" s="243" t="s">
        <v>4</v>
      </c>
      <c r="E65" s="244">
        <v>15</v>
      </c>
      <c r="F65" s="245">
        <f>F64*E65</f>
        <v>1732.5</v>
      </c>
      <c r="G65" s="244">
        <v>6.6</v>
      </c>
      <c r="H65" s="246">
        <f>F65*G65</f>
        <v>11434.5</v>
      </c>
      <c r="I65" s="247"/>
      <c r="J65" s="248"/>
      <c r="K65" s="247"/>
      <c r="L65" s="248"/>
      <c r="M65" s="244">
        <f>H65</f>
        <v>11434.5</v>
      </c>
      <c r="N65" s="249"/>
      <c r="O65" s="229"/>
      <c r="P65" s="239"/>
      <c r="Q65" s="239"/>
      <c r="R65" s="239"/>
      <c r="S65" s="239"/>
      <c r="T65" s="239"/>
      <c r="U65" s="239"/>
      <c r="V65" s="239"/>
      <c r="W65" s="239"/>
      <c r="X65" s="239"/>
    </row>
    <row r="66" spans="1:256" s="3" customFormat="1" ht="15.75">
      <c r="A66" s="144"/>
      <c r="B66" s="144"/>
      <c r="C66" s="144" t="s">
        <v>2</v>
      </c>
      <c r="D66" s="144"/>
      <c r="E66" s="153"/>
      <c r="F66" s="153"/>
      <c r="G66" s="154"/>
      <c r="H66" s="158">
        <f>SUM(H19:H65)</f>
        <v>59294.917804785437</v>
      </c>
      <c r="I66" s="159"/>
      <c r="J66" s="158">
        <f>SUM(J19:J65)</f>
        <v>25896.700494811721</v>
      </c>
      <c r="K66" s="158"/>
      <c r="L66" s="158">
        <f>SUM(L19:L65)</f>
        <v>38473.423800000004</v>
      </c>
      <c r="M66" s="158">
        <f>SUM(M19:M65)</f>
        <v>123665.04209959714</v>
      </c>
    </row>
    <row r="67" spans="1:256" s="3" customFormat="1" ht="41.25" customHeight="1">
      <c r="A67" s="144"/>
      <c r="B67" s="250" t="s">
        <v>107</v>
      </c>
      <c r="C67" s="182" t="s">
        <v>181</v>
      </c>
      <c r="D67" s="155">
        <v>0.15</v>
      </c>
      <c r="E67" s="153"/>
      <c r="F67" s="153"/>
      <c r="G67" s="154"/>
      <c r="H67" s="158">
        <f>H66*D67</f>
        <v>8894.2376707178155</v>
      </c>
      <c r="I67" s="159"/>
      <c r="J67" s="158"/>
      <c r="K67" s="158"/>
      <c r="L67" s="158">
        <f>L66*D67</f>
        <v>5771.0135700000001</v>
      </c>
      <c r="M67" s="158">
        <f>H67+L67</f>
        <v>14665.251240717815</v>
      </c>
    </row>
    <row r="68" spans="1:256" s="3" customFormat="1" ht="15.75">
      <c r="A68" s="144"/>
      <c r="B68" s="144"/>
      <c r="C68" s="144" t="s">
        <v>2</v>
      </c>
      <c r="D68" s="144"/>
      <c r="E68" s="153"/>
      <c r="F68" s="153"/>
      <c r="G68" s="154"/>
      <c r="H68" s="158">
        <f>H66+H67</f>
        <v>68189.155475503256</v>
      </c>
      <c r="I68" s="159"/>
      <c r="J68" s="158">
        <f>J66</f>
        <v>25896.700494811721</v>
      </c>
      <c r="K68" s="158"/>
      <c r="L68" s="158">
        <f>L66+L67</f>
        <v>44244.437370000007</v>
      </c>
      <c r="M68" s="158">
        <f>M66+M67</f>
        <v>138330.29334031494</v>
      </c>
    </row>
    <row r="69" spans="1:256" s="2" customFormat="1">
      <c r="A69" s="19"/>
      <c r="B69" s="19"/>
      <c r="C69" s="14" t="s">
        <v>129</v>
      </c>
      <c r="D69" s="18">
        <v>0.1</v>
      </c>
      <c r="E69" s="17"/>
      <c r="F69" s="17"/>
      <c r="G69" s="16"/>
      <c r="H69" s="161">
        <f>(H68)*D69</f>
        <v>6818.9155475503258</v>
      </c>
      <c r="I69" s="161"/>
      <c r="J69" s="161">
        <f>(J68)*D69</f>
        <v>2589.6700494811721</v>
      </c>
      <c r="K69" s="161"/>
      <c r="L69" s="161">
        <f>(L68)*D69</f>
        <v>4424.4437370000005</v>
      </c>
      <c r="M69" s="161">
        <f t="shared" ref="M69:M72" si="6">SUM(H69:L69)</f>
        <v>13833.0293340315</v>
      </c>
      <c r="N69" s="15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s="2" customFormat="1">
      <c r="A70" s="12"/>
      <c r="B70" s="12"/>
      <c r="C70" s="14" t="s">
        <v>2</v>
      </c>
      <c r="D70" s="13"/>
      <c r="E70" s="12"/>
      <c r="F70" s="12"/>
      <c r="G70" s="12"/>
      <c r="H70" s="160">
        <f>H68+H69</f>
        <v>75008.071023053577</v>
      </c>
      <c r="I70" s="161"/>
      <c r="J70" s="160">
        <f>J68+J69</f>
        <v>28486.370544292891</v>
      </c>
      <c r="K70" s="161"/>
      <c r="L70" s="160">
        <f>L68+L69</f>
        <v>48668.881107000008</v>
      </c>
      <c r="M70" s="161">
        <f>SUM(H70:L70)</f>
        <v>152163.32267434648</v>
      </c>
      <c r="N70" s="11"/>
    </row>
    <row r="71" spans="1:256" s="2" customFormat="1">
      <c r="A71" s="19"/>
      <c r="B71" s="19"/>
      <c r="C71" s="14" t="s">
        <v>3</v>
      </c>
      <c r="D71" s="18">
        <v>0.08</v>
      </c>
      <c r="E71" s="17"/>
      <c r="F71" s="17"/>
      <c r="G71" s="16"/>
      <c r="H71" s="161">
        <f>H70*D71</f>
        <v>6000.6456818442866</v>
      </c>
      <c r="I71" s="161"/>
      <c r="J71" s="160">
        <f>J70*D71</f>
        <v>2278.9096435434312</v>
      </c>
      <c r="K71" s="161"/>
      <c r="L71" s="161">
        <f>L70*D71</f>
        <v>3893.5104885600008</v>
      </c>
      <c r="M71" s="161">
        <f>SUM(H71:L71)</f>
        <v>12173.06581394772</v>
      </c>
      <c r="N71" s="15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s="2" customFormat="1">
      <c r="A72" s="12"/>
      <c r="B72" s="12"/>
      <c r="C72" s="14" t="s">
        <v>2</v>
      </c>
      <c r="D72" s="13"/>
      <c r="E72" s="12"/>
      <c r="F72" s="12"/>
      <c r="G72" s="12"/>
      <c r="H72" s="160">
        <f>H70+H71</f>
        <v>81008.716704897859</v>
      </c>
      <c r="I72" s="161"/>
      <c r="J72" s="160">
        <f>J70+J71</f>
        <v>30765.280187836324</v>
      </c>
      <c r="K72" s="161"/>
      <c r="L72" s="161">
        <f>L70+L71</f>
        <v>52562.39159556001</v>
      </c>
      <c r="M72" s="161">
        <f t="shared" si="6"/>
        <v>164336.38848829421</v>
      </c>
      <c r="N72" s="11"/>
    </row>
    <row r="73" spans="1:256" s="2" customFormat="1">
      <c r="A73" s="9"/>
      <c r="B73" s="8"/>
      <c r="C73" s="8"/>
      <c r="D73" s="9"/>
      <c r="E73" s="9"/>
      <c r="F73" s="10"/>
      <c r="G73" s="8"/>
      <c r="H73" s="8"/>
      <c r="I73" s="9"/>
      <c r="J73" s="8"/>
      <c r="K73" s="8"/>
      <c r="L73" s="8"/>
      <c r="M73" s="8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4" customFormat="1">
      <c r="A74" s="6"/>
      <c r="B74" s="5" t="s">
        <v>1</v>
      </c>
      <c r="F74" s="5"/>
      <c r="J74" s="5" t="s">
        <v>0</v>
      </c>
    </row>
    <row r="75" spans="1:256" s="4" customFormat="1">
      <c r="A75" s="6"/>
      <c r="B75" s="5"/>
      <c r="F75" s="5"/>
      <c r="J75" s="5"/>
    </row>
    <row r="76" spans="1:25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256" s="2" customFormat="1"/>
  </sheetData>
  <mergeCells count="1">
    <mergeCell ref="A1:F1"/>
  </mergeCells>
  <pageMargins left="0.15748031496062992" right="0.27559055118110237" top="0.51181102362204722" bottom="0.43307086614173229" header="0.11811023622047245" footer="0.15748031496062992"/>
  <pageSetup paperSize="9" orientation="landscape" r:id="rId1"/>
  <headerFooter alignWithMargins="0">
    <oddFooter>&amp;C&amp;R&amp;P</oddFooter>
  </headerFooter>
  <ignoredErrors>
    <ignoredError sqref="H73:M73 J71 H69 L69" formula="1"/>
    <ignoredError sqref="M70 K70 I72 H71:I71 I70 I69 K69 M69 K71:L71 K72:M72" evalError="1" formula="1"/>
    <ignoredError sqref="H72 M71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B30BD-DA11-46E2-97CE-09657F595BFC}">
  <sheetPr>
    <tabColor rgb="FF408046"/>
  </sheetPr>
  <dimension ref="A1:IV87"/>
  <sheetViews>
    <sheetView topLeftCell="A71" zoomScale="126" zoomScaleNormal="126" workbookViewId="0">
      <selection activeCell="I68" sqref="I68"/>
    </sheetView>
  </sheetViews>
  <sheetFormatPr defaultColWidth="9.140625" defaultRowHeight="16.5"/>
  <cols>
    <col min="1" max="1" width="3.85546875" style="1" customWidth="1"/>
    <col min="2" max="2" width="8.7109375" style="1" customWidth="1"/>
    <col min="3" max="3" width="41.5703125" style="1" customWidth="1"/>
    <col min="4" max="4" width="7.7109375" style="1" customWidth="1"/>
    <col min="5" max="5" width="8.7109375" style="1" customWidth="1"/>
    <col min="6" max="6" width="9.85546875" style="1" customWidth="1"/>
    <col min="7" max="7" width="7.140625" style="1" customWidth="1"/>
    <col min="8" max="8" width="8.140625" style="1" customWidth="1"/>
    <col min="9" max="9" width="8" style="1" customWidth="1"/>
    <col min="10" max="10" width="8.5703125" style="1" customWidth="1"/>
    <col min="11" max="11" width="7" style="1" customWidth="1"/>
    <col min="12" max="12" width="9.85546875" style="1" customWidth="1"/>
    <col min="13" max="13" width="10.5703125" style="1" customWidth="1"/>
    <col min="14" max="16384" width="9.140625" style="1"/>
  </cols>
  <sheetData>
    <row r="1" spans="1:22" ht="30.75" customHeight="1">
      <c r="A1" s="302" t="str">
        <f>'x.2-1'!A1:F1</f>
        <v>duSeTis municipalitetis sofel mucos istoriul arqiteqturuli kompleqsis sareabilitacio samuSaoebis VIII etapi.</v>
      </c>
      <c r="B1" s="302"/>
      <c r="C1" s="302"/>
      <c r="D1" s="302"/>
      <c r="E1" s="302"/>
      <c r="F1" s="302"/>
      <c r="G1" s="148"/>
      <c r="H1" s="59"/>
      <c r="I1" s="47"/>
      <c r="J1" s="47"/>
      <c r="K1" s="47"/>
      <c r="L1" s="47"/>
      <c r="M1" s="47"/>
      <c r="N1" s="2"/>
      <c r="O1" s="2"/>
      <c r="P1" s="2"/>
      <c r="Q1" s="2"/>
      <c r="R1" s="2"/>
      <c r="S1" s="2"/>
      <c r="T1" s="2"/>
      <c r="U1" s="2"/>
      <c r="V1" s="2"/>
    </row>
    <row r="2" spans="1:22" ht="15" customHeight="1">
      <c r="A2" s="9" t="s">
        <v>46</v>
      </c>
      <c r="B2" s="9"/>
      <c r="C2" s="9"/>
      <c r="D2" s="9"/>
      <c r="E2" s="9"/>
      <c r="F2" s="9"/>
      <c r="G2" s="9"/>
      <c r="H2" s="9"/>
      <c r="I2" s="47"/>
      <c r="J2" s="47"/>
      <c r="K2" s="47"/>
      <c r="L2" s="47"/>
      <c r="M2" s="47"/>
      <c r="N2" s="2"/>
      <c r="O2" s="2"/>
      <c r="P2" s="2"/>
      <c r="Q2" s="2"/>
      <c r="R2" s="2"/>
      <c r="S2" s="2"/>
      <c r="T2" s="2"/>
      <c r="U2" s="2"/>
      <c r="V2" s="2"/>
    </row>
    <row r="3" spans="1:22" ht="15" customHeight="1">
      <c r="A3" s="9"/>
      <c r="B3" s="9"/>
      <c r="C3" s="57" t="s">
        <v>45</v>
      </c>
      <c r="D3" s="9"/>
      <c r="E3" s="9"/>
      <c r="F3" s="9"/>
      <c r="G3" s="9"/>
      <c r="H3" s="9"/>
      <c r="I3" s="47"/>
      <c r="J3" s="47"/>
      <c r="K3" s="47"/>
      <c r="L3" s="47"/>
      <c r="M3" s="47"/>
      <c r="N3" s="2"/>
      <c r="O3" s="2"/>
      <c r="P3" s="2"/>
      <c r="Q3" s="2"/>
      <c r="R3" s="2"/>
      <c r="S3" s="2"/>
      <c r="T3" s="2"/>
      <c r="U3" s="2"/>
      <c r="V3" s="2"/>
    </row>
    <row r="4" spans="1:22" ht="15" customHeight="1">
      <c r="A4" s="9"/>
      <c r="B4" s="9"/>
      <c r="C4" s="9"/>
      <c r="D4" s="9"/>
      <c r="E4" s="9"/>
      <c r="F4" s="9"/>
      <c r="G4" s="9"/>
      <c r="H4" s="9"/>
      <c r="I4" s="47"/>
      <c r="J4" s="47"/>
      <c r="K4" s="47"/>
      <c r="L4" s="47"/>
      <c r="M4" s="47"/>
      <c r="N4" s="2"/>
      <c r="O4" s="2"/>
      <c r="P4" s="2"/>
      <c r="Q4" s="2"/>
      <c r="R4" s="2"/>
      <c r="S4" s="2"/>
      <c r="T4" s="2"/>
      <c r="U4" s="2"/>
      <c r="V4" s="2"/>
    </row>
    <row r="5" spans="1:22" ht="18" customHeight="1">
      <c r="A5" s="9"/>
      <c r="B5" s="9"/>
      <c r="C5" s="58" t="s">
        <v>110</v>
      </c>
      <c r="D5" s="9"/>
      <c r="E5" s="9"/>
      <c r="F5" s="9"/>
      <c r="G5" s="9"/>
      <c r="H5" s="9"/>
      <c r="I5" s="47"/>
      <c r="J5" s="47"/>
      <c r="K5" s="47"/>
      <c r="L5" s="47"/>
      <c r="M5" s="47"/>
      <c r="N5" s="2"/>
      <c r="O5" s="2"/>
      <c r="P5" s="2"/>
      <c r="Q5" s="2"/>
      <c r="R5" s="2"/>
      <c r="S5" s="2"/>
      <c r="T5" s="2"/>
      <c r="U5" s="2"/>
      <c r="V5" s="2"/>
    </row>
    <row r="6" spans="1:22" ht="15" customHeight="1">
      <c r="A6" s="9"/>
      <c r="B6" s="9"/>
      <c r="C6" s="9" t="s">
        <v>235</v>
      </c>
      <c r="D6" s="9"/>
      <c r="E6" s="9"/>
      <c r="F6" s="9"/>
      <c r="G6" s="9"/>
      <c r="H6" s="9"/>
      <c r="I6" s="47"/>
      <c r="J6" s="47"/>
      <c r="K6" s="47"/>
      <c r="L6" s="47"/>
      <c r="M6" s="47"/>
      <c r="N6" s="2"/>
      <c r="O6" s="2"/>
      <c r="P6" s="2"/>
      <c r="Q6" s="2"/>
      <c r="R6" s="2"/>
      <c r="S6" s="2"/>
      <c r="T6" s="2"/>
      <c r="U6" s="2"/>
      <c r="V6" s="2"/>
    </row>
    <row r="7" spans="1:22" ht="10.5" customHeight="1">
      <c r="A7" s="9"/>
      <c r="B7" s="9"/>
      <c r="C7" s="9" t="s">
        <v>44</v>
      </c>
      <c r="D7" s="9"/>
      <c r="E7" s="9"/>
      <c r="F7" s="9"/>
      <c r="G7" s="9"/>
      <c r="H7" s="9"/>
      <c r="I7" s="47"/>
      <c r="J7" s="47"/>
      <c r="K7" s="47"/>
      <c r="L7" s="47"/>
      <c r="M7" s="47"/>
      <c r="N7" s="2"/>
      <c r="O7" s="2"/>
      <c r="P7" s="2"/>
      <c r="Q7" s="2"/>
      <c r="R7" s="2"/>
      <c r="S7" s="2"/>
      <c r="T7" s="2"/>
      <c r="U7" s="2"/>
      <c r="V7" s="2"/>
    </row>
    <row r="8" spans="1:22" ht="15" customHeight="1">
      <c r="A8" s="9"/>
      <c r="B8" s="9"/>
      <c r="C8" s="57" t="s">
        <v>43</v>
      </c>
      <c r="D8" s="9"/>
      <c r="E8" s="9"/>
      <c r="F8" s="9"/>
      <c r="G8" s="9"/>
      <c r="H8" s="9"/>
      <c r="I8" s="47"/>
      <c r="J8" s="47"/>
      <c r="K8" s="47"/>
      <c r="L8" s="47"/>
      <c r="M8" s="47"/>
      <c r="N8" s="2"/>
      <c r="O8" s="2"/>
      <c r="P8" s="2"/>
      <c r="Q8" s="2"/>
      <c r="R8" s="2"/>
      <c r="S8" s="2"/>
      <c r="T8" s="2"/>
      <c r="U8" s="2"/>
      <c r="V8" s="2"/>
    </row>
    <row r="9" spans="1:22" ht="15" customHeight="1">
      <c r="A9" s="9"/>
      <c r="B9" s="9"/>
      <c r="C9" s="56"/>
      <c r="D9" s="9"/>
      <c r="E9" s="9"/>
      <c r="F9" s="9"/>
      <c r="G9" s="9"/>
      <c r="H9" s="9"/>
      <c r="I9" s="47"/>
      <c r="J9" s="47"/>
      <c r="K9" s="47"/>
      <c r="L9" s="47"/>
      <c r="M9" s="47"/>
      <c r="N9" s="2"/>
      <c r="O9" s="2"/>
      <c r="P9" s="2"/>
      <c r="Q9" s="2"/>
      <c r="R9" s="2"/>
      <c r="S9" s="2"/>
      <c r="T9" s="2"/>
      <c r="U9" s="2"/>
      <c r="V9" s="2"/>
    </row>
    <row r="10" spans="1:22" ht="15" customHeight="1">
      <c r="A10" s="55" t="s">
        <v>42</v>
      </c>
      <c r="B10" s="44"/>
      <c r="C10" s="44"/>
      <c r="D10" s="52"/>
      <c r="E10" s="44"/>
      <c r="F10" s="52"/>
      <c r="G10" s="52"/>
      <c r="H10" s="52"/>
      <c r="I10" s="52"/>
      <c r="J10" s="52"/>
      <c r="K10" s="51" t="s">
        <v>41</v>
      </c>
      <c r="L10" s="267">
        <f>M83</f>
        <v>82926.631473984598</v>
      </c>
      <c r="M10" s="49" t="s">
        <v>7</v>
      </c>
      <c r="N10" s="2"/>
      <c r="O10" s="2"/>
      <c r="P10" s="2"/>
      <c r="Q10" s="2"/>
      <c r="R10" s="2"/>
      <c r="S10" s="2"/>
      <c r="T10" s="2"/>
      <c r="U10" s="2"/>
      <c r="V10" s="2"/>
    </row>
    <row r="11" spans="1:22" ht="15" customHeight="1">
      <c r="A11" s="54" t="s">
        <v>236</v>
      </c>
      <c r="B11" s="44"/>
      <c r="C11" s="44"/>
      <c r="D11" s="52"/>
      <c r="E11" s="31"/>
      <c r="F11" s="53"/>
      <c r="G11" s="53"/>
      <c r="H11" s="52"/>
      <c r="I11" s="52"/>
      <c r="J11" s="52"/>
      <c r="K11" s="51" t="s">
        <v>40</v>
      </c>
      <c r="L11" s="50">
        <f>H77+H78</f>
        <v>15802.361889941714</v>
      </c>
      <c r="M11" s="49" t="s">
        <v>7</v>
      </c>
      <c r="N11" s="2"/>
      <c r="O11" s="2"/>
      <c r="P11" s="2"/>
      <c r="Q11" s="2"/>
      <c r="R11" s="2"/>
      <c r="S11" s="2"/>
      <c r="T11" s="2"/>
      <c r="U11" s="2"/>
      <c r="V11" s="2"/>
    </row>
    <row r="12" spans="1:22" s="2" customFormat="1" ht="15" customHeight="1">
      <c r="A12" s="47"/>
      <c r="B12" s="47"/>
      <c r="C12" s="47"/>
      <c r="D12" s="48"/>
      <c r="E12" s="48"/>
      <c r="F12" s="48"/>
      <c r="G12" s="48"/>
      <c r="H12" s="47"/>
      <c r="I12" s="47"/>
      <c r="J12" s="47"/>
      <c r="K12" s="47"/>
      <c r="L12" s="47"/>
      <c r="M12" s="47"/>
    </row>
    <row r="13" spans="1:22">
      <c r="A13" s="41"/>
      <c r="B13" s="38"/>
      <c r="C13" s="46"/>
      <c r="D13" s="45"/>
      <c r="E13" s="44" t="s">
        <v>39</v>
      </c>
      <c r="F13" s="43"/>
      <c r="G13" s="42" t="s">
        <v>38</v>
      </c>
      <c r="H13" s="40"/>
      <c r="I13" s="41" t="s">
        <v>37</v>
      </c>
      <c r="J13" s="40"/>
      <c r="K13" s="39" t="s">
        <v>36</v>
      </c>
      <c r="L13" s="39"/>
      <c r="M13" s="38"/>
      <c r="N13" s="2"/>
      <c r="O13" s="2"/>
      <c r="P13" s="2"/>
      <c r="Q13" s="2"/>
      <c r="R13" s="2"/>
      <c r="S13" s="2"/>
      <c r="T13" s="2"/>
      <c r="U13" s="2"/>
      <c r="V13" s="2"/>
    </row>
    <row r="14" spans="1:22" ht="16.5" customHeight="1">
      <c r="A14" s="37"/>
      <c r="B14" s="30"/>
      <c r="C14" s="36" t="s">
        <v>35</v>
      </c>
      <c r="D14" s="28"/>
      <c r="E14" s="35" t="s">
        <v>34</v>
      </c>
      <c r="F14" s="34"/>
      <c r="G14" s="29"/>
      <c r="H14" s="34"/>
      <c r="I14" s="29"/>
      <c r="J14" s="34"/>
      <c r="K14" s="29" t="s">
        <v>33</v>
      </c>
      <c r="L14" s="33"/>
      <c r="M14" s="30" t="s">
        <v>2</v>
      </c>
      <c r="N14" s="2"/>
      <c r="O14" s="2"/>
      <c r="P14" s="2"/>
      <c r="Q14" s="2"/>
      <c r="R14" s="2"/>
      <c r="S14" s="2"/>
      <c r="T14" s="2"/>
      <c r="U14" s="2"/>
      <c r="V14" s="2"/>
    </row>
    <row r="15" spans="1:22">
      <c r="A15" s="32" t="s">
        <v>32</v>
      </c>
      <c r="B15" s="30" t="s">
        <v>31</v>
      </c>
      <c r="C15" s="9" t="s">
        <v>30</v>
      </c>
      <c r="D15" s="30" t="s">
        <v>29</v>
      </c>
      <c r="E15" s="30" t="s">
        <v>28</v>
      </c>
      <c r="F15" s="31" t="s">
        <v>26</v>
      </c>
      <c r="G15" s="30" t="s">
        <v>27</v>
      </c>
      <c r="H15" s="31" t="s">
        <v>26</v>
      </c>
      <c r="I15" s="30" t="s">
        <v>27</v>
      </c>
      <c r="J15" s="31" t="s">
        <v>26</v>
      </c>
      <c r="K15" s="30" t="s">
        <v>27</v>
      </c>
      <c r="L15" s="31" t="s">
        <v>26</v>
      </c>
      <c r="M15" s="30"/>
      <c r="N15" s="2"/>
      <c r="O15" s="2"/>
      <c r="P15" s="2"/>
      <c r="Q15" s="2"/>
      <c r="R15" s="2"/>
      <c r="S15" s="2"/>
      <c r="T15" s="2"/>
      <c r="U15" s="2"/>
      <c r="V15" s="2"/>
    </row>
    <row r="16" spans="1:22">
      <c r="A16" s="29"/>
      <c r="B16" s="26"/>
      <c r="C16" s="27"/>
      <c r="D16" s="28"/>
      <c r="E16" s="26"/>
      <c r="F16" s="27"/>
      <c r="G16" s="26" t="s">
        <v>25</v>
      </c>
      <c r="H16" s="27"/>
      <c r="I16" s="26" t="s">
        <v>25</v>
      </c>
      <c r="J16" s="27"/>
      <c r="K16" s="26" t="s">
        <v>25</v>
      </c>
      <c r="L16" s="27"/>
      <c r="M16" s="26"/>
      <c r="N16" s="2"/>
      <c r="O16" s="2"/>
      <c r="P16" s="2"/>
      <c r="Q16" s="2"/>
      <c r="R16" s="2"/>
      <c r="S16" s="2"/>
      <c r="T16" s="2"/>
      <c r="U16" s="2"/>
      <c r="V16" s="2"/>
    </row>
    <row r="17" spans="1:22">
      <c r="A17" s="23" t="s">
        <v>24</v>
      </c>
      <c r="B17" s="22" t="s">
        <v>23</v>
      </c>
      <c r="C17" s="24" t="s">
        <v>22</v>
      </c>
      <c r="D17" s="23" t="s">
        <v>21</v>
      </c>
      <c r="E17" s="22" t="s">
        <v>20</v>
      </c>
      <c r="F17" s="25" t="s">
        <v>19</v>
      </c>
      <c r="G17" s="24" t="s">
        <v>18</v>
      </c>
      <c r="H17" s="23" t="s">
        <v>17</v>
      </c>
      <c r="I17" s="22" t="s">
        <v>16</v>
      </c>
      <c r="J17" s="24" t="s">
        <v>15</v>
      </c>
      <c r="K17" s="22" t="s">
        <v>14</v>
      </c>
      <c r="L17" s="23" t="s">
        <v>13</v>
      </c>
      <c r="M17" s="22" t="s">
        <v>12</v>
      </c>
      <c r="N17" s="2"/>
      <c r="O17" s="2"/>
      <c r="P17" s="2"/>
      <c r="Q17" s="2"/>
      <c r="R17" s="2"/>
      <c r="S17" s="2"/>
      <c r="T17" s="2"/>
      <c r="U17" s="2"/>
      <c r="V17" s="2"/>
    </row>
    <row r="18" spans="1:22" s="110" customFormat="1" ht="31.5">
      <c r="A18" s="104">
        <v>1</v>
      </c>
      <c r="B18" s="260" t="s">
        <v>194</v>
      </c>
      <c r="C18" s="104" t="s">
        <v>195</v>
      </c>
      <c r="D18" s="110" t="s">
        <v>6</v>
      </c>
      <c r="E18" s="105"/>
      <c r="F18" s="138">
        <v>14.2</v>
      </c>
      <c r="G18" s="104"/>
      <c r="I18" s="64"/>
      <c r="J18" s="152"/>
      <c r="K18" s="64"/>
      <c r="L18" s="152"/>
      <c r="M18" s="106"/>
    </row>
    <row r="19" spans="1:22" s="108" customFormat="1" ht="15.75">
      <c r="A19" s="91"/>
      <c r="C19" s="91" t="s">
        <v>5</v>
      </c>
      <c r="D19" s="91" t="s">
        <v>4</v>
      </c>
      <c r="E19" s="92">
        <v>5.9</v>
      </c>
      <c r="F19" s="93">
        <f>F18*E19</f>
        <v>83.78</v>
      </c>
      <c r="G19" s="94">
        <v>8.5</v>
      </c>
      <c r="H19" s="139">
        <f>F19*G19</f>
        <v>712.13</v>
      </c>
      <c r="I19" s="111"/>
      <c r="J19" s="150"/>
      <c r="K19" s="111"/>
      <c r="L19" s="150"/>
      <c r="M19" s="94">
        <f>H19</f>
        <v>712.13</v>
      </c>
    </row>
    <row r="20" spans="1:22" s="108" customFormat="1" ht="15.75">
      <c r="A20" s="96"/>
      <c r="B20" s="97"/>
      <c r="C20" s="96" t="s">
        <v>11</v>
      </c>
      <c r="D20" s="97" t="s">
        <v>7</v>
      </c>
      <c r="E20" s="103">
        <v>1.8</v>
      </c>
      <c r="F20" s="98">
        <f>F18*E20</f>
        <v>25.56</v>
      </c>
      <c r="G20" s="99"/>
      <c r="H20" s="100"/>
      <c r="I20" s="99"/>
      <c r="J20" s="100"/>
      <c r="K20" s="99">
        <v>4</v>
      </c>
      <c r="L20" s="100">
        <f>F20*K20</f>
        <v>102.24</v>
      </c>
      <c r="M20" s="99">
        <f>L20</f>
        <v>102.24</v>
      </c>
    </row>
    <row r="21" spans="1:22" s="166" customFormat="1" ht="47.25" customHeight="1">
      <c r="A21" s="104">
        <v>2</v>
      </c>
      <c r="B21" s="163" t="s">
        <v>196</v>
      </c>
      <c r="C21" s="176" t="s">
        <v>263</v>
      </c>
      <c r="D21" s="110" t="s">
        <v>66</v>
      </c>
      <c r="E21" s="164"/>
      <c r="F21" s="165">
        <v>80</v>
      </c>
      <c r="G21" s="115"/>
      <c r="H21" s="151"/>
      <c r="I21" s="115"/>
      <c r="J21" s="151"/>
      <c r="K21" s="106"/>
      <c r="L21" s="138"/>
      <c r="M21" s="106"/>
    </row>
    <row r="22" spans="1:22" s="156" customFormat="1">
      <c r="A22" s="96"/>
      <c r="B22" s="261"/>
      <c r="C22" s="96" t="s">
        <v>5</v>
      </c>
      <c r="D22" s="96" t="s">
        <v>4</v>
      </c>
      <c r="E22" s="178">
        <f>(0.77)/0.6005</f>
        <v>1.2822647793505413</v>
      </c>
      <c r="F22" s="100">
        <f>F21*E22</f>
        <v>102.5811823480433</v>
      </c>
      <c r="G22" s="99">
        <v>8.5</v>
      </c>
      <c r="H22" s="100">
        <f>F22*G22</f>
        <v>871.94004995836804</v>
      </c>
      <c r="I22" s="66"/>
      <c r="J22" s="65"/>
      <c r="K22" s="66"/>
      <c r="L22" s="65"/>
      <c r="M22" s="99">
        <f>H22</f>
        <v>871.94004995836804</v>
      </c>
    </row>
    <row r="23" spans="1:22" s="166" customFormat="1" ht="27" customHeight="1">
      <c r="A23" s="104">
        <v>3</v>
      </c>
      <c r="B23" s="192" t="s">
        <v>197</v>
      </c>
      <c r="C23" s="104" t="s">
        <v>198</v>
      </c>
      <c r="D23" s="110" t="s">
        <v>6</v>
      </c>
      <c r="E23" s="164"/>
      <c r="F23" s="165">
        <v>8</v>
      </c>
      <c r="G23" s="115"/>
      <c r="H23" s="151"/>
      <c r="I23" s="115"/>
      <c r="J23" s="151"/>
      <c r="K23" s="106"/>
      <c r="L23" s="138"/>
      <c r="M23" s="106"/>
    </row>
    <row r="24" spans="1:22" s="156" customFormat="1">
      <c r="A24" s="96"/>
      <c r="B24" s="261"/>
      <c r="C24" s="96" t="s">
        <v>5</v>
      </c>
      <c r="D24" s="96" t="s">
        <v>4</v>
      </c>
      <c r="E24" s="178">
        <v>4.53</v>
      </c>
      <c r="F24" s="100">
        <f>F23*E24</f>
        <v>36.24</v>
      </c>
      <c r="G24" s="99">
        <v>6.6</v>
      </c>
      <c r="H24" s="100">
        <f>F24*G24</f>
        <v>239.184</v>
      </c>
      <c r="I24" s="66"/>
      <c r="J24" s="65"/>
      <c r="K24" s="66"/>
      <c r="L24" s="65"/>
      <c r="M24" s="99">
        <f>H24</f>
        <v>239.184</v>
      </c>
    </row>
    <row r="25" spans="1:22" s="110" customFormat="1" ht="33.75" customHeight="1">
      <c r="A25" s="104">
        <v>4</v>
      </c>
      <c r="B25" s="192" t="s">
        <v>125</v>
      </c>
      <c r="C25" s="104" t="s">
        <v>199</v>
      </c>
      <c r="D25" s="110" t="s">
        <v>6</v>
      </c>
      <c r="E25" s="105"/>
      <c r="F25" s="138">
        <v>8</v>
      </c>
      <c r="G25" s="106"/>
      <c r="H25" s="106"/>
      <c r="I25" s="106"/>
      <c r="J25" s="138"/>
      <c r="K25" s="106"/>
      <c r="L25" s="138"/>
      <c r="M25" s="106"/>
    </row>
    <row r="26" spans="1:22" s="95" customFormat="1" ht="15.75">
      <c r="A26" s="96"/>
      <c r="B26" s="96"/>
      <c r="C26" s="96" t="s">
        <v>200</v>
      </c>
      <c r="D26" s="96" t="s">
        <v>4</v>
      </c>
      <c r="E26" s="103">
        <f>0.44*1.5+2.9</f>
        <v>3.56</v>
      </c>
      <c r="F26" s="98">
        <f>F25*E26</f>
        <v>28.48</v>
      </c>
      <c r="G26" s="99">
        <v>6.6</v>
      </c>
      <c r="H26" s="100">
        <f>F26*G26</f>
        <v>187.96799999999999</v>
      </c>
      <c r="I26" s="66"/>
      <c r="J26" s="65"/>
      <c r="K26" s="66"/>
      <c r="L26" s="65"/>
      <c r="M26" s="99">
        <f>H26</f>
        <v>187.96799999999999</v>
      </c>
    </row>
    <row r="27" spans="1:22" s="110" customFormat="1" ht="45.75" customHeight="1">
      <c r="A27" s="104">
        <v>5</v>
      </c>
      <c r="B27" s="192" t="s">
        <v>202</v>
      </c>
      <c r="C27" s="104" t="s">
        <v>201</v>
      </c>
      <c r="D27" s="110" t="s">
        <v>6</v>
      </c>
      <c r="E27" s="105"/>
      <c r="F27" s="138">
        <v>14.2</v>
      </c>
      <c r="G27" s="106"/>
      <c r="H27" s="106"/>
      <c r="I27" s="106"/>
      <c r="J27" s="138"/>
      <c r="K27" s="106"/>
      <c r="L27" s="138"/>
      <c r="M27" s="106"/>
    </row>
    <row r="28" spans="1:22" s="95" customFormat="1" ht="15.75">
      <c r="A28" s="96"/>
      <c r="B28" s="96"/>
      <c r="C28" s="96" t="s">
        <v>203</v>
      </c>
      <c r="D28" s="96" t="s">
        <v>4</v>
      </c>
      <c r="E28" s="103">
        <f>0.48*1.5+4.2</f>
        <v>4.92</v>
      </c>
      <c r="F28" s="98">
        <f>F27*E28</f>
        <v>69.86399999999999</v>
      </c>
      <c r="G28" s="99">
        <v>6</v>
      </c>
      <c r="H28" s="100">
        <f>F28*G28</f>
        <v>419.18399999999997</v>
      </c>
      <c r="I28" s="66"/>
      <c r="J28" s="65"/>
      <c r="K28" s="66"/>
      <c r="L28" s="65"/>
      <c r="M28" s="99">
        <f>H28</f>
        <v>419.18399999999997</v>
      </c>
    </row>
    <row r="29" spans="1:22" s="116" customFormat="1" ht="63">
      <c r="A29" s="101">
        <v>6</v>
      </c>
      <c r="B29" s="110" t="s">
        <v>205</v>
      </c>
      <c r="C29" s="104" t="s">
        <v>262</v>
      </c>
      <c r="D29" s="110" t="s">
        <v>66</v>
      </c>
      <c r="E29" s="104"/>
      <c r="F29" s="138">
        <v>250</v>
      </c>
      <c r="G29" s="101"/>
      <c r="H29" s="138"/>
      <c r="I29" s="104"/>
      <c r="J29" s="138"/>
      <c r="K29" s="104"/>
      <c r="L29" s="138"/>
      <c r="M29" s="106"/>
    </row>
    <row r="30" spans="1:22" s="116" customFormat="1" ht="15.75">
      <c r="A30" s="101"/>
      <c r="B30" s="110"/>
      <c r="C30" s="104" t="s">
        <v>96</v>
      </c>
      <c r="D30" s="110" t="s">
        <v>4</v>
      </c>
      <c r="E30" s="105">
        <f>(0.6+0.06)/0.6005</f>
        <v>1.0990840965861779</v>
      </c>
      <c r="F30" s="138">
        <f>F29*E30</f>
        <v>274.77102414654445</v>
      </c>
      <c r="G30" s="141">
        <v>8.5</v>
      </c>
      <c r="H30" s="138">
        <f>F30*G30</f>
        <v>2335.553705245628</v>
      </c>
      <c r="I30" s="106"/>
      <c r="J30" s="138"/>
      <c r="K30" s="106"/>
      <c r="L30" s="138"/>
      <c r="M30" s="94">
        <f>H30</f>
        <v>2335.553705245628</v>
      </c>
    </row>
    <row r="31" spans="1:22" s="116" customFormat="1" ht="15.75">
      <c r="A31" s="117"/>
      <c r="B31" s="169"/>
      <c r="C31" s="170" t="s">
        <v>269</v>
      </c>
      <c r="D31" s="171" t="s">
        <v>66</v>
      </c>
      <c r="E31" s="118">
        <v>1</v>
      </c>
      <c r="F31" s="172">
        <f>F29*E31</f>
        <v>250</v>
      </c>
      <c r="G31" s="118"/>
      <c r="H31" s="172"/>
      <c r="I31" s="173">
        <f>1.18*60</f>
        <v>70.8</v>
      </c>
      <c r="J31" s="172">
        <f>F31*I31</f>
        <v>17700</v>
      </c>
      <c r="K31" s="173"/>
      <c r="L31" s="172"/>
      <c r="M31" s="99">
        <f>J31</f>
        <v>17700</v>
      </c>
    </row>
    <row r="32" spans="1:22" s="95" customFormat="1" ht="33" customHeight="1">
      <c r="A32" s="196">
        <v>7</v>
      </c>
      <c r="B32" s="220" t="s">
        <v>126</v>
      </c>
      <c r="C32" s="221" t="s">
        <v>206</v>
      </c>
      <c r="D32" s="197" t="s">
        <v>113</v>
      </c>
      <c r="E32" s="198"/>
      <c r="F32" s="199">
        <v>0.24</v>
      </c>
      <c r="G32" s="198"/>
      <c r="H32" s="200"/>
      <c r="I32" s="198"/>
      <c r="J32" s="200"/>
      <c r="K32" s="198"/>
      <c r="L32" s="200"/>
      <c r="M32" s="198"/>
    </row>
    <row r="33" spans="1:13" s="95" customFormat="1" ht="16.5" customHeight="1">
      <c r="A33" s="201"/>
      <c r="B33" s="202"/>
      <c r="C33" s="203" t="s">
        <v>207</v>
      </c>
      <c r="D33" s="204" t="s">
        <v>4</v>
      </c>
      <c r="E33" s="198">
        <f>0.93*80+54.7</f>
        <v>129.10000000000002</v>
      </c>
      <c r="F33" s="200">
        <f>E33*F32</f>
        <v>30.984000000000005</v>
      </c>
      <c r="G33" s="198">
        <v>6.6</v>
      </c>
      <c r="H33" s="200">
        <f>F33*G33</f>
        <v>204.49440000000001</v>
      </c>
      <c r="I33" s="198"/>
      <c r="J33" s="200"/>
      <c r="K33" s="198"/>
      <c r="L33" s="200"/>
      <c r="M33" s="198">
        <f>H33</f>
        <v>204.49440000000001</v>
      </c>
    </row>
    <row r="34" spans="1:13" s="95" customFormat="1" ht="16.5" customHeight="1">
      <c r="A34" s="201"/>
      <c r="B34" s="205"/>
      <c r="C34" s="203" t="s">
        <v>208</v>
      </c>
      <c r="D34" s="204" t="s">
        <v>116</v>
      </c>
      <c r="E34" s="198">
        <f>0.46*80+27.4</f>
        <v>64.2</v>
      </c>
      <c r="F34" s="200">
        <f>E34*F32</f>
        <v>15.407999999999999</v>
      </c>
      <c r="G34" s="198"/>
      <c r="H34" s="200"/>
      <c r="I34" s="198"/>
      <c r="J34" s="200"/>
      <c r="K34" s="198">
        <v>7.72</v>
      </c>
      <c r="L34" s="200">
        <f>F34*K34</f>
        <v>118.94976</v>
      </c>
      <c r="M34" s="198">
        <f>L34</f>
        <v>118.94976</v>
      </c>
    </row>
    <row r="35" spans="1:13" s="206" customFormat="1" ht="17.25" customHeight="1">
      <c r="A35" s="201"/>
      <c r="B35" s="202"/>
      <c r="C35" s="203" t="s">
        <v>11</v>
      </c>
      <c r="D35" s="204" t="s">
        <v>7</v>
      </c>
      <c r="E35" s="198">
        <v>0.03</v>
      </c>
      <c r="F35" s="200">
        <f>E35*F32</f>
        <v>7.1999999999999998E-3</v>
      </c>
      <c r="G35" s="198"/>
      <c r="H35" s="200"/>
      <c r="I35" s="198"/>
      <c r="J35" s="200"/>
      <c r="K35" s="198">
        <v>4</v>
      </c>
      <c r="L35" s="200">
        <f>F35*K35</f>
        <v>2.8799999999999999E-2</v>
      </c>
      <c r="M35" s="198">
        <f>L35</f>
        <v>2.8799999999999999E-2</v>
      </c>
    </row>
    <row r="36" spans="1:13" s="206" customFormat="1" ht="15.75">
      <c r="A36" s="201"/>
      <c r="B36" s="205"/>
      <c r="C36" s="203" t="s">
        <v>209</v>
      </c>
      <c r="D36" s="204" t="s">
        <v>9</v>
      </c>
      <c r="E36" s="198">
        <f>0.126*80+2.52</f>
        <v>12.6</v>
      </c>
      <c r="F36" s="200">
        <f>E36*F32</f>
        <v>3.024</v>
      </c>
      <c r="G36" s="198"/>
      <c r="H36" s="200"/>
      <c r="I36" s="198">
        <f>1.18*81</f>
        <v>95.58</v>
      </c>
      <c r="J36" s="200">
        <f>F36*I36</f>
        <v>289.03392000000002</v>
      </c>
      <c r="K36" s="198"/>
      <c r="L36" s="200"/>
      <c r="M36" s="198">
        <f>J36</f>
        <v>289.03392000000002</v>
      </c>
    </row>
    <row r="37" spans="1:13" s="213" customFormat="1" ht="15.75">
      <c r="A37" s="207"/>
      <c r="B37" s="208"/>
      <c r="C37" s="209" t="s">
        <v>210</v>
      </c>
      <c r="D37" s="210" t="s">
        <v>7</v>
      </c>
      <c r="E37" s="211">
        <f>0.01*80+0.36</f>
        <v>1.1600000000000001</v>
      </c>
      <c r="F37" s="212">
        <f>E37*F32</f>
        <v>0.27840000000000004</v>
      </c>
      <c r="G37" s="211"/>
      <c r="H37" s="212"/>
      <c r="I37" s="211">
        <f>1.18*4</f>
        <v>4.72</v>
      </c>
      <c r="J37" s="212">
        <f>F37*I37</f>
        <v>1.3140480000000001</v>
      </c>
      <c r="K37" s="211"/>
      <c r="L37" s="212"/>
      <c r="M37" s="211">
        <f>J37</f>
        <v>1.3140480000000001</v>
      </c>
    </row>
    <row r="38" spans="1:13" s="108" customFormat="1" ht="15.75">
      <c r="A38" s="91">
        <v>8</v>
      </c>
      <c r="B38" s="194" t="s">
        <v>211</v>
      </c>
      <c r="C38" s="91" t="s">
        <v>212</v>
      </c>
      <c r="D38" s="95" t="s">
        <v>10</v>
      </c>
      <c r="E38" s="92"/>
      <c r="F38" s="93">
        <v>0.42</v>
      </c>
      <c r="G38" s="61"/>
      <c r="H38" s="149"/>
      <c r="I38" s="94"/>
      <c r="J38" s="95"/>
      <c r="K38" s="61"/>
      <c r="L38" s="149"/>
      <c r="M38" s="94"/>
    </row>
    <row r="39" spans="1:13" s="108" customFormat="1" ht="15.75">
      <c r="A39" s="91"/>
      <c r="C39" s="91" t="s">
        <v>5</v>
      </c>
      <c r="D39" s="91" t="s">
        <v>4</v>
      </c>
      <c r="E39" s="92">
        <v>186</v>
      </c>
      <c r="F39" s="93">
        <f>F38*E39</f>
        <v>78.11999999999999</v>
      </c>
      <c r="G39" s="94">
        <v>6.6</v>
      </c>
      <c r="H39" s="139">
        <f>F39*G39</f>
        <v>515.59199999999987</v>
      </c>
      <c r="I39" s="111"/>
      <c r="J39" s="150"/>
      <c r="K39" s="111"/>
      <c r="L39" s="150"/>
      <c r="M39" s="94">
        <f>H39</f>
        <v>515.59199999999987</v>
      </c>
    </row>
    <row r="40" spans="1:13" s="108" customFormat="1" ht="15.75">
      <c r="A40" s="91"/>
      <c r="B40" s="95"/>
      <c r="C40" s="91" t="s">
        <v>112</v>
      </c>
      <c r="D40" s="95" t="s">
        <v>7</v>
      </c>
      <c r="E40" s="113">
        <v>3.34</v>
      </c>
      <c r="F40" s="93">
        <f>F38*E40</f>
        <v>1.4027999999999998</v>
      </c>
      <c r="G40" s="61"/>
      <c r="H40" s="150"/>
      <c r="I40" s="111"/>
      <c r="J40" s="150"/>
      <c r="K40" s="94">
        <v>4</v>
      </c>
      <c r="L40" s="139">
        <f>F40*K40</f>
        <v>5.6111999999999993</v>
      </c>
      <c r="M40" s="94">
        <f>L40</f>
        <v>5.6111999999999993</v>
      </c>
    </row>
    <row r="41" spans="1:13" s="193" customFormat="1" ht="31.5">
      <c r="A41" s="104"/>
      <c r="B41" s="110" t="s">
        <v>217</v>
      </c>
      <c r="C41" s="104" t="s">
        <v>260</v>
      </c>
      <c r="D41" s="110" t="s">
        <v>10</v>
      </c>
      <c r="E41" s="105">
        <v>1</v>
      </c>
      <c r="F41" s="109">
        <f>F38*E41</f>
        <v>0.42</v>
      </c>
      <c r="G41" s="64"/>
      <c r="H41" s="151"/>
      <c r="I41" s="106">
        <v>3900</v>
      </c>
      <c r="J41" s="138">
        <f>F41*I41</f>
        <v>1638</v>
      </c>
      <c r="K41" s="115"/>
      <c r="L41" s="151"/>
      <c r="M41" s="106">
        <f>J41</f>
        <v>1638</v>
      </c>
    </row>
    <row r="42" spans="1:13" s="108" customFormat="1" ht="15.75">
      <c r="A42" s="91"/>
      <c r="B42" s="95" t="s">
        <v>261</v>
      </c>
      <c r="C42" s="91" t="s">
        <v>213</v>
      </c>
      <c r="D42" s="95" t="s">
        <v>10</v>
      </c>
      <c r="E42" s="92">
        <v>0.05</v>
      </c>
      <c r="F42" s="93">
        <f>F38*E42</f>
        <v>2.1000000000000001E-2</v>
      </c>
      <c r="G42" s="61"/>
      <c r="H42" s="150"/>
      <c r="I42" s="94">
        <f>1.18*6300</f>
        <v>7434</v>
      </c>
      <c r="J42" s="139">
        <f>F42*I42</f>
        <v>156.114</v>
      </c>
      <c r="K42" s="111"/>
      <c r="L42" s="150"/>
      <c r="M42" s="94">
        <f>J42</f>
        <v>156.114</v>
      </c>
    </row>
    <row r="43" spans="1:13" s="108" customFormat="1" ht="15.75">
      <c r="A43" s="96"/>
      <c r="B43" s="97"/>
      <c r="C43" s="96" t="s">
        <v>156</v>
      </c>
      <c r="D43" s="97" t="s">
        <v>7</v>
      </c>
      <c r="E43" s="103">
        <v>5.2</v>
      </c>
      <c r="F43" s="98">
        <f>F38*E43</f>
        <v>2.1840000000000002</v>
      </c>
      <c r="G43" s="63"/>
      <c r="H43" s="65"/>
      <c r="I43" s="99">
        <f>1.18*4</f>
        <v>4.72</v>
      </c>
      <c r="J43" s="100">
        <f>F43*I43</f>
        <v>10.308479999999999</v>
      </c>
      <c r="K43" s="66"/>
      <c r="L43" s="65"/>
      <c r="M43" s="99">
        <f>J43</f>
        <v>10.308479999999999</v>
      </c>
    </row>
    <row r="44" spans="1:13" s="95" customFormat="1" ht="47.25" customHeight="1">
      <c r="A44" s="196">
        <v>9</v>
      </c>
      <c r="B44" s="220" t="s">
        <v>121</v>
      </c>
      <c r="C44" s="221" t="s">
        <v>214</v>
      </c>
      <c r="D44" s="197" t="s">
        <v>113</v>
      </c>
      <c r="E44" s="198"/>
      <c r="F44" s="199">
        <v>0.32</v>
      </c>
      <c r="G44" s="198"/>
      <c r="H44" s="200"/>
      <c r="I44" s="198"/>
      <c r="J44" s="200"/>
      <c r="K44" s="198"/>
      <c r="L44" s="200"/>
      <c r="M44" s="198"/>
    </row>
    <row r="45" spans="1:13" s="95" customFormat="1" ht="16.5" customHeight="1">
      <c r="A45" s="201"/>
      <c r="B45" s="202"/>
      <c r="C45" s="203" t="s">
        <v>114</v>
      </c>
      <c r="D45" s="204" t="s">
        <v>4</v>
      </c>
      <c r="E45" s="198">
        <v>42.6</v>
      </c>
      <c r="F45" s="200">
        <f>E45*F44</f>
        <v>13.632000000000001</v>
      </c>
      <c r="G45" s="198">
        <v>6.6</v>
      </c>
      <c r="H45" s="200">
        <f>F45*G45</f>
        <v>89.97120000000001</v>
      </c>
      <c r="I45" s="198"/>
      <c r="J45" s="200"/>
      <c r="K45" s="198"/>
      <c r="L45" s="200"/>
      <c r="M45" s="198">
        <f>H45</f>
        <v>89.97120000000001</v>
      </c>
    </row>
    <row r="46" spans="1:13" s="95" customFormat="1" ht="16.5" customHeight="1">
      <c r="A46" s="201"/>
      <c r="B46" s="205"/>
      <c r="C46" s="203" t="s">
        <v>115</v>
      </c>
      <c r="D46" s="204" t="s">
        <v>116</v>
      </c>
      <c r="E46" s="198">
        <v>21.5</v>
      </c>
      <c r="F46" s="200">
        <f>E46*F44</f>
        <v>6.88</v>
      </c>
      <c r="G46" s="198"/>
      <c r="H46" s="200"/>
      <c r="I46" s="198"/>
      <c r="J46" s="200"/>
      <c r="K46" s="198">
        <v>7.72</v>
      </c>
      <c r="L46" s="200">
        <f>F46*K46</f>
        <v>53.113599999999998</v>
      </c>
      <c r="M46" s="198">
        <f>L46</f>
        <v>53.113599999999998</v>
      </c>
    </row>
    <row r="47" spans="1:13" s="206" customFormat="1" ht="17.25" customHeight="1">
      <c r="A47" s="201"/>
      <c r="B47" s="202"/>
      <c r="C47" s="203" t="s">
        <v>11</v>
      </c>
      <c r="D47" s="204" t="s">
        <v>7</v>
      </c>
      <c r="E47" s="198">
        <v>0.03</v>
      </c>
      <c r="F47" s="200">
        <f>E47*F44</f>
        <v>9.5999999999999992E-3</v>
      </c>
      <c r="G47" s="198"/>
      <c r="H47" s="200"/>
      <c r="I47" s="198"/>
      <c r="J47" s="200"/>
      <c r="K47" s="198">
        <v>4</v>
      </c>
      <c r="L47" s="200">
        <f>F47*K47</f>
        <v>3.8399999999999997E-2</v>
      </c>
      <c r="M47" s="198">
        <f>L47</f>
        <v>3.8399999999999997E-2</v>
      </c>
    </row>
    <row r="48" spans="1:13" s="206" customFormat="1" ht="15.75">
      <c r="A48" s="201"/>
      <c r="B48" s="205"/>
      <c r="C48" s="203" t="s">
        <v>215</v>
      </c>
      <c r="D48" s="204" t="s">
        <v>9</v>
      </c>
      <c r="E48" s="198">
        <v>2.52</v>
      </c>
      <c r="F48" s="200">
        <f>E48*F44</f>
        <v>0.80640000000000001</v>
      </c>
      <c r="G48" s="198"/>
      <c r="H48" s="200"/>
      <c r="I48" s="198">
        <f>1.18*81</f>
        <v>95.58</v>
      </c>
      <c r="J48" s="200">
        <f>F48*I48</f>
        <v>77.075711999999996</v>
      </c>
      <c r="K48" s="198"/>
      <c r="L48" s="200"/>
      <c r="M48" s="198">
        <f>J48</f>
        <v>77.075711999999996</v>
      </c>
    </row>
    <row r="49" spans="1:13" s="213" customFormat="1" ht="15.75">
      <c r="A49" s="207"/>
      <c r="B49" s="208"/>
      <c r="C49" s="209" t="s">
        <v>122</v>
      </c>
      <c r="D49" s="210" t="s">
        <v>7</v>
      </c>
      <c r="E49" s="211">
        <v>0.28999999999999998</v>
      </c>
      <c r="F49" s="212">
        <f>E49*F44</f>
        <v>9.2799999999999994E-2</v>
      </c>
      <c r="G49" s="211"/>
      <c r="H49" s="212"/>
      <c r="I49" s="211">
        <f>1.18*4</f>
        <v>4.72</v>
      </c>
      <c r="J49" s="212">
        <f>F49*I49</f>
        <v>0.43801599999999996</v>
      </c>
      <c r="K49" s="211"/>
      <c r="L49" s="212"/>
      <c r="M49" s="211">
        <f>J49</f>
        <v>0.43801599999999996</v>
      </c>
    </row>
    <row r="50" spans="1:13" s="110" customFormat="1" ht="31.5">
      <c r="A50" s="104">
        <v>10</v>
      </c>
      <c r="B50" s="104" t="s">
        <v>120</v>
      </c>
      <c r="C50" s="104" t="s">
        <v>127</v>
      </c>
      <c r="D50" s="110" t="s">
        <v>10</v>
      </c>
      <c r="E50" s="105"/>
      <c r="F50" s="214">
        <v>3.8399999999999997E-2</v>
      </c>
      <c r="G50" s="64"/>
      <c r="H50" s="152"/>
      <c r="I50" s="106"/>
      <c r="K50" s="64"/>
      <c r="L50" s="152"/>
      <c r="M50" s="106"/>
    </row>
    <row r="51" spans="1:13" s="108" customFormat="1" ht="15.75">
      <c r="A51" s="91"/>
      <c r="B51" s="91"/>
      <c r="C51" s="91" t="s">
        <v>117</v>
      </c>
      <c r="D51" s="91" t="s">
        <v>4</v>
      </c>
      <c r="E51" s="92">
        <f>1.15*303</f>
        <v>348.45</v>
      </c>
      <c r="F51" s="93">
        <f>F50*E51</f>
        <v>13.380479999999999</v>
      </c>
      <c r="G51" s="94">
        <v>8.5</v>
      </c>
      <c r="H51" s="139">
        <f>F51*G51</f>
        <v>113.73407999999999</v>
      </c>
      <c r="I51" s="111"/>
      <c r="J51" s="150"/>
      <c r="K51" s="111"/>
      <c r="L51" s="150"/>
      <c r="M51" s="94">
        <f>H51</f>
        <v>113.73407999999999</v>
      </c>
    </row>
    <row r="52" spans="1:13" s="108" customFormat="1" ht="15.75">
      <c r="A52" s="91"/>
      <c r="B52" s="95"/>
      <c r="C52" s="91" t="s">
        <v>118</v>
      </c>
      <c r="D52" s="95" t="s">
        <v>7</v>
      </c>
      <c r="E52" s="92">
        <f>1.25*2.1</f>
        <v>2.625</v>
      </c>
      <c r="F52" s="93">
        <f>F50*E52</f>
        <v>0.10079999999999999</v>
      </c>
      <c r="G52" s="61"/>
      <c r="H52" s="150"/>
      <c r="I52" s="111"/>
      <c r="J52" s="150"/>
      <c r="K52" s="94">
        <v>4</v>
      </c>
      <c r="L52" s="139">
        <f>F52*K52</f>
        <v>0.40319999999999995</v>
      </c>
      <c r="M52" s="94">
        <f>L52</f>
        <v>0.40319999999999995</v>
      </c>
    </row>
    <row r="53" spans="1:13" s="95" customFormat="1" ht="15.75">
      <c r="A53" s="96"/>
      <c r="B53" s="96"/>
      <c r="C53" s="262" t="s">
        <v>216</v>
      </c>
      <c r="D53" s="97" t="s">
        <v>10</v>
      </c>
      <c r="E53" s="103">
        <v>1</v>
      </c>
      <c r="F53" s="195">
        <f>F50</f>
        <v>3.8399999999999997E-2</v>
      </c>
      <c r="G53" s="63"/>
      <c r="H53" s="65"/>
      <c r="I53" s="99">
        <v>3900</v>
      </c>
      <c r="J53" s="100">
        <f>F53*I53</f>
        <v>149.76</v>
      </c>
      <c r="K53" s="66"/>
      <c r="L53" s="65"/>
      <c r="M53" s="99">
        <f>J53</f>
        <v>149.76</v>
      </c>
    </row>
    <row r="54" spans="1:13" s="193" customFormat="1" ht="30" customHeight="1">
      <c r="A54" s="104">
        <v>11</v>
      </c>
      <c r="B54" s="110" t="s">
        <v>123</v>
      </c>
      <c r="C54" s="104" t="s">
        <v>128</v>
      </c>
      <c r="D54" s="177" t="s">
        <v>100</v>
      </c>
      <c r="E54" s="105"/>
      <c r="F54" s="138">
        <v>12.8</v>
      </c>
      <c r="G54" s="64"/>
      <c r="H54" s="152"/>
      <c r="I54" s="106"/>
      <c r="J54" s="110"/>
      <c r="K54" s="64"/>
      <c r="L54" s="152"/>
      <c r="M54" s="106"/>
    </row>
    <row r="55" spans="1:13" s="108" customFormat="1" ht="15" customHeight="1">
      <c r="A55" s="91"/>
      <c r="B55" s="91"/>
      <c r="C55" s="91" t="s">
        <v>5</v>
      </c>
      <c r="D55" s="91" t="s">
        <v>4</v>
      </c>
      <c r="E55" s="92">
        <v>0.21</v>
      </c>
      <c r="F55" s="93">
        <f>F54*E55</f>
        <v>2.6880000000000002</v>
      </c>
      <c r="G55" s="94">
        <v>8.5</v>
      </c>
      <c r="H55" s="139">
        <f>F55*G55</f>
        <v>22.848000000000003</v>
      </c>
      <c r="I55" s="61"/>
      <c r="J55" s="149"/>
      <c r="K55" s="61"/>
      <c r="L55" s="149"/>
      <c r="M55" s="94">
        <f>H55</f>
        <v>22.848000000000003</v>
      </c>
    </row>
    <row r="56" spans="1:13" s="193" customFormat="1" ht="29.25" customHeight="1">
      <c r="A56" s="104"/>
      <c r="B56" s="177" t="s">
        <v>218</v>
      </c>
      <c r="C56" s="104" t="s">
        <v>219</v>
      </c>
      <c r="D56" s="110" t="s">
        <v>6</v>
      </c>
      <c r="E56" s="105">
        <v>0.05</v>
      </c>
      <c r="F56" s="109">
        <f>F54*E56</f>
        <v>0.64000000000000012</v>
      </c>
      <c r="G56" s="64"/>
      <c r="H56" s="152"/>
      <c r="I56" s="106">
        <f>1800*0.95*1.18</f>
        <v>2017.8</v>
      </c>
      <c r="J56" s="138">
        <f>F56*I56</f>
        <v>1291.3920000000003</v>
      </c>
      <c r="K56" s="64"/>
      <c r="L56" s="152"/>
      <c r="M56" s="189">
        <f>J56</f>
        <v>1291.3920000000003</v>
      </c>
    </row>
    <row r="57" spans="1:13" s="108" customFormat="1" ht="16.5" customHeight="1">
      <c r="A57" s="96"/>
      <c r="B57" s="97"/>
      <c r="C57" s="209" t="s">
        <v>122</v>
      </c>
      <c r="D57" s="97" t="s">
        <v>7</v>
      </c>
      <c r="E57" s="190">
        <v>1E-4</v>
      </c>
      <c r="F57" s="195">
        <f>F54*E57</f>
        <v>1.2800000000000001E-3</v>
      </c>
      <c r="G57" s="63"/>
      <c r="H57" s="62"/>
      <c r="I57" s="99">
        <f>1.18*4</f>
        <v>4.72</v>
      </c>
      <c r="J57" s="190">
        <f>F57*I57</f>
        <v>6.0416000000000003E-3</v>
      </c>
      <c r="K57" s="190"/>
      <c r="L57" s="190"/>
      <c r="M57" s="190">
        <f>J57</f>
        <v>6.0416000000000003E-3</v>
      </c>
    </row>
    <row r="58" spans="1:13" s="193" customFormat="1" ht="31.5">
      <c r="A58" s="104">
        <v>12</v>
      </c>
      <c r="B58" s="222" t="s">
        <v>220</v>
      </c>
      <c r="C58" s="104" t="s">
        <v>222</v>
      </c>
      <c r="D58" s="110" t="s">
        <v>10</v>
      </c>
      <c r="E58" s="105"/>
      <c r="F58" s="109">
        <f>(6645.58-38.4-420)/1000</f>
        <v>6.1871800000000006</v>
      </c>
      <c r="G58" s="64"/>
      <c r="H58" s="152"/>
      <c r="I58" s="106"/>
      <c r="J58" s="110"/>
      <c r="K58" s="64"/>
      <c r="L58" s="152"/>
      <c r="M58" s="106"/>
    </row>
    <row r="59" spans="1:13" s="108" customFormat="1" ht="15.75">
      <c r="A59" s="91"/>
      <c r="B59" s="263"/>
      <c r="C59" s="91" t="s">
        <v>5</v>
      </c>
      <c r="D59" s="91" t="s">
        <v>4</v>
      </c>
      <c r="E59" s="92">
        <v>170</v>
      </c>
      <c r="F59" s="93">
        <f>F58*E59</f>
        <v>1051.8206</v>
      </c>
      <c r="G59" s="94">
        <v>6.6</v>
      </c>
      <c r="H59" s="139">
        <f>F59*G59</f>
        <v>6942.0159599999997</v>
      </c>
      <c r="I59" s="111"/>
      <c r="J59" s="150"/>
      <c r="K59" s="111"/>
      <c r="L59" s="150"/>
      <c r="M59" s="94">
        <f>H59</f>
        <v>6942.0159599999997</v>
      </c>
    </row>
    <row r="60" spans="1:13" s="108" customFormat="1" ht="15.75">
      <c r="A60" s="91"/>
      <c r="B60" s="95"/>
      <c r="C60" s="91" t="s">
        <v>112</v>
      </c>
      <c r="D60" s="95" t="s">
        <v>7</v>
      </c>
      <c r="E60" s="92">
        <v>7.69</v>
      </c>
      <c r="F60" s="93">
        <f>F58*E60</f>
        <v>47.579414200000009</v>
      </c>
      <c r="G60" s="61"/>
      <c r="H60" s="150"/>
      <c r="I60" s="111"/>
      <c r="J60" s="150"/>
      <c r="K60" s="94">
        <v>4</v>
      </c>
      <c r="L60" s="139">
        <f>F60*K60</f>
        <v>190.31765680000004</v>
      </c>
      <c r="M60" s="94">
        <f>L60</f>
        <v>190.31765680000004</v>
      </c>
    </row>
    <row r="61" spans="1:13" s="108" customFormat="1" ht="15.75">
      <c r="A61" s="91"/>
      <c r="B61" s="95" t="s">
        <v>224</v>
      </c>
      <c r="C61" s="91" t="s">
        <v>223</v>
      </c>
      <c r="D61" s="95" t="s">
        <v>10</v>
      </c>
      <c r="E61" s="92">
        <v>1</v>
      </c>
      <c r="F61" s="215">
        <f>F58</f>
        <v>6.1871800000000006</v>
      </c>
      <c r="G61" s="61"/>
      <c r="H61" s="150"/>
      <c r="I61" s="94">
        <f>1.18*4170</f>
        <v>4920.5999999999995</v>
      </c>
      <c r="J61" s="139">
        <f>F61*I61</f>
        <v>30444.637908000001</v>
      </c>
      <c r="K61" s="111"/>
      <c r="L61" s="150"/>
      <c r="M61" s="94">
        <f>J61</f>
        <v>30444.637908000001</v>
      </c>
    </row>
    <row r="62" spans="1:13" s="108" customFormat="1" ht="15.75">
      <c r="A62" s="91"/>
      <c r="B62" s="95" t="s">
        <v>225</v>
      </c>
      <c r="C62" s="91" t="s">
        <v>221</v>
      </c>
      <c r="D62" s="95" t="s">
        <v>6</v>
      </c>
      <c r="E62" s="92">
        <v>0.03</v>
      </c>
      <c r="F62" s="93">
        <f>F58*E62</f>
        <v>0.18561540000000001</v>
      </c>
      <c r="G62" s="61"/>
      <c r="H62" s="150"/>
      <c r="I62" s="94">
        <f>1.18*105</f>
        <v>123.89999999999999</v>
      </c>
      <c r="J62" s="139">
        <f>F62*I62</f>
        <v>22.997748059999999</v>
      </c>
      <c r="K62" s="111"/>
      <c r="L62" s="150"/>
      <c r="M62" s="94">
        <f>J62</f>
        <v>22.997748059999999</v>
      </c>
    </row>
    <row r="63" spans="1:13" s="108" customFormat="1" ht="15.75">
      <c r="A63" s="96"/>
      <c r="B63" s="97"/>
      <c r="C63" s="96" t="s">
        <v>119</v>
      </c>
      <c r="D63" s="97" t="s">
        <v>7</v>
      </c>
      <c r="E63" s="103">
        <v>14.5</v>
      </c>
      <c r="F63" s="98">
        <f>F58*E63</f>
        <v>89.714110000000005</v>
      </c>
      <c r="G63" s="63"/>
      <c r="H63" s="65"/>
      <c r="I63" s="99">
        <f>1.18*4</f>
        <v>4.72</v>
      </c>
      <c r="J63" s="100">
        <f>F63*I63</f>
        <v>423.4505992</v>
      </c>
      <c r="K63" s="66"/>
      <c r="L63" s="65"/>
      <c r="M63" s="99">
        <f>J63</f>
        <v>423.4505992</v>
      </c>
    </row>
    <row r="64" spans="1:13" s="265" customFormat="1" ht="31.5">
      <c r="A64" s="101">
        <v>13</v>
      </c>
      <c r="B64" s="101" t="s">
        <v>226</v>
      </c>
      <c r="C64" s="104" t="s">
        <v>227</v>
      </c>
      <c r="D64" s="142" t="s">
        <v>66</v>
      </c>
      <c r="E64" s="102"/>
      <c r="F64" s="145">
        <v>51</v>
      </c>
      <c r="G64" s="114"/>
      <c r="H64" s="264"/>
      <c r="I64" s="114"/>
      <c r="J64" s="264"/>
      <c r="K64" s="114"/>
      <c r="L64" s="264"/>
      <c r="M64" s="181"/>
    </row>
    <row r="65" spans="1:256" s="156" customFormat="1">
      <c r="A65" s="91"/>
      <c r="B65" s="91"/>
      <c r="C65" s="91" t="s">
        <v>5</v>
      </c>
      <c r="D65" s="91" t="s">
        <v>4</v>
      </c>
      <c r="E65" s="113">
        <v>2.3E-2</v>
      </c>
      <c r="F65" s="93">
        <f>F64*E65</f>
        <v>1.173</v>
      </c>
      <c r="G65" s="94">
        <v>6.6</v>
      </c>
      <c r="H65" s="139">
        <f>F65*G65</f>
        <v>7.7417999999999996</v>
      </c>
      <c r="I65" s="111"/>
      <c r="J65" s="150"/>
      <c r="K65" s="111"/>
      <c r="L65" s="150"/>
      <c r="M65" s="94">
        <f>H65</f>
        <v>7.7417999999999996</v>
      </c>
    </row>
    <row r="66" spans="1:256" s="156" customFormat="1">
      <c r="A66" s="91"/>
      <c r="B66" s="95"/>
      <c r="C66" s="91" t="s">
        <v>11</v>
      </c>
      <c r="D66" s="95" t="s">
        <v>7</v>
      </c>
      <c r="E66" s="113">
        <v>1.4E-3</v>
      </c>
      <c r="F66" s="93">
        <f>F64*E66</f>
        <v>7.1400000000000005E-2</v>
      </c>
      <c r="G66" s="61"/>
      <c r="H66" s="150"/>
      <c r="I66" s="111"/>
      <c r="J66" s="150"/>
      <c r="K66" s="94">
        <v>4</v>
      </c>
      <c r="L66" s="139">
        <f>F66*K66</f>
        <v>0.28560000000000002</v>
      </c>
      <c r="M66" s="94">
        <f>L66</f>
        <v>0.28560000000000002</v>
      </c>
    </row>
    <row r="67" spans="1:256" s="156" customFormat="1">
      <c r="A67" s="91"/>
      <c r="B67" s="194" t="s">
        <v>231</v>
      </c>
      <c r="C67" s="91" t="s">
        <v>229</v>
      </c>
      <c r="D67" s="91" t="s">
        <v>95</v>
      </c>
      <c r="E67" s="92">
        <v>0.15</v>
      </c>
      <c r="F67" s="93">
        <f>F64*E67</f>
        <v>7.6499999999999995</v>
      </c>
      <c r="G67" s="61"/>
      <c r="H67" s="150"/>
      <c r="I67" s="94">
        <f>1.18*9.2</f>
        <v>10.855999999999998</v>
      </c>
      <c r="J67" s="139">
        <f>F67*I67</f>
        <v>83.048399999999987</v>
      </c>
      <c r="K67" s="111"/>
      <c r="L67" s="150"/>
      <c r="M67" s="94">
        <f>J67</f>
        <v>83.048399999999987</v>
      </c>
    </row>
    <row r="68" spans="1:256" s="156" customFormat="1">
      <c r="A68" s="174"/>
      <c r="B68" s="174" t="s">
        <v>230</v>
      </c>
      <c r="C68" s="96" t="s">
        <v>228</v>
      </c>
      <c r="D68" s="96" t="s">
        <v>95</v>
      </c>
      <c r="E68" s="217">
        <v>0.06</v>
      </c>
      <c r="F68" s="217">
        <f>E68*F64</f>
        <v>3.06</v>
      </c>
      <c r="G68" s="218"/>
      <c r="H68" s="219"/>
      <c r="I68" s="216">
        <f>1.18*7.9</f>
        <v>9.3219999999999992</v>
      </c>
      <c r="J68" s="99">
        <f>F68*I68</f>
        <v>28.525319999999997</v>
      </c>
      <c r="K68" s="219"/>
      <c r="L68" s="219"/>
      <c r="M68" s="99">
        <f>J68</f>
        <v>28.525319999999997</v>
      </c>
      <c r="N68" s="266"/>
    </row>
    <row r="69" spans="1:256" s="193" customFormat="1" ht="31.5">
      <c r="A69" s="170">
        <v>14</v>
      </c>
      <c r="B69" s="225" t="s">
        <v>168</v>
      </c>
      <c r="C69" s="170" t="s">
        <v>169</v>
      </c>
      <c r="D69" s="171" t="s">
        <v>10</v>
      </c>
      <c r="E69" s="178"/>
      <c r="F69" s="172">
        <v>10.4</v>
      </c>
      <c r="G69" s="170"/>
      <c r="H69" s="171"/>
      <c r="I69" s="170"/>
      <c r="J69" s="171"/>
      <c r="K69" s="173">
        <f>1.18*60.91</f>
        <v>71.873799999999989</v>
      </c>
      <c r="L69" s="171">
        <f>F69*K69</f>
        <v>747.4875199999999</v>
      </c>
      <c r="M69" s="226">
        <f>L69</f>
        <v>747.4875199999999</v>
      </c>
    </row>
    <row r="70" spans="1:256" s="240" customFormat="1" ht="30.75" customHeight="1">
      <c r="A70" s="231">
        <v>15</v>
      </c>
      <c r="B70" s="232" t="s">
        <v>177</v>
      </c>
      <c r="C70" s="233" t="s">
        <v>232</v>
      </c>
      <c r="D70" s="234" t="s">
        <v>10</v>
      </c>
      <c r="E70" s="235"/>
      <c r="F70" s="230">
        <v>10.4</v>
      </c>
      <c r="G70" s="236"/>
      <c r="H70" s="237"/>
      <c r="I70" s="238"/>
      <c r="J70" s="234"/>
      <c r="K70" s="236"/>
      <c r="L70" s="237"/>
      <c r="M70" s="238"/>
      <c r="N70" s="239"/>
      <c r="O70" s="228"/>
    </row>
    <row r="71" spans="1:256" s="240" customFormat="1" ht="15.75">
      <c r="A71" s="241"/>
      <c r="B71" s="242"/>
      <c r="C71" s="243" t="s">
        <v>233</v>
      </c>
      <c r="D71" s="243" t="s">
        <v>4</v>
      </c>
      <c r="E71" s="244">
        <f>1.5+0.56*4.5</f>
        <v>4.0200000000000005</v>
      </c>
      <c r="F71" s="245">
        <f>F70*E71</f>
        <v>41.808000000000007</v>
      </c>
      <c r="G71" s="244">
        <v>6.6</v>
      </c>
      <c r="H71" s="246">
        <f>F71*G71</f>
        <v>275.93280000000004</v>
      </c>
      <c r="I71" s="247"/>
      <c r="J71" s="248"/>
      <c r="K71" s="247"/>
      <c r="L71" s="248"/>
      <c r="M71" s="244">
        <f>H71</f>
        <v>275.93280000000004</v>
      </c>
      <c r="N71" s="249"/>
      <c r="O71" s="229"/>
      <c r="P71" s="249"/>
      <c r="Q71" s="249"/>
      <c r="R71" s="249"/>
      <c r="S71" s="249"/>
      <c r="T71" s="249"/>
      <c r="U71" s="249"/>
      <c r="V71" s="249"/>
      <c r="W71" s="249"/>
      <c r="X71" s="249"/>
    </row>
    <row r="72" spans="1:256" s="193" customFormat="1" ht="31.5">
      <c r="A72" s="104">
        <v>16</v>
      </c>
      <c r="B72" s="177" t="s">
        <v>182</v>
      </c>
      <c r="C72" s="104" t="s">
        <v>183</v>
      </c>
      <c r="D72" s="110" t="s">
        <v>6</v>
      </c>
      <c r="E72" s="105"/>
      <c r="F72" s="109">
        <f>10.4*2.4</f>
        <v>24.96</v>
      </c>
      <c r="G72" s="106"/>
      <c r="H72" s="104"/>
      <c r="I72" s="104"/>
      <c r="J72" s="110"/>
      <c r="K72" s="104"/>
      <c r="L72" s="110"/>
      <c r="M72" s="104"/>
    </row>
    <row r="73" spans="1:256" s="108" customFormat="1" ht="15.75">
      <c r="A73" s="96"/>
      <c r="B73" s="96"/>
      <c r="C73" s="96" t="s">
        <v>5</v>
      </c>
      <c r="D73" s="96" t="s">
        <v>4</v>
      </c>
      <c r="E73" s="103">
        <v>1.21</v>
      </c>
      <c r="F73" s="98">
        <f>F72*E73</f>
        <v>30.201599999999999</v>
      </c>
      <c r="G73" s="99">
        <v>6.6</v>
      </c>
      <c r="H73" s="100">
        <f>F73*G73</f>
        <v>199.33055999999999</v>
      </c>
      <c r="I73" s="63"/>
      <c r="J73" s="62"/>
      <c r="K73" s="63"/>
      <c r="L73" s="62"/>
      <c r="M73" s="99">
        <f>H73</f>
        <v>199.33055999999999</v>
      </c>
    </row>
    <row r="74" spans="1:256" s="166" customFormat="1" ht="47.25" customHeight="1">
      <c r="A74" s="104">
        <v>17</v>
      </c>
      <c r="B74" s="163" t="s">
        <v>174</v>
      </c>
      <c r="C74" s="164" t="s">
        <v>234</v>
      </c>
      <c r="D74" s="164" t="s">
        <v>175</v>
      </c>
      <c r="E74" s="164"/>
      <c r="F74" s="165">
        <f>10.4/0.3</f>
        <v>34.666666666666671</v>
      </c>
      <c r="G74" s="115"/>
      <c r="H74" s="151"/>
      <c r="I74" s="115"/>
      <c r="J74" s="151"/>
      <c r="K74" s="106"/>
      <c r="L74" s="138"/>
      <c r="M74" s="106"/>
    </row>
    <row r="75" spans="1:256" s="156" customFormat="1">
      <c r="A75" s="91"/>
      <c r="C75" s="91" t="s">
        <v>5</v>
      </c>
      <c r="D75" s="91" t="s">
        <v>4</v>
      </c>
      <c r="E75" s="105">
        <f>(0.07+0.02*58)/0.6005</f>
        <v>2.0482930890924229</v>
      </c>
      <c r="F75" s="139">
        <f>F74*E75</f>
        <v>71.00749375520401</v>
      </c>
      <c r="G75" s="94">
        <v>8.5</v>
      </c>
      <c r="H75" s="139">
        <f>F75*G75</f>
        <v>603.56369691923408</v>
      </c>
      <c r="I75" s="111"/>
      <c r="J75" s="150"/>
      <c r="K75" s="111"/>
      <c r="L75" s="150"/>
      <c r="M75" s="94">
        <f>H75</f>
        <v>603.56369691923408</v>
      </c>
    </row>
    <row r="76" spans="1:256" s="95" customFormat="1" ht="15.75">
      <c r="A76" s="91"/>
      <c r="C76" s="91" t="s">
        <v>11</v>
      </c>
      <c r="D76" s="95" t="s">
        <v>7</v>
      </c>
      <c r="E76" s="92">
        <f>0.04+0.03*58</f>
        <v>1.78</v>
      </c>
      <c r="F76" s="93">
        <f>F74*E76</f>
        <v>61.706666666666678</v>
      </c>
      <c r="G76" s="61"/>
      <c r="H76" s="150"/>
      <c r="I76" s="111"/>
      <c r="J76" s="150"/>
      <c r="K76" s="94">
        <v>4</v>
      </c>
      <c r="L76" s="139">
        <f>F76*K76</f>
        <v>246.82666666666671</v>
      </c>
      <c r="M76" s="94">
        <f>L76</f>
        <v>246.82666666666671</v>
      </c>
    </row>
    <row r="77" spans="1:256" s="3" customFormat="1" ht="15.75">
      <c r="A77" s="144"/>
      <c r="B77" s="144"/>
      <c r="C77" s="144" t="s">
        <v>2</v>
      </c>
      <c r="D77" s="144"/>
      <c r="E77" s="153"/>
      <c r="F77" s="153"/>
      <c r="G77" s="154"/>
      <c r="H77" s="158">
        <f>SUM(H19:H76)</f>
        <v>13741.18425212323</v>
      </c>
      <c r="I77" s="159"/>
      <c r="J77" s="158">
        <f>SUM(J19:J76)</f>
        <v>52316.102192860002</v>
      </c>
      <c r="K77" s="158"/>
      <c r="L77" s="158">
        <f>SUM(L19:L76)</f>
        <v>1465.3024034666669</v>
      </c>
      <c r="M77" s="158">
        <f>SUM(M19:M76)</f>
        <v>67522.588848449886</v>
      </c>
    </row>
    <row r="78" spans="1:256" s="3" customFormat="1" ht="41.25" customHeight="1">
      <c r="A78" s="144"/>
      <c r="B78" s="250" t="s">
        <v>107</v>
      </c>
      <c r="C78" s="182" t="s">
        <v>181</v>
      </c>
      <c r="D78" s="155">
        <v>0.15</v>
      </c>
      <c r="E78" s="153"/>
      <c r="F78" s="153"/>
      <c r="G78" s="154"/>
      <c r="H78" s="158">
        <f>H77*D78</f>
        <v>2061.1776378184845</v>
      </c>
      <c r="I78" s="159"/>
      <c r="J78" s="158"/>
      <c r="K78" s="158"/>
      <c r="L78" s="158">
        <f>L77*D78</f>
        <v>219.79536052000003</v>
      </c>
      <c r="M78" s="158">
        <f>H78+L78</f>
        <v>2280.9729983384846</v>
      </c>
    </row>
    <row r="79" spans="1:256" s="3" customFormat="1" ht="15.75">
      <c r="A79" s="144"/>
      <c r="B79" s="144"/>
      <c r="C79" s="144" t="s">
        <v>2</v>
      </c>
      <c r="D79" s="144"/>
      <c r="E79" s="153"/>
      <c r="F79" s="153"/>
      <c r="G79" s="154"/>
      <c r="H79" s="158">
        <f>H77+H78</f>
        <v>15802.361889941714</v>
      </c>
      <c r="I79" s="159"/>
      <c r="J79" s="158">
        <f>J77</f>
        <v>52316.102192860002</v>
      </c>
      <c r="K79" s="158"/>
      <c r="L79" s="158">
        <f>L77+L78</f>
        <v>1685.0977639866669</v>
      </c>
      <c r="M79" s="158">
        <f>M77+M78</f>
        <v>69803.561846788376</v>
      </c>
    </row>
    <row r="80" spans="1:256" s="2" customFormat="1">
      <c r="A80" s="19"/>
      <c r="B80" s="19"/>
      <c r="C80" s="14" t="s">
        <v>129</v>
      </c>
      <c r="D80" s="18">
        <v>0.1</v>
      </c>
      <c r="E80" s="17"/>
      <c r="F80" s="17"/>
      <c r="G80" s="16"/>
      <c r="H80" s="161">
        <f>(H79)*D80</f>
        <v>1580.2361889941715</v>
      </c>
      <c r="I80" s="161"/>
      <c r="J80" s="161">
        <f>(J79)*D80</f>
        <v>5231.6102192860008</v>
      </c>
      <c r="K80" s="161"/>
      <c r="L80" s="161">
        <f>(L79)*D80</f>
        <v>168.5097763986667</v>
      </c>
      <c r="M80" s="161">
        <f t="shared" ref="M80:M83" si="0">SUM(H80:L80)</f>
        <v>6980.3561846788389</v>
      </c>
      <c r="N80" s="15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s="2" customFormat="1">
      <c r="A81" s="12"/>
      <c r="B81" s="12"/>
      <c r="C81" s="14" t="s">
        <v>2</v>
      </c>
      <c r="D81" s="13"/>
      <c r="E81" s="12"/>
      <c r="F81" s="12"/>
      <c r="G81" s="12"/>
      <c r="H81" s="160">
        <f>H79+H80</f>
        <v>17382.598078935887</v>
      </c>
      <c r="I81" s="161"/>
      <c r="J81" s="160">
        <f>J79+J80</f>
        <v>57547.712412146</v>
      </c>
      <c r="K81" s="161"/>
      <c r="L81" s="160">
        <f>L79+L80</f>
        <v>1853.6075403853336</v>
      </c>
      <c r="M81" s="161">
        <f>SUM(H81:L81)</f>
        <v>76783.918031467212</v>
      </c>
      <c r="N81" s="11"/>
    </row>
    <row r="82" spans="1:256" s="2" customFormat="1">
      <c r="A82" s="19"/>
      <c r="B82" s="19"/>
      <c r="C82" s="14" t="s">
        <v>3</v>
      </c>
      <c r="D82" s="18">
        <v>0.08</v>
      </c>
      <c r="E82" s="17"/>
      <c r="F82" s="17"/>
      <c r="G82" s="16"/>
      <c r="H82" s="161">
        <f>H81*D82</f>
        <v>1390.607846314871</v>
      </c>
      <c r="I82" s="161"/>
      <c r="J82" s="160">
        <f>J81*D82</f>
        <v>4603.8169929716805</v>
      </c>
      <c r="K82" s="161"/>
      <c r="L82" s="161">
        <f>L81*D82</f>
        <v>148.28860323082668</v>
      </c>
      <c r="M82" s="161">
        <f>SUM(H82:L82)</f>
        <v>6142.713442517379</v>
      </c>
      <c r="N82" s="15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s="2" customFormat="1">
      <c r="A83" s="12"/>
      <c r="B83" s="12"/>
      <c r="C83" s="14" t="s">
        <v>2</v>
      </c>
      <c r="D83" s="13"/>
      <c r="E83" s="12"/>
      <c r="F83" s="12"/>
      <c r="G83" s="12"/>
      <c r="H83" s="160">
        <f>H81+H82</f>
        <v>18773.205925250757</v>
      </c>
      <c r="I83" s="161"/>
      <c r="J83" s="160">
        <f>J81+J82</f>
        <v>62151.529405117682</v>
      </c>
      <c r="K83" s="161"/>
      <c r="L83" s="161">
        <f>L81+L82</f>
        <v>2001.8961436161603</v>
      </c>
      <c r="M83" s="161">
        <f t="shared" si="0"/>
        <v>82926.631473984598</v>
      </c>
      <c r="N83" s="11"/>
    </row>
    <row r="84" spans="1:256" s="2" customFormat="1">
      <c r="A84" s="9"/>
      <c r="B84" s="8"/>
      <c r="C84" s="8"/>
      <c r="D84" s="9"/>
      <c r="E84" s="9"/>
      <c r="F84" s="10"/>
      <c r="G84" s="8"/>
      <c r="H84" s="8"/>
      <c r="I84" s="9"/>
      <c r="J84" s="8"/>
      <c r="K84" s="8"/>
      <c r="L84" s="8"/>
      <c r="M84" s="8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4" customFormat="1">
      <c r="A85" s="6"/>
      <c r="B85" s="5" t="s">
        <v>1</v>
      </c>
      <c r="F85" s="5"/>
      <c r="J85" s="5" t="s">
        <v>0</v>
      </c>
    </row>
    <row r="86" spans="1:256" s="4" customFormat="1">
      <c r="A86" s="6"/>
      <c r="B86" s="5"/>
      <c r="F86" s="5"/>
      <c r="J86" s="5"/>
    </row>
    <row r="87" spans="1:256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</sheetData>
  <mergeCells count="1">
    <mergeCell ref="A1:F1"/>
  </mergeCells>
  <pageMargins left="0.15748031496062992" right="0.27559055118110237" top="0.51181102362204722" bottom="0.43307086614173229" header="0.11811023622047245" footer="0.15748031496062992"/>
  <pageSetup paperSize="9" orientation="landscape" r:id="rId1"/>
  <headerFooter alignWithMargins="0">
    <oddFooter>&amp;C&amp;R&amp;P</oddFooter>
  </headerFooter>
  <ignoredErrors>
    <ignoredError sqref="F72:F74 H80:M85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9F274-6B5C-4917-8C2E-BC2499B7113A}">
  <sheetPr>
    <tabColor rgb="FF408046"/>
  </sheetPr>
  <dimension ref="A1:IV48"/>
  <sheetViews>
    <sheetView zoomScale="120" zoomScaleNormal="120" workbookViewId="0">
      <selection activeCell="K35" sqref="K35"/>
    </sheetView>
  </sheetViews>
  <sheetFormatPr defaultColWidth="9.140625" defaultRowHeight="16.5"/>
  <cols>
    <col min="1" max="1" width="3.85546875" style="1" customWidth="1"/>
    <col min="2" max="2" width="8.7109375" style="1" customWidth="1"/>
    <col min="3" max="3" width="41.5703125" style="1" customWidth="1"/>
    <col min="4" max="4" width="7.7109375" style="1" customWidth="1"/>
    <col min="5" max="5" width="8.7109375" style="1" customWidth="1"/>
    <col min="6" max="6" width="9.85546875" style="1" customWidth="1"/>
    <col min="7" max="7" width="7.140625" style="1" customWidth="1"/>
    <col min="8" max="8" width="8.140625" style="1" customWidth="1"/>
    <col min="9" max="9" width="8" style="1" customWidth="1"/>
    <col min="10" max="10" width="8.5703125" style="1" customWidth="1"/>
    <col min="11" max="11" width="7" style="1" customWidth="1"/>
    <col min="12" max="12" width="9.85546875" style="1" customWidth="1"/>
    <col min="13" max="13" width="10.5703125" style="1" customWidth="1"/>
    <col min="14" max="16384" width="9.140625" style="1"/>
  </cols>
  <sheetData>
    <row r="1" spans="1:22" ht="30.75" customHeight="1">
      <c r="A1" s="302" t="str">
        <f>'x.2-1'!A1:F1</f>
        <v>duSeTis municipalitetis sofel mucos istoriul arqiteqturuli kompleqsis sareabilitacio samuSaoebis VIII etapi.</v>
      </c>
      <c r="B1" s="302"/>
      <c r="C1" s="302"/>
      <c r="D1" s="302"/>
      <c r="E1" s="302"/>
      <c r="F1" s="302"/>
      <c r="G1" s="148"/>
      <c r="H1" s="59"/>
      <c r="I1" s="47"/>
      <c r="J1" s="47"/>
      <c r="K1" s="47"/>
      <c r="L1" s="47"/>
      <c r="M1" s="47"/>
      <c r="N1" s="2"/>
      <c r="O1" s="2"/>
      <c r="P1" s="2"/>
      <c r="Q1" s="2"/>
      <c r="R1" s="2"/>
      <c r="S1" s="2"/>
      <c r="T1" s="2"/>
      <c r="U1" s="2"/>
      <c r="V1" s="2"/>
    </row>
    <row r="2" spans="1:22" ht="15" customHeight="1">
      <c r="A2" s="9" t="s">
        <v>46</v>
      </c>
      <c r="B2" s="9"/>
      <c r="C2" s="9"/>
      <c r="D2" s="9"/>
      <c r="E2" s="9"/>
      <c r="F2" s="9"/>
      <c r="G2" s="9"/>
      <c r="H2" s="9"/>
      <c r="I2" s="47"/>
      <c r="J2" s="47"/>
      <c r="K2" s="47"/>
      <c r="L2" s="47"/>
      <c r="M2" s="47"/>
      <c r="N2" s="2"/>
      <c r="O2" s="2"/>
      <c r="P2" s="2"/>
      <c r="Q2" s="2"/>
      <c r="R2" s="2"/>
      <c r="S2" s="2"/>
      <c r="T2" s="2"/>
      <c r="U2" s="2"/>
      <c r="V2" s="2"/>
    </row>
    <row r="3" spans="1:22" ht="15" customHeight="1">
      <c r="A3" s="9"/>
      <c r="B3" s="9"/>
      <c r="C3" s="57" t="s">
        <v>45</v>
      </c>
      <c r="D3" s="9"/>
      <c r="E3" s="9"/>
      <c r="F3" s="9"/>
      <c r="G3" s="9"/>
      <c r="H3" s="9"/>
      <c r="I3" s="47"/>
      <c r="J3" s="47"/>
      <c r="K3" s="47"/>
      <c r="L3" s="47"/>
      <c r="M3" s="47"/>
      <c r="N3" s="2"/>
      <c r="O3" s="2"/>
      <c r="P3" s="2"/>
      <c r="Q3" s="2"/>
      <c r="R3" s="2"/>
      <c r="S3" s="2"/>
      <c r="T3" s="2"/>
      <c r="U3" s="2"/>
      <c r="V3" s="2"/>
    </row>
    <row r="4" spans="1:22" ht="15" customHeight="1">
      <c r="A4" s="9"/>
      <c r="B4" s="9"/>
      <c r="C4" s="9"/>
      <c r="D4" s="9"/>
      <c r="E4" s="9"/>
      <c r="F4" s="9"/>
      <c r="G4" s="9"/>
      <c r="H4" s="9"/>
      <c r="I4" s="47"/>
      <c r="J4" s="47"/>
      <c r="K4" s="47"/>
      <c r="L4" s="47"/>
      <c r="M4" s="47"/>
      <c r="N4" s="2"/>
      <c r="O4" s="2"/>
      <c r="P4" s="2"/>
      <c r="Q4" s="2"/>
      <c r="R4" s="2"/>
      <c r="S4" s="2"/>
      <c r="T4" s="2"/>
      <c r="U4" s="2"/>
      <c r="V4" s="2"/>
    </row>
    <row r="5" spans="1:22" ht="18" customHeight="1">
      <c r="A5" s="9"/>
      <c r="B5" s="9"/>
      <c r="C5" s="58" t="s">
        <v>110</v>
      </c>
      <c r="D5" s="9"/>
      <c r="E5" s="9"/>
      <c r="F5" s="9"/>
      <c r="G5" s="9"/>
      <c r="H5" s="9"/>
      <c r="I5" s="47"/>
      <c r="J5" s="47"/>
      <c r="K5" s="47"/>
      <c r="L5" s="47"/>
      <c r="M5" s="47"/>
      <c r="N5" s="2"/>
      <c r="O5" s="2"/>
      <c r="P5" s="2"/>
      <c r="Q5" s="2"/>
      <c r="R5" s="2"/>
      <c r="S5" s="2"/>
      <c r="T5" s="2"/>
      <c r="U5" s="2"/>
      <c r="V5" s="2"/>
    </row>
    <row r="6" spans="1:22" ht="15" customHeight="1">
      <c r="A6" s="9"/>
      <c r="B6" s="9"/>
      <c r="C6" s="9" t="s">
        <v>237</v>
      </c>
      <c r="D6" s="9"/>
      <c r="E6" s="9"/>
      <c r="F6" s="9"/>
      <c r="G6" s="9"/>
      <c r="H6" s="9"/>
      <c r="I6" s="47"/>
      <c r="J6" s="47"/>
      <c r="K6" s="47"/>
      <c r="L6" s="47"/>
      <c r="M6" s="47"/>
      <c r="N6" s="2"/>
      <c r="O6" s="2"/>
      <c r="P6" s="2"/>
      <c r="Q6" s="2"/>
      <c r="R6" s="2"/>
      <c r="S6" s="2"/>
      <c r="T6" s="2"/>
      <c r="U6" s="2"/>
      <c r="V6" s="2"/>
    </row>
    <row r="7" spans="1:22" ht="10.5" customHeight="1">
      <c r="A7" s="9"/>
      <c r="B7" s="9"/>
      <c r="C7" s="9" t="s">
        <v>44</v>
      </c>
      <c r="D7" s="9"/>
      <c r="E7" s="9"/>
      <c r="F7" s="9"/>
      <c r="G7" s="9"/>
      <c r="H7" s="9"/>
      <c r="I7" s="47"/>
      <c r="J7" s="47"/>
      <c r="K7" s="47"/>
      <c r="L7" s="47"/>
      <c r="M7" s="47"/>
      <c r="N7" s="2"/>
      <c r="O7" s="2"/>
      <c r="P7" s="2"/>
      <c r="Q7" s="2"/>
      <c r="R7" s="2"/>
      <c r="S7" s="2"/>
      <c r="T7" s="2"/>
      <c r="U7" s="2"/>
      <c r="V7" s="2"/>
    </row>
    <row r="8" spans="1:22" ht="15" customHeight="1">
      <c r="A8" s="9"/>
      <c r="B8" s="9"/>
      <c r="C8" s="57" t="s">
        <v>43</v>
      </c>
      <c r="D8" s="9"/>
      <c r="E8" s="9"/>
      <c r="F8" s="9"/>
      <c r="G8" s="9"/>
      <c r="H8" s="9"/>
      <c r="I8" s="47"/>
      <c r="J8" s="47"/>
      <c r="K8" s="47"/>
      <c r="L8" s="47"/>
      <c r="M8" s="47"/>
      <c r="N8" s="2"/>
      <c r="O8" s="2"/>
      <c r="P8" s="2"/>
      <c r="Q8" s="2"/>
      <c r="R8" s="2"/>
      <c r="S8" s="2"/>
      <c r="T8" s="2"/>
      <c r="U8" s="2"/>
      <c r="V8" s="2"/>
    </row>
    <row r="9" spans="1:22" ht="15" customHeight="1">
      <c r="A9" s="9"/>
      <c r="B9" s="9"/>
      <c r="C9" s="56"/>
      <c r="D9" s="9"/>
      <c r="E9" s="9"/>
      <c r="F9" s="9"/>
      <c r="G9" s="9"/>
      <c r="H9" s="9"/>
      <c r="I9" s="47"/>
      <c r="J9" s="47"/>
      <c r="K9" s="47"/>
      <c r="L9" s="47"/>
      <c r="M9" s="47"/>
      <c r="N9" s="2"/>
      <c r="O9" s="2"/>
      <c r="P9" s="2"/>
      <c r="Q9" s="2"/>
      <c r="R9" s="2"/>
      <c r="S9" s="2"/>
      <c r="T9" s="2"/>
      <c r="U9" s="2"/>
      <c r="V9" s="2"/>
    </row>
    <row r="10" spans="1:22" ht="15" customHeight="1">
      <c r="A10" s="55" t="s">
        <v>42</v>
      </c>
      <c r="B10" s="44"/>
      <c r="C10" s="44"/>
      <c r="D10" s="52"/>
      <c r="E10" s="44"/>
      <c r="F10" s="52"/>
      <c r="G10" s="52"/>
      <c r="H10" s="52"/>
      <c r="I10" s="52"/>
      <c r="J10" s="52"/>
      <c r="K10" s="51" t="s">
        <v>41</v>
      </c>
      <c r="L10" s="267">
        <f>M44</f>
        <v>9832.2132031200017</v>
      </c>
      <c r="M10" s="49" t="s">
        <v>7</v>
      </c>
      <c r="N10" s="2"/>
      <c r="O10" s="2"/>
      <c r="P10" s="2"/>
      <c r="Q10" s="2"/>
      <c r="R10" s="2"/>
      <c r="S10" s="2"/>
      <c r="T10" s="2"/>
      <c r="U10" s="2"/>
      <c r="V10" s="2"/>
    </row>
    <row r="11" spans="1:22" ht="15" customHeight="1">
      <c r="A11" s="54" t="s">
        <v>236</v>
      </c>
      <c r="B11" s="44"/>
      <c r="C11" s="44"/>
      <c r="D11" s="52"/>
      <c r="E11" s="31"/>
      <c r="F11" s="53"/>
      <c r="G11" s="53"/>
      <c r="H11" s="52"/>
      <c r="I11" s="52"/>
      <c r="J11" s="52"/>
      <c r="K11" s="51" t="s">
        <v>40</v>
      </c>
      <c r="L11" s="50">
        <f>H38+H39</f>
        <v>1391.0740400000002</v>
      </c>
      <c r="M11" s="49" t="s">
        <v>7</v>
      </c>
      <c r="N11" s="2"/>
      <c r="O11" s="2"/>
      <c r="P11" s="2"/>
      <c r="Q11" s="2"/>
      <c r="R11" s="2"/>
      <c r="S11" s="2"/>
      <c r="T11" s="2"/>
      <c r="U11" s="2"/>
      <c r="V11" s="2"/>
    </row>
    <row r="12" spans="1:22" s="2" customFormat="1" ht="15" customHeight="1">
      <c r="A12" s="47"/>
      <c r="B12" s="47"/>
      <c r="C12" s="47"/>
      <c r="D12" s="48"/>
      <c r="E12" s="48"/>
      <c r="F12" s="48"/>
      <c r="G12" s="48"/>
      <c r="H12" s="47"/>
      <c r="I12" s="47"/>
      <c r="J12" s="47"/>
      <c r="K12" s="47"/>
      <c r="L12" s="47"/>
      <c r="M12" s="47"/>
    </row>
    <row r="13" spans="1:22">
      <c r="A13" s="41"/>
      <c r="B13" s="270"/>
      <c r="C13" s="46"/>
      <c r="D13" s="45"/>
      <c r="E13" s="44" t="s">
        <v>39</v>
      </c>
      <c r="F13" s="43"/>
      <c r="G13" s="42" t="s">
        <v>38</v>
      </c>
      <c r="H13" s="40"/>
      <c r="I13" s="41" t="s">
        <v>37</v>
      </c>
      <c r="J13" s="40"/>
      <c r="K13" s="39" t="s">
        <v>36</v>
      </c>
      <c r="L13" s="39"/>
      <c r="M13" s="38"/>
      <c r="N13" s="2"/>
      <c r="O13" s="2"/>
      <c r="P13" s="2"/>
      <c r="Q13" s="2"/>
      <c r="R13" s="2"/>
      <c r="S13" s="2"/>
      <c r="T13" s="2"/>
      <c r="U13" s="2"/>
      <c r="V13" s="2"/>
    </row>
    <row r="14" spans="1:22" ht="16.5" customHeight="1">
      <c r="A14" s="37"/>
      <c r="B14" s="268"/>
      <c r="C14" s="36" t="s">
        <v>35</v>
      </c>
      <c r="D14" s="28"/>
      <c r="E14" s="35" t="s">
        <v>34</v>
      </c>
      <c r="F14" s="34"/>
      <c r="G14" s="29"/>
      <c r="H14" s="34"/>
      <c r="I14" s="29"/>
      <c r="J14" s="34"/>
      <c r="K14" s="29" t="s">
        <v>33</v>
      </c>
      <c r="L14" s="33"/>
      <c r="M14" s="30" t="s">
        <v>2</v>
      </c>
      <c r="N14" s="2"/>
      <c r="O14" s="2"/>
      <c r="P14" s="2"/>
      <c r="Q14" s="2"/>
      <c r="R14" s="2"/>
      <c r="S14" s="2"/>
      <c r="T14" s="2"/>
      <c r="U14" s="2"/>
      <c r="V14" s="2"/>
    </row>
    <row r="15" spans="1:22" ht="27.75">
      <c r="A15" s="32" t="s">
        <v>32</v>
      </c>
      <c r="B15" s="268" t="s">
        <v>31</v>
      </c>
      <c r="C15" s="9" t="s">
        <v>30</v>
      </c>
      <c r="D15" s="30" t="s">
        <v>29</v>
      </c>
      <c r="E15" s="268" t="s">
        <v>28</v>
      </c>
      <c r="F15" s="31" t="s">
        <v>26</v>
      </c>
      <c r="G15" s="30" t="s">
        <v>27</v>
      </c>
      <c r="H15" s="31" t="s">
        <v>26</v>
      </c>
      <c r="I15" s="30" t="s">
        <v>27</v>
      </c>
      <c r="J15" s="31" t="s">
        <v>26</v>
      </c>
      <c r="K15" s="30" t="s">
        <v>27</v>
      </c>
      <c r="L15" s="31" t="s">
        <v>26</v>
      </c>
      <c r="M15" s="30"/>
      <c r="N15" s="2"/>
      <c r="O15" s="2"/>
      <c r="P15" s="2"/>
      <c r="Q15" s="2"/>
      <c r="R15" s="2"/>
      <c r="S15" s="2"/>
      <c r="T15" s="2"/>
      <c r="U15" s="2"/>
      <c r="V15" s="2"/>
    </row>
    <row r="16" spans="1:22" ht="9" customHeight="1">
      <c r="A16" s="29"/>
      <c r="B16" s="269"/>
      <c r="C16" s="27"/>
      <c r="D16" s="28"/>
      <c r="E16" s="269"/>
      <c r="F16" s="27"/>
      <c r="G16" s="26" t="s">
        <v>25</v>
      </c>
      <c r="H16" s="27"/>
      <c r="I16" s="26" t="s">
        <v>25</v>
      </c>
      <c r="J16" s="27"/>
      <c r="K16" s="26" t="s">
        <v>25</v>
      </c>
      <c r="L16" s="27"/>
      <c r="M16" s="26"/>
      <c r="N16" s="2"/>
      <c r="O16" s="2"/>
      <c r="P16" s="2"/>
      <c r="Q16" s="2"/>
      <c r="R16" s="2"/>
      <c r="S16" s="2"/>
      <c r="T16" s="2"/>
      <c r="U16" s="2"/>
      <c r="V16" s="2"/>
    </row>
    <row r="17" spans="1:22">
      <c r="A17" s="23" t="s">
        <v>24</v>
      </c>
      <c r="B17" s="22" t="s">
        <v>23</v>
      </c>
      <c r="C17" s="24" t="s">
        <v>22</v>
      </c>
      <c r="D17" s="23" t="s">
        <v>21</v>
      </c>
      <c r="E17" s="22" t="s">
        <v>20</v>
      </c>
      <c r="F17" s="25" t="s">
        <v>19</v>
      </c>
      <c r="G17" s="24" t="s">
        <v>18</v>
      </c>
      <c r="H17" s="23" t="s">
        <v>17</v>
      </c>
      <c r="I17" s="22" t="s">
        <v>16</v>
      </c>
      <c r="J17" s="24" t="s">
        <v>15</v>
      </c>
      <c r="K17" s="22" t="s">
        <v>14</v>
      </c>
      <c r="L17" s="23" t="s">
        <v>13</v>
      </c>
      <c r="M17" s="22" t="s">
        <v>12</v>
      </c>
      <c r="N17" s="2"/>
      <c r="O17" s="2"/>
      <c r="P17" s="2"/>
      <c r="Q17" s="2"/>
      <c r="R17" s="2"/>
      <c r="S17" s="2"/>
      <c r="T17" s="2"/>
      <c r="U17" s="2"/>
      <c r="V17" s="2"/>
    </row>
    <row r="18" spans="1:22" s="166" customFormat="1" ht="51" customHeight="1">
      <c r="A18" s="104">
        <v>1</v>
      </c>
      <c r="B18" s="163" t="s">
        <v>243</v>
      </c>
      <c r="C18" s="164" t="s">
        <v>244</v>
      </c>
      <c r="D18" s="164" t="s">
        <v>245</v>
      </c>
      <c r="E18" s="164"/>
      <c r="F18" s="165">
        <v>1</v>
      </c>
      <c r="G18" s="115"/>
      <c r="H18" s="151"/>
      <c r="I18" s="115"/>
      <c r="J18" s="151"/>
      <c r="K18" s="106"/>
      <c r="L18" s="138"/>
      <c r="M18" s="106"/>
    </row>
    <row r="19" spans="1:22" s="156" customFormat="1">
      <c r="A19" s="91"/>
      <c r="C19" s="91" t="s">
        <v>240</v>
      </c>
      <c r="D19" s="91" t="s">
        <v>4</v>
      </c>
      <c r="E19" s="105">
        <f>17*1.6</f>
        <v>27.200000000000003</v>
      </c>
      <c r="F19" s="139">
        <f>F18*E19</f>
        <v>27.200000000000003</v>
      </c>
      <c r="G19" s="94">
        <v>8.5</v>
      </c>
      <c r="H19" s="139">
        <f>F19*G19</f>
        <v>231.20000000000002</v>
      </c>
      <c r="I19" s="111"/>
      <c r="J19" s="150"/>
      <c r="K19" s="111"/>
      <c r="L19" s="150"/>
      <c r="M19" s="94">
        <f>H19</f>
        <v>231.20000000000002</v>
      </c>
    </row>
    <row r="20" spans="1:22" s="95" customFormat="1" ht="15.75">
      <c r="A20" s="96"/>
      <c r="B20" s="97"/>
      <c r="C20" s="96" t="s">
        <v>253</v>
      </c>
      <c r="D20" s="97" t="s">
        <v>245</v>
      </c>
      <c r="E20" s="103">
        <v>1</v>
      </c>
      <c r="F20" s="98">
        <f>F18*E20</f>
        <v>1</v>
      </c>
      <c r="G20" s="63"/>
      <c r="H20" s="65"/>
      <c r="I20" s="66">
        <f>1.18*300</f>
        <v>354</v>
      </c>
      <c r="J20" s="65">
        <f>F20*I20</f>
        <v>354</v>
      </c>
      <c r="K20" s="99"/>
      <c r="L20" s="100"/>
      <c r="M20" s="99">
        <f>J20</f>
        <v>354</v>
      </c>
    </row>
    <row r="21" spans="1:22" s="166" customFormat="1" ht="51" customHeight="1">
      <c r="A21" s="104">
        <v>2</v>
      </c>
      <c r="B21" s="163" t="s">
        <v>238</v>
      </c>
      <c r="C21" s="164" t="s">
        <v>239</v>
      </c>
      <c r="D21" s="164" t="s">
        <v>100</v>
      </c>
      <c r="E21" s="164"/>
      <c r="F21" s="165">
        <v>350</v>
      </c>
      <c r="G21" s="115"/>
      <c r="H21" s="151"/>
      <c r="I21" s="115"/>
      <c r="J21" s="151"/>
      <c r="K21" s="106"/>
      <c r="L21" s="138"/>
      <c r="M21" s="106"/>
    </row>
    <row r="22" spans="1:22" s="156" customFormat="1">
      <c r="A22" s="91"/>
      <c r="C22" s="91" t="s">
        <v>240</v>
      </c>
      <c r="D22" s="91" t="s">
        <v>4</v>
      </c>
      <c r="E22" s="105">
        <f>0.042*1.6</f>
        <v>6.720000000000001E-2</v>
      </c>
      <c r="F22" s="139">
        <f>F21*E22</f>
        <v>23.520000000000003</v>
      </c>
      <c r="G22" s="94">
        <v>8.5</v>
      </c>
      <c r="H22" s="139">
        <f>F22*G22</f>
        <v>199.92000000000002</v>
      </c>
      <c r="I22" s="111"/>
      <c r="J22" s="150"/>
      <c r="K22" s="111"/>
      <c r="L22" s="150"/>
      <c r="M22" s="94">
        <f>H22</f>
        <v>199.92000000000002</v>
      </c>
    </row>
    <row r="23" spans="1:22" s="95" customFormat="1" ht="15.75">
      <c r="A23" s="96"/>
      <c r="B23" s="97" t="s">
        <v>254</v>
      </c>
      <c r="C23" s="96" t="s">
        <v>241</v>
      </c>
      <c r="D23" s="97" t="s">
        <v>242</v>
      </c>
      <c r="E23" s="103">
        <v>1</v>
      </c>
      <c r="F23" s="98">
        <f>F21*E23</f>
        <v>350</v>
      </c>
      <c r="G23" s="63"/>
      <c r="H23" s="65"/>
      <c r="I23" s="66">
        <f>1.18*5.6</f>
        <v>6.6079999999999997</v>
      </c>
      <c r="J23" s="65">
        <f>F23*I23</f>
        <v>2312.7999999999997</v>
      </c>
      <c r="K23" s="99"/>
      <c r="L23" s="100"/>
      <c r="M23" s="99">
        <f>J23</f>
        <v>2312.7999999999997</v>
      </c>
    </row>
    <row r="24" spans="1:22" s="166" customFormat="1" ht="63.75" customHeight="1">
      <c r="A24" s="104">
        <v>3</v>
      </c>
      <c r="B24" s="163" t="s">
        <v>238</v>
      </c>
      <c r="C24" s="164" t="s">
        <v>246</v>
      </c>
      <c r="D24" s="164" t="s">
        <v>100</v>
      </c>
      <c r="E24" s="164"/>
      <c r="F24" s="165">
        <v>300</v>
      </c>
      <c r="G24" s="115"/>
      <c r="H24" s="151"/>
      <c r="I24" s="115"/>
      <c r="J24" s="151"/>
      <c r="K24" s="106"/>
      <c r="L24" s="138"/>
      <c r="M24" s="106"/>
    </row>
    <row r="25" spans="1:22" s="156" customFormat="1">
      <c r="A25" s="91"/>
      <c r="C25" s="91" t="s">
        <v>240</v>
      </c>
      <c r="D25" s="91" t="s">
        <v>4</v>
      </c>
      <c r="E25" s="105">
        <f>0.042*1.6</f>
        <v>6.720000000000001E-2</v>
      </c>
      <c r="F25" s="139">
        <f>F24*E25</f>
        <v>20.160000000000004</v>
      </c>
      <c r="G25" s="94">
        <v>8.5</v>
      </c>
      <c r="H25" s="139">
        <f>F25*G25</f>
        <v>171.36000000000004</v>
      </c>
      <c r="I25" s="111"/>
      <c r="J25" s="150"/>
      <c r="K25" s="111"/>
      <c r="L25" s="150"/>
      <c r="M25" s="94">
        <f>H25</f>
        <v>171.36000000000004</v>
      </c>
    </row>
    <row r="26" spans="1:22" s="95" customFormat="1" ht="15.75">
      <c r="A26" s="96"/>
      <c r="B26" s="97" t="s">
        <v>255</v>
      </c>
      <c r="C26" s="96" t="s">
        <v>247</v>
      </c>
      <c r="D26" s="97" t="s">
        <v>242</v>
      </c>
      <c r="E26" s="103">
        <v>1</v>
      </c>
      <c r="F26" s="98">
        <f>F24*E26</f>
        <v>300</v>
      </c>
      <c r="G26" s="63"/>
      <c r="H26" s="65"/>
      <c r="I26" s="66">
        <f>1.18*6.8</f>
        <v>8.0239999999999991</v>
      </c>
      <c r="J26" s="65">
        <f>F26*I26</f>
        <v>2407.1999999999998</v>
      </c>
      <c r="K26" s="99"/>
      <c r="L26" s="100"/>
      <c r="M26" s="99">
        <f>J26</f>
        <v>2407.1999999999998</v>
      </c>
    </row>
    <row r="27" spans="1:22" s="166" customFormat="1" ht="51" customHeight="1">
      <c r="A27" s="104">
        <v>4</v>
      </c>
      <c r="B27" s="163" t="s">
        <v>249</v>
      </c>
      <c r="C27" s="164" t="s">
        <v>248</v>
      </c>
      <c r="D27" s="164" t="s">
        <v>9</v>
      </c>
      <c r="E27" s="164"/>
      <c r="F27" s="165">
        <v>1</v>
      </c>
      <c r="G27" s="115"/>
      <c r="H27" s="151"/>
      <c r="I27" s="115"/>
      <c r="J27" s="151"/>
      <c r="K27" s="106"/>
      <c r="L27" s="138"/>
      <c r="M27" s="106"/>
    </row>
    <row r="28" spans="1:22" s="156" customFormat="1">
      <c r="A28" s="96"/>
      <c r="B28" s="261"/>
      <c r="C28" s="96" t="s">
        <v>240</v>
      </c>
      <c r="D28" s="96" t="s">
        <v>4</v>
      </c>
      <c r="E28" s="178">
        <f>22*1.6</f>
        <v>35.200000000000003</v>
      </c>
      <c r="F28" s="100">
        <f>F27*E28</f>
        <v>35.200000000000003</v>
      </c>
      <c r="G28" s="99">
        <v>8.5</v>
      </c>
      <c r="H28" s="100">
        <f>F28*G28</f>
        <v>299.20000000000005</v>
      </c>
      <c r="I28" s="66"/>
      <c r="J28" s="65"/>
      <c r="K28" s="66"/>
      <c r="L28" s="65"/>
      <c r="M28" s="99">
        <f>H28</f>
        <v>299.20000000000005</v>
      </c>
    </row>
    <row r="29" spans="1:22" s="166" customFormat="1" ht="51" customHeight="1">
      <c r="A29" s="104">
        <v>5</v>
      </c>
      <c r="B29" s="163" t="s">
        <v>256</v>
      </c>
      <c r="C29" s="164" t="s">
        <v>250</v>
      </c>
      <c r="D29" s="164" t="s">
        <v>245</v>
      </c>
      <c r="E29" s="164"/>
      <c r="F29" s="165">
        <v>1</v>
      </c>
      <c r="G29" s="115"/>
      <c r="H29" s="151"/>
      <c r="I29" s="115"/>
      <c r="J29" s="151"/>
      <c r="K29" s="106"/>
      <c r="L29" s="138"/>
      <c r="M29" s="106"/>
    </row>
    <row r="30" spans="1:22" s="156" customFormat="1" ht="15" customHeight="1">
      <c r="A30" s="91"/>
      <c r="B30" s="271"/>
      <c r="C30" s="91" t="s">
        <v>87</v>
      </c>
      <c r="D30" s="164" t="s">
        <v>245</v>
      </c>
      <c r="E30" s="106">
        <v>1</v>
      </c>
      <c r="F30" s="272">
        <f>F29*E30</f>
        <v>1</v>
      </c>
      <c r="G30" s="94">
        <v>200</v>
      </c>
      <c r="H30" s="272">
        <f>F30*G30</f>
        <v>200</v>
      </c>
      <c r="I30" s="111"/>
      <c r="J30" s="273"/>
      <c r="K30" s="111"/>
      <c r="L30" s="273"/>
      <c r="M30" s="94">
        <f>H30</f>
        <v>200</v>
      </c>
    </row>
    <row r="31" spans="1:22" s="95" customFormat="1" ht="15.75">
      <c r="A31" s="96"/>
      <c r="B31" s="97"/>
      <c r="C31" s="96" t="s">
        <v>204</v>
      </c>
      <c r="D31" s="97" t="s">
        <v>245</v>
      </c>
      <c r="E31" s="99">
        <v>1</v>
      </c>
      <c r="F31" s="100">
        <f>F29*E31</f>
        <v>1</v>
      </c>
      <c r="G31" s="63"/>
      <c r="H31" s="65"/>
      <c r="I31" s="66">
        <f>1.18*750</f>
        <v>885</v>
      </c>
      <c r="J31" s="65">
        <f>F31*I31</f>
        <v>885</v>
      </c>
      <c r="K31" s="99"/>
      <c r="L31" s="100"/>
      <c r="M31" s="99">
        <f>J31</f>
        <v>885</v>
      </c>
    </row>
    <row r="32" spans="1:22" s="166" customFormat="1" ht="51" customHeight="1">
      <c r="A32" s="104">
        <v>6</v>
      </c>
      <c r="B32" s="163" t="s">
        <v>238</v>
      </c>
      <c r="C32" s="164" t="s">
        <v>251</v>
      </c>
      <c r="D32" s="164" t="s">
        <v>100</v>
      </c>
      <c r="E32" s="164"/>
      <c r="F32" s="165">
        <v>115.5</v>
      </c>
      <c r="G32" s="115"/>
      <c r="H32" s="151"/>
      <c r="I32" s="115"/>
      <c r="J32" s="151"/>
      <c r="K32" s="106"/>
      <c r="L32" s="138"/>
      <c r="M32" s="106"/>
    </row>
    <row r="33" spans="1:256" s="156" customFormat="1">
      <c r="A33" s="91"/>
      <c r="C33" s="91" t="s">
        <v>240</v>
      </c>
      <c r="D33" s="91" t="s">
        <v>4</v>
      </c>
      <c r="E33" s="105">
        <f>0.042*1.6</f>
        <v>6.720000000000001E-2</v>
      </c>
      <c r="F33" s="139">
        <f>F32*E33</f>
        <v>7.7616000000000014</v>
      </c>
      <c r="G33" s="94">
        <v>8.5</v>
      </c>
      <c r="H33" s="139">
        <f>F33*G33</f>
        <v>65.973600000000005</v>
      </c>
      <c r="I33" s="111"/>
      <c r="J33" s="150"/>
      <c r="K33" s="111"/>
      <c r="L33" s="150"/>
      <c r="M33" s="94">
        <f>H33</f>
        <v>65.973600000000005</v>
      </c>
    </row>
    <row r="34" spans="1:256" s="95" customFormat="1" ht="15.75">
      <c r="A34" s="96"/>
      <c r="B34" s="97" t="s">
        <v>254</v>
      </c>
      <c r="C34" s="96" t="s">
        <v>241</v>
      </c>
      <c r="D34" s="97" t="s">
        <v>242</v>
      </c>
      <c r="E34" s="103">
        <v>1</v>
      </c>
      <c r="F34" s="98">
        <f>F32*E34</f>
        <v>115.5</v>
      </c>
      <c r="G34" s="63"/>
      <c r="H34" s="65"/>
      <c r="I34" s="66">
        <f>1.18*5.6</f>
        <v>6.6079999999999997</v>
      </c>
      <c r="J34" s="65">
        <f>F34*I34</f>
        <v>763.22399999999993</v>
      </c>
      <c r="K34" s="99"/>
      <c r="L34" s="100"/>
      <c r="M34" s="99">
        <f>J34</f>
        <v>763.22399999999993</v>
      </c>
    </row>
    <row r="35" spans="1:256" s="193" customFormat="1" ht="31.5">
      <c r="A35" s="170">
        <v>7</v>
      </c>
      <c r="B35" s="225" t="s">
        <v>168</v>
      </c>
      <c r="C35" s="170" t="s">
        <v>169</v>
      </c>
      <c r="D35" s="171" t="s">
        <v>10</v>
      </c>
      <c r="E35" s="178"/>
      <c r="F35" s="172">
        <v>2</v>
      </c>
      <c r="G35" s="170"/>
      <c r="H35" s="171"/>
      <c r="I35" s="170"/>
      <c r="J35" s="171"/>
      <c r="K35" s="173">
        <f>1.18*60.05</f>
        <v>70.858999999999995</v>
      </c>
      <c r="L35" s="171">
        <f>F35*K35</f>
        <v>141.71799999999999</v>
      </c>
      <c r="M35" s="226">
        <f>L35</f>
        <v>141.71799999999999</v>
      </c>
    </row>
    <row r="36" spans="1:256" s="240" customFormat="1" ht="30.75" customHeight="1">
      <c r="A36" s="231">
        <v>8</v>
      </c>
      <c r="B36" s="232" t="s">
        <v>177</v>
      </c>
      <c r="C36" s="233" t="s">
        <v>252</v>
      </c>
      <c r="D36" s="234" t="s">
        <v>10</v>
      </c>
      <c r="E36" s="235"/>
      <c r="F36" s="230">
        <v>2</v>
      </c>
      <c r="G36" s="236"/>
      <c r="H36" s="237"/>
      <c r="I36" s="238"/>
      <c r="J36" s="234"/>
      <c r="K36" s="236"/>
      <c r="L36" s="237"/>
      <c r="M36" s="238"/>
      <c r="N36" s="239"/>
      <c r="O36" s="228"/>
    </row>
    <row r="37" spans="1:256" s="240" customFormat="1" ht="15.75">
      <c r="A37" s="241"/>
      <c r="B37" s="242"/>
      <c r="C37" s="243" t="s">
        <v>180</v>
      </c>
      <c r="D37" s="243" t="s">
        <v>4</v>
      </c>
      <c r="E37" s="244">
        <f>1.5+0.56*3</f>
        <v>3.18</v>
      </c>
      <c r="F37" s="245">
        <f>F36*E37</f>
        <v>6.36</v>
      </c>
      <c r="G37" s="244">
        <v>6.6</v>
      </c>
      <c r="H37" s="246">
        <f>F37*G37</f>
        <v>41.975999999999999</v>
      </c>
      <c r="I37" s="247"/>
      <c r="J37" s="248"/>
      <c r="K37" s="247"/>
      <c r="L37" s="248"/>
      <c r="M37" s="244">
        <f>H37</f>
        <v>41.975999999999999</v>
      </c>
      <c r="N37" s="249"/>
      <c r="O37" s="229"/>
      <c r="P37" s="249"/>
      <c r="Q37" s="249"/>
      <c r="R37" s="249"/>
      <c r="S37" s="249"/>
      <c r="T37" s="249"/>
      <c r="U37" s="249"/>
      <c r="V37" s="249"/>
      <c r="W37" s="249"/>
      <c r="X37" s="249"/>
    </row>
    <row r="38" spans="1:256" s="3" customFormat="1" ht="15.75">
      <c r="A38" s="144"/>
      <c r="B38" s="144"/>
      <c r="C38" s="144" t="s">
        <v>2</v>
      </c>
      <c r="D38" s="144"/>
      <c r="E38" s="153"/>
      <c r="F38" s="153"/>
      <c r="G38" s="154"/>
      <c r="H38" s="158">
        <f>SUM(H19:H37)</f>
        <v>1209.6296000000002</v>
      </c>
      <c r="I38" s="159"/>
      <c r="J38" s="158">
        <f>SUM(J19:J37)</f>
        <v>6722.2240000000002</v>
      </c>
      <c r="K38" s="158"/>
      <c r="L38" s="158">
        <f>SUM(L19:L37)</f>
        <v>141.71799999999999</v>
      </c>
      <c r="M38" s="158">
        <f>SUM(M19:M37)</f>
        <v>8073.5715999999993</v>
      </c>
    </row>
    <row r="39" spans="1:256" s="3" customFormat="1" ht="41.25" customHeight="1">
      <c r="A39" s="144"/>
      <c r="B39" s="250" t="s">
        <v>107</v>
      </c>
      <c r="C39" s="182" t="s">
        <v>181</v>
      </c>
      <c r="D39" s="155">
        <v>0.15</v>
      </c>
      <c r="E39" s="153"/>
      <c r="F39" s="153"/>
      <c r="G39" s="154"/>
      <c r="H39" s="158">
        <f>H38*D39</f>
        <v>181.44444000000001</v>
      </c>
      <c r="I39" s="159"/>
      <c r="J39" s="158"/>
      <c r="K39" s="158"/>
      <c r="L39" s="158">
        <f>L38*D39</f>
        <v>21.257699999999996</v>
      </c>
      <c r="M39" s="158">
        <f>H39+L39</f>
        <v>202.70214000000001</v>
      </c>
    </row>
    <row r="40" spans="1:256" s="3" customFormat="1" ht="15.75">
      <c r="A40" s="144"/>
      <c r="B40" s="144"/>
      <c r="C40" s="144" t="s">
        <v>2</v>
      </c>
      <c r="D40" s="144"/>
      <c r="E40" s="153"/>
      <c r="F40" s="153"/>
      <c r="G40" s="154"/>
      <c r="H40" s="158">
        <f>H38+H39</f>
        <v>1391.0740400000002</v>
      </c>
      <c r="I40" s="159"/>
      <c r="J40" s="158">
        <f>J38</f>
        <v>6722.2240000000002</v>
      </c>
      <c r="K40" s="158"/>
      <c r="L40" s="158">
        <f>L38+L39</f>
        <v>162.97569999999999</v>
      </c>
      <c r="M40" s="158">
        <f>M38+M39</f>
        <v>8276.2737399999987</v>
      </c>
    </row>
    <row r="41" spans="1:256" s="2" customFormat="1">
      <c r="A41" s="19"/>
      <c r="B41" s="19"/>
      <c r="C41" s="14" t="s">
        <v>129</v>
      </c>
      <c r="D41" s="18">
        <v>0.1</v>
      </c>
      <c r="E41" s="17"/>
      <c r="F41" s="17"/>
      <c r="G41" s="16"/>
      <c r="H41" s="161">
        <f>(H40)*D41</f>
        <v>139.10740400000003</v>
      </c>
      <c r="I41" s="161"/>
      <c r="J41" s="161">
        <f>(J40)*D41</f>
        <v>672.22240000000011</v>
      </c>
      <c r="K41" s="161"/>
      <c r="L41" s="161">
        <f>(L40)*D41</f>
        <v>16.29757</v>
      </c>
      <c r="M41" s="161">
        <f t="shared" ref="M41:M44" si="0">SUM(H41:L41)</f>
        <v>827.62737400000015</v>
      </c>
      <c r="N41" s="15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" customFormat="1">
      <c r="A42" s="12"/>
      <c r="B42" s="12"/>
      <c r="C42" s="14" t="s">
        <v>2</v>
      </c>
      <c r="D42" s="13"/>
      <c r="E42" s="12"/>
      <c r="F42" s="12"/>
      <c r="G42" s="12"/>
      <c r="H42" s="160">
        <f>H40+H41</f>
        <v>1530.1814440000003</v>
      </c>
      <c r="I42" s="161"/>
      <c r="J42" s="160">
        <f>J40+J41</f>
        <v>7394.4464000000007</v>
      </c>
      <c r="K42" s="161"/>
      <c r="L42" s="160">
        <f>L40+L41</f>
        <v>179.27327</v>
      </c>
      <c r="M42" s="161">
        <f>SUM(H42:L42)</f>
        <v>9103.9011140000002</v>
      </c>
      <c r="N42" s="11"/>
    </row>
    <row r="43" spans="1:256" s="2" customFormat="1">
      <c r="A43" s="19"/>
      <c r="B43" s="19"/>
      <c r="C43" s="14" t="s">
        <v>3</v>
      </c>
      <c r="D43" s="18">
        <v>0.08</v>
      </c>
      <c r="E43" s="17"/>
      <c r="F43" s="17"/>
      <c r="G43" s="16"/>
      <c r="H43" s="161">
        <f>H42*D43</f>
        <v>122.41451552000002</v>
      </c>
      <c r="I43" s="161"/>
      <c r="J43" s="160">
        <f>J42*D43</f>
        <v>591.55571200000009</v>
      </c>
      <c r="K43" s="161"/>
      <c r="L43" s="161">
        <f>L42*D43</f>
        <v>14.3418616</v>
      </c>
      <c r="M43" s="161">
        <f>SUM(H43:L43)</f>
        <v>728.31208912000011</v>
      </c>
      <c r="N43" s="15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" customFormat="1">
      <c r="A44" s="12"/>
      <c r="B44" s="12"/>
      <c r="C44" s="14" t="s">
        <v>2</v>
      </c>
      <c r="D44" s="13"/>
      <c r="E44" s="12"/>
      <c r="F44" s="12"/>
      <c r="G44" s="12"/>
      <c r="H44" s="160">
        <f>H42+H43</f>
        <v>1652.5959595200004</v>
      </c>
      <c r="I44" s="161"/>
      <c r="J44" s="160">
        <f>J42+J43</f>
        <v>7986.002112000001</v>
      </c>
      <c r="K44" s="161"/>
      <c r="L44" s="161">
        <f>L42+L43</f>
        <v>193.61513159999998</v>
      </c>
      <c r="M44" s="161">
        <f t="shared" si="0"/>
        <v>9832.2132031200017</v>
      </c>
      <c r="N44" s="11"/>
    </row>
    <row r="45" spans="1:256" s="2" customFormat="1">
      <c r="A45" s="9"/>
      <c r="B45" s="8"/>
      <c r="C45" s="8"/>
      <c r="D45" s="9"/>
      <c r="E45" s="9"/>
      <c r="F45" s="10"/>
      <c r="G45" s="8"/>
      <c r="H45" s="8"/>
      <c r="I45" s="9"/>
      <c r="J45" s="8"/>
      <c r="K45" s="8"/>
      <c r="L45" s="8"/>
      <c r="M45" s="8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1:256" s="4" customFormat="1">
      <c r="A46" s="6"/>
      <c r="B46" s="5" t="s">
        <v>1</v>
      </c>
      <c r="F46" s="5"/>
      <c r="J46" s="5" t="s">
        <v>0</v>
      </c>
    </row>
    <row r="47" spans="1:256" s="4" customFormat="1">
      <c r="A47" s="6"/>
      <c r="B47" s="5"/>
      <c r="F47" s="5"/>
      <c r="J47" s="5"/>
    </row>
    <row r="48" spans="1:256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</sheetData>
  <mergeCells count="1">
    <mergeCell ref="A1:F1"/>
  </mergeCells>
  <pageMargins left="0.15748031496062992" right="0.27559055118110237" top="0.51181102362204722" bottom="0.43307086614173229" header="0.11811023622047245" footer="0.15748031496062992"/>
  <pageSetup paperSize="9" orientation="landscape" r:id="rId1"/>
  <headerFooter alignWithMargins="0">
    <oddFooter>&amp;C&amp;R&amp;P</oddFooter>
  </headerFooter>
  <ignoredErrors>
    <ignoredError sqref="H41:M45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8DE46-0D2C-4140-9C04-DEEE35FEC9AE}">
  <sheetPr>
    <tabColor rgb="FF408046"/>
  </sheetPr>
  <dimension ref="A1:IV36"/>
  <sheetViews>
    <sheetView topLeftCell="A16" zoomScale="126" zoomScaleNormal="126" workbookViewId="0">
      <selection activeCell="C27" sqref="C27"/>
    </sheetView>
  </sheetViews>
  <sheetFormatPr defaultColWidth="9.140625" defaultRowHeight="16.5"/>
  <cols>
    <col min="1" max="1" width="3.85546875" style="1" customWidth="1"/>
    <col min="2" max="2" width="8.7109375" style="1" customWidth="1"/>
    <col min="3" max="3" width="41.5703125" style="1" customWidth="1"/>
    <col min="4" max="4" width="7.7109375" style="1" customWidth="1"/>
    <col min="5" max="5" width="8.7109375" style="1" customWidth="1"/>
    <col min="6" max="6" width="9.85546875" style="1" customWidth="1"/>
    <col min="7" max="7" width="7.140625" style="1" customWidth="1"/>
    <col min="8" max="8" width="8.140625" style="1" customWidth="1"/>
    <col min="9" max="9" width="8" style="1" customWidth="1"/>
    <col min="10" max="10" width="8.5703125" style="1" customWidth="1"/>
    <col min="11" max="11" width="7" style="1" customWidth="1"/>
    <col min="12" max="12" width="9.85546875" style="1" customWidth="1"/>
    <col min="13" max="13" width="10.5703125" style="1" customWidth="1"/>
    <col min="14" max="16384" width="9.140625" style="1"/>
  </cols>
  <sheetData>
    <row r="1" spans="1:22" ht="30.75" customHeight="1">
      <c r="A1" s="303" t="str">
        <f>'x.2-1'!A1:F1</f>
        <v>duSeTis municipalitetis sofel mucos istoriul arqiteqturuli kompleqsis sareabilitacio samuSaoebis VIII etapi.</v>
      </c>
      <c r="B1" s="303"/>
      <c r="C1" s="303"/>
      <c r="D1" s="303"/>
      <c r="E1" s="303"/>
      <c r="F1" s="303"/>
      <c r="G1" s="303"/>
      <c r="H1" s="59"/>
      <c r="I1" s="47"/>
      <c r="J1" s="47"/>
      <c r="K1" s="47"/>
      <c r="L1" s="47"/>
      <c r="M1" s="47"/>
      <c r="N1" s="2"/>
      <c r="O1" s="2"/>
      <c r="P1" s="2"/>
      <c r="Q1" s="2"/>
      <c r="R1" s="2"/>
      <c r="S1" s="2"/>
      <c r="T1" s="2"/>
      <c r="U1" s="2"/>
      <c r="V1" s="2"/>
    </row>
    <row r="2" spans="1:22" ht="15" customHeight="1">
      <c r="A2" s="9" t="s">
        <v>46</v>
      </c>
      <c r="B2" s="9"/>
      <c r="C2" s="9"/>
      <c r="D2" s="9"/>
      <c r="E2" s="9"/>
      <c r="F2" s="9"/>
      <c r="G2" s="9"/>
      <c r="H2" s="9"/>
      <c r="I2" s="47"/>
      <c r="J2" s="47"/>
      <c r="K2" s="47"/>
      <c r="L2" s="47"/>
      <c r="M2" s="47"/>
      <c r="N2" s="2"/>
      <c r="O2" s="2"/>
      <c r="P2" s="2"/>
      <c r="Q2" s="2"/>
      <c r="R2" s="2"/>
      <c r="S2" s="2"/>
      <c r="T2" s="2"/>
      <c r="U2" s="2"/>
      <c r="V2" s="2"/>
    </row>
    <row r="3" spans="1:22" ht="15" customHeight="1">
      <c r="A3" s="9"/>
      <c r="B3" s="9"/>
      <c r="C3" s="57" t="s">
        <v>45</v>
      </c>
      <c r="D3" s="9"/>
      <c r="E3" s="9"/>
      <c r="F3" s="9"/>
      <c r="G3" s="9"/>
      <c r="H3" s="9"/>
      <c r="I3" s="47"/>
      <c r="J3" s="47"/>
      <c r="K3" s="47"/>
      <c r="L3" s="47"/>
      <c r="M3" s="47"/>
      <c r="N3" s="2"/>
      <c r="O3" s="2"/>
      <c r="P3" s="2"/>
      <c r="Q3" s="2"/>
      <c r="R3" s="2"/>
      <c r="S3" s="2"/>
      <c r="T3" s="2"/>
      <c r="U3" s="2"/>
      <c r="V3" s="2"/>
    </row>
    <row r="4" spans="1:22" ht="15" customHeight="1">
      <c r="A4" s="9"/>
      <c r="B4" s="9"/>
      <c r="C4" s="9"/>
      <c r="D4" s="9"/>
      <c r="E4" s="9"/>
      <c r="F4" s="9"/>
      <c r="G4" s="9"/>
      <c r="H4" s="9"/>
      <c r="I4" s="47"/>
      <c r="J4" s="47"/>
      <c r="K4" s="47"/>
      <c r="L4" s="47"/>
      <c r="M4" s="47"/>
      <c r="N4" s="2"/>
      <c r="O4" s="2"/>
      <c r="P4" s="2"/>
      <c r="Q4" s="2"/>
      <c r="R4" s="2"/>
      <c r="S4" s="2"/>
      <c r="T4" s="2"/>
      <c r="U4" s="2"/>
      <c r="V4" s="2"/>
    </row>
    <row r="5" spans="1:22" ht="18" customHeight="1">
      <c r="A5" s="9"/>
      <c r="B5" s="9"/>
      <c r="C5" s="227" t="s">
        <v>171</v>
      </c>
      <c r="D5" s="9"/>
      <c r="E5" s="9"/>
      <c r="F5" s="9"/>
      <c r="G5" s="9"/>
      <c r="H5" s="9"/>
      <c r="I5" s="47"/>
      <c r="J5" s="47"/>
      <c r="K5" s="47"/>
      <c r="L5" s="47"/>
      <c r="M5" s="47"/>
      <c r="N5" s="2"/>
      <c r="O5" s="2"/>
      <c r="P5" s="2"/>
      <c r="Q5" s="2"/>
      <c r="R5" s="2"/>
      <c r="S5" s="2"/>
      <c r="T5" s="2"/>
      <c r="U5" s="2"/>
      <c r="V5" s="2"/>
    </row>
    <row r="6" spans="1:22" ht="15" customHeight="1">
      <c r="A6" s="9"/>
      <c r="B6" s="9"/>
      <c r="C6" s="183" t="s">
        <v>170</v>
      </c>
      <c r="D6" s="9"/>
      <c r="E6" s="9"/>
      <c r="F6" s="9"/>
      <c r="G6" s="9"/>
      <c r="H6" s="9"/>
      <c r="I6" s="47"/>
      <c r="J6" s="47"/>
      <c r="K6" s="47"/>
      <c r="L6" s="47"/>
      <c r="M6" s="47"/>
      <c r="N6" s="2"/>
      <c r="O6" s="2"/>
      <c r="P6" s="2"/>
      <c r="Q6" s="2"/>
      <c r="R6" s="2"/>
      <c r="S6" s="2"/>
      <c r="T6" s="2"/>
      <c r="U6" s="2"/>
      <c r="V6" s="2"/>
    </row>
    <row r="7" spans="1:22" ht="10.5" customHeight="1">
      <c r="A7" s="9"/>
      <c r="B7" s="9"/>
      <c r="C7" s="9" t="s">
        <v>44</v>
      </c>
      <c r="D7" s="9"/>
      <c r="E7" s="9"/>
      <c r="F7" s="9"/>
      <c r="G7" s="9"/>
      <c r="H7" s="9"/>
      <c r="I7" s="47"/>
      <c r="J7" s="47"/>
      <c r="K7" s="47"/>
      <c r="L7" s="47"/>
      <c r="M7" s="47"/>
      <c r="N7" s="2"/>
      <c r="O7" s="2"/>
      <c r="P7" s="2"/>
      <c r="Q7" s="2"/>
      <c r="R7" s="2"/>
      <c r="S7" s="2"/>
      <c r="T7" s="2"/>
      <c r="U7" s="2"/>
      <c r="V7" s="2"/>
    </row>
    <row r="8" spans="1:22" ht="15" customHeight="1">
      <c r="A8" s="9"/>
      <c r="B8" s="9"/>
      <c r="C8" s="57" t="s">
        <v>43</v>
      </c>
      <c r="D8" s="9"/>
      <c r="E8" s="9"/>
      <c r="F8" s="9"/>
      <c r="G8" s="9"/>
      <c r="H8" s="9"/>
      <c r="I8" s="47"/>
      <c r="J8" s="47"/>
      <c r="K8" s="47"/>
      <c r="L8" s="47"/>
      <c r="M8" s="47"/>
      <c r="N8" s="2"/>
      <c r="O8" s="2"/>
      <c r="P8" s="2"/>
      <c r="Q8" s="2"/>
      <c r="R8" s="2"/>
      <c r="S8" s="2"/>
      <c r="T8" s="2"/>
      <c r="U8" s="2"/>
      <c r="V8" s="2"/>
    </row>
    <row r="9" spans="1:22" ht="15" customHeight="1">
      <c r="A9" s="9"/>
      <c r="B9" s="9"/>
      <c r="C9" s="56"/>
      <c r="D9" s="9"/>
      <c r="E9" s="9"/>
      <c r="F9" s="9"/>
      <c r="G9" s="9"/>
      <c r="H9" s="9"/>
      <c r="I9" s="47"/>
      <c r="J9" s="47"/>
      <c r="K9" s="47"/>
      <c r="L9" s="47"/>
      <c r="M9" s="47"/>
      <c r="N9" s="2"/>
      <c r="O9" s="2"/>
      <c r="P9" s="2"/>
      <c r="Q9" s="2"/>
      <c r="R9" s="2"/>
      <c r="S9" s="2"/>
      <c r="T9" s="2"/>
      <c r="U9" s="2"/>
      <c r="V9" s="2"/>
    </row>
    <row r="10" spans="1:22" ht="15" customHeight="1">
      <c r="A10" s="55" t="s">
        <v>172</v>
      </c>
      <c r="B10" s="44"/>
      <c r="C10" s="44"/>
      <c r="D10" s="52"/>
      <c r="E10" s="44"/>
      <c r="F10" s="52"/>
      <c r="G10" s="52"/>
      <c r="H10" s="52"/>
      <c r="I10" s="52"/>
      <c r="J10" s="52"/>
      <c r="K10" s="51" t="s">
        <v>41</v>
      </c>
      <c r="L10" s="143"/>
      <c r="M10" s="49" t="s">
        <v>7</v>
      </c>
      <c r="N10" s="2"/>
      <c r="O10" s="2"/>
      <c r="P10" s="2"/>
      <c r="Q10" s="2"/>
      <c r="R10" s="2"/>
      <c r="S10" s="2"/>
      <c r="T10" s="2"/>
      <c r="U10" s="2"/>
      <c r="V10" s="2"/>
    </row>
    <row r="11" spans="1:22" ht="15" customHeight="1">
      <c r="A11" s="54" t="s">
        <v>88</v>
      </c>
      <c r="B11" s="44"/>
      <c r="C11" s="44"/>
      <c r="D11" s="52"/>
      <c r="E11" s="31"/>
      <c r="F11" s="53"/>
      <c r="G11" s="53"/>
      <c r="H11" s="52"/>
      <c r="I11" s="52"/>
      <c r="J11" s="52"/>
      <c r="K11" s="51" t="s">
        <v>40</v>
      </c>
      <c r="L11" s="50"/>
      <c r="M11" s="49" t="s">
        <v>7</v>
      </c>
      <c r="N11" s="2"/>
      <c r="O11" s="2"/>
      <c r="P11" s="2"/>
      <c r="Q11" s="2"/>
      <c r="R11" s="2"/>
      <c r="S11" s="2"/>
      <c r="T11" s="2"/>
      <c r="U11" s="2"/>
      <c r="V11" s="2"/>
    </row>
    <row r="12" spans="1:22" s="2" customFormat="1" ht="15" customHeight="1">
      <c r="A12" s="47"/>
      <c r="B12" s="47"/>
      <c r="C12" s="47"/>
      <c r="D12" s="48"/>
      <c r="E12" s="48"/>
      <c r="F12" s="48"/>
      <c r="G12" s="48"/>
      <c r="H12" s="47"/>
      <c r="I12" s="47"/>
      <c r="J12" s="47"/>
      <c r="K12" s="47"/>
      <c r="L12" s="47"/>
      <c r="M12" s="47"/>
    </row>
    <row r="13" spans="1:22">
      <c r="A13" s="41"/>
      <c r="B13" s="38"/>
      <c r="C13" s="46"/>
      <c r="D13" s="45"/>
      <c r="E13" s="44" t="s">
        <v>39</v>
      </c>
      <c r="F13" s="43"/>
      <c r="G13" s="42" t="s">
        <v>38</v>
      </c>
      <c r="H13" s="40"/>
      <c r="I13" s="41" t="s">
        <v>37</v>
      </c>
      <c r="J13" s="40"/>
      <c r="K13" s="39" t="s">
        <v>36</v>
      </c>
      <c r="L13" s="39"/>
      <c r="M13" s="38"/>
      <c r="N13" s="2"/>
      <c r="O13" s="2"/>
      <c r="P13" s="2"/>
      <c r="Q13" s="2"/>
      <c r="R13" s="2"/>
      <c r="S13" s="2"/>
      <c r="T13" s="2"/>
      <c r="U13" s="2"/>
      <c r="V13" s="2"/>
    </row>
    <row r="14" spans="1:22" ht="16.5" customHeight="1">
      <c r="A14" s="37"/>
      <c r="B14" s="30"/>
      <c r="C14" s="36" t="s">
        <v>35</v>
      </c>
      <c r="D14" s="28"/>
      <c r="E14" s="35" t="s">
        <v>34</v>
      </c>
      <c r="F14" s="34"/>
      <c r="G14" s="29"/>
      <c r="H14" s="34"/>
      <c r="I14" s="29"/>
      <c r="J14" s="34"/>
      <c r="K14" s="29" t="s">
        <v>33</v>
      </c>
      <c r="L14" s="33"/>
      <c r="M14" s="30" t="s">
        <v>2</v>
      </c>
      <c r="N14" s="2"/>
      <c r="O14" s="2"/>
      <c r="P14" s="2"/>
      <c r="Q14" s="2"/>
      <c r="R14" s="2"/>
      <c r="S14" s="2"/>
      <c r="T14" s="2"/>
      <c r="U14" s="2"/>
      <c r="V14" s="2"/>
    </row>
    <row r="15" spans="1:22">
      <c r="A15" s="32" t="s">
        <v>32</v>
      </c>
      <c r="B15" s="30" t="s">
        <v>31</v>
      </c>
      <c r="C15" s="9" t="s">
        <v>30</v>
      </c>
      <c r="D15" s="30" t="s">
        <v>29</v>
      </c>
      <c r="E15" s="30" t="s">
        <v>28</v>
      </c>
      <c r="F15" s="31" t="s">
        <v>26</v>
      </c>
      <c r="G15" s="30" t="s">
        <v>27</v>
      </c>
      <c r="H15" s="31" t="s">
        <v>26</v>
      </c>
      <c r="I15" s="30" t="s">
        <v>27</v>
      </c>
      <c r="J15" s="31" t="s">
        <v>26</v>
      </c>
      <c r="K15" s="30" t="s">
        <v>27</v>
      </c>
      <c r="L15" s="31" t="s">
        <v>26</v>
      </c>
      <c r="M15" s="30"/>
      <c r="N15" s="2"/>
      <c r="O15" s="2"/>
      <c r="P15" s="2"/>
      <c r="Q15" s="2"/>
      <c r="R15" s="2"/>
      <c r="S15" s="2"/>
      <c r="T15" s="2"/>
      <c r="U15" s="2"/>
      <c r="V15" s="2"/>
    </row>
    <row r="16" spans="1:22">
      <c r="A16" s="29"/>
      <c r="B16" s="26"/>
      <c r="C16" s="27"/>
      <c r="D16" s="28"/>
      <c r="E16" s="26"/>
      <c r="F16" s="27"/>
      <c r="G16" s="26" t="s">
        <v>25</v>
      </c>
      <c r="H16" s="27"/>
      <c r="I16" s="26" t="s">
        <v>25</v>
      </c>
      <c r="J16" s="27"/>
      <c r="K16" s="26" t="s">
        <v>25</v>
      </c>
      <c r="L16" s="27"/>
      <c r="M16" s="26"/>
      <c r="N16" s="2"/>
      <c r="O16" s="2"/>
      <c r="P16" s="2"/>
      <c r="Q16" s="2"/>
      <c r="R16" s="2"/>
      <c r="S16" s="2"/>
      <c r="T16" s="2"/>
      <c r="U16" s="2"/>
      <c r="V16" s="2"/>
    </row>
    <row r="17" spans="1:256">
      <c r="A17" s="23" t="s">
        <v>24</v>
      </c>
      <c r="B17" s="22" t="s">
        <v>23</v>
      </c>
      <c r="C17" s="24" t="s">
        <v>22</v>
      </c>
      <c r="D17" s="23" t="s">
        <v>21</v>
      </c>
      <c r="E17" s="22" t="s">
        <v>20</v>
      </c>
      <c r="F17" s="25" t="s">
        <v>19</v>
      </c>
      <c r="G17" s="24" t="s">
        <v>18</v>
      </c>
      <c r="H17" s="23" t="s">
        <v>17</v>
      </c>
      <c r="I17" s="22" t="s">
        <v>16</v>
      </c>
      <c r="J17" s="24" t="s">
        <v>15</v>
      </c>
      <c r="K17" s="22" t="s">
        <v>14</v>
      </c>
      <c r="L17" s="23" t="s">
        <v>13</v>
      </c>
      <c r="M17" s="22" t="s">
        <v>12</v>
      </c>
      <c r="N17" s="2"/>
      <c r="O17" s="2"/>
      <c r="P17" s="2"/>
      <c r="Q17" s="2"/>
      <c r="R17" s="2"/>
      <c r="S17" s="2"/>
      <c r="T17" s="2"/>
      <c r="U17" s="2"/>
      <c r="V17" s="2"/>
    </row>
    <row r="18" spans="1:256" s="110" customFormat="1" ht="78.75">
      <c r="A18" s="104">
        <v>1</v>
      </c>
      <c r="B18" s="110" t="s">
        <v>184</v>
      </c>
      <c r="C18" s="104" t="s">
        <v>186</v>
      </c>
      <c r="D18" s="110" t="s">
        <v>6</v>
      </c>
      <c r="E18" s="106"/>
      <c r="F18" s="277">
        <f>F22/0.6</f>
        <v>1.6666666666666667</v>
      </c>
      <c r="G18" s="106"/>
      <c r="H18" s="104"/>
      <c r="I18" s="104"/>
      <c r="K18" s="104"/>
      <c r="M18" s="104"/>
    </row>
    <row r="19" spans="1:256" s="95" customFormat="1" ht="15.75">
      <c r="A19" s="91"/>
      <c r="B19" s="91"/>
      <c r="C19" s="91" t="s">
        <v>5</v>
      </c>
      <c r="D19" s="91" t="s">
        <v>4</v>
      </c>
      <c r="E19" s="275">
        <v>7.06</v>
      </c>
      <c r="F19" s="94">
        <f>F18*E19</f>
        <v>11.766666666666666</v>
      </c>
      <c r="G19" s="276">
        <v>6.6</v>
      </c>
      <c r="H19" s="95">
        <f>F19*G19</f>
        <v>77.66</v>
      </c>
      <c r="I19" s="61"/>
      <c r="J19" s="149"/>
      <c r="K19" s="61"/>
      <c r="L19" s="149"/>
      <c r="M19" s="94">
        <f>H19</f>
        <v>77.66</v>
      </c>
    </row>
    <row r="20" spans="1:256" s="142" customFormat="1" ht="27" customHeight="1">
      <c r="A20" s="117"/>
      <c r="B20" s="251" t="s">
        <v>265</v>
      </c>
      <c r="C20" s="117" t="s">
        <v>267</v>
      </c>
      <c r="D20" s="252" t="s">
        <v>185</v>
      </c>
      <c r="E20" s="118">
        <v>5.2</v>
      </c>
      <c r="F20" s="253">
        <f>F18*E20</f>
        <v>8.6666666666666679</v>
      </c>
      <c r="G20" s="118"/>
      <c r="H20" s="254"/>
      <c r="I20" s="118"/>
      <c r="J20" s="252"/>
      <c r="K20" s="118">
        <f>7.41</f>
        <v>7.41</v>
      </c>
      <c r="L20" s="253">
        <f>F20*K20</f>
        <v>64.220000000000013</v>
      </c>
      <c r="M20" s="118">
        <f>L20</f>
        <v>64.220000000000013</v>
      </c>
    </row>
    <row r="21" spans="1:256" s="110" customFormat="1" ht="27" customHeight="1">
      <c r="A21" s="170"/>
      <c r="B21" s="251" t="s">
        <v>266</v>
      </c>
      <c r="C21" s="170" t="s">
        <v>268</v>
      </c>
      <c r="D21" s="171" t="s">
        <v>185</v>
      </c>
      <c r="E21" s="173">
        <v>1.3</v>
      </c>
      <c r="F21" s="172">
        <f>F18*E21</f>
        <v>2.166666666666667</v>
      </c>
      <c r="G21" s="173"/>
      <c r="H21" s="284"/>
      <c r="I21" s="173"/>
      <c r="J21" s="171"/>
      <c r="K21" s="173">
        <v>33.1</v>
      </c>
      <c r="L21" s="172">
        <f>F21*K21</f>
        <v>71.716666666666683</v>
      </c>
      <c r="M21" s="173">
        <f>L21</f>
        <v>71.716666666666683</v>
      </c>
    </row>
    <row r="22" spans="1:256" s="240" customFormat="1" ht="30.75" customHeight="1">
      <c r="A22" s="231">
        <v>2</v>
      </c>
      <c r="B22" s="232" t="s">
        <v>177</v>
      </c>
      <c r="C22" s="104" t="s">
        <v>187</v>
      </c>
      <c r="D22" s="234" t="s">
        <v>10</v>
      </c>
      <c r="E22" s="235"/>
      <c r="F22" s="230">
        <v>1</v>
      </c>
      <c r="G22" s="236"/>
      <c r="H22" s="237"/>
      <c r="I22" s="238"/>
      <c r="J22" s="234"/>
      <c r="K22" s="236"/>
      <c r="L22" s="237"/>
      <c r="M22" s="238"/>
      <c r="N22" s="239"/>
      <c r="O22" s="228"/>
    </row>
    <row r="23" spans="1:256" s="240" customFormat="1" ht="15.75">
      <c r="A23" s="241"/>
      <c r="B23" s="242"/>
      <c r="C23" s="243" t="s">
        <v>193</v>
      </c>
      <c r="D23" s="243" t="s">
        <v>4</v>
      </c>
      <c r="E23" s="244">
        <f>1.5+0.56*2</f>
        <v>2.62</v>
      </c>
      <c r="F23" s="245">
        <f>F22*E23</f>
        <v>2.62</v>
      </c>
      <c r="G23" s="244">
        <v>6.6</v>
      </c>
      <c r="H23" s="246">
        <f>F23*G23</f>
        <v>17.291999999999998</v>
      </c>
      <c r="I23" s="247"/>
      <c r="J23" s="248"/>
      <c r="K23" s="247"/>
      <c r="L23" s="248"/>
      <c r="M23" s="244">
        <f>H23</f>
        <v>17.291999999999998</v>
      </c>
      <c r="N23" s="249"/>
      <c r="O23" s="229"/>
      <c r="P23" s="249"/>
      <c r="Q23" s="249"/>
      <c r="R23" s="249"/>
      <c r="S23" s="249"/>
      <c r="T23" s="249"/>
      <c r="U23" s="249"/>
      <c r="V23" s="249"/>
      <c r="W23" s="249"/>
      <c r="X23" s="249"/>
    </row>
    <row r="24" spans="1:256" s="193" customFormat="1" ht="31.5">
      <c r="A24" s="104">
        <v>3</v>
      </c>
      <c r="B24" s="177" t="s">
        <v>182</v>
      </c>
      <c r="C24" s="104" t="s">
        <v>189</v>
      </c>
      <c r="D24" s="110" t="s">
        <v>6</v>
      </c>
      <c r="E24" s="105"/>
      <c r="F24" s="138">
        <v>1</v>
      </c>
      <c r="G24" s="106"/>
      <c r="H24" s="104"/>
      <c r="I24" s="104"/>
      <c r="J24" s="110"/>
      <c r="K24" s="104"/>
      <c r="L24" s="110"/>
      <c r="M24" s="104"/>
    </row>
    <row r="25" spans="1:256" s="108" customFormat="1" ht="15.75">
      <c r="A25" s="96"/>
      <c r="B25" s="96"/>
      <c r="C25" s="96" t="s">
        <v>5</v>
      </c>
      <c r="D25" s="96" t="s">
        <v>4</v>
      </c>
      <c r="E25" s="103">
        <v>1.21</v>
      </c>
      <c r="F25" s="98">
        <f>F24*E25</f>
        <v>1.21</v>
      </c>
      <c r="G25" s="99">
        <v>6.6</v>
      </c>
      <c r="H25" s="100">
        <f>F25*G25</f>
        <v>7.9859999999999998</v>
      </c>
      <c r="I25" s="63"/>
      <c r="J25" s="62"/>
      <c r="K25" s="63"/>
      <c r="L25" s="62"/>
      <c r="M25" s="99">
        <f>H25</f>
        <v>7.9859999999999998</v>
      </c>
    </row>
    <row r="26" spans="1:256" s="193" customFormat="1" ht="24.75" customHeight="1">
      <c r="A26" s="170">
        <v>4</v>
      </c>
      <c r="B26" s="225" t="s">
        <v>168</v>
      </c>
      <c r="C26" s="170" t="s">
        <v>192</v>
      </c>
      <c r="D26" s="171" t="s">
        <v>10</v>
      </c>
      <c r="E26" s="178"/>
      <c r="F26" s="172">
        <v>2.6</v>
      </c>
      <c r="G26" s="170"/>
      <c r="H26" s="171"/>
      <c r="I26" s="170"/>
      <c r="J26" s="171"/>
      <c r="K26" s="173">
        <v>7.7</v>
      </c>
      <c r="L26" s="171">
        <f>F26*K26</f>
        <v>20.02</v>
      </c>
      <c r="M26" s="226">
        <f>L26</f>
        <v>20.02</v>
      </c>
    </row>
    <row r="27" spans="1:256" s="193" customFormat="1" ht="33.75" customHeight="1">
      <c r="A27" s="104">
        <v>5</v>
      </c>
      <c r="B27" s="177" t="s">
        <v>188</v>
      </c>
      <c r="C27" s="104" t="s">
        <v>190</v>
      </c>
      <c r="D27" s="110" t="s">
        <v>10</v>
      </c>
      <c r="E27" s="105"/>
      <c r="F27" s="138">
        <v>2.6</v>
      </c>
      <c r="G27" s="106"/>
      <c r="H27" s="104"/>
      <c r="I27" s="104"/>
      <c r="J27" s="110"/>
      <c r="K27" s="104"/>
      <c r="L27" s="110"/>
      <c r="M27" s="104"/>
    </row>
    <row r="28" spans="1:256" s="108" customFormat="1" ht="15.75">
      <c r="A28" s="96"/>
      <c r="B28" s="96"/>
      <c r="C28" s="96" t="s">
        <v>5</v>
      </c>
      <c r="D28" s="170" t="s">
        <v>10</v>
      </c>
      <c r="E28" s="103">
        <v>1</v>
      </c>
      <c r="F28" s="98">
        <f>F27*E28</f>
        <v>2.6</v>
      </c>
      <c r="G28" s="99">
        <v>15</v>
      </c>
      <c r="H28" s="100">
        <f>F28*G28</f>
        <v>39</v>
      </c>
      <c r="I28" s="63"/>
      <c r="J28" s="62"/>
      <c r="K28" s="63"/>
      <c r="L28" s="62"/>
      <c r="M28" s="99">
        <f>H28</f>
        <v>39</v>
      </c>
    </row>
    <row r="29" spans="1:256">
      <c r="A29" s="22"/>
      <c r="B29" s="22"/>
      <c r="C29" s="255" t="s">
        <v>2</v>
      </c>
      <c r="D29" s="22"/>
      <c r="E29" s="22"/>
      <c r="F29" s="22"/>
      <c r="G29" s="22"/>
      <c r="H29" s="22">
        <f>SUM(H19:H28)</f>
        <v>141.93799999999999</v>
      </c>
      <c r="I29" s="22"/>
      <c r="J29" s="22"/>
      <c r="K29" s="22"/>
      <c r="L29" s="258">
        <f>SUM(L19:L28)</f>
        <v>155.95666666666671</v>
      </c>
      <c r="M29" s="257">
        <f>SUM(M19:M28)</f>
        <v>297.89466666666669</v>
      </c>
      <c r="N29" s="2"/>
      <c r="O29" s="2"/>
      <c r="P29" s="2"/>
      <c r="Q29" s="2"/>
      <c r="R29" s="2"/>
      <c r="S29" s="2"/>
      <c r="T29" s="2"/>
      <c r="U29" s="2"/>
      <c r="V29" s="2"/>
    </row>
    <row r="30" spans="1:256">
      <c r="A30" s="22"/>
      <c r="B30" s="22"/>
      <c r="C30" s="259" t="s">
        <v>191</v>
      </c>
      <c r="D30" s="22"/>
      <c r="E30" s="22"/>
      <c r="F30" s="22"/>
      <c r="G30" s="22"/>
      <c r="H30" s="22"/>
      <c r="I30" s="22"/>
      <c r="J30" s="22"/>
      <c r="K30" s="22"/>
      <c r="L30" s="22"/>
      <c r="M30" s="257">
        <f>M29</f>
        <v>297.89466666666669</v>
      </c>
      <c r="N30" s="2"/>
      <c r="O30" s="2"/>
      <c r="P30" s="2"/>
      <c r="Q30" s="2"/>
      <c r="R30" s="2"/>
      <c r="S30" s="2"/>
      <c r="T30" s="2"/>
      <c r="U30" s="2"/>
      <c r="V30" s="2"/>
    </row>
    <row r="31" spans="1:256">
      <c r="A31" s="31"/>
      <c r="B31" s="31"/>
      <c r="C31" s="256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2"/>
      <c r="O31" s="2"/>
      <c r="P31" s="2"/>
      <c r="Q31" s="2"/>
      <c r="R31" s="2"/>
      <c r="S31" s="2"/>
      <c r="T31" s="2"/>
      <c r="U31" s="2"/>
      <c r="V31" s="2"/>
    </row>
    <row r="32" spans="1:256" s="2" customFormat="1">
      <c r="A32" s="9"/>
      <c r="B32" s="8"/>
      <c r="C32" s="8"/>
      <c r="D32" s="9"/>
      <c r="E32" s="9"/>
      <c r="F32" s="10"/>
      <c r="G32" s="8"/>
      <c r="H32" s="8"/>
      <c r="I32" s="9"/>
      <c r="J32" s="8"/>
      <c r="K32" s="8"/>
      <c r="L32" s="8"/>
      <c r="M32" s="8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13" s="4" customFormat="1">
      <c r="A33" s="6"/>
      <c r="B33" s="5" t="s">
        <v>1</v>
      </c>
      <c r="F33" s="5"/>
      <c r="J33" s="5" t="s">
        <v>0</v>
      </c>
    </row>
    <row r="34" spans="1:13" s="4" customFormat="1">
      <c r="A34" s="6"/>
      <c r="B34" s="5"/>
      <c r="F34" s="5"/>
      <c r="J34" s="5"/>
    </row>
    <row r="35" spans="1:1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s="2" customFormat="1"/>
  </sheetData>
  <mergeCells count="1">
    <mergeCell ref="A1:G1"/>
  </mergeCells>
  <pageMargins left="0.15748031496062992" right="0.27559055118110237" top="0.51181102362204722" bottom="0.43307086614173229" header="0.11811023622047245" footer="0.15748031496062992"/>
  <pageSetup paperSize="9" orientation="landscape" r:id="rId1"/>
  <headerFooter alignWithMargins="0">
    <oddFooter>&amp;C&amp;R&amp;P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TV</vt:lpstr>
      <vt:lpstr>GB</vt:lpstr>
      <vt:lpstr>K.X.</vt:lpstr>
      <vt:lpstr>x.2-1</vt:lpstr>
      <vt:lpstr>x.2-2</vt:lpstr>
      <vt:lpstr>x.2-3</vt:lpstr>
      <vt:lpstr>კალკულცია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QETI</dc:creator>
  <cp:lastModifiedBy>Khatia</cp:lastModifiedBy>
  <cp:lastPrinted>2022-02-14T09:00:54Z</cp:lastPrinted>
  <dcterms:created xsi:type="dcterms:W3CDTF">2018-03-05T17:06:36Z</dcterms:created>
  <dcterms:modified xsi:type="dcterms:W3CDTF">2022-04-18T11:55:20Z</dcterms:modified>
</cp:coreProperties>
</file>