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py19\პროექტი\"/>
    </mc:Choice>
  </mc:AlternateContent>
  <bookViews>
    <workbookView xWindow="7755" yWindow="-300" windowWidth="11520" windowHeight="13380"/>
  </bookViews>
  <sheets>
    <sheet name="ხარჯ.გადაფ. (2) შესასრ." sheetId="4" r:id="rId1"/>
  </sheets>
  <definedNames>
    <definedName name="_xlnm._FilterDatabase" localSheetId="0" hidden="1">'ხარჯ.გადაფ. (2) შესასრ.'!$K$1:$K$381</definedName>
    <definedName name="_xlnm.Print_Area" localSheetId="0">'ხარჯ.გადაფ. (2) შესასრ.'!$A$1:$M$387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3" i="4" l="1"/>
  <c r="F371" i="4"/>
  <c r="F370" i="4"/>
  <c r="F369" i="4"/>
  <c r="F365" i="4"/>
  <c r="F366" i="4" s="1"/>
  <c r="F364" i="4"/>
  <c r="F363" i="4"/>
  <c r="F356" i="4"/>
  <c r="F358" i="4" s="1"/>
  <c r="F350" i="4"/>
  <c r="F352" i="4" s="1"/>
  <c r="F348" i="4"/>
  <c r="F347" i="4"/>
  <c r="F346" i="4"/>
  <c r="F345" i="4"/>
  <c r="F344" i="4"/>
  <c r="F340" i="4"/>
  <c r="F338" i="4"/>
  <c r="F335" i="4"/>
  <c r="F334" i="4"/>
  <c r="F333" i="4"/>
  <c r="F332" i="4"/>
  <c r="F336" i="4" s="1"/>
  <c r="F328" i="4"/>
  <c r="F326" i="4"/>
  <c r="E326" i="4"/>
  <c r="F325" i="4"/>
  <c r="F329" i="4" s="1"/>
  <c r="E325" i="4"/>
  <c r="F320" i="4"/>
  <c r="F319" i="4"/>
  <c r="F321" i="4" s="1"/>
  <c r="F317" i="4"/>
  <c r="F315" i="4"/>
  <c r="F313" i="4"/>
  <c r="F316" i="4" s="1"/>
  <c r="F311" i="4"/>
  <c r="F310" i="4"/>
  <c r="F309" i="4"/>
  <c r="F308" i="4"/>
  <c r="F307" i="4"/>
  <c r="F303" i="4"/>
  <c r="F301" i="4"/>
  <c r="F297" i="4"/>
  <c r="E295" i="4"/>
  <c r="F295" i="4" s="1"/>
  <c r="E294" i="4"/>
  <c r="F294" i="4" s="1"/>
  <c r="F289" i="4"/>
  <c r="F288" i="4"/>
  <c r="F290" i="4" s="1"/>
  <c r="F286" i="4"/>
  <c r="F285" i="4"/>
  <c r="F284" i="4"/>
  <c r="F283" i="4"/>
  <c r="F282" i="4"/>
  <c r="F280" i="4"/>
  <c r="F278" i="4"/>
  <c r="F276" i="4"/>
  <c r="F279" i="4" s="1"/>
  <c r="F273" i="4"/>
  <c r="F272" i="4"/>
  <c r="F271" i="4"/>
  <c r="F270" i="4"/>
  <c r="F274" i="4" s="1"/>
  <c r="F266" i="4"/>
  <c r="F264" i="4"/>
  <c r="E264" i="4"/>
  <c r="F263" i="4"/>
  <c r="F268" i="4" s="1"/>
  <c r="E263" i="4"/>
  <c r="F259" i="4"/>
  <c r="F258" i="4"/>
  <c r="F257" i="4"/>
  <c r="F256" i="4"/>
  <c r="F255" i="4"/>
  <c r="F254" i="4"/>
  <c r="F253" i="4"/>
  <c r="F252" i="4"/>
  <c r="F248" i="4"/>
  <c r="F247" i="4"/>
  <c r="F242" i="4"/>
  <c r="F241" i="4"/>
  <c r="F240" i="4"/>
  <c r="F239" i="4"/>
  <c r="F237" i="4"/>
  <c r="F236" i="4"/>
  <c r="F235" i="4"/>
  <c r="F232" i="4"/>
  <c r="F231" i="4"/>
  <c r="F230" i="4"/>
  <c r="E227" i="4"/>
  <c r="F224" i="4"/>
  <c r="F223" i="4"/>
  <c r="F222" i="4"/>
  <c r="F221" i="4"/>
  <c r="F219" i="4"/>
  <c r="F218" i="4"/>
  <c r="F215" i="4"/>
  <c r="F217" i="4" s="1"/>
  <c r="F211" i="4"/>
  <c r="E211" i="4"/>
  <c r="F210" i="4"/>
  <c r="F209" i="4"/>
  <c r="F213" i="4" s="1"/>
  <c r="F214" i="4" s="1"/>
  <c r="F206" i="4"/>
  <c r="F205" i="4"/>
  <c r="F204" i="4"/>
  <c r="F203" i="4"/>
  <c r="F200" i="4"/>
  <c r="F197" i="4"/>
  <c r="F193" i="4"/>
  <c r="F192" i="4"/>
  <c r="E190" i="4"/>
  <c r="F188" i="4"/>
  <c r="F187" i="4"/>
  <c r="F190" i="4" s="1"/>
  <c r="F186" i="4"/>
  <c r="F185" i="4"/>
  <c r="F184" i="4"/>
  <c r="F181" i="4"/>
  <c r="F179" i="4"/>
  <c r="F249" i="4" s="1"/>
  <c r="F250" i="4" s="1"/>
  <c r="F178" i="4"/>
  <c r="F180" i="4" s="1"/>
  <c r="E174" i="4"/>
  <c r="F174" i="4" s="1"/>
  <c r="E173" i="4"/>
  <c r="E172" i="4"/>
  <c r="E170" i="4"/>
  <c r="E169" i="4"/>
  <c r="E167" i="4"/>
  <c r="F165" i="4"/>
  <c r="F166" i="4" s="1"/>
  <c r="F164" i="4"/>
  <c r="F162" i="4"/>
  <c r="F163" i="4" s="1"/>
  <c r="E162" i="4"/>
  <c r="F161" i="4"/>
  <c r="E161" i="4"/>
  <c r="E160" i="4"/>
  <c r="F160" i="4" s="1"/>
  <c r="F159" i="4"/>
  <c r="E159" i="4"/>
  <c r="F158" i="4"/>
  <c r="E158" i="4"/>
  <c r="F157" i="4"/>
  <c r="E157" i="4"/>
  <c r="E156" i="4"/>
  <c r="F156" i="4" s="1"/>
  <c r="E152" i="4"/>
  <c r="F148" i="4"/>
  <c r="F149" i="4" s="1"/>
  <c r="F146" i="4"/>
  <c r="F147" i="4" s="1"/>
  <c r="F145" i="4"/>
  <c r="F144" i="4"/>
  <c r="E144" i="4"/>
  <c r="F143" i="4"/>
  <c r="E143" i="4"/>
  <c r="F142" i="4"/>
  <c r="E142" i="4"/>
  <c r="F138" i="4"/>
  <c r="F137" i="4"/>
  <c r="F136" i="4"/>
  <c r="F135" i="4"/>
  <c r="F134" i="4"/>
  <c r="F133" i="4"/>
  <c r="F132" i="4"/>
  <c r="F129" i="4"/>
  <c r="F127" i="4"/>
  <c r="F128" i="4" s="1"/>
  <c r="E124" i="4"/>
  <c r="E123" i="4"/>
  <c r="E122" i="4"/>
  <c r="E120" i="4"/>
  <c r="E119" i="4"/>
  <c r="E117" i="4"/>
  <c r="F116" i="4"/>
  <c r="F125" i="4" s="1"/>
  <c r="F114" i="4"/>
  <c r="E112" i="4"/>
  <c r="F112" i="4" s="1"/>
  <c r="F113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2" i="4"/>
  <c r="F98" i="4"/>
  <c r="F101" i="4" s="1"/>
  <c r="F95" i="4"/>
  <c r="F94" i="4"/>
  <c r="E94" i="4"/>
  <c r="E93" i="4"/>
  <c r="F93" i="4" s="1"/>
  <c r="E92" i="4"/>
  <c r="F92" i="4" s="1"/>
  <c r="F96" i="4"/>
  <c r="F97" i="4" s="1"/>
  <c r="F88" i="4"/>
  <c r="F86" i="4"/>
  <c r="F85" i="4"/>
  <c r="F84" i="4"/>
  <c r="F83" i="4"/>
  <c r="F82" i="4"/>
  <c r="F80" i="4"/>
  <c r="E78" i="4"/>
  <c r="F78" i="4" s="1"/>
  <c r="F77" i="4"/>
  <c r="F76" i="4"/>
  <c r="F75" i="4"/>
  <c r="F74" i="4"/>
  <c r="F79" i="4" s="1"/>
  <c r="F73" i="4"/>
  <c r="F70" i="4"/>
  <c r="E65" i="4"/>
  <c r="E64" i="4"/>
  <c r="F63" i="4"/>
  <c r="E63" i="4"/>
  <c r="F62" i="4"/>
  <c r="E58" i="4"/>
  <c r="F57" i="4"/>
  <c r="E57" i="4"/>
  <c r="F55" i="4"/>
  <c r="E55" i="4"/>
  <c r="F54" i="4"/>
  <c r="F66" i="4" s="1"/>
  <c r="E52" i="4"/>
  <c r="E50" i="4"/>
  <c r="E49" i="4"/>
  <c r="E48" i="4"/>
  <c r="E47" i="4"/>
  <c r="E46" i="4"/>
  <c r="E45" i="4"/>
  <c r="E44" i="4"/>
  <c r="F40" i="4"/>
  <c r="E40" i="4"/>
  <c r="F39" i="4"/>
  <c r="E39" i="4"/>
  <c r="F38" i="4"/>
  <c r="E38" i="4"/>
  <c r="F37" i="4"/>
  <c r="F36" i="4"/>
  <c r="E36" i="4"/>
  <c r="E35" i="4"/>
  <c r="F35" i="4" s="1"/>
  <c r="F34" i="4"/>
  <c r="E34" i="4"/>
  <c r="F33" i="4"/>
  <c r="E33" i="4"/>
  <c r="E28" i="4"/>
  <c r="E27" i="4"/>
  <c r="E26" i="4"/>
  <c r="F24" i="4"/>
  <c r="F25" i="4" s="1"/>
  <c r="E23" i="4"/>
  <c r="E22" i="4"/>
  <c r="E21" i="4"/>
  <c r="E18" i="4"/>
  <c r="F13" i="4"/>
  <c r="F151" i="4" l="1"/>
  <c r="F130" i="4"/>
  <c r="F120" i="4"/>
  <c r="F121" i="4" s="1"/>
  <c r="F117" i="4"/>
  <c r="F99" i="4"/>
  <c r="F56" i="4"/>
  <c r="F65" i="4"/>
  <c r="F58" i="4"/>
  <c r="F64" i="4"/>
  <c r="F28" i="4"/>
  <c r="F27" i="4"/>
  <c r="F26" i="4"/>
  <c r="F50" i="4"/>
  <c r="F49" i="4"/>
  <c r="F48" i="4"/>
  <c r="F47" i="4"/>
  <c r="F46" i="4"/>
  <c r="F45" i="4"/>
  <c r="F52" i="4"/>
  <c r="F44" i="4"/>
  <c r="F71" i="4"/>
  <c r="F30" i="4"/>
  <c r="F31" i="4" s="1"/>
  <c r="F68" i="4"/>
  <c r="F69" i="4" s="1"/>
  <c r="F87" i="4"/>
  <c r="F119" i="4"/>
  <c r="F173" i="4"/>
  <c r="F342" i="4"/>
  <c r="F339" i="4"/>
  <c r="F341" i="4"/>
  <c r="F100" i="4"/>
  <c r="F118" i="4"/>
  <c r="F122" i="4"/>
  <c r="F123" i="4"/>
  <c r="F124" i="4"/>
  <c r="F150" i="4"/>
  <c r="F172" i="4"/>
  <c r="F167" i="4"/>
  <c r="F175" i="4"/>
  <c r="F170" i="4"/>
  <c r="F169" i="4"/>
  <c r="F168" i="4"/>
  <c r="F233" i="4"/>
  <c r="F102" i="4"/>
  <c r="F152" i="4"/>
  <c r="F182" i="4"/>
  <c r="F198" i="4"/>
  <c r="N322" i="4"/>
  <c r="F296" i="4"/>
  <c r="F225" i="4"/>
  <c r="F228" i="4"/>
  <c r="F227" i="4"/>
  <c r="F226" i="4"/>
  <c r="F199" i="4"/>
  <c r="F195" i="4"/>
  <c r="F194" i="4"/>
  <c r="F201" i="4"/>
  <c r="F305" i="4"/>
  <c r="F302" i="4"/>
  <c r="F304" i="4"/>
  <c r="N353" i="4"/>
  <c r="F330" i="4"/>
  <c r="F191" i="4"/>
  <c r="F189" i="4"/>
  <c r="N285" i="4"/>
  <c r="F265" i="4"/>
  <c r="F298" i="4"/>
  <c r="F299" i="4"/>
  <c r="F212" i="4"/>
  <c r="F216" i="4"/>
  <c r="F267" i="4"/>
  <c r="F277" i="4"/>
  <c r="F314" i="4"/>
  <c r="F327" i="4"/>
  <c r="F351" i="4"/>
  <c r="F357" i="4"/>
  <c r="F359" i="4"/>
  <c r="F361" i="4"/>
  <c r="F59" i="4" l="1"/>
  <c r="F18" i="4"/>
  <c r="F19" i="4"/>
  <c r="F17" i="4"/>
  <c r="F51" i="4"/>
  <c r="F196" i="4"/>
  <c r="F171" i="4"/>
  <c r="F360" i="4"/>
  <c r="J374" i="4" l="1"/>
  <c r="H374" i="4"/>
  <c r="H376" i="4" s="1"/>
  <c r="F20" i="4"/>
  <c r="F29" i="4"/>
  <c r="M374" i="4" l="1"/>
  <c r="L374" i="4"/>
  <c r="F23" i="4"/>
  <c r="F21" i="4"/>
  <c r="F22" i="4"/>
  <c r="L376" i="4" l="1"/>
  <c r="J376" i="4"/>
  <c r="N377" i="4" l="1"/>
  <c r="M376" i="4"/>
  <c r="M377" i="4" l="1"/>
  <c r="M378" i="4" s="1"/>
  <c r="M379" i="4" l="1"/>
  <c r="M380" i="4" s="1"/>
  <c r="M381" i="4" l="1"/>
  <c r="M382" i="4" s="1"/>
  <c r="M383" i="4" l="1"/>
  <c r="M384" i="4" s="1"/>
</calcChain>
</file>

<file path=xl/sharedStrings.xml><?xml version="1.0" encoding="utf-8"?>
<sst xmlns="http://schemas.openxmlformats.org/spreadsheetml/2006/main" count="717" uniqueCount="178">
  <si>
    <t>ხარჯთაღრიცხვა</t>
  </si>
  <si>
    <t>#</t>
  </si>
  <si>
    <t>Sifri #</t>
  </si>
  <si>
    <t>სამუშაოს დასახელება</t>
  </si>
  <si>
    <t>განზ. ერთ.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</si>
  <si>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</si>
  <si>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</si>
  <si>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</si>
  <si>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</si>
  <si>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</si>
  <si>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თავი I - მოსამზადებელი სამუშაოები</t>
  </si>
  <si>
    <t>ტრასის დამაგრება</t>
  </si>
  <si>
    <t>კმ</t>
  </si>
  <si>
    <t>შრომითი რესურსები</t>
  </si>
  <si>
    <t>კ/სთ</t>
  </si>
  <si>
    <t>ჯამი I - თავი</t>
  </si>
  <si>
    <t>თავი II - მიწის ვაკისის სამუშაოები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</si>
  <si>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</si>
  <si>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ექსკავატორი 0.65 მ3</t>
  </si>
  <si>
    <t>მ/სთ</t>
  </si>
  <si>
    <t>ბულდოზერი 79 კვტ.</t>
  </si>
  <si>
    <t>სხვა მასალები</t>
  </si>
  <si>
    <t>ლარი</t>
  </si>
  <si>
    <t>იგივეს დამუშავება ხელით</t>
  </si>
  <si>
    <t>მ³</t>
  </si>
  <si>
    <t>ტერიტორიის მოსწორება-პლანირება ავტოგრეიდერებით, არსებული 77,38 მ³ ღორღოვანი გრუნტის გადაადგილებით და ტკეპნით.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</si>
  <si>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</si>
  <si>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>ავტოგრეიდერი საშუალო ტიპის 79 კვტ.</t>
  </si>
  <si>
    <t>სატკეპნი საგზ. თვითმავალი გლუვი 5 ტნ.</t>
  </si>
  <si>
    <t>სატკეპნი საგზ. თვითმავალი გლუვი 10 ტნ.</t>
  </si>
  <si>
    <t>ტრაქტორი მუხლუხა სვლაზე 79 კვტ.</t>
  </si>
  <si>
    <t>მოსარწყავი-მოსარეცხი მანქანა 6000 ლ.</t>
  </si>
  <si>
    <t>სხვა მანქანა</t>
  </si>
  <si>
    <t>წყალი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</si>
  <si>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</si>
  <si>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გრუნატის ტრანსპორტირება 5 კმ.</t>
  </si>
  <si>
    <t>ტ.</t>
  </si>
  <si>
    <t>ჯამი II - თავი</t>
  </si>
  <si>
    <t>თავი III - ცემენტობეტონის საგზაო სამოსის მოწყობის სამუშაოები</t>
  </si>
  <si>
    <t>სატკეპნი საგზ. თვითმავალი პნევმოსვლაზე 18 ტნ.</t>
  </si>
  <si>
    <t>ფრაქციული ღორღი 0-40 მმ.</t>
  </si>
  <si>
    <t>ფრაქციული ღორღის ტრანსპორტირება 10 კმ-ზე.</t>
  </si>
  <si>
    <t xml:space="preserve"> ტ.</t>
  </si>
  <si>
    <t>სხვა მანქანები</t>
  </si>
  <si>
    <t xml:space="preserve">ბეტონი M350   B25   W6   F100  </t>
  </si>
  <si>
    <t>ბეტონის ტრანსპორტირება 10 კმ.</t>
  </si>
  <si>
    <t>ტნ.</t>
  </si>
  <si>
    <t>პროექტ.</t>
  </si>
  <si>
    <t>არმატურა A-III Ø=18მმ ის ტრანსპორტირება 10 კმ-ზე.</t>
  </si>
  <si>
    <t xml:space="preserve">არმატურის ბადე Ø6მმ 20X20 </t>
  </si>
  <si>
    <t>არმატურის ბადე Ø6მმ 20X20 ის ტრანსპორტირება 10 კმ-ზე.</t>
  </si>
  <si>
    <t>ქვიშა</t>
  </si>
  <si>
    <t>სხვა მასალა</t>
  </si>
  <si>
    <t>ცემენტობეტონის საფარის განივი და გრძივი სადეფორმაციო ნაკერების მოწყობა</t>
  </si>
  <si>
    <t>გრძ.მ.</t>
  </si>
  <si>
    <t>ნაკერის საჭრელი მანქანა</t>
  </si>
  <si>
    <t>ნაკერის ჩამსხმელი</t>
  </si>
  <si>
    <t>ბიტუმის ემულსია</t>
  </si>
  <si>
    <t xml:space="preserve">ბეტონის საფარის გვერდულის გამაგრება ქვიშა-ხრეშოვანი ნარევით </t>
  </si>
  <si>
    <t>შრომის დანახარჯი</t>
  </si>
  <si>
    <t xml:space="preserve">ქვიშა-ხრეშოვანი ნარევი </t>
  </si>
  <si>
    <t>ქვიშა-ხრეშოვანი ნარევის ტრანსპორტირება 10 კმ.</t>
  </si>
  <si>
    <t>ჯამი III - თავი</t>
  </si>
  <si>
    <t>თავი IV - მიწის ვაკისის სამუშაოები მიერთებებზე</t>
  </si>
  <si>
    <t>არსებული ვაკისის მოსწორება ხელით ზედაპირის პროფილირებით</t>
  </si>
  <si>
    <t>მოჭრილი  მ³ გრუნტის დატვირთვა და გატანა ნაყარში</t>
  </si>
  <si>
    <t>ჯამი IV - თავი</t>
  </si>
  <si>
    <t>თავი V - ცემენტობეტონის საგზაო სამოსის მოწყობის სამუშაოები მიერთებებზე</t>
  </si>
  <si>
    <t>ჯამი V - თავი</t>
  </si>
  <si>
    <t>თავი VI - მიწის ვაკისის სამუშაოები  ეზოებთან მისასვლელებზე</t>
  </si>
  <si>
    <t>მოჭრილი გრუნტის დატვირთვა და გატანა ნაყარში</t>
  </si>
  <si>
    <t>ჯამი VI - თავი</t>
  </si>
  <si>
    <t>თავი VII - ცემენტობეტონის საგზაო სამოსის მოწყობის სამუშაოები ეზოებთან მისასვლელებზე</t>
  </si>
  <si>
    <t>ცემენტო-ბეტონის მ-350 საფარის მოწყობა სისქით 12 სმ. ზედაპირის მოსწორებითა და დისპენისური ხსნარით დამუშავებით</t>
  </si>
  <si>
    <t>ჯამი VII - თავი</t>
  </si>
  <si>
    <t>ქვაბულის დამუშავება ექსკავატორით, დატვირთვა და ტრასნპორტირება ნაყარში</t>
  </si>
  <si>
    <t>ექსკავატორი 0.65 მ.კბ</t>
  </si>
  <si>
    <t>ლარი.</t>
  </si>
  <si>
    <t>იგივეს დამუშავება ხელით, მოჭრილი მიწის ადგილზე მოსწორებით</t>
  </si>
  <si>
    <t xml:space="preserve">ლითონის მილების მოწყობა Ø530 მმ. </t>
  </si>
  <si>
    <t>გრძ.მ</t>
  </si>
  <si>
    <t>ლითონის მილი D=530 მმ სისქე 12 მმ</t>
  </si>
  <si>
    <t>მ</t>
  </si>
  <si>
    <t>ლითონის მილების კედლების ზედაპირის დამუშავება ბიტუმის ემულსიით (ჰიდროიზოლაცია)</t>
  </si>
  <si>
    <t>დახერხილი ხე-მასალა</t>
  </si>
  <si>
    <t>ჯამი თავი. VIII</t>
  </si>
  <si>
    <t>კგ</t>
  </si>
  <si>
    <t>მილის გვერდებისა და ზედაპირის შევსება ქვიშა ხრეშოვანი ნარევით</t>
  </si>
  <si>
    <t>ჯამი თავი. IX</t>
  </si>
  <si>
    <t>მ2</t>
  </si>
  <si>
    <t>ჯამი თავი. X</t>
  </si>
  <si>
    <t>სულ ჯამი თავი I-X</t>
  </si>
  <si>
    <t>ზედნადები ხარჯები</t>
  </si>
  <si>
    <t>გეგმიური მოგება</t>
  </si>
  <si>
    <t>გაუთვალისწინებელი ხარჯები</t>
  </si>
  <si>
    <t>დ.ღ.გ.</t>
  </si>
  <si>
    <t>სრული ჯამი</t>
  </si>
  <si>
    <t>მ3</t>
  </si>
  <si>
    <t>1000 მ3</t>
  </si>
  <si>
    <t>მანქ/სთ</t>
  </si>
  <si>
    <t>ზედმეტი გრუნტის მოჭრა რელიეფის გასწორების მიზნით</t>
  </si>
  <si>
    <t>მოჭრილი გრუნტის დატვირთვა ავტოთვითმცლელებზე</t>
  </si>
  <si>
    <t>კაც/სთ</t>
  </si>
  <si>
    <t>ექსკავატორი პნევმოთვლიან სვლაზე 0.65 მ3</t>
  </si>
  <si>
    <t>ბულდოზერი 96 კვტ (130 ცხ.ძ.)</t>
  </si>
  <si>
    <t>ტ</t>
  </si>
  <si>
    <t>გრუნტის გატანა ნაყარში 5კმ-ზე</t>
  </si>
  <si>
    <t>1000 მ2</t>
  </si>
  <si>
    <t>მოსარწყავ-მოსარეცხი მანქანა 6000 ლ-ანი</t>
  </si>
  <si>
    <t>პროექტი</t>
  </si>
  <si>
    <t>ფანერა ლამინირებული საყალიბე 2440x1220x18 მმ</t>
  </si>
  <si>
    <t>მასტიკა ბიტუმ-პოლიმერული</t>
  </si>
  <si>
    <t xml:space="preserve">ბეტონი B25  W6   F100  </t>
  </si>
  <si>
    <t xml:space="preserve">არმატურა  A-III Ø=18მმ </t>
  </si>
  <si>
    <t>არმატურის ბადე Ø6მმ 20X20 მოწყობა</t>
  </si>
  <si>
    <t>საფუძვლის მოწყობა ფრაქციული ღორღი 0-40მმ სისქით 10 სმ</t>
  </si>
  <si>
    <t>ბეტონის ტრანსპორტირება 10 კმ-ზე.</t>
  </si>
  <si>
    <t>მილების გვერდების შევსება ქვიშა-ხრეშით</t>
  </si>
  <si>
    <t>პროექ</t>
  </si>
  <si>
    <t>ზუგდიდის მუნიციპალიტეტის ორსანტიას ადმინისტრაციულ ერთეულში, ქიაჩელის ქუჩაზე გზის სარეაბილიტაციო სამუშაოების</t>
  </si>
  <si>
    <t>რა-ობა</t>
  </si>
  <si>
    <t>ნორმატ. ერთ-ზე</t>
  </si>
  <si>
    <t>გრუნტის დამუშავება ექსკავატორით სანიაღვრე არხის, რკინაბეტონის მილების,  მილხიდის კონსტრუქციების, გაბიონის და საყრდენი კედლის მოსაწყობად</t>
  </si>
  <si>
    <t>საფუძვლის მოწყობა ფრაქციული ღორღი 0-40მმ სისქით 12 სმ</t>
  </si>
  <si>
    <t>ზედმეტი გრუნტის მოჭრა რელიეფის გასწორების მოწყობის მიზნით</t>
  </si>
  <si>
    <t>თავი VIII-  ლითონის Ø 530 მმ. დიამეტრის წყალგამტარი მილის მოწყობა ეზოებთან მისასვლელებში და მიერთებებზე</t>
  </si>
  <si>
    <t>ქვიშის საგები ფენის მოწყობა მილისათვის</t>
  </si>
  <si>
    <t>ქვიშის ტრანსპორტირება 10 კმ.</t>
  </si>
  <si>
    <t>ქვიშა-ღორღოვანი საგები ფენის მოწყობა მილხიდების ჭის და ფილებისათვის</t>
  </si>
  <si>
    <t xml:space="preserve">მილების პორტალური კედლების მოწყობა რკინაბეტონით </t>
  </si>
  <si>
    <t xml:space="preserve">არმატურა  A-III Ø=14მმ </t>
  </si>
  <si>
    <t xml:space="preserve">ლითონის მილის მოწყობა Ø1000 მმ. </t>
  </si>
  <si>
    <t>ლითონის მილი D=1000 მმ სისქე 12 მმ</t>
  </si>
  <si>
    <t xml:space="preserve">მილის პორტალური კედლის და მიმღები ჭის მოწყობა რკინაბეტონით </t>
  </si>
  <si>
    <t xml:space="preserve">არმატურა  A-500C  Ø=14მმ </t>
  </si>
  <si>
    <t>არმატურის ტრანსპორტირება 10 კმ-ზე.</t>
  </si>
  <si>
    <t>თავი IX-  ლითონის Ø 1000 მმ. დიამეტრის წყალგამტარი მილის მოწყობა (ПК17+80)</t>
  </si>
  <si>
    <t>თავი X - ПК2+88,42; ПК16+34,68; ПК18+30,34 მილებისათვის კედლის და მიმღები ჭის მოწყობა რკინაბეტონით</t>
  </si>
  <si>
    <t>გაბიონის ყუთების დაწყობა ზომით 1.5x1.0x1.0 მ, ქვებით შევსება, ნაწიბურების ჩამაგრება ხელით</t>
  </si>
  <si>
    <t>ც</t>
  </si>
  <si>
    <t>შრომითი  დანახარჯები</t>
  </si>
  <si>
    <t>გაბიონის კალატა უჯრედით 8x10 სმ, ზომით 1.5x1x1 მ</t>
  </si>
  <si>
    <t>ფლეთილი ქვა გაბიონებისათვის</t>
  </si>
  <si>
    <t>გაბიონის სამონტაჟო მავთული Ø2.2 მმ</t>
  </si>
  <si>
    <t>გაბიონის ყუთების დაწყობა ზომით 2.0x1.0x1.0 მ, ქვებით შევსება, ნაწიბურების ჩამაგრება ხელით</t>
  </si>
  <si>
    <t>გაბიონის კალატა უჯრედით 8x10 სმ, ზომით 2x1x1 მ</t>
  </si>
  <si>
    <t>10 მ2</t>
  </si>
  <si>
    <t>თავი XI - გაბიონის კედლის მოწყობა 10გრძ.მ</t>
  </si>
  <si>
    <t>რენომატრასის დაწყობა ზომით 2.0x2.0x0.3 მ, ქვებით შევსება, ნაწიბურების ჩამაგრება ხელით</t>
  </si>
  <si>
    <t>რენომატრასი უჯრედით 8x10 სმ, ზომით 2x2x0.3 მ</t>
  </si>
  <si>
    <t>გაბიონის ყუთების დაწყობა ზომით 3.0x1.0x1.0 მ, ქვებით შევსება, ნაწიბურების ჩამაგრება ხელით</t>
  </si>
  <si>
    <t>გაბიონის კალატა უჯრედით 8x10 სმ, ზომით 3x1x1 მ</t>
  </si>
  <si>
    <t>ჯამი თავი. XI</t>
  </si>
  <si>
    <t>თავი XII - გაბიონის კედლის მოწყობა 8 გრძ.მ</t>
  </si>
  <si>
    <t>რენომატრასის დაწყობა ზომით 4.0x2.0x0.3 მ, ქვებით შევსება, ნაწიბურების ჩამაგრება ხელით</t>
  </si>
  <si>
    <t>ჯამი თავი. XII</t>
  </si>
  <si>
    <t>თავი XIII - გაბიონის კედლის მოწყობა 8 გრძ.მ</t>
  </si>
  <si>
    <t>ჯამი თავი. XIII</t>
  </si>
  <si>
    <t>თავი XIV - რკინაბეტონის საყრდენი კედელი  20 გრძ.მ</t>
  </si>
  <si>
    <t>რკინაბეტონის საყრდენი კედლის მოსამზადებელი ბეტონის ფენის მოწყობა</t>
  </si>
  <si>
    <t>100 მ2</t>
  </si>
  <si>
    <t>ბეტონი B15</t>
  </si>
  <si>
    <t xml:space="preserve">რკინაბეტონის საყრდენი კედლის მოწყობა </t>
  </si>
  <si>
    <t xml:space="preserve">არმატურა  A-240C  Ø=8მმ </t>
  </si>
  <si>
    <t>ჯამი თავი. XIV</t>
  </si>
  <si>
    <t>გრუნტის უკუჩაყრა ექსკავატორით</t>
  </si>
  <si>
    <t>ექსკავატორი მუხლუხა სვლაზე 0.5 მ3</t>
  </si>
  <si>
    <t>მილი პლასტმასის 50მმ</t>
  </si>
  <si>
    <t>არმატურა  A-III Ø=8მმ (18მმ არმატურის სამაგრი)</t>
  </si>
  <si>
    <t>ცემენტო-ბეტონის მ-350 საფარის მოწყობა სისქით 16 სმ. ზედაპირის მოსწორებით</t>
  </si>
  <si>
    <t>შენიშვნა: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</si>
  <si>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„PDF“ ფორმატით, უფლებამოსილი პირის მიერ დამოწმებული/დადასტურებული კვალიფიციური ხელმოწერით/კვალიფიციური შტამპით,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კვალიფიციური ხელმოწერით/კვალიფიციური შტამპით „PDF“ ფორმატით.</t>
  </si>
  <si>
    <t>2) ერთნაირი დასახელების სამუშაოებზე  და მასალებზე უნდა დაფიქსირდეს ერთნაირი ფასი.</t>
  </si>
  <si>
    <t>3)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</si>
  <si>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4) იმ შემთხვევაში თუ არ იქნება ხარჯთაღრიცხვა წარმოდგენილი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</si>
  <si>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5) გაუთვალისწინებელი ხარჯებისათვის თანხის გამოყენება მოხდება შემსყიდველთან ორგანიზაციასთან შეთანხმებით.</t>
  </si>
  <si>
    <r>
      <t>6)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</si>
  <si>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7)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</si>
</sst>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-* #,##0.00\ _₾_-;\-* #,##0.00\ _₾_-;_-* &quot;-&quot;??\ _₾_-;_-@_-"/>
    <numFmt numFmtId="166" formatCode="0.000"/>
    <numFmt numFmtId="167" formatCode="0.0000"/>
    <numFmt numFmtId="168" formatCode="#,##0.000"/>
    <numFmt numFmtId="169" formatCode="#,##0.0000"/>
    <numFmt numFmtId="170" formatCode="0.00000"/>
    <numFmt numFmtId="171" formatCode="#,##0.00000"/>
  </numFmts>
  <fonts count="4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Sylfaen"/>
      <family val="1"/>
      <charset val="204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0"/>
      <name val="Sylfaen"/>
      <family val="1"/>
    </font>
    <font>
      <sz val="11"/>
      <name val="AcadNusx"/>
    </font>
    <font>
      <b/>
      <sz val="10"/>
      <name val="Sylfaen"/>
      <family val="1"/>
    </font>
    <font>
      <b/>
      <sz val="10"/>
      <name val="AcadNusx"/>
    </font>
    <font>
      <sz val="10"/>
      <name val="AcadNusx"/>
    </font>
    <font>
      <b/>
      <sz val="10"/>
      <name val="Sylfaen"/>
      <family val="1"/>
      <charset val="204"/>
    </font>
    <font>
      <b/>
      <sz val="11"/>
      <name val="Calibri"/>
      <family val="2"/>
      <scheme val="minor"/>
    </font>
    <font>
      <sz val="9"/>
      <name val="Sylfaen"/>
      <family val="1"/>
      <charset val="204"/>
    </font>
    <font>
      <b/>
      <sz val="9"/>
      <name val="Sylfaen"/>
      <family val="1"/>
    </font>
    <font>
      <sz val="9"/>
      <name val="Sylfaen"/>
      <family val="1"/>
    </font>
    <font>
      <b/>
      <vertAlign val="superscript"/>
      <sz val="10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AcadNusx"/>
    </font>
    <font>
      <sz val="9"/>
      <name val="Arial"/>
      <family val="2"/>
      <charset val="204"/>
    </font>
    <font>
      <sz val="12"/>
      <name val="Sylfaen"/>
      <family val="1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</font>
    <font>
      <b/>
      <sz val="9"/>
      <name val="Sylfaen"/>
      <family val="1"/>
      <charset val="204"/>
    </font>
    <font>
      <sz val="10"/>
      <color rgb="FF000000"/>
      <name val="Arial"/>
      <family val="2"/>
      <charset val="204"/>
    </font>
    <font>
      <b/>
      <i/>
      <sz val="10"/>
      <name val="Sylfaen"/>
      <family val="1"/>
      <charset val="204"/>
    </font>
    <font>
      <i/>
      <sz val="10"/>
      <color rgb="FFFF0000"/>
      <name val="Sylfaen"/>
      <family val="1"/>
    </font>
    <font>
      <i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5" fontId="20" fillId="0" borderId="0" applyFont="0" applyFill="0" applyBorder="0" applyAlignment="0" applyProtection="0"/>
    <xf numFmtId="0" fontId="2" fillId="0" borderId="0"/>
    <xf numFmtId="0" fontId="6" fillId="0" borderId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20" fillId="0" borderId="0"/>
    <xf numFmtId="0" fontId="30" fillId="0" borderId="0"/>
    <xf numFmtId="9" fontId="1" fillId="0" borderId="0" applyFont="0" applyFill="0" applyBorder="0" applyAlignment="0" applyProtection="0"/>
    <xf numFmtId="0" fontId="28" fillId="0" borderId="0"/>
    <xf numFmtId="0" fontId="39" fillId="0" borderId="0"/>
    <xf numFmtId="0" fontId="39" fillId="0" borderId="0"/>
    <xf numFmtId="0" fontId="30" fillId="0" borderId="0"/>
    <xf numFmtId="0" fontId="30" fillId="0" borderId="0"/>
    <xf numFmtId="0" fontId="30" fillId="0" borderId="0"/>
  </cellStyleXfs>
  <cellXfs count="417">
    <xf numFmtId="0" fontId="0" fillId="0" borderId="0" xfId="0"/>
    <xf numFmtId="0" fontId="4" fillId="0" borderId="0" xfId="2" applyFont="1" applyFill="1" applyBorder="1" applyAlignment="1">
      <alignment wrapText="1"/>
    </xf>
    <xf numFmtId="2" fontId="5" fillId="0" borderId="0" xfId="2" applyNumberFormat="1" applyFont="1" applyFill="1" applyBorder="1"/>
    <xf numFmtId="0" fontId="4" fillId="0" borderId="0" xfId="2" applyFont="1" applyFill="1" applyBorder="1" applyAlignment="1">
      <alignment vertical="top"/>
    </xf>
    <xf numFmtId="0" fontId="5" fillId="0" borderId="0" xfId="2" applyFont="1" applyFill="1" applyBorder="1"/>
    <xf numFmtId="0" fontId="7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center"/>
    </xf>
    <xf numFmtId="164" fontId="9" fillId="0" borderId="0" xfId="4" applyFont="1" applyFill="1" applyBorder="1" applyAlignment="1">
      <alignment horizontal="center"/>
    </xf>
    <xf numFmtId="2" fontId="9" fillId="0" borderId="0" xfId="4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0" borderId="0" xfId="2" applyFont="1" applyFill="1" applyBorder="1"/>
    <xf numFmtId="2" fontId="9" fillId="0" borderId="0" xfId="4" applyNumberFormat="1" applyFont="1" applyFill="1" applyBorder="1" applyAlignment="1">
      <alignment horizontal="left"/>
    </xf>
    <xf numFmtId="2" fontId="9" fillId="0" borderId="0" xfId="2" applyNumberFormat="1" applyFont="1" applyFill="1" applyBorder="1"/>
    <xf numFmtId="0" fontId="12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/>
    <xf numFmtId="0" fontId="12" fillId="0" borderId="1" xfId="4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4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2" fontId="11" fillId="0" borderId="1" xfId="4" applyNumberFormat="1" applyFont="1" applyFill="1" applyBorder="1" applyAlignment="1">
      <alignment horizontal="center" vertical="center" wrapText="1"/>
    </xf>
    <xf numFmtId="2" fontId="15" fillId="0" borderId="0" xfId="2" applyNumberFormat="1" applyFont="1" applyFill="1" applyBorder="1"/>
    <xf numFmtId="0" fontId="14" fillId="0" borderId="1" xfId="6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166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8" fillId="0" borderId="1" xfId="7" applyNumberFormat="1" applyFont="1" applyFill="1" applyBorder="1" applyAlignment="1">
      <alignment horizontal="left" vertical="center"/>
    </xf>
    <xf numFmtId="0" fontId="8" fillId="0" borderId="1" xfId="7" applyFont="1" applyFill="1" applyBorder="1" applyAlignment="1">
      <alignment horizontal="center" vertical="center" wrapText="1"/>
    </xf>
    <xf numFmtId="166" fontId="9" fillId="0" borderId="1" xfId="7" applyNumberFormat="1" applyFont="1" applyFill="1" applyBorder="1" applyAlignment="1">
      <alignment horizontal="center" vertical="center" wrapText="1"/>
    </xf>
    <xf numFmtId="2" fontId="9" fillId="0" borderId="1" xfId="7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/>
    </xf>
    <xf numFmtId="2" fontId="11" fillId="0" borderId="1" xfId="2" quotePrefix="1" applyNumberFormat="1" applyFont="1" applyFill="1" applyBorder="1" applyAlignment="1">
      <alignment horizontal="center" vertical="center" wrapText="1"/>
    </xf>
    <xf numFmtId="0" fontId="8" fillId="0" borderId="5" xfId="7" applyNumberFormat="1" applyFont="1" applyFill="1" applyBorder="1" applyAlignment="1">
      <alignment horizontal="left" vertical="center"/>
    </xf>
    <xf numFmtId="0" fontId="8" fillId="0" borderId="1" xfId="6" applyFont="1" applyFill="1" applyBorder="1" applyAlignment="1">
      <alignment vertical="center"/>
    </xf>
    <xf numFmtId="2" fontId="9" fillId="0" borderId="1" xfId="6" applyNumberFormat="1" applyFont="1" applyFill="1" applyBorder="1" applyAlignment="1">
      <alignment horizontal="center" vertical="center"/>
    </xf>
    <xf numFmtId="2" fontId="9" fillId="0" borderId="1" xfId="6" applyNumberFormat="1" applyFont="1" applyFill="1" applyBorder="1" applyAlignment="1">
      <alignment vertical="center"/>
    </xf>
    <xf numFmtId="0" fontId="8" fillId="0" borderId="1" xfId="6" applyFont="1" applyFill="1" applyBorder="1" applyAlignment="1">
      <alignment horizontal="center"/>
    </xf>
    <xf numFmtId="2" fontId="8" fillId="0" borderId="5" xfId="2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/>
    </xf>
    <xf numFmtId="0" fontId="15" fillId="0" borderId="1" xfId="6" applyFont="1" applyFill="1" applyBorder="1" applyAlignment="1">
      <alignment horizontal="center" vertical="center"/>
    </xf>
    <xf numFmtId="2" fontId="11" fillId="0" borderId="1" xfId="6" applyNumberFormat="1" applyFont="1" applyFill="1" applyBorder="1" applyAlignment="1">
      <alignment horizontal="center" vertical="center"/>
    </xf>
    <xf numFmtId="0" fontId="31" fillId="0" borderId="1" xfId="8" quotePrefix="1" applyFont="1" applyFill="1" applyBorder="1" applyAlignment="1">
      <alignment horizontal="center" vertical="top" wrapText="1"/>
    </xf>
    <xf numFmtId="0" fontId="22" fillId="0" borderId="1" xfId="8" quotePrefix="1" applyFont="1" applyFill="1" applyBorder="1" applyAlignment="1">
      <alignment horizontal="center" vertical="top" wrapText="1"/>
    </xf>
    <xf numFmtId="2" fontId="22" fillId="0" borderId="1" xfId="8" quotePrefix="1" applyNumberFormat="1" applyFont="1" applyFill="1" applyBorder="1" applyAlignment="1">
      <alignment horizontal="center" vertical="top" wrapText="1"/>
    </xf>
    <xf numFmtId="0" fontId="22" fillId="0" borderId="0" xfId="8" applyFont="1" applyFill="1"/>
    <xf numFmtId="0" fontId="8" fillId="0" borderId="1" xfId="8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22" fillId="0" borderId="1" xfId="8" applyFont="1" applyFill="1" applyBorder="1" applyAlignment="1">
      <alignment horizontal="center" vertical="center" wrapText="1"/>
    </xf>
    <xf numFmtId="2" fontId="22" fillId="0" borderId="1" xfId="8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2" fontId="3" fillId="0" borderId="1" xfId="0" applyNumberFormat="1" applyFont="1" applyFill="1" applyBorder="1"/>
    <xf numFmtId="2" fontId="3" fillId="0" borderId="0" xfId="0" applyNumberFormat="1" applyFont="1" applyFill="1"/>
    <xf numFmtId="0" fontId="3" fillId="0" borderId="0" xfId="0" applyFont="1" applyFill="1"/>
    <xf numFmtId="0" fontId="22" fillId="0" borderId="1" xfId="6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9" fontId="14" fillId="0" borderId="1" xfId="9" applyFont="1" applyFill="1" applyBorder="1" applyAlignment="1" applyProtection="1">
      <alignment horizontal="center"/>
      <protection locked="0"/>
    </xf>
    <xf numFmtId="0" fontId="14" fillId="0" borderId="1" xfId="3" applyFont="1" applyFill="1" applyBorder="1" applyAlignment="1">
      <alignment horizontal="center"/>
    </xf>
    <xf numFmtId="9" fontId="14" fillId="0" borderId="1" xfId="2" applyNumberFormat="1" applyFont="1" applyFill="1" applyBorder="1" applyAlignment="1">
      <alignment horizontal="center" vertical="center" wrapText="1"/>
    </xf>
    <xf numFmtId="9" fontId="11" fillId="0" borderId="1" xfId="2" applyNumberFormat="1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center"/>
    </xf>
    <xf numFmtId="0" fontId="8" fillId="0" borderId="0" xfId="6" applyFont="1" applyFill="1"/>
    <xf numFmtId="0" fontId="9" fillId="0" borderId="0" xfId="6" applyFont="1" applyFill="1" applyAlignment="1">
      <alignment horizontal="center"/>
    </xf>
    <xf numFmtId="2" fontId="9" fillId="0" borderId="0" xfId="6" applyNumberFormat="1" applyFont="1" applyFill="1" applyAlignment="1">
      <alignment horizontal="center" vertical="center"/>
    </xf>
    <xf numFmtId="2" fontId="9" fillId="0" borderId="0" xfId="6" applyNumberFormat="1" applyFont="1" applyFill="1" applyAlignment="1">
      <alignment vertical="center"/>
    </xf>
    <xf numFmtId="2" fontId="9" fillId="0" borderId="0" xfId="6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/>
    </xf>
    <xf numFmtId="168" fontId="36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4" fontId="37" fillId="0" borderId="1" xfId="0" applyNumberFormat="1" applyFont="1" applyBorder="1" applyAlignment="1">
      <alignment horizontal="center" vertical="center"/>
    </xf>
    <xf numFmtId="168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0" fontId="30" fillId="2" borderId="1" xfId="10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49" fontId="16" fillId="2" borderId="1" xfId="2" applyNumberFormat="1" applyFont="1" applyFill="1" applyBorder="1" applyAlignment="1">
      <alignment horizontal="center" vertical="center" wrapText="1"/>
    </xf>
    <xf numFmtId="0" fontId="30" fillId="2" borderId="1" xfId="10" applyFont="1" applyFill="1" applyBorder="1" applyAlignment="1">
      <alignment horizontal="left" vertical="center" wrapText="1"/>
    </xf>
    <xf numFmtId="4" fontId="30" fillId="2" borderId="1" xfId="1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0" fillId="2" borderId="1" xfId="10" applyFont="1" applyFill="1" applyBorder="1" applyAlignment="1">
      <alignment horizontal="left" vertical="center"/>
    </xf>
    <xf numFmtId="0" fontId="30" fillId="2" borderId="1" xfId="11" applyFont="1" applyFill="1" applyBorder="1" applyAlignment="1">
      <alignment horizontal="center" vertical="center"/>
    </xf>
    <xf numFmtId="0" fontId="40" fillId="2" borderId="1" xfId="1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horizontal="center" vertical="center" wrapText="1"/>
    </xf>
    <xf numFmtId="169" fontId="30" fillId="2" borderId="1" xfId="10" applyNumberFormat="1" applyFont="1" applyFill="1" applyBorder="1" applyAlignment="1">
      <alignment horizontal="center" vertical="center"/>
    </xf>
    <xf numFmtId="14" fontId="37" fillId="2" borderId="1" xfId="0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4" fontId="16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/>
    </xf>
    <xf numFmtId="49" fontId="30" fillId="0" borderId="1" xfId="6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wrapText="1"/>
    </xf>
    <xf numFmtId="0" fontId="12" fillId="0" borderId="3" xfId="4" applyNumberFormat="1" applyFont="1" applyFill="1" applyBorder="1" applyAlignment="1">
      <alignment horizontal="center" vertical="center" wrapText="1"/>
    </xf>
    <xf numFmtId="14" fontId="16" fillId="0" borderId="3" xfId="6" applyNumberFormat="1" applyFont="1" applyFill="1" applyBorder="1" applyAlignment="1">
      <alignment horizontal="center" vertical="center" wrapText="1"/>
    </xf>
    <xf numFmtId="170" fontId="11" fillId="0" borderId="1" xfId="2" applyNumberFormat="1" applyFont="1" applyFill="1" applyBorder="1" applyAlignment="1">
      <alignment horizontal="center" vertical="center" wrapText="1"/>
    </xf>
    <xf numFmtId="171" fontId="30" fillId="0" borderId="1" xfId="0" applyNumberFormat="1" applyFont="1" applyBorder="1" applyAlignment="1">
      <alignment horizontal="center" vertical="center"/>
    </xf>
    <xf numFmtId="49" fontId="16" fillId="2" borderId="3" xfId="2" applyNumberFormat="1" applyFont="1" applyFill="1" applyBorder="1" applyAlignment="1">
      <alignment horizontal="center" vertical="center" wrapText="1"/>
    </xf>
    <xf numFmtId="2" fontId="9" fillId="0" borderId="3" xfId="2" applyNumberFormat="1" applyFont="1" applyFill="1" applyBorder="1" applyAlignment="1">
      <alignment horizontal="center" vertical="center" wrapText="1"/>
    </xf>
    <xf numFmtId="49" fontId="30" fillId="0" borderId="6" xfId="6" applyNumberFormat="1" applyFont="1" applyBorder="1" applyAlignment="1">
      <alignment horizontal="center" vertical="center"/>
    </xf>
    <xf numFmtId="0" fontId="8" fillId="0" borderId="6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2" fontId="9" fillId="0" borderId="6" xfId="2" applyNumberFormat="1" applyFont="1" applyFill="1" applyBorder="1" applyAlignment="1">
      <alignment horizontal="center" vertical="center" wrapText="1"/>
    </xf>
    <xf numFmtId="2" fontId="9" fillId="2" borderId="6" xfId="2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left" vertical="center" wrapText="1"/>
    </xf>
    <xf numFmtId="0" fontId="14" fillId="0" borderId="3" xfId="2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2" fontId="11" fillId="0" borderId="3" xfId="2" applyNumberFormat="1" applyFont="1" applyFill="1" applyBorder="1" applyAlignment="1">
      <alignment horizontal="center" vertical="center" wrapText="1"/>
    </xf>
    <xf numFmtId="166" fontId="9" fillId="0" borderId="6" xfId="2" applyNumberFormat="1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66" fontId="9" fillId="0" borderId="7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2" fontId="11" fillId="0" borderId="6" xfId="2" applyNumberFormat="1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left" vertical="center" wrapText="1"/>
    </xf>
    <xf numFmtId="0" fontId="9" fillId="0" borderId="6" xfId="6" applyFont="1" applyFill="1" applyBorder="1" applyAlignment="1">
      <alignment horizontal="center" vertical="center" wrapText="1"/>
    </xf>
    <xf numFmtId="2" fontId="9" fillId="0" borderId="6" xfId="6" applyNumberFormat="1" applyFont="1" applyFill="1" applyBorder="1" applyAlignment="1">
      <alignment horizontal="center" vertical="center" wrapText="1"/>
    </xf>
    <xf numFmtId="2" fontId="9" fillId="2" borderId="6" xfId="6" applyNumberFormat="1" applyFont="1" applyFill="1" applyBorder="1" applyAlignment="1">
      <alignment horizontal="center" vertical="center" wrapText="1"/>
    </xf>
    <xf numFmtId="0" fontId="13" fillId="0" borderId="3" xfId="4" applyNumberFormat="1" applyFont="1" applyFill="1" applyBorder="1" applyAlignment="1">
      <alignment horizontal="center" vertical="center" wrapText="1"/>
    </xf>
    <xf numFmtId="0" fontId="14" fillId="0" borderId="3" xfId="6" applyFont="1" applyFill="1" applyBorder="1" applyAlignment="1">
      <alignment horizontal="center" vertical="center" wrapText="1"/>
    </xf>
    <xf numFmtId="0" fontId="14" fillId="0" borderId="3" xfId="4" applyNumberFormat="1" applyFont="1" applyFill="1" applyBorder="1" applyAlignment="1">
      <alignment horizontal="center" vertical="center" wrapText="1"/>
    </xf>
    <xf numFmtId="0" fontId="11" fillId="0" borderId="3" xfId="4" applyNumberFormat="1" applyFont="1" applyFill="1" applyBorder="1" applyAlignment="1">
      <alignment horizontal="center" vertical="center" wrapText="1"/>
    </xf>
    <xf numFmtId="2" fontId="11" fillId="0" borderId="3" xfId="4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8" fillId="0" borderId="7" xfId="4" applyNumberFormat="1" applyFont="1" applyFill="1" applyBorder="1" applyAlignment="1">
      <alignment horizontal="center" vertical="center" wrapText="1"/>
    </xf>
    <xf numFmtId="0" fontId="14" fillId="0" borderId="7" xfId="4" applyNumberFormat="1" applyFont="1" applyFill="1" applyBorder="1" applyAlignment="1">
      <alignment horizontal="center" vertical="center" wrapText="1"/>
    </xf>
    <xf numFmtId="0" fontId="11" fillId="0" borderId="7" xfId="4" applyNumberFormat="1" applyFont="1" applyFill="1" applyBorder="1" applyAlignment="1">
      <alignment horizontal="center" vertical="center" wrapText="1"/>
    </xf>
    <xf numFmtId="2" fontId="11" fillId="0" borderId="7" xfId="4" applyNumberFormat="1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2" fontId="18" fillId="0" borderId="6" xfId="2" applyNumberFormat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/>
    </xf>
    <xf numFmtId="4" fontId="35" fillId="0" borderId="3" xfId="0" applyNumberFormat="1" applyFont="1" applyBorder="1" applyAlignment="1">
      <alignment horizontal="center" vertical="center"/>
    </xf>
    <xf numFmtId="4" fontId="36" fillId="0" borderId="3" xfId="0" applyNumberFormat="1" applyFont="1" applyBorder="1" applyAlignment="1">
      <alignment horizontal="center" vertical="center"/>
    </xf>
    <xf numFmtId="166" fontId="9" fillId="0" borderId="3" xfId="2" applyNumberFormat="1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left" vertical="top" wrapText="1"/>
    </xf>
    <xf numFmtId="168" fontId="37" fillId="0" borderId="6" xfId="0" applyNumberFormat="1" applyFont="1" applyBorder="1" applyAlignment="1">
      <alignment horizontal="center" vertical="center"/>
    </xf>
    <xf numFmtId="4" fontId="37" fillId="0" borderId="6" xfId="0" applyNumberFormat="1" applyFont="1" applyBorder="1" applyAlignment="1">
      <alignment horizontal="center" vertical="center"/>
    </xf>
    <xf numFmtId="168" fontId="36" fillId="0" borderId="3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left" vertical="center" wrapText="1"/>
    </xf>
    <xf numFmtId="0" fontId="30" fillId="2" borderId="3" xfId="1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49" fontId="38" fillId="2" borderId="9" xfId="0" applyNumberFormat="1" applyFont="1" applyFill="1" applyBorder="1" applyAlignment="1">
      <alignment horizontal="center" vertical="center" wrapText="1"/>
    </xf>
    <xf numFmtId="49" fontId="34" fillId="2" borderId="10" xfId="0" applyNumberFormat="1" applyFont="1" applyFill="1" applyBorder="1" applyAlignment="1">
      <alignment horizontal="left" vertical="center" wrapText="1"/>
    </xf>
    <xf numFmtId="0" fontId="30" fillId="2" borderId="10" xfId="10" applyFont="1" applyFill="1" applyBorder="1" applyAlignment="1">
      <alignment horizontal="center" vertical="center"/>
    </xf>
    <xf numFmtId="4" fontId="37" fillId="2" borderId="10" xfId="0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11" fillId="0" borderId="3" xfId="6" applyNumberFormat="1" applyFont="1" applyFill="1" applyBorder="1" applyAlignment="1">
      <alignment horizontal="center" vertical="center" wrapText="1"/>
    </xf>
    <xf numFmtId="2" fontId="11" fillId="0" borderId="3" xfId="6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2" applyFont="1" applyFill="1" applyBorder="1" applyAlignment="1">
      <alignment horizontal="center" vertical="center" wrapText="1"/>
    </xf>
    <xf numFmtId="4" fontId="14" fillId="0" borderId="11" xfId="1" applyNumberFormat="1" applyFont="1" applyFill="1" applyBorder="1" applyAlignment="1">
      <alignment horizontal="center" vertical="center" wrapText="1"/>
    </xf>
    <xf numFmtId="2" fontId="14" fillId="0" borderId="11" xfId="1" applyNumberFormat="1" applyFont="1" applyFill="1" applyBorder="1" applyAlignment="1">
      <alignment horizontal="center" vertical="center" wrapText="1"/>
    </xf>
    <xf numFmtId="2" fontId="9" fillId="0" borderId="11" xfId="2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6" fillId="2" borderId="3" xfId="10" applyFont="1" applyFill="1" applyBorder="1" applyAlignment="1">
      <alignment horizontal="center" vertical="center" wrapText="1"/>
    </xf>
    <xf numFmtId="4" fontId="30" fillId="2" borderId="3" xfId="10" applyNumberFormat="1" applyFont="1" applyFill="1" applyBorder="1" applyAlignment="1">
      <alignment horizontal="center" vertical="center"/>
    </xf>
    <xf numFmtId="0" fontId="30" fillId="2" borderId="6" xfId="1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4" fontId="30" fillId="2" borderId="6" xfId="10" applyNumberFormat="1" applyFont="1" applyFill="1" applyBorder="1" applyAlignment="1">
      <alignment horizontal="center" vertical="center"/>
    </xf>
    <xf numFmtId="49" fontId="16" fillId="2" borderId="6" xfId="2" applyNumberFormat="1" applyFont="1" applyFill="1" applyBorder="1" applyAlignment="1">
      <alignment horizontal="center" vertical="center" wrapText="1"/>
    </xf>
    <xf numFmtId="49" fontId="16" fillId="0" borderId="11" xfId="2" applyNumberFormat="1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left" vertical="center" wrapText="1"/>
    </xf>
    <xf numFmtId="3" fontId="11" fillId="0" borderId="11" xfId="2" applyNumberFormat="1" applyFont="1" applyFill="1" applyBorder="1" applyAlignment="1">
      <alignment horizontal="center" vertical="center" wrapText="1"/>
    </xf>
    <xf numFmtId="2" fontId="11" fillId="0" borderId="11" xfId="2" applyNumberFormat="1" applyFont="1" applyFill="1" applyBorder="1" applyAlignment="1">
      <alignment horizontal="center" vertical="center" wrapText="1"/>
    </xf>
    <xf numFmtId="49" fontId="16" fillId="0" borderId="6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2" fontId="11" fillId="0" borderId="10" xfId="2" applyNumberFormat="1" applyFont="1" applyFill="1" applyBorder="1" applyAlignment="1">
      <alignment horizontal="center" vertical="center" wrapText="1"/>
    </xf>
    <xf numFmtId="0" fontId="12" fillId="0" borderId="10" xfId="4" applyNumberFormat="1" applyFont="1" applyFill="1" applyBorder="1" applyAlignment="1">
      <alignment horizontal="center" vertical="center" wrapText="1"/>
    </xf>
    <xf numFmtId="0" fontId="8" fillId="0" borderId="10" xfId="4" applyNumberFormat="1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10" xfId="4" applyNumberFormat="1" applyFont="1" applyFill="1" applyBorder="1" applyAlignment="1">
      <alignment horizontal="center" vertical="center" wrapText="1"/>
    </xf>
    <xf numFmtId="0" fontId="11" fillId="0" borderId="10" xfId="4" applyNumberFormat="1" applyFont="1" applyFill="1" applyBorder="1" applyAlignment="1">
      <alignment horizontal="center" vertical="center" wrapText="1"/>
    </xf>
    <xf numFmtId="2" fontId="11" fillId="0" borderId="10" xfId="4" applyNumberFormat="1" applyFont="1" applyFill="1" applyBorder="1" applyAlignment="1">
      <alignment horizontal="center" vertical="center" wrapText="1"/>
    </xf>
    <xf numFmtId="4" fontId="21" fillId="0" borderId="11" xfId="1" applyNumberFormat="1" applyFont="1" applyFill="1" applyBorder="1" applyAlignment="1">
      <alignment horizontal="center" vertical="center" wrapText="1"/>
    </xf>
    <xf numFmtId="2" fontId="22" fillId="0" borderId="6" xfId="0" applyNumberFormat="1" applyFont="1" applyFill="1" applyBorder="1" applyAlignment="1">
      <alignment horizontal="center" vertical="center" wrapText="1"/>
    </xf>
    <xf numFmtId="14" fontId="16" fillId="0" borderId="11" xfId="6" applyNumberFormat="1" applyFont="1" applyFill="1" applyBorder="1" applyAlignment="1">
      <alignment horizontal="center" vertical="center" wrapText="1"/>
    </xf>
    <xf numFmtId="4" fontId="14" fillId="0" borderId="11" xfId="2" applyNumberFormat="1" applyFont="1" applyFill="1" applyBorder="1" applyAlignment="1">
      <alignment horizontal="center" vertical="center" wrapText="1"/>
    </xf>
    <xf numFmtId="2" fontId="14" fillId="0" borderId="11" xfId="2" applyNumberFormat="1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/>
    </xf>
    <xf numFmtId="14" fontId="16" fillId="0" borderId="6" xfId="6" applyNumberFormat="1" applyFont="1" applyFill="1" applyBorder="1" applyAlignment="1">
      <alignment horizontal="center" vertical="center" wrapText="1"/>
    </xf>
    <xf numFmtId="167" fontId="25" fillId="0" borderId="6" xfId="0" applyNumberFormat="1" applyFont="1" applyFill="1" applyBorder="1" applyAlignment="1">
      <alignment horizontal="center" vertical="center" wrapText="1"/>
    </xf>
    <xf numFmtId="2" fontId="25" fillId="0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left" vertical="top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wrapText="1"/>
    </xf>
    <xf numFmtId="0" fontId="8" fillId="0" borderId="10" xfId="2" applyFont="1" applyFill="1" applyBorder="1" applyAlignment="1">
      <alignment horizontal="center" vertical="center" wrapText="1"/>
    </xf>
    <xf numFmtId="166" fontId="9" fillId="0" borderId="10" xfId="2" applyNumberFormat="1" applyFont="1" applyFill="1" applyBorder="1" applyAlignment="1">
      <alignment horizontal="center" vertical="center" wrapText="1"/>
    </xf>
    <xf numFmtId="49" fontId="16" fillId="2" borderId="11" xfId="2" applyNumberFormat="1" applyFont="1" applyFill="1" applyBorder="1" applyAlignment="1">
      <alignment horizontal="center" vertical="center" wrapText="1"/>
    </xf>
    <xf numFmtId="4" fontId="41" fillId="2" borderId="3" xfId="10" applyNumberFormat="1" applyFont="1" applyFill="1" applyBorder="1" applyAlignment="1">
      <alignment horizontal="center" vertical="center"/>
    </xf>
    <xf numFmtId="0" fontId="5" fillId="0" borderId="10" xfId="2" applyFont="1" applyFill="1" applyBorder="1"/>
    <xf numFmtId="0" fontId="28" fillId="0" borderId="10" xfId="6" applyFont="1" applyFill="1" applyBorder="1" applyAlignment="1">
      <alignment horizontal="center" vertical="center" wrapText="1"/>
    </xf>
    <xf numFmtId="0" fontId="11" fillId="0" borderId="10" xfId="6" applyFont="1" applyFill="1" applyBorder="1" applyAlignment="1">
      <alignment horizontal="center" vertical="center" wrapText="1"/>
    </xf>
    <xf numFmtId="2" fontId="11" fillId="0" borderId="10" xfId="6" applyNumberFormat="1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left" vertical="top" wrapText="1"/>
    </xf>
    <xf numFmtId="0" fontId="8" fillId="0" borderId="11" xfId="2" applyFont="1" applyFill="1" applyBorder="1" applyAlignment="1">
      <alignment horizontal="center" vertical="center" wrapText="1"/>
    </xf>
    <xf numFmtId="0" fontId="27" fillId="0" borderId="10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4" fontId="14" fillId="0" borderId="3" xfId="1" applyNumberFormat="1" applyFont="1" applyFill="1" applyBorder="1" applyAlignment="1">
      <alignment horizontal="center" vertical="center" wrapText="1"/>
    </xf>
    <xf numFmtId="2" fontId="14" fillId="0" borderId="3" xfId="1" applyNumberFormat="1" applyFont="1" applyFill="1" applyBorder="1" applyAlignment="1">
      <alignment horizontal="center" vertical="center" wrapText="1"/>
    </xf>
    <xf numFmtId="4" fontId="21" fillId="0" borderId="3" xfId="1" applyNumberFormat="1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2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3" fontId="14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5" fillId="0" borderId="10" xfId="6" applyFont="1" applyFill="1" applyBorder="1" applyAlignment="1">
      <alignment horizontal="center" vertical="center"/>
    </xf>
    <xf numFmtId="0" fontId="8" fillId="0" borderId="10" xfId="6" applyFont="1" applyFill="1" applyBorder="1" applyAlignment="1">
      <alignment vertical="center"/>
    </xf>
    <xf numFmtId="0" fontId="8" fillId="0" borderId="10" xfId="6" applyFont="1" applyFill="1" applyBorder="1"/>
    <xf numFmtId="0" fontId="9" fillId="0" borderId="10" xfId="6" applyFont="1" applyFill="1" applyBorder="1" applyAlignment="1">
      <alignment horizontal="center"/>
    </xf>
    <xf numFmtId="2" fontId="9" fillId="0" borderId="10" xfId="6" applyNumberFormat="1" applyFont="1" applyFill="1" applyBorder="1" applyAlignment="1">
      <alignment horizontal="center" vertical="center"/>
    </xf>
    <xf numFmtId="2" fontId="9" fillId="0" borderId="10" xfId="6" applyNumberFormat="1" applyFont="1" applyFill="1" applyBorder="1" applyAlignment="1">
      <alignment vertical="center"/>
    </xf>
    <xf numFmtId="2" fontId="9" fillId="0" borderId="10" xfId="2" applyNumberFormat="1" applyFont="1" applyFill="1" applyBorder="1" applyAlignment="1">
      <alignment horizontal="center" vertical="center"/>
    </xf>
    <xf numFmtId="170" fontId="9" fillId="0" borderId="1" xfId="2" applyNumberFormat="1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vertical="center"/>
    </xf>
    <xf numFmtId="0" fontId="14" fillId="0" borderId="3" xfId="6" applyFont="1" applyFill="1" applyBorder="1"/>
    <xf numFmtId="0" fontId="11" fillId="0" borderId="3" xfId="6" applyFont="1" applyFill="1" applyBorder="1" applyAlignment="1">
      <alignment horizontal="center"/>
    </xf>
    <xf numFmtId="2" fontId="11" fillId="0" borderId="3" xfId="6" applyNumberFormat="1" applyFont="1" applyFill="1" applyBorder="1" applyAlignment="1">
      <alignment horizontal="center" vertical="center"/>
    </xf>
    <xf numFmtId="0" fontId="8" fillId="0" borderId="11" xfId="6" applyFont="1" applyFill="1" applyBorder="1" applyAlignment="1">
      <alignment horizontal="center" vertical="center"/>
    </xf>
    <xf numFmtId="2" fontId="14" fillId="0" borderId="14" xfId="2" applyNumberFormat="1" applyFont="1" applyFill="1" applyBorder="1" applyAlignment="1">
      <alignment horizontal="left" vertical="center" wrapText="1"/>
    </xf>
    <xf numFmtId="2" fontId="9" fillId="0" borderId="11" xfId="6" applyNumberFormat="1" applyFont="1" applyFill="1" applyBorder="1" applyAlignment="1">
      <alignment vertical="center"/>
    </xf>
    <xf numFmtId="2" fontId="9" fillId="0" borderId="11" xfId="6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left" vertical="top" wrapText="1"/>
    </xf>
    <xf numFmtId="0" fontId="15" fillId="0" borderId="10" xfId="6" applyFont="1" applyFill="1" applyBorder="1" applyAlignment="1">
      <alignment horizontal="center" vertical="center"/>
    </xf>
    <xf numFmtId="0" fontId="14" fillId="0" borderId="10" xfId="6" applyFont="1" applyFill="1" applyBorder="1"/>
    <xf numFmtId="0" fontId="11" fillId="0" borderId="10" xfId="6" applyFont="1" applyFill="1" applyBorder="1" applyAlignment="1">
      <alignment horizontal="center"/>
    </xf>
    <xf numFmtId="2" fontId="11" fillId="0" borderId="10" xfId="6" applyNumberFormat="1" applyFont="1" applyFill="1" applyBorder="1" applyAlignment="1">
      <alignment horizontal="center" vertical="center"/>
    </xf>
    <xf numFmtId="166" fontId="11" fillId="0" borderId="1" xfId="2" quotePrefix="1" applyNumberFormat="1" applyFont="1" applyFill="1" applyBorder="1" applyAlignment="1">
      <alignment horizontal="center" vertical="center" wrapText="1"/>
    </xf>
    <xf numFmtId="4" fontId="30" fillId="0" borderId="1" xfId="12" applyNumberFormat="1" applyFont="1" applyBorder="1" applyAlignment="1">
      <alignment horizontal="center" vertical="center"/>
    </xf>
    <xf numFmtId="168" fontId="30" fillId="0" borderId="1" xfId="12" applyNumberFormat="1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2" fontId="3" fillId="0" borderId="10" xfId="0" applyNumberFormat="1" applyFont="1" applyFill="1" applyBorder="1"/>
    <xf numFmtId="2" fontId="3" fillId="0" borderId="10" xfId="0" applyNumberFormat="1" applyFont="1" applyFill="1" applyBorder="1" applyAlignment="1">
      <alignment horizontal="center"/>
    </xf>
    <xf numFmtId="49" fontId="40" fillId="2" borderId="1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4" fontId="30" fillId="0" borderId="11" xfId="12" applyNumberFormat="1" applyFont="1" applyBorder="1" applyAlignment="1">
      <alignment horizontal="center" vertical="center"/>
    </xf>
    <xf numFmtId="4" fontId="30" fillId="0" borderId="11" xfId="0" applyNumberFormat="1" applyFont="1" applyBorder="1" applyAlignment="1">
      <alignment horizontal="center" vertical="center"/>
    </xf>
    <xf numFmtId="4" fontId="30" fillId="0" borderId="6" xfId="0" applyNumberFormat="1" applyFont="1" applyBorder="1" applyAlignment="1">
      <alignment horizontal="center" vertical="center"/>
    </xf>
    <xf numFmtId="49" fontId="40" fillId="2" borderId="11" xfId="0" applyNumberFormat="1" applyFont="1" applyFill="1" applyBorder="1" applyAlignment="1">
      <alignment horizontal="center" vertical="center" wrapText="1"/>
    </xf>
    <xf numFmtId="2" fontId="30" fillId="2" borderId="11" xfId="0" applyNumberFormat="1" applyFont="1" applyFill="1" applyBorder="1" applyAlignment="1">
      <alignment vertical="center" wrapText="1"/>
    </xf>
    <xf numFmtId="49" fontId="30" fillId="2" borderId="11" xfId="0" applyNumberFormat="1" applyFont="1" applyFill="1" applyBorder="1" applyAlignment="1">
      <alignment horizontal="center" vertical="center"/>
    </xf>
    <xf numFmtId="4" fontId="30" fillId="2" borderId="11" xfId="12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vertical="center" wrapText="1"/>
    </xf>
    <xf numFmtId="49" fontId="30" fillId="2" borderId="1" xfId="0" applyNumberFormat="1" applyFont="1" applyFill="1" applyBorder="1" applyAlignment="1">
      <alignment horizontal="center" vertical="center"/>
    </xf>
    <xf numFmtId="4" fontId="30" fillId="2" borderId="1" xfId="12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 vertical="center" wrapText="1"/>
    </xf>
    <xf numFmtId="2" fontId="30" fillId="2" borderId="1" xfId="12" applyNumberFormat="1" applyFont="1" applyFill="1" applyBorder="1" applyAlignment="1">
      <alignment horizontal="left" vertical="center"/>
    </xf>
    <xf numFmtId="49" fontId="30" fillId="2" borderId="1" xfId="12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vertical="center"/>
    </xf>
    <xf numFmtId="4" fontId="30" fillId="2" borderId="1" xfId="0" applyNumberFormat="1" applyFont="1" applyFill="1" applyBorder="1" applyAlignment="1">
      <alignment horizontal="center" vertical="center"/>
    </xf>
    <xf numFmtId="2" fontId="30" fillId="2" borderId="6" xfId="0" applyNumberFormat="1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left" vertical="center"/>
    </xf>
    <xf numFmtId="0" fontId="40" fillId="2" borderId="6" xfId="0" applyFont="1" applyFill="1" applyBorder="1" applyAlignment="1">
      <alignment horizontal="center" vertical="center"/>
    </xf>
    <xf numFmtId="4" fontId="40" fillId="2" borderId="6" xfId="0" applyNumberFormat="1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14" fillId="2" borderId="10" xfId="6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left" vertical="top" wrapText="1"/>
    </xf>
    <xf numFmtId="4" fontId="30" fillId="2" borderId="11" xfId="10" applyNumberFormat="1" applyFont="1" applyFill="1" applyBorder="1" applyAlignment="1">
      <alignment horizontal="center" vertical="center"/>
    </xf>
    <xf numFmtId="4" fontId="41" fillId="2" borderId="11" xfId="10" applyNumberFormat="1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49" fontId="37" fillId="2" borderId="6" xfId="0" applyNumberFormat="1" applyFont="1" applyFill="1" applyBorder="1" applyAlignment="1">
      <alignment horizontal="left" vertical="center"/>
    </xf>
    <xf numFmtId="4" fontId="37" fillId="2" borderId="6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168" fontId="30" fillId="2" borderId="1" xfId="12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/>
    <xf numFmtId="2" fontId="3" fillId="2" borderId="10" xfId="0" applyNumberFormat="1" applyFont="1" applyFill="1" applyBorder="1" applyAlignment="1">
      <alignment horizontal="center"/>
    </xf>
    <xf numFmtId="49" fontId="42" fillId="2" borderId="1" xfId="2" applyNumberFormat="1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center" vertical="center" wrapText="1"/>
    </xf>
    <xf numFmtId="0" fontId="41" fillId="2" borderId="11" xfId="10" applyFont="1" applyFill="1" applyBorder="1" applyAlignment="1">
      <alignment horizontal="center" vertical="center" wrapText="1"/>
    </xf>
    <xf numFmtId="0" fontId="36" fillId="2" borderId="11" xfId="10" applyFont="1" applyFill="1" applyBorder="1" applyAlignment="1">
      <alignment horizontal="center" vertical="center"/>
    </xf>
    <xf numFmtId="4" fontId="36" fillId="2" borderId="11" xfId="1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13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12" fillId="0" borderId="7" xfId="4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/>
    </xf>
    <xf numFmtId="0" fontId="10" fillId="0" borderId="0" xfId="6" applyFont="1" applyFill="1" applyAlignment="1">
      <alignment horizontal="center"/>
    </xf>
    <xf numFmtId="0" fontId="30" fillId="2" borderId="12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6" fillId="2" borderId="12" xfId="10" applyFont="1" applyFill="1" applyBorder="1" applyAlignment="1">
      <alignment horizontal="center" vertical="center"/>
    </xf>
    <xf numFmtId="0" fontId="36" fillId="2" borderId="4" xfId="10" applyFont="1" applyFill="1" applyBorder="1" applyAlignment="1">
      <alignment horizontal="center" vertical="center"/>
    </xf>
    <xf numFmtId="0" fontId="36" fillId="2" borderId="7" xfId="10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 wrapText="1"/>
    </xf>
    <xf numFmtId="0" fontId="12" fillId="0" borderId="6" xfId="6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5" fillId="0" borderId="12" xfId="6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41" fillId="0" borderId="11" xfId="2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0" fontId="41" fillId="0" borderId="6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3" fillId="0" borderId="4" xfId="6" applyFont="1" applyFill="1" applyBorder="1" applyAlignment="1">
      <alignment horizontal="center" vertical="center" wrapText="1"/>
    </xf>
    <xf numFmtId="0" fontId="23" fillId="0" borderId="7" xfId="6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30" fillId="0" borderId="1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12" fillId="0" borderId="2" xfId="4" applyNumberFormat="1" applyFont="1" applyFill="1" applyBorder="1" applyAlignment="1">
      <alignment horizontal="center" vertical="center" wrapText="1"/>
    </xf>
    <xf numFmtId="0" fontId="12" fillId="0" borderId="7" xfId="4" applyNumberFormat="1" applyFont="1" applyFill="1" applyBorder="1" applyAlignment="1">
      <alignment horizontal="center" vertical="center" wrapText="1"/>
    </xf>
    <xf numFmtId="14" fontId="16" fillId="0" borderId="2" xfId="6" applyNumberFormat="1" applyFont="1" applyFill="1" applyBorder="1" applyAlignment="1">
      <alignment horizontal="center" vertical="center" wrapText="1"/>
    </xf>
    <xf numFmtId="14" fontId="16" fillId="0" borderId="7" xfId="6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top"/>
    </xf>
    <xf numFmtId="0" fontId="10" fillId="0" borderId="0" xfId="5" applyFont="1" applyFill="1" applyBorder="1" applyAlignment="1">
      <alignment horizontal="left" wrapText="1"/>
    </xf>
    <xf numFmtId="1" fontId="11" fillId="0" borderId="0" xfId="4" applyNumberFormat="1" applyFont="1" applyFill="1" applyBorder="1" applyAlignment="1">
      <alignment horizontal="center"/>
    </xf>
    <xf numFmtId="2" fontId="11" fillId="0" borderId="0" xfId="4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horizontal="left" vertical="center" wrapText="1"/>
    </xf>
    <xf numFmtId="0" fontId="45" fillId="0" borderId="0" xfId="15" applyFont="1" applyFill="1" applyBorder="1" applyAlignment="1">
      <alignment horizontal="left" vertical="center" wrapText="1"/>
    </xf>
    <xf numFmtId="0" fontId="45" fillId="0" borderId="0" xfId="15" applyFont="1" applyFill="1" applyBorder="1" applyAlignment="1">
      <alignment horizontal="left" vertical="center" wrapText="1"/>
    </xf>
  </cellXfs>
  <cellStyles count="16">
    <cellStyle name="Comma" xfId="1" builtinId="3"/>
    <cellStyle name="Normal" xfId="0" builtinId="0"/>
    <cellStyle name="Normal 10" xfId="3"/>
    <cellStyle name="Normal 14" xfId="13"/>
    <cellStyle name="Normal 16_axalqalaqis skola " xfId="14"/>
    <cellStyle name="Normal 2" xfId="15"/>
    <cellStyle name="Normal_gare wyalsadfenigagarini 2_SMSH2008-IIkv ." xfId="5"/>
    <cellStyle name="silfain" xfId="10"/>
    <cellStyle name="Обычный 2" xfId="2"/>
    <cellStyle name="Обычный 2 2" xfId="7"/>
    <cellStyle name="Обычный 2 2 2" xfId="8"/>
    <cellStyle name="Обычный 4" xfId="6"/>
    <cellStyle name="Обычный_Лист1" xfId="12"/>
    <cellStyle name="Обычный_დემონტაჟი" xfId="11"/>
    <cellStyle name="Процентный 2" xfId="9"/>
    <cellStyle name="Финансовый 2" xfId="4"/>
  </cellStyles>
  <dxfs count="173"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EC8205-E6A6-41A5-B3D8-AA7251E61EB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B617206-DEA5-4A9B-A5EB-CA181133E2C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72769BB-A285-481D-89A2-3E3BEF7EF10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9AB239E-5A6F-403A-9997-BDC020CDBE1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3C3BE28-579D-4600-B4A8-069B8FD9352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E9080A2-7F5F-40D6-8B11-5D93B6F3B0D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32FFDB2-018D-4CEB-827B-8DA03F4C6FF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48F7E0D-79E0-4177-A2DC-82D9E230D02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90766E4-2D25-4370-9EA5-EF11E0C88CF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C3729875-8169-4641-8D6C-8B87305B046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F831B6B-10CF-4CDA-A885-AC49816C437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2CC5EC2D-5306-457F-984F-93B2CDBE02E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A0CC14F-C7EE-41DE-B128-80D7B7F9E38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3B78BE4-27F3-4C83-8CDD-F377F5EBD66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1F04E4C-3093-48A8-9DAD-4CE3B53467A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FCDE1EB2-1D6D-4D6A-ABC1-A4B492255ED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CBAC0B0A-F163-4136-A88B-E536CA44B15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90C05C1D-04D8-4ADD-9445-1B787781854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7CF0D174-E0C7-4D86-979B-430010348A0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7CF3F3F-495F-45B7-AAA4-904F069CD60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879BE1E-B011-44B1-9AD1-8B72ED7C8F9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BA0167FB-6A9C-4344-B57E-811FB789686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91DA125B-E418-4904-BE26-0E9292E202B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195B82BE-9C90-4242-80F0-C44828E17B3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6FC85347-B09A-48BF-872B-9A1834DB329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3FB680CF-F270-402A-8FA1-CA6B03BBFBE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A560110-2E16-4567-825E-18AC3090F73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41F726ED-B457-4A9A-9BCB-915150A5BDC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A075A4A7-5F2D-47F1-935D-0571B91BF67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442B62BD-F34D-4141-B935-C1A89AA82A4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5B0A9CF-2110-4E6E-8536-43709222975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43AF99E7-9406-46AF-83D7-EC17963AAA9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8B9AF0FF-1EAA-4630-8934-EE997CE7B0D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FCA5E910-491B-498D-A967-3B2D18DBED1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668A44DE-21E8-4E08-B500-18FE111FAA2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FA49CAB6-4EE7-418D-A1F5-F78C0A2278A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7D6F679A-0CFC-49BF-BBC1-18C1FF8E312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687AD10B-3119-40DE-A426-C174DB07D60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C1D53936-3004-40B7-87BD-6A63FFFE766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2ECD8626-9DEE-4E4C-BD01-31DC5E169E4F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DB25384-CB50-402E-A65D-92CD9EE4408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E6A9979-8351-4DD4-80CC-A85C6D7C237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72AB1D87-AF7F-4D4B-BBCF-4D69910BF7C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C99314E0-D943-4D80-A11A-285723E0315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F0D286FA-C27F-4DD8-B129-196990C38D7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E05AD964-3CF5-46BA-A9C2-3D701C2BDD3B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9DE8772B-1477-4127-A0A0-B89CA4294C4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ACE4633E-A927-4FBD-A645-551B7C24231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C35C6A90-1739-4404-AB31-A362DF0FDD8B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A1EE4CE-15C9-48AB-894F-F99B7BF7DE4B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DE1838AD-C51E-4EB6-B3B8-2128F49FCE3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38E3B4F4-1F01-4479-B660-768669CDEA3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C1ABFD36-6C8E-48EE-BD26-23F567DC915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38F1281F-5F43-43E6-A064-979F871A354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E61DBCA0-F069-4B2F-8B73-76D988FC717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DD1F73F5-7197-4062-8DEB-C707F5C1DB5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EF10032-44B7-43CD-8FB7-D23D9052280F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1628D808-BBBE-4D15-807B-0885C06E4A4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638E6F40-E8B1-4A31-85E2-2E43418F2F7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D6CB9A49-AFBA-41AA-8D96-3C40BB7AE97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14877F20-C314-4129-9C7D-0A3C603E218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9B9E32AE-43F7-4194-A55C-086061029DC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6EFC1F1-0787-4B1C-94A7-5683233810B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2928F3E-6D8B-4A50-9BB8-53168CB48DA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50C116AA-BD64-4590-8A60-2FD7CF73603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67E89A3A-0E9E-4BF4-B8B8-1C71CBD6B4F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C672EDD9-3C77-4A16-BA11-4B2B2D40F40B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F8988E88-D0B1-423E-8B94-8AA62E60930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29474DF2-5FD6-4D3D-A162-B051575B162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D64A4B5C-68F3-4056-A872-C6DC7DDA1F4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95CDA96E-30BD-4430-9B62-B5C169729B8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455EA591-4A63-4BBE-8072-1A28A50217E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8999CF3D-5582-4CDF-BF93-D32C0C6BCF0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9CB47C4-69B6-46F5-96C4-06557DAE6D1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787264DF-279B-49B8-BB2B-B01C4EAC652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9B6A0B5B-6EA8-4447-B907-80BEF068835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8D6129F7-BA7D-4215-B8B4-614301A223E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49A1CEA-6847-461B-9036-48BDB1BDBCAF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2A642B05-07F2-4CCD-B99E-F5FC00B97D9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35B2758-A195-47CC-84F1-22F34928088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5DA8C93B-1AEF-49FD-BC90-AADCDA7828B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3B10E30C-2D3A-4EEE-A287-C8818E367A5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94B34049-3AB8-4E5D-B4A4-CF1690DED1E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8BB1326-D7F3-4542-837A-AB7C017EECC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F2D74F54-AC03-40EA-BC4C-C19DC90F39D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800B966B-6105-4FDD-9E57-5F6150DCFB2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D98C86D7-9EE1-498A-B222-D5DF489ED52F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FC4E7E5B-67A2-46A3-AEBC-42AF65156DE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27842AD0-C325-4609-8674-94ACF2C7A7C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89EE40C5-559B-4DA8-A3E3-DA9BA046099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F2783069-81F2-4AD7-BF81-A7D95759F27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C96740FB-598D-43A0-88FA-42B2E1587F3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8467F373-81BB-44A5-8036-A50A2F78799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6E3D1E34-1045-407B-9489-F530427B637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02E5445-00DC-477F-8C73-BFD56F9D264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56A8FE1-09B4-408F-B063-507B57BE462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FF9A3364-4B9E-44E2-98A3-4C5595E8062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AD2129C4-2DD0-44B8-B4F6-6A5876FB948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4DDF4D12-387B-4B52-9F1B-378BD2F417A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A81C351C-C08D-4F9C-B18D-B0BDA838DE1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EFE84E5E-F6BB-4959-B6E1-0916A18E789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5B2E9B51-C42E-4474-9019-2334835ED96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669BCB17-70FB-406C-B1FB-A4F4EFD6F8F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430A3263-E54D-4304-AA53-19A363C9604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E7C0CE87-42F9-420A-81D0-72D53336DCA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AF42075-9FF6-48C5-91EF-2DF48AC3E8C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D9B6E952-96E3-423B-AF23-81C89061F63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137F88A3-0178-435D-A1B9-56C3A330BBC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54E66F4B-8B0F-4725-8701-D87629CEE75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7AE171E7-F1D8-4002-80DA-D24B743A36C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FA59DEEE-4BAC-4944-8117-382BC441C5F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39437958-5E8D-4DED-851E-F1CB5E8B14B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669A9CA4-CC8E-4569-AC5E-2BF62D0CAF2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BFAFD1DC-CC04-4913-8A60-4431DAF12D1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B26F4D0-1B93-497C-AF63-CAE92D2BF09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8B293911-26A3-414C-90CE-8BABD7BA383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1C21C695-C8F4-465D-B6BD-711C9286FA0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6333A1A5-2BCB-4D29-9A83-2FDE4CF4074F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89817E58-720B-4B77-AB6E-3D815865141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9BA3E095-D902-413F-A728-A53916B0F23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60A70B0D-27CA-4CE1-843A-1E64EB2DF9C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F6B56D25-9AED-4997-A518-0B5B0746BD2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34F58EF8-1134-4C59-BB08-0BB9D40113A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E4C6AFB8-A331-45B2-B604-A66AE714BB8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FE69109F-2414-4A3D-A54F-9F96B1C685E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D48728B6-F3F7-484E-B3DB-536D7146618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23402786-5F3D-46E6-B4E1-E56CC03E8AC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D491BCD-FC82-41A4-B10C-839EC9B5CDA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D0ED2D58-0710-495C-B641-F04FECC6615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C5A4ECE4-094C-4ABB-8E11-1989A703F45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1B164D0D-FE84-4A18-A1B4-8ED7F9DE435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90B5E82B-AC43-4748-978E-8D250F55E67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A6853E84-E3B7-49EC-9FB3-129E6F6E4F1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FBA8BF21-C140-40B7-89DF-5BC8C5E1C44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D5F14FF6-B066-4C10-8BC6-1669B980698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DF778A44-BEE7-450E-AA1C-56F99420285B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40015962-67ED-4168-8740-ABE1AEE31AC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5EB81EA-D470-43CC-BCB0-CA37E548391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F5B51975-131B-4A17-B284-749B1C4B994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7154057A-9335-4389-A33F-B2B0CA6D111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8BBFF11-CCD8-4261-A505-23FC22DA0DD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AC4BAA1-8EC8-45CC-ACFF-EE5D6D686BE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FEE27269-C1D4-4D2B-9C75-D69531B9428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C9E4B65E-927B-45DF-B902-3268D2C24F4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139E8BCD-EFFE-46E2-A6EF-11EF3FCA32B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BC75BA68-40F6-45AF-90A7-3A83C597189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73F01B21-5BB9-42B4-A6EE-B5D56474D39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8BAA33B-ED85-49F6-A040-0BF535FD63AB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61F183AB-1265-4215-A775-BD41D2B6987F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7F8834D7-1FCA-4292-9766-FE8A701EB40E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7DC2F7F6-C250-483D-B748-C79D4B34F68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29D4397A-8289-43F3-B3F8-148C01BFADB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F0C13258-DAE8-4248-9C88-99D11A5BF4F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53DE70B-C7C0-4015-9A1E-3DDA1760DD2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FCFED316-DF19-4895-88BE-78BC561C21E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22E1BD32-B44B-45C3-8C0F-4D1064AF521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A4C39F57-68B4-43DE-BDA1-19FA59AF4A2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3A805503-C0F0-4595-A74E-2734FA48834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9A769388-03C4-41CF-BC6B-E5AA7A24C5C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CDCA48DE-EEC1-4A1E-8319-890143932B2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1781E497-BF76-4E0F-9F44-B2C34E23701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4567231D-CF24-456A-A823-0D5E6422BE2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1C8105EC-1F7C-4284-8846-33BDB65EFD5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6352EBC3-9321-4A3C-AC6D-CC1BC602F80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B164424-1E9C-4761-A0FA-C3AD140E5034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4E938932-326D-4C19-80F2-EE20A9F5302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91F5AA07-5FE6-4857-B171-7258422B47BA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378C5D0C-5252-4168-A48B-4EB38962A1A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CD157013-7DC8-47B9-A55A-4A4BCA6BDBCF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57305BCC-07E8-4191-BAFB-3923EB829E4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3B10FEA-15B0-4A68-87DD-084D179C291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4C721DA-DB48-4934-AEB7-FDA00F8025D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FD3D8FC4-498A-4D02-B909-C0DB4A2E5AC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205D02DE-7E2E-4FDC-A1CF-24AAB42EF84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9A20CDF2-1ADF-431A-AF48-9EAA8606ED69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AF5ED636-437B-49A9-981E-6EFC18DCFAE7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CC87126-47E6-4561-9988-989ADB6FE3B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A5303949-3838-4840-A5AE-2BCC1BB11C20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B9848494-B2CD-47FE-A3A9-CB1FDA2993F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9EF8F950-696A-479F-8BF1-9F3C08F268C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AA96DE43-53B5-45FD-92E4-D1E4D31B4C36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666029F9-4D0A-4004-8701-2D6B5CF2ACB8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8B24E8C7-312E-4E1F-8055-EFB3F9DF46C2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27CF6405-8A2A-41C0-B3D7-0B386BE9C5B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D07F7F8A-50E1-4B6B-B0F1-92A5F32E78D5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F96D0497-C97C-4B5C-ABBD-5AB356B0963F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C1EB799C-151C-48F8-916D-B516F4E8C50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82F09444-B30C-4D2F-A057-F36AD1A0CDF3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BAF499D-3559-4ABC-AD52-1D02EAF5DF21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B1DC98ED-71A9-419D-8A30-B86E023683AD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74BAD7D-D616-4AE2-9F3E-002177F2ADAB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8C7A5074-5AEF-4AB7-ACE4-06967979425C}"/>
            </a:ext>
          </a:extLst>
        </xdr:cNvPr>
        <xdr:cNvSpPr txBox="1">
          <a:spLocks noChangeArrowheads="1"/>
        </xdr:cNvSpPr>
      </xdr:nvSpPr>
      <xdr:spPr bwMode="auto">
        <a:xfrm>
          <a:off x="2419350" y="13573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61C9125C-37B9-4E65-A570-0C191BD8066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32B9A47D-B6D8-4D26-962C-54F2B4A14F1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B50691AD-02C5-4B00-B4B5-1E51855C783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E9962059-FF06-47F4-AD95-E680D80021F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4F70D77F-4D7F-4C45-8DC5-158CB117EB9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723B9525-3578-4D7D-89C7-B9A00209E5B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F3998602-B777-4194-8C3E-49190FD9EB1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843412B1-250F-43F3-9A0C-604DA5F45AE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42A76552-3164-4094-ADEC-7F0252FF99B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CAEB569-D9B1-45C2-8B62-D95E18782544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A6F570-2F6E-43C7-9730-DC000B69F7C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BD049B08-05FB-46F6-A85E-63D0E40DD34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8472562C-785B-4DE0-A031-73B244C3290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8439F911-9122-419F-A80A-3F4FE8FC141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93CF4DE6-5D54-4618-871C-4AC2FB7BE61A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9E1BA307-DEDF-4527-B8EB-BA3BB3AFBD2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B4D1FB2B-0E13-4467-9CBE-F59413577BF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6DF2B3A6-8BA7-47FE-9792-9F4AFB9DCFD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D361E5CD-6EB5-4132-BE49-A57BBF2932B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E1A27DA7-61C2-4DA9-AE8A-59D2F90D24D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7D470AD8-DF89-4254-B22D-02B7056201A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8B227CAD-E524-4691-A644-5DFE9B28EE1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FCED589A-AFB5-42D9-BE3E-D062D03238F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646F5A74-F57E-4962-9AA4-E69EDF6AE8B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BEE2EAF0-0DB2-449B-A541-87A33D8CC28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A271E1CB-E798-4396-9C2D-7D061E54228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2CAB069B-7E9F-4CDF-B0DF-A9A10CE01CE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5400B19C-D61A-4258-A442-CD71C4088B0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9CB3C791-4F6F-4E07-B166-4EEF8B35D20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4DEEF235-FA2E-4B48-9F54-16F66077A20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99B88C4F-3CA1-434C-982F-3DBCC3C6898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8E2CED85-2A1D-4025-8CB2-C36272CCF3C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FC0D59A1-943D-4A29-A367-9223A425296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DC3F2822-8BCB-48CA-A206-803CCD3849F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FE8102ED-516A-4A7B-9E7D-7DFF624197E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E9B40D6E-5BF7-4034-A134-BE1F29C7D74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F4A9D57-4D64-4F7C-B856-46B724F7F22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A778CF5F-44A5-4A0A-81EC-CE087F55D1D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A4D56973-BEE0-45CB-9C35-C77C94F80C1A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F952A19A-782A-4550-8972-88188289E44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29462E51-AC40-4AFA-A216-61479A07238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C792B9BF-12E3-4DA1-81FF-6921DFD4623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E8D2F5D8-1B5D-4AC6-8773-348D2C12CEB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C68E8476-B469-4164-A870-0DB58C56C44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F8C2718D-3F3E-4355-AB3D-B8D39010814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4F3D4B39-FEAA-4E72-AEB8-DE86DE8587B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95ECB091-DCC8-44E3-9A63-0DFE729AB45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5383C0FA-8C4F-49DB-85E1-9C47007C7ED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AEB986A0-2513-4604-8FDD-777E1A4AB7E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3E90E503-E04D-40ED-ACE6-A852C6417E7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29130A8E-E4DC-45DA-978D-2434DF824664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CC90CB55-C797-4BD1-8707-C6C897DD1DD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5F8A4D75-847C-484B-B074-155B12C301F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43EE266F-ECF7-41DD-8280-828C3CAD0E0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71889237-F68C-46BE-B0A3-85A364ECA96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D7E4725D-D165-448A-80ED-C0486A055A5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7458C3D4-B37C-4359-B756-BF8614878E5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EA995469-1EF9-4A13-A847-6F7AFD1F649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16CD500D-A4FF-4456-818A-FAEF748A067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10608E4A-7FBB-4C0C-AF1E-2AF100A0FBC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BF53A8B5-E344-4F2B-B579-62C888EC1FD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5F475816-8637-4983-8ED8-C656BC4EEDA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87D6E53B-395D-4F9B-9872-6B77513752D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E9D9DF61-3A43-4B34-B554-BA47914793F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F4AC9988-35BD-416C-944C-6FEF6A807EF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FEAC3604-F733-4265-906F-20BB63242DF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BB00DCD-5F74-4F9F-AF26-07E5E990F85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309F5927-4D8F-417F-9C1D-FA0C54ED92A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A5EF0B2C-515B-4B6A-B589-DE1BFE03AF6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E2D63CEC-6D2F-426D-91DB-66A26CE7A56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8E026D1D-DB16-45C6-B793-312C1A773C1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FDF58157-808C-44EE-8E16-33C0669EEF3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6F3F8FD4-5CF2-40F4-8A93-FD84E618111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738C2315-E20B-486E-9E3A-00EB7306087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C165CC58-A549-43DF-8980-200C1759CB8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CB89755F-AC9B-4DE6-A083-6871BBDE19C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159DAA54-2F37-46A0-A8D7-2137CEBCBFD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9AF21644-B68E-43A4-822E-A34871F70A4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7E1E80AB-02E3-42EF-A01D-3138D24F61C4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BD30488F-354F-4E33-865E-E4BB650FA5D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324D166E-50CD-4610-AB69-37AEB7CF82C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FFF085A0-DAAD-41F1-967D-F6564076D80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C369E1BF-0A19-4939-BF6F-BEA711C0238A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A6D0D9B4-F7F6-467E-96F4-85E195FC532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6E2AB023-A921-41BA-AE7F-1F16E10E519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CF9AB922-AC18-4481-82F1-C18DB9AAB1CA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3DF6828A-B2BE-4293-8D7C-4551C461678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89F70454-85D5-4755-87AF-6E86FFD8033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43394D32-569D-4E9B-AE53-B7FA7E47288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4621044F-CCDA-4DC6-BF39-455A4C5F287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AAB49D0B-623D-4EB6-8565-85A060F65D3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5AE916A-5237-4FE8-B0A2-142E6A7E8F7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AC8BC46B-9244-497E-B68B-821E729DF9B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FBDFB5FF-56FA-4982-AA37-6320629C286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ED8436D9-6766-429F-A7E9-AF434FDB884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4992A5CB-A366-437C-8F39-CE791897CE9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9B8E6B5D-12CE-479B-9AEF-A22D74C1D20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9F2BA2A2-8DD6-45D8-88D3-2437D99B0AD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1BAAE755-7FB2-4208-AE69-B17C67A6548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94E939A4-E1B2-4AF8-A256-4DD2FD21F54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F942A983-DF8B-43A7-8695-110C15FD6C5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928FD1F5-C254-4AD4-A7C1-20A4EE6226D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7FBFBD73-457D-4BD0-A459-505A0A46452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49CEFC7E-8B1C-4C2E-AEB7-7583D53BB5D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3FEBBD-F9F7-487E-A359-0AAC0CA1658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22CF4248-319D-4862-9E21-2ABB8C717C6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A0F80B46-F6E8-4DD8-B0A2-E471D1BBCAB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17CF8A18-D310-4127-8F56-00E9E576BD4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F004422E-1F8F-4AB8-93F3-9CE04C1E53BA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ABE9890F-6247-4CBD-ABB4-1A037232716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17655BBF-4A37-4DF0-B27C-A49EE9F1FA6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D3FFE736-A1A0-4F8C-B43B-D81C35A2614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588A9013-ACF4-4042-9001-D69D5B26469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5B4F6711-49EB-4EBC-8672-679A19F6016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5181206C-C3CA-4B59-B0B3-0F2310229C6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21C16521-93C8-4C8E-A88E-367323B61FD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E0745C54-8BC7-4701-AC5D-50CDFC38460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EE8F94D-5924-48BB-A9D1-B744868EDC3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1AF268F7-CA8B-4CF2-8C98-8F108A0FCDB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768C1661-6135-45D0-A67A-F6DAC241AA0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A107E075-894F-45FF-8524-08D15907F8B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541EA9C-EB10-4285-9D8B-129B7CA7B4D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AF8B819F-9F0B-4651-AB37-382E01C3FD2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793D7F5A-E197-488E-A14C-87597D3A82B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581A5E1A-D6E4-48E9-BC2A-F121C282D51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FAF1D999-B687-421C-BF19-16E7B19934F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F21BD39E-85C9-4C6B-88C3-FC2F24D5E04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CC22BD15-F140-4646-9BF0-3D80EDF9930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4D1EA21E-334E-471E-9380-9D737D37F1D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64678078-F3A1-48EC-97AC-E1065AE262C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E59EA9FE-3E97-4524-8F45-71C6DA16BB2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BED3F87E-5430-461D-928C-21555E98452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5CFBCA10-8607-461E-92DB-75E8469892C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1D6FD612-9041-4E6C-BC2D-F280C89A76E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AAAA5974-9550-4C4F-906C-3194C9C87B04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1D038654-5958-462D-85D6-31DC32FE5D4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CC43BC29-5F07-46F5-9108-15988A86010B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E4BF366-8F5C-49FC-8824-A434FCFC37A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2C0DEFFD-32EC-410B-97B6-7B3B466974A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7192691A-7082-4E36-AFDE-F9D17BA8FC2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A53ECD2E-1B8D-4352-B219-8E88E2DC5A7A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4C913081-4CC4-412B-A9DF-94F42E21409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CC828B34-5004-452E-9C9E-9AFA371668E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A3CE5FBB-B932-422E-BD9A-985964BAC11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2F858273-0FD7-4798-80B1-41AE8B7A23F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1DA75998-4CAC-4E39-BE99-78C28D76E4D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D3281B91-BD60-4B7B-AEB0-7EEE2A604BE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3A9CF505-33FA-44A1-BCEB-344138E7880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99DC9963-1AFD-4A7C-9EA9-618FC4298FA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6938ED91-DC98-4FE0-932E-16A239B94BF4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65B76DDB-C591-4DE8-A07F-8C36C2B6F99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4445A2D6-FCD4-45F0-82C0-A33829323DA4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6CB14F56-23BF-4858-AA81-F553D76DB7D4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E6AC288D-9B34-4BC8-9CC2-2D52C77FA37A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28DD06A3-7599-4F45-969F-05EDF7C6480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6E4444FB-B2CE-4212-9424-A0E08C99285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5F28FB88-7073-44DB-BF1A-11B3E1A9F59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6F63979-3D30-4D3C-96A8-75DE0B7BB39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620C6BB0-F268-4472-9C49-6103EB4F9F3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CD47A1DA-B141-4C43-8FDE-D59F73726EB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9639D337-0E09-4FAC-9195-F76EA4D9D8B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C4E6176E-3410-4E9E-B78D-32273155D1C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768E5BB5-0CB7-4CF4-8164-07019DF6667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DC8DD4A6-79CB-4E2D-9D39-E27EF3BE263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923FA37A-CF8B-411D-A98A-98FEEEEAA2B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F87D037A-7825-437F-B217-A482491D6A9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FDB4A833-ECF5-4943-B644-7EB58EB79DA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C5392CC1-6E1E-4DB0-9756-B53B1CCCBFE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AF6DFE02-A76D-49D8-AFC2-04411738DDF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4E635A0E-31EF-4B8F-8C45-B3C23834C279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7685755A-EE19-4D0B-92BE-473336F2A72F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3EC6179B-FC5C-4C8D-92C4-ED1EEF242355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90575612-5FA3-40BF-8546-274EEFFC33B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D04F32E2-E58B-4DCC-B003-85FFAEE9315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6C51ED02-F690-419F-9C46-97FA451C275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DEBC1282-4422-4DB0-9E81-693D629EB8FA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F6234DB2-27EF-4B07-AE00-31C828797C64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B6C8D284-B257-45E7-AC4C-12251DDCC5B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73B487EE-8D3B-4E56-9D16-6FCA3E3F9A67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FD8C2160-7597-424A-BDCE-6B4AD22D59E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5A3DF0D0-E5B0-419E-9369-E3629CA9AE0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DCD8476D-1173-491B-80F6-A1A914CA7466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47452B5E-3EDD-4362-AF35-D696530236D2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37BD6A4F-12A5-48C6-AEE5-2B612DBFE39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2CB3BCD0-02AC-4F53-B19F-DB2BAB3F5748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184A05ED-221E-435E-9F31-7F60B1B0783D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DC0B5A7B-50D2-44DE-AE6A-0C697D2843B1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9C02A4CC-9D86-4FC2-8375-383F7D776A30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BDDEE9E6-0BC7-43D5-8B3F-73D24B50CE84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9804C1D-14BA-4A97-9310-304373F613FE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C4C7245-461F-4972-A170-2756473E276C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B534FD7A-95A7-45AF-AC52-A300DE5EC833}"/>
            </a:ext>
          </a:extLst>
        </xdr:cNvPr>
        <xdr:cNvSpPr txBox="1">
          <a:spLocks noChangeArrowheads="1"/>
        </xdr:cNvSpPr>
      </xdr:nvSpPr>
      <xdr:spPr bwMode="auto">
        <a:xfrm>
          <a:off x="2419350" y="13182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E70D8302-B4C8-49E3-A68D-1E94A165976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995223F-D323-49C5-B0E6-1C36A692DBE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F4B4D2DB-24DE-47D7-99D0-1AAE06E6A81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94579EE8-0076-443F-8774-3D333CE9E36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1D7EE40E-F0F1-4572-92E4-A1790F53DBA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45218E7B-DDE0-4B29-8EDA-1505546A71E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B75CBF7D-BD44-4351-89CB-742D315FF7BA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4950982A-6174-4151-BE5E-4FA3BB1D346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95A3E71-E89B-42FF-9044-1BEE777D281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2391D33D-123D-4FF1-9FFC-E5C9C21215F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DC6C6DDE-DAEC-42DA-9CD4-8039C4B8780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A61966AD-52E1-47A0-9498-26480ED3AA17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E3844281-27F7-4036-94D5-DDAC3A82E6C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DBB9D4F-8CFD-471D-9A7C-74807D9503E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C3288D6E-6514-4BE4-BF60-085A83506C8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A4ED86F3-5E27-4A77-B1E1-3998BFEF5B8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E4C48E45-AED2-4213-B6DE-7BDF9F4B13D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D0F84A27-6A76-4D4A-9C11-4927E9B6FEB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EB757940-46C5-4D21-8EA0-04E813659C9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275A3B0D-19E9-4039-9969-77BCF999E32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24701B85-39AB-42E7-85DD-1D60FD60E3C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61F87652-BB5A-4158-850D-4A390AA591C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ACB158A8-DB3F-408B-BC77-75591C58ACF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410BC057-16F6-4991-8EC0-31743536D7C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D5C822ED-4237-4EC3-8472-BF8B7E4DCBD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5EEC1BD6-DFA7-4249-BC89-0D67AD5093F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86FD59E6-C138-4E46-9810-A097F092826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5DAFE6B4-9DC8-4217-9B19-5F6E0626AAE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7886F7F1-DC75-4EEA-840F-6BA31B54F99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CC72C79-E886-4A3F-B6E1-D759F293588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C4B5C7DB-3393-4F6A-8824-50FC4054048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41E90D0F-82F7-443D-88A0-5444A96E0DAC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E6D93AB0-43C9-4DE9-B980-1A7A5D0192E7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2AE9C33E-2B69-416B-B205-E327F354FFE1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BB63C8C1-1057-482A-9B9F-D7F0BAC076A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7CADDE1-2F4D-4537-9499-DE9FA109328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85C96383-9081-41F8-92A6-BBDD1AB02D71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4C459ACC-040D-4005-8FC6-332B295F8C5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4E39E8AB-53B2-4D67-9939-4E02246CFA1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EA41D3EE-705E-462D-A70C-1AF27FEECBA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94DD3FCB-7640-4610-A24C-A3F1A96D6D8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C5FB54D9-5E44-4626-B7C7-6ED5526C519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9623C7FF-AC7C-4D1C-8AD3-3E8A8A1DECC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9DF7E9FC-50AD-4715-B426-F6F057EB27E1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81BF2618-037F-4669-85CA-498CF236997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C63415D-6D5B-41BB-8E5D-2F514A5FD1F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5B7EBB86-7678-4500-B97C-110EEBE9E901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546B851-A7DC-448F-94CE-E93003E2D93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E3C9DB13-DE86-49FC-9699-1B1D185A1D2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D3EDD836-915B-447B-9ECC-0D37913FFA6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4CA67432-0C8E-4A20-89CE-BD5339A973C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32295DCD-BA49-4528-9640-AE7AFC3237D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168B59C4-2965-471C-97BF-9CFECF584DCA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885DB11C-3E66-4C74-9397-B4C681C52F9A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5A11CD67-DB85-4F62-8F92-1C2E64D7CB9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16A08164-2B02-4B15-904F-C4726AE6816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3DEA15E0-091F-4CC4-A1A8-2F3F0567E0E7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D549369A-3E22-488F-A34C-06CCA1F9DEC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B5F85938-DE20-4AB8-8FE1-3DF230CC4A3C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3077CEEA-7E3D-424D-AEBF-837944F3FBF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F0E4EDE-8E67-4783-94A3-2CA1E5F4F09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7395BC3B-245F-48B0-9821-3FB082AA92D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C1897E0F-1551-4D3D-B91A-2E16ECF751E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58BA8B15-1261-4044-8E58-31F80A0A2A0A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592B97F5-82D6-49B8-9223-1D851FFA365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477FD490-5077-49FA-92C1-C88E6CB0222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1BFA47AD-17D9-44BC-9EDD-D69D24831C3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D59CF88-7653-4752-9728-F34D17CC74F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9C74F315-D54B-4833-9959-E45D150E6581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92FA07A4-346E-4A97-9AE9-4323912B40B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23BFD590-7EC7-4712-A6CD-9EA1741A646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6B4BAFF8-FAB9-4A32-9A91-9F0F3BAED4E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95A85A98-F293-4DBB-BF96-2329DE037547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BE840407-F603-485B-AE9F-7D835205729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2CE0C220-ED48-4D3E-996D-D282C3FE64E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1EC6ED6C-B445-4D17-B93E-2F1720E6BEE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5689CA6-498B-47AB-ABCF-9FB9F02FFF4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514F2713-E8B9-49C4-99DB-5AC76A06E8B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3D928D4E-BDC5-4A76-B733-A24CDD87756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EE32B3A4-D9A3-4882-A1EF-6789A581462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33614241-0E69-496C-861E-012566CBA0D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91031AC8-A76F-4DF0-8263-96726A47D7F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A35FF74A-4DE3-4E4C-B9E3-23175AA7BD3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84FED245-4E0D-4DF7-ADDF-C5811F9435EA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DF427FD2-6284-464C-B7D4-1EFA86C3525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D4F49766-8BD2-4D9A-966B-8583161C1D1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C34803EE-0380-4F1B-B6A3-231249722C0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90B6FC36-0AF5-43E3-A019-36D7467CA63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96957D0D-9502-4126-BA67-022DBB98C977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3D4F8253-6922-405E-A4B8-C04F113492F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FF231479-0081-4476-80E1-1B5C54715F6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F82CEDAF-E2CB-440C-9739-01A325CDF15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4B1C6044-D141-4C40-B18C-322B32D212B7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1226D88B-F2D9-4A7C-9898-966E22DDAAD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2DF31B0-5E89-4AAB-9FED-0BB5858A796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D54C29AE-4638-4FCD-BD06-3BD0FB3D64A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338A8E63-8B2B-4F68-894E-0A0507C3E747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1CE2A225-5BAF-4B90-BE5D-0D824DF5ED3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F9AE8C53-ED43-44E2-BA49-2853BB71BBC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391A385C-4CA0-4B80-9EF8-95D1A81B1AEC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31C77CB8-7B8F-47AF-BF03-D3795508A7F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E4F39C43-6697-4648-BFD3-769D9FAAA15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892B1C2A-AFEE-4429-8F2D-2F8D3D54415A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CD326F7-AC7B-4F6D-8A08-456AE083A29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7970BEF-FFD5-423A-978A-8BD6E965698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ADE70039-89AB-4337-B2F4-4AC78CC1410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FD2DC2D8-6761-4BBF-9E0E-08EBA7BD1D7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F779B2A1-4373-4D87-ABB5-B1D17B1CC52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4038B31A-6939-487B-9C3C-EDD03FB9A00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6B7A23D1-DDAB-40E9-8317-5A47749D4B5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747742FB-7061-4286-94AF-773909FA379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57A6FCB4-3B6E-4FAD-9AFE-B9F5D961C70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D09E4B55-99FF-4E1D-9D2F-03123C298D4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EAC3E761-256F-4ABA-9566-D13ADA8A4F7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9F60E4E4-357F-4618-A081-FE4E5305CBC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52DC07D6-60E7-45A3-83AD-69263E0F047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EC6DD1D0-5400-48EA-A374-8152245AEDD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713CF4DC-EA7B-48E4-848A-38433EE8545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BCEFCD19-5CA3-46F6-8E23-29440411CAE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D7364D80-EA00-45A3-BBAF-3C9ADA26781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33FBCE74-983D-47B9-A726-D60A31F913D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1A1355FA-7AE1-4570-B4E1-ADA2CA8EA3A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F28908AC-DFDA-40E3-9A5E-860AA6E3071A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ADD7B61D-182E-4914-B75A-1A8BC10C07B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2CB83A46-AACB-4456-AB24-F5C5B189D1D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76E5E41B-01B7-4A94-9863-A52DD725395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1B839AFC-F10E-4FD9-8C23-A930EC4EFB3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9CF9A47-4A2C-40E6-BD53-0BD452302EE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277E4FF7-4C69-4C70-9E09-8E1529DFACD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9C2EA395-FF76-4EF5-8947-7023FC6547AC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D364FF18-3223-4655-B996-3C925E656DD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4EA3E50A-DA20-4357-8F69-8D3885B86EA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34F7462E-5CAA-4D2D-B671-A9091197C9A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256CB803-7F93-4600-A573-132E7C3E62A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C43B4E33-CCBC-4B23-AEFB-3E459CD699F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E90CEAF4-2CD3-48D6-8A0A-3B58D141BA1A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3A83EDDC-9171-485B-B470-D71DC4F82D3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E6F81A32-7DA1-42F1-92BF-9567D9A5058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495179B6-E0E3-45F7-A331-3319AAB9109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958162E0-28C4-4E72-A6EB-D917B896FE7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DC1B1950-18BE-4DAE-8AAD-DB6A127FE7B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4BADCB0-83F9-4180-A1EB-F18B79B0637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59F30226-E876-4984-9AF1-2D837BDC4EC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DF11F42-7425-4A59-B3D7-81D4D2EBFBF1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EBAF35C8-D565-498F-8EF0-28BBFEB37CBA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447F98A4-2895-4822-80B9-CD00CD9BB84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401209ED-C631-496F-B94F-13910F6BD54C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30CB4C1-CDCF-4DF7-A91D-ACC0A0EC431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2856D2F7-C365-4D6D-8C4E-22913D9DC70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30E639F6-1BEB-47CF-8083-CBD04AC33FDC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66AADBC8-FC48-4325-9027-F202F2CCB74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C451CE1-434C-4D70-8D00-E70ABBE8A57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D9FA6749-3249-4854-A179-9699C388218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60152CAE-5F3C-4282-BA9B-526752B929F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736A4568-B1E0-423A-8A2B-F529719664D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9F9061A3-5E96-46CD-9C51-134A54F567D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FBA85E8E-6788-4FA5-B701-AADE6D07A56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65081B5E-4FE1-4351-B1D6-379B7033604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F3C4CC4D-881F-48BC-8970-3DC990BEAC7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D2766BEC-15C3-4A89-BD8B-4D3A6908B45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78E2CA2A-CB0F-414E-8B3E-269C3D848B3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1022BAF7-EB54-462B-A969-E9A8761EDCB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DA15557-7BA9-4512-B477-32929B27BE0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63AA5629-74B2-4AC2-9F8D-D632CBB9D1EC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7BDADF98-E918-4E1B-9B26-A8BA3202CD0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71A71437-2265-4C3A-B7D8-EF33CB99C11C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94BED5DB-A825-44B8-97F7-6889F03332EB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AE636EBA-5D93-4EF9-82E7-D70707D23FD9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A958F882-B83B-4F77-B7B3-0E479B1CA24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CE7A76EE-C64A-44AB-994A-8E4F673BF8ED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DA6CBB19-2EF7-440A-B714-CE66ADD324B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8670A378-8A70-45A2-AE92-4672B4523DB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6504E6C1-51F4-457C-BF7A-57CC87EEA8A1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B220BEDB-C718-48C6-A304-5C3FCD5D486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F9FE9E48-D794-47CD-8E5D-D0A7E7EDDAA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CA18F725-8389-47FD-B2D3-0AE6D8BDC50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25E85E5D-B3F4-4D7E-A411-902461E35FF6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673D2B94-99F2-4E2E-A4DB-95561CB9E6B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E480C2A0-036A-46A4-B648-3DD5380B8FE7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9FAD50A2-6DF2-4DB9-98F0-12E6D4E779A5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9CCC14F1-2A5D-49C2-9F20-67953EECA88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B57DCB10-0CC1-4520-8752-4F3A38349FEC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9B3928AC-BEF0-487F-A6E0-D6003ADEAE2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CF989F7E-F105-475F-812A-408DDAC8C770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A39F236A-9266-42B0-813E-D795E50C8A0F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BBE85170-83EE-4D2D-BC4C-6FEFA31B7438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E8D2BB2F-18FE-44E1-B6B2-C11666187DB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208ACF4E-BE45-4D2F-B009-6AF5F8873642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9E9997E4-CA5B-4607-93CA-D03E5D12B9E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B4CF2714-C9E1-4517-8422-C70D239A52BE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A9AF2915-E7E1-407D-A356-66890E464183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6764823F-4EA4-4DF9-9E4C-A9A5AF2FD4D4}"/>
            </a:ext>
          </a:extLst>
        </xdr:cNvPr>
        <xdr:cNvSpPr txBox="1">
          <a:spLocks noChangeArrowheads="1"/>
        </xdr:cNvSpPr>
      </xdr:nvSpPr>
      <xdr:spPr bwMode="auto">
        <a:xfrm>
          <a:off x="2419350" y="16373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7CACCE42-00A0-41D4-B9B1-DC9EADC3C06D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AE1D7F99-8E33-409B-BBE4-5236A2A6C25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DCEFF1FC-8924-43B9-9EFC-1A25DA134D1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C7F3A89E-E3D5-4AD8-8330-48C15212AD3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8885F23A-B3D1-4283-ADC5-EC2F9563D4C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4E9AD14A-0415-43F0-9EB7-79E273F3D76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F5245BED-EDF5-4E52-82E8-DA437BEEC3CD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71BC9204-2BEE-4879-8170-61D1BA01E0B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A65C2A3E-B088-4720-BDE5-069E2A1C8EB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EF75A91E-8D59-4666-834B-84C93485DC4A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31BBC73C-011D-410A-A295-2664E2ADFAF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60FB8CA2-92F5-4C02-A811-49DA179994B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650E04E-F0CA-4FB4-A5F0-EAE0EF89909A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272666C2-84F1-4985-B61A-772827143A0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3A9B8D24-F0B2-4E4A-9F2A-A18F031531FA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C550A1FB-F1E6-4174-AECA-ECE7FBCFD6D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DB7E523-8B5F-40B9-BFFB-E34FAC46A586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FD911551-D81F-42EE-8E83-BC3C611FF51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FD293C44-B8F6-4E5C-921B-8C1536702426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7336C958-5526-4647-8361-AB7B810BF5E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FF737451-F71D-4063-AB01-FA9EA640815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2D451313-5F1C-4C80-BB99-58E74EA5CBA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BB179211-1E07-4DD6-92D0-F0ECDEB8AB2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D565C084-C7A8-4C9F-A8C9-3E9B0E6FC82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FCE818F4-6F1C-4275-ADD4-99D96D6214BD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FBCDC160-3E82-4CE5-8769-FEF978BF3433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BEB137A-8C26-49DD-AE20-B4098062256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EAF12416-81E5-44B2-B213-0F7779F8676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17E6D2E5-687C-443E-9968-AE5A4759F26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750DFA05-65BF-4A5E-B68D-A7816D32AF05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6820897D-1DBF-4126-96AE-A469E6A4055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764A46D2-1F48-45F3-B313-64831E93DB8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FDCC6590-6544-4543-AE91-8647E6A3FC3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AE0C6177-7EBA-4A27-BF14-8DC9B30DE5A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AC7D6B80-A60E-4E7A-BFFA-AA4062ABF68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8CE17DDC-6943-437D-BAD9-3DA96D88D7A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184C7411-4D71-4BCA-850B-B667832ECA4A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71243D29-607B-4B57-92E9-08A4919682A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00026FE-315B-4C02-938B-446DC32F89F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9AF6A480-3488-4582-AEF0-6B36D8E38A5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2E33755A-FDDB-4065-901B-E697C675CF5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3C35AFCF-12AC-4564-8AC0-065F8251123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7D238201-7AB0-44A0-83B0-E5501F41A56A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E5A4743F-A45F-42A2-8E8A-2672A348E0B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42852EA1-0431-4289-98DB-9DBC52EBFD5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6D7FC172-3EB5-4CFD-9F26-649BBF6FF10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896C688D-6C6D-4F50-9CAB-DEAF266E7EAD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352FD576-08CC-4498-A3FC-F266D83CE67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7E56AF62-26D9-41C0-BEA3-C0E938F17D3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1F85E5C5-1D22-4826-9208-18A9809361E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7A8D0810-1B99-4492-B548-3A7DCBFF7A65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2D03DE71-2FD7-40E7-BBA1-4B1848DEE675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53D61644-019C-41CF-B7FB-522EA56157C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AE51415D-D57F-4BA2-BA38-295D60241F4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DA642BC2-26CF-4960-83EA-35C5A28D1A2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A51DFEF8-DCF7-4BAF-947F-ACCA0AF93B8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A78D44C2-D45F-4561-A48D-CEAF545362C5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313FE04F-A5EF-48FF-8AAA-E969AFE3685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D723444A-B872-48ED-8319-EAB8B660B84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97940AC8-9225-48BA-A862-C440274E514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1195839B-BF9D-49F1-A1AA-9917EA640FA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4BB10FA7-F79E-43EB-A6DC-07DB20C0231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6362C57F-F68F-4A9A-8CE5-675105AA36C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C16B2DB9-BC61-46E2-9FCC-FDBABF9273F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F511415-85D5-4C66-A047-9418C70D8B9D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62EA7E7E-3F14-4A22-A525-8A001D3F53C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7174028-0A2E-4502-9972-2F7F645C61E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B01912CE-BDF1-4E60-B87C-BC7883CD062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E4F3729C-8DCF-48D6-B14F-5C6281A4DFB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1A83AED5-A01A-4526-A8C5-D8079133FB6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155BC277-3E12-49DC-867F-84EC73CC82E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C670C0CF-1B80-4812-B728-3BE210DD582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839C83D5-FE76-4634-B5EE-C9880E6E048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644BE39-8DEB-42F8-BD29-40E0D20C29A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7DF78032-3377-429D-BEBE-7556AD66BF4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FDBC1589-FB13-4225-B532-7F3D05687B0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7C06F127-765F-4B0F-B525-6B3024538DD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2AF20A8A-EEB9-472E-9772-9EC447901825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B645D551-B3EC-45A9-BAA1-4591DB76736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A43F6D44-C522-4DB5-A5F8-E52CE85015C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C762D7CE-576D-4ACC-B2F7-8F58DC58DA6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2983E778-8724-410F-B52E-7C2210D23CD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2BF30446-7549-4437-A65A-D089790DBD4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92E0AA9C-284E-4415-8BA1-DD39591EE61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41546F86-4D8C-495F-8551-3A9D7DA74B3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4940BF4B-6D9A-4FC1-9EA0-9DA97D37222A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94AF2F8E-F28B-4633-BD2A-B1A1EC750E6A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140F62D9-2FDD-487F-9334-CC4E82561EC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E9A80F3F-B46E-431B-BF16-9472183C14A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314DBD33-1F92-4122-96C1-A690561E406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55D32416-3530-41F7-A823-B1F05EEECF9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27E8F2B8-F582-4CCE-BAE3-8BD53BF4E08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D0198589-64D9-4A07-A290-BEC5865453D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63EB0166-672E-4584-B5E5-15D34DAA87D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84CF6706-EDF6-49C2-A4DD-614732CED863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FEA7F170-A79E-4990-BDAF-58A5BA8A3FC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E457D597-AC78-49F4-9031-8E501319F87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B4E8A720-02EE-495A-82F5-FEC968748D9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11102B36-E8C2-4B54-8385-DC6607A262D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4791F369-5E49-4151-B1C9-137BC508317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55FDDFB4-6C5A-405F-B60F-015CFFB3B7E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D78AD6EF-420F-4446-982F-BD2A24DCDD8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AAE2491C-A723-4DFD-B0D5-D04963B5DBD6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472F595C-2C6B-48C7-922F-72F43EDC449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8ADD3BDB-BEE7-40D8-8BA0-FEA085C1329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FD72CC05-934F-47FC-BAFC-CADC7D557F56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F5148887-F329-43DC-89DA-3178125FE4D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A55EA218-82D5-447F-A86F-B5C616CFF8A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59C93A7A-B3BA-4BDA-8122-D9EEFCA5384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36CB9DE3-7087-4862-A722-31C9A94F3C3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233E75B8-E8DA-4E56-A4CF-F5109DA1CBA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4CBE3BC3-CC56-4E2B-A353-130EECAB35D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F0ADB209-B968-459C-BDE9-FA0F5476839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6A161E64-061B-4F6C-83D4-226BC7F5D1C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DFC4D51E-815E-467F-B785-F6E3C6180CE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6D06BD9D-4256-4578-AF15-E8BC9840549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29E91822-551B-4A6B-9FE6-21AE6DC441D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6EDF9B5C-684E-489B-B193-0E4621C8DFC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2F134597-55C4-4EC0-8D00-DFAD869FA1F3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BF3EAE49-3023-4AC9-BD4A-6AF06C79D1C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91D9294D-3CA0-4891-A3B1-D4638AB3686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D19D2084-2BC1-4C7B-9F0D-C01024BF7F2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81C317A1-27A1-46AC-9FCC-67C71FA0CE06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E1ADCE80-1391-4526-82A8-1CAB82D768A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57A1596D-724D-4313-88B0-CBB942C9A98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799965E0-C770-42B8-8954-2726C2D4C4A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EEA8CA-C092-47B1-9FA0-8E94C1C612A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D75AF49B-6696-4194-A647-106E908D60E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30AB8134-44CA-4271-B7E9-1A905C12BD1D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163917B8-8A3D-4132-A5C8-2FD4910D832A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101ADF3F-0102-4482-90D3-8FB834F17EF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D10A410F-097C-489B-8AA2-063906A1402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810AE863-E5D6-4560-BE1E-2D994CCC7D2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A5BFC161-0BFA-4A38-A979-BD85ED0DE11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CF444104-8CEF-4B2C-8276-70F8A277AADD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6BC5CC4F-C24B-47F1-9D2D-45B69BB252E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E9FE1BAB-BBDF-4758-B66E-11729CC1E49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87A73D2B-0B84-4D36-83AB-1180665D57E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32486E51-6679-4784-BEB9-8AE95C8937B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9395F79F-3F6F-4F94-8469-A2193CB0A05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10AE6DCA-15FA-4858-82DF-CE775918CB8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219767E5-11F2-47B0-BB0A-F24E5518BE45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FC70FC95-DA23-47AC-8A2C-3BE460DF597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1B363493-77E6-4F64-9135-71CD4D3E1C9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F8791971-A96D-4481-95C9-07CCFF11FBB5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6723E6B5-7691-4DCB-9536-BAFA5B11A66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CAC831FA-4FEE-418C-81BA-D212688E33B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9772115A-C8B2-4797-8A44-75E16058406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87B237F4-893C-4C80-AF72-127B03DCD23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8E9EB32A-D5A3-4CC7-B13B-03C841ED1E9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E1514C42-219B-41C6-B0B4-99E0B56F992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8A45A74E-B08D-41E0-ABAB-FF5096B7796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E3B0786E-AFA8-43A4-838C-246E210A716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ABDE95CF-E8D1-4226-93C2-56485772C85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7E4CB20B-3BE1-4D9D-AC0E-0104C7C827D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B475FDF7-A345-42F1-99BE-61292A224A8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1571566C-A357-41C6-916E-E8D0788A007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C539BB0C-1104-454D-A5A4-000CB5F1613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6C0E2AF3-C4E2-4851-A1C1-3A295B26B21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F018D92C-3B40-41AF-BFB1-7FA7F6175003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FFC17A79-40DA-40B6-8F23-4BB743E5603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66F5BACC-7E0F-4C88-9C0F-CD98408DE845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F8DB7BE7-FECC-4685-957D-C2818AEA03F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EFADFF8D-DCC8-4D0A-9D68-72AB0758359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65817157-27EE-4F9E-84A6-2E469D1DB787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6B467831-E3E5-4DB9-9260-D938F556BB2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7DD29B83-8388-48CB-9349-D2A09825738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702CCB4B-9ADC-46E7-9477-FD43C3542B9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8D99E53-2B06-4E95-8FA9-C87D4FF0011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ED488F2-725C-41DC-A60D-AE1E8BC6E7D8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B5BFEF86-B24A-4BBC-AD1C-D54BB3FFB6C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6B96FF06-B92A-489E-BA7B-51482ACA08D2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12AC51A9-9C65-4898-8580-EDED1E5034DA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591AA82-298D-4677-9E9D-D93A2FD06789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D29DFE8-914A-4DEA-BD42-E603E967065D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60606943-0313-4778-AE96-62F8B1F10F00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2A374F1F-E764-44C1-902E-0F0F098063D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15E92E6F-7879-487B-8E2B-262D1DDF4C7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3A50389A-2ADD-44B4-849D-29E5A5DC0DA3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27297F3C-BBB5-4C48-80EE-BE4EFC56452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8044C3D-2EF5-4205-A7AD-421CEFCC41FD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FEA9978A-F598-4A2C-9F74-9737294B949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7DE14E7F-303E-4483-A37B-A213D5B9B97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55BAE6E9-60BB-4914-B05C-327406818E2E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6943CB74-D1AA-4D34-A72B-D4B3FBF52016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98C3E0DD-B3BC-4F3B-B1A7-AB6F6A7BFA93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3DEA5735-A9DC-4EDD-A172-F0EF9EE1523B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AB0E768A-06F5-4589-ACE5-F04416FEB231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528920B8-E520-4709-AB30-E3EA1A9280B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8F62584-47CB-4ECE-924F-A8E3D2DBE534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E7DF71DA-5AA1-4AD6-B1FF-2DE5F1CA415C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A9CF5D85-451B-4772-96CF-44CA416F8B0F}"/>
            </a:ext>
          </a:extLst>
        </xdr:cNvPr>
        <xdr:cNvSpPr txBox="1">
          <a:spLocks noChangeArrowheads="1"/>
        </xdr:cNvSpPr>
      </xdr:nvSpPr>
      <xdr:spPr bwMode="auto">
        <a:xfrm>
          <a:off x="2419350" y="1617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422E0747-E7A2-414E-9241-0248E7113C9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71AF0305-3080-44EE-AB61-5E2D53F1AB2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B8F72F98-BCBB-4D09-B927-AC84F17DD20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C4EE6537-F709-454D-AF52-8EC5B158640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1326463B-E2B6-4E96-BDAF-993CC7EBCD2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B90F449A-2E63-4C83-B0EE-CBF34FC70BA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8F7AEE33-28CC-4217-94DA-84A661CCC04C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C7CDE314-83DD-4223-B30B-53FE391631D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3C3776F4-177B-4656-8CB7-212287E5C6C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C81BE8BC-597F-4068-81FE-9838345E58EC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2F1A4B14-1029-4D4A-91A2-0C67C77D5B2E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1864F994-99C2-4437-9E9D-65BDDF22A81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4CE19A8E-1930-49B7-A7B6-751125C3A5BC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9B588A9D-A947-431A-9885-A37F5C2D87FE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8E4CC4B7-55B3-475B-BFF8-4733BDBAFCC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3542E55D-FC79-4658-8FBC-5385CFB4FEE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61687FDB-A8EC-44C6-AF45-CCE667FDF32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4C6EEF98-C2FE-44A1-8408-1D60DD3A141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5D2C54F-3ACF-4B13-9F97-1D127557AD8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380B2797-BB9F-418D-88D0-8F02E703BDF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D4D71E48-B25F-452C-8A4E-460060FFC16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EA25A9B3-FB15-4DD3-AA02-16774D78B52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4F81F75C-5357-4139-8790-858E2AF3ADE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4AE179C9-2829-413F-8820-351711F7425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9EEB8C0-DE75-4A48-A6E2-A9DD083BC9D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61FCA136-FE26-49FB-9C45-EC53FEDA17F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766ADDE6-8AC2-4F1B-9D19-B9631352543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552109DD-9742-4269-84E8-985673420F5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2AF9C3D8-A2E1-493F-9B6F-0D9EE576853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EAAAF9B1-629C-4C07-8E90-3DCC1BB75C6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F2807960-0E13-4250-A884-776543682ED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8710381E-DD6A-4B97-B9E9-7425913787E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E2E2A306-AB33-4CB5-9E15-CF4E0EAD889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529BEFA1-6BE3-4C91-8D9C-DD06E749E25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728D87D1-5C91-4836-B741-38B0B0D3C9B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120694F7-A346-449A-907B-927F0F98BF82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F2AD94C8-5345-4152-9FAB-21FB0682B94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F88666EE-FB06-4222-8C6D-5535CC6BFA4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E2AFDA52-A186-4519-84FA-A93FB42B3D4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6AA88B84-8A36-44A6-9502-7BB38464D6CC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6AB8AA65-AB52-46B3-94D1-173CEFFBC30C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C73135A2-9AF6-45D4-93BA-9C58CBC1212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E41DFBDF-F16B-4655-9A62-44A02800378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64682824-9388-41AE-B187-F21CDD793CB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7DFBF9D-4985-4E03-AF37-9065B659820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14F61953-63ED-4616-892B-F98D955A9F8C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51CF8C9-3351-448E-BC64-67E300A5895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72EFE3EB-BB64-4EE9-B4BC-D2748A9316E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E2A02905-939F-414B-85D7-4050F993AC5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66FB106-73AD-45D8-9CBF-7E83D7FBE7B2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78A12A8D-D68C-4F52-829A-F4DCAABE8ED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D96591DD-43B2-4F02-BA1D-8ACA3501E63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82F4D7DE-DCB8-432C-933C-DAF3A9D3972E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4A6B6FB3-6DA1-4EAD-88FD-EFBF7AAD795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88822DFE-DDCB-4445-B9AB-78772C09660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2A21B324-8C29-480F-8C97-54C547559B8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C8BB8B3B-B5AE-4079-A527-C0CBE994039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775069CB-FABB-4EFA-92A5-14E43E73C77C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3B1D714D-F904-45A3-A831-39EEEE1EC4D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60D56C5A-08E3-48F4-9566-1FE9D260ACB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E6A56100-6712-45CA-9BE6-6AF64B41522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8BD17421-6D2B-4D45-862D-1DB014FD5AB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4CFCF15B-0741-4285-9DA1-0BE7CDAA7E3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C9020537-603A-47EC-A953-A6B10337105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1A8E90E2-71B7-4487-840D-01FEC778B4BE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6DB3351F-2D21-476C-96F9-4B630471424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F7535AA-8887-40B6-84A6-7F2B63DD92F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A00A4CB5-925F-4BEF-B68A-8C9BF0907C7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76B03187-3C6C-441E-99E2-ED372572409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6F87B6C1-7C62-4BA7-A4CF-750813AF4C0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C3FB5CE9-42C7-4806-A675-347E0CA58EF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7C7A1CC7-CC62-473A-84BF-4E95B1422E3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5555311E-949E-4892-8CD0-00F94042557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7B077D3A-FF7E-44C4-8BD5-B32D716B732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E3D86327-C316-44D0-BFB4-81B07D9BDFA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B3438D6B-22C8-4BD6-BAC2-7B8C7C1AD0F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9F0A00A-5F23-470C-9306-8E694BF1E85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CDF69FCF-5406-4791-B5F9-22606ED6A04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31713CAF-7AE5-4B26-8D53-F1F89CD618B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E111FBC8-0DCA-46C7-A7EB-DEA4FE457082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ED7F5C5F-9D3E-4E5E-88A9-4242897D46C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F1B841DC-0A4E-40C0-B405-2E5A5D65981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29A45BE7-57F2-45B0-8D20-28D3E1DCF86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ABEC1C1D-B5E3-4707-9356-E3FD0A4086B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230DE6E0-0058-493E-8315-ABE7C3A269A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57395B43-444E-4C5D-913B-7966BBC68C7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DB1D5DCE-8B5A-413C-BBE6-87EFAFE331F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FD85827E-6D1D-4B28-B8A3-61DF7370995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3EFED8E3-ADBE-45E7-BD38-CA70CC051A6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F3B7EB2C-228B-4C11-9C01-9A2F3BFBDD7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278B7EC2-DCB0-4E18-85AF-DD19E8A97D5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220C62C1-C4D9-4075-A2C1-5CA748C2913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2D79F720-A751-4F8E-B8FF-E4763792911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5128F56-9683-4AD7-87DD-9BEB1AC89A1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DFF8B550-FF2C-4A9A-88DB-EC0BD41D8812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5671CC3-18FF-413D-AAAD-9B5D40CBFA2C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78F9A427-83F4-497E-882E-568A388E0BF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957DAB6-8EB7-4D8A-8AEC-B19BEAE8A94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AFB2C39D-4E3C-4D58-AF48-3297C3ACE04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6B32C411-1D50-497C-83B4-164AF5F7213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A617AE9A-D2CB-45D0-AEBB-AFCD3D547002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BBACD42-273E-45B6-A139-96891B7A508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36506829-D48E-419D-B369-FFD01F19449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AC6652F0-49B6-42AC-BB63-8CB8445B356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8A8E7185-8BB2-403C-A4CB-8889259A0F2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45EB634-6D2D-407A-8F44-4ABC33A8138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1C4859A7-DAF9-495E-9DEC-801B586E929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86D279A4-23CD-43B3-9608-E6803A9E798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30A8C033-2968-49EE-8073-A689370673C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59834150-E89E-4BC4-9822-2F05787858E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CB6190A1-91D5-4C3B-877E-E1667545BA3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9E39A7DB-2606-4F0D-83EA-666FAF7892A2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B05530E5-0409-478C-B959-50590F017DC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8A9F6171-EA5E-4292-BA8E-0756878E734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761EC7D8-538E-4AD6-9426-8CB23178895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9658E3D8-F0E0-4481-B9C9-AA01C87EA16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4DA1CD6C-588D-4F30-BE77-2AD91711EA8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D962E993-E7B0-4133-AAEB-A1C849F8F5E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7A696F65-B0C7-438D-917C-38ED240A567E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A533F105-BCD8-4740-AB13-689F777828F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AA62C49B-2C4A-4EFF-9D51-DDBA546690DE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692F0F53-AB62-4029-B97B-B5340C607F9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7EC5F451-751D-4107-80A3-50DB1872B9B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6F163061-7960-4219-8F96-1899B74D610E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73E9ECF8-27CB-4B18-8B8E-3AA112D733A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15D3E9AD-7936-4176-BEA1-E28665C23E9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C1138EE8-F693-4C99-8103-ACFB997FE74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40E44872-A640-4293-B063-6272148DD20E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C4506563-D91C-43C2-BB35-4842EDE5E8D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85B3930F-E1A0-4ADD-AE23-DF6F6996B07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BD9A566C-F0E4-403D-8311-53147EF3B84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3D0017C4-65E1-4DFE-A0A2-8FED56366D3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47914DA2-A4DA-44BE-AB29-58BBE36D231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1C3BBE5-55FF-4055-824C-B810C05686C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4EB721D5-BE15-44DE-AEA6-91FFCAD86286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2A47BB38-81AB-4A55-8E9C-DA6604BB5C62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77431C9F-A959-4298-87DE-296542C38A9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7E83951-CF6B-496F-BB79-D30CA4B86DA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859BF8DA-7ED5-48BB-8351-5A91BE2DC68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4B738EB9-14B8-4939-9F8C-E61F85B75D0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4CA20F9A-6383-4980-9277-31419D1BA57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67816B3B-98BA-46E9-98DA-D6818ADE7BC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41E411D7-7A8D-4FF5-A221-7161D1F661D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87186649-8BB7-4114-8A6A-C1C7EBD8B34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7344A3A9-87D4-4DB7-AE2A-8596B75C53B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4A7FB47C-18B0-496B-8810-0A28D753AA1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E30A852B-9CFF-474A-B8CE-AE62E5B6C2CE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F80F9638-1191-4167-B8FE-73FEABC5551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D52937FC-17C6-40E8-B509-F4F98B54283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8E04DCF5-5E39-4B4A-9CB5-0A2DE3BE93B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3AFCF72D-229B-4A19-BF98-B7EE330BF06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C92E2F69-62EB-4DEB-8583-9D472564132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6DCC1B7-BC94-4950-B87E-83F6E73F5A7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26D4F7FD-3D71-459D-83AD-A34974D93DF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26C2F37A-8B9A-421B-9A65-451942B0AA6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193FDD42-CEA9-4C24-A2B7-E1DE96F9E7D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A0A9824C-F524-45BD-B6D1-0DA7775359E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9DF664AA-7800-4399-BB4C-3CA35BB7AABC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A12465A7-FDAF-49D5-9FF2-8C40A7EC21F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F52A64F6-097E-4A19-A9BC-EDCCA5B5C66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A7959FA-7539-4712-9547-B703D0D08678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37A8259E-7B75-456A-947E-502AF3DEED52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2E2C3517-EC40-4290-9308-BA6839B635D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C16903C6-9382-48FB-8E73-B6B06DC92FA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1CD5A493-0E92-478E-9141-C667C537903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7D2C38BA-660E-4342-A045-2028FEE501F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450B2711-F61E-4F31-9338-E33F3DF51FF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7EEE557F-90FC-49E4-8F7B-BCC9BD875D7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69986694-26CF-426F-A4AD-3BBE98777991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74C234A0-ABEC-48E6-8C52-4C5D18620DA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939A52AB-38B6-4901-A901-78FCEEBB220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B8C4CC57-4510-4C19-A544-1CE3355E67B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811399F7-8C7B-4356-9EA9-FD6A110F40A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B2EB04EA-9323-4EE9-9AEE-BC504FCAED3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C3A14573-ADA0-49F1-A515-F93FF0FAE66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E1304EA2-259F-45A2-BC11-251949475A5F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81FF9010-479E-4F39-8CAC-935D334BE1F7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DAA561D0-2AC2-4539-B56A-E17A955F7ED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EE41E82-6103-40BB-8FF3-1EF5B1E953B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C2A701F4-263E-4FEF-A955-C0D961B49A92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8C7D57F3-F9D7-4551-AA3B-A295E5A1CD8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9F61B78F-CB28-4E6F-A006-68817091611B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95419327-F786-4B4F-B0E2-6DD785091DE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9020AC74-A251-4DEB-AC40-853B596FE13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AC72F59E-60D2-490D-B922-75F76FF4A3C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10FB1AD7-063C-47F8-A08F-6A74FA9E9A30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C8BA470C-82DC-4C94-AC42-E626B3252C53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40172BF2-5DAF-4D2E-8C0A-66B37A5BCA59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A123A8AC-0267-41C2-B973-74A4F103006D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56EBA2FD-9CEF-454B-82D8-AAE9086147FA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A2BE1AB0-01E7-4EC4-9F65-1F85FCF1C7F4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DA2324C1-F6E4-4135-8443-40C39504BC65}"/>
            </a:ext>
          </a:extLst>
        </xdr:cNvPr>
        <xdr:cNvSpPr txBox="1">
          <a:spLocks noChangeArrowheads="1"/>
        </xdr:cNvSpPr>
      </xdr:nvSpPr>
      <xdr:spPr bwMode="auto">
        <a:xfrm>
          <a:off x="2419350" y="27479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ECC6185D-5806-49F4-816B-B0E68229D56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E73DB1DA-B834-45C5-962B-0C775DDB1F0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4C490CA4-E7DB-47B8-A087-3728ADF2D95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966F395E-E596-49CE-8D3C-47069DD7227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517DDABB-2D36-480B-B042-2717C49223B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970934CD-8296-497D-8CBD-E45A87C039E9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2C9A2B95-7187-4A5C-967A-A7FD14FE609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18278B2D-A986-4F2B-B2D9-D72A75630189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E6571D4D-C905-4606-B943-8BE2A76990B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46A664CC-36A6-431C-B9F0-516A3D426FE3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1B2B862A-6D7F-464B-B8FC-4ACA3E287E5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7BD7B2E-92EC-4B22-BA6C-F8C8F989BD9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601CFE4C-6084-44FC-AE46-1AFDA2653E0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9D96F012-89AA-4767-BE0D-BFA5A648ABC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D2299227-6D77-42B0-9FE2-FC61E908FEDE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2F36F5F3-1BD3-477B-A1F0-A84CEEEDADD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38A7E8F6-345A-4E84-BEE3-F9A0ECE328C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FA6B939B-5D89-4733-BB46-39A8344BC5D3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BB371DCC-9444-472A-9BA7-84B68257496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7B6F73C9-E2B1-475C-9BC9-5184F13CCC6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775262BA-B88C-4C24-B0E2-54DBEE1FBFE9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3E0653E4-7E69-4C47-8771-D9FE5F65777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6006B6CD-AE68-4ECD-983F-49177D7D9D4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CC0DE797-78E0-4B13-83BE-DE590C7108E3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6FA55F9D-107F-4015-A96D-4C98706434B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C4F1F972-F34E-43FD-B835-1F95E73E0E3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B8EE5326-D84C-4710-BD4B-DEFFA452D3F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1AFF0176-D18E-4438-AFE7-085BA7FC42D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200E170C-00B7-4C6C-907D-B734455D6D2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361E2DA9-39E6-48C9-8E96-A59ECC1A027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A2050C87-9C37-4854-AFD2-D609F4C5000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8580605D-6854-421C-A4FD-6FF98C8026B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F0861764-290F-44C5-82E0-688E0938D32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452CA798-7AA1-4C57-8214-938CCB4E845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ADB6585A-4C04-4E25-BBDE-0AD5B1047CC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2492BFED-4BF0-44D2-B62C-ACC28C2F22E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1D0C4E39-91DF-42FF-8F37-6BB2720A161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A9333541-CB71-4477-BE5F-09C5074D065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16A19738-EE40-4342-B2A7-EBC41B1A650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94C14E59-A360-49E6-9BCB-073AA971404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961B315-60F7-4BE7-81E9-18273FF130A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5D725947-AEB5-497D-9FA0-4B232BD98E6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E496DBCA-341B-4834-91F8-6DCCAD209CA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52F5942-F69C-4E25-8DBE-F7117C2C23C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839352DA-68C1-4503-BA80-4CBE1A0323B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AD579BF5-80D6-4F3C-A215-E9538CFF1CE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43A50C21-5087-4799-962B-34479B50507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BEEEE64A-70DF-497B-BA4C-B5FCB0798AC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C5948020-858C-4370-AE4F-F2922CC19FD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B9D4BF47-E83D-4CAB-86A9-5167864C4F6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FE7CFCFE-9476-4895-96A3-3CD3FC00E36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933D245A-628F-49FF-9737-D0AED2659FC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FAC35C19-B42A-4F11-90A3-8A2B19126DF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6D243313-3F07-4673-9B5E-64B3093D70CE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2D6BCA91-181C-4F26-840F-4D7D39D07C4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C733BF32-6591-47A2-9D0C-EC21B90AA7A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80B653AF-B46C-4FB4-83BA-2D86BA43D02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28602AB8-99F6-4A6A-8488-2A5B7BC8569E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4DAE4D8E-31E1-4239-A717-565A91D00BA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7DBE4430-6FD7-4368-A8DC-85B0685EEF43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5D075D3D-59B8-4DB6-AEBD-C5292BA3072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4A769469-4AAD-4590-BABC-D5C47EF1714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FCF936A3-C94A-46B7-9420-8240118CA7B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DF6778-D9F5-44D9-AD94-2CAD8670B489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5E1820B5-E78C-4D41-AD93-82537C8E415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8BAF4A0D-D82D-494D-B1EE-CC95F111CA7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531F3E47-A75C-4555-836D-2922B41D6A6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AA4B9FB6-508F-4E81-AD3F-64009274E49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A4AA1BF8-7C29-4B73-A339-D62CF83FA22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8F5C78BD-6C09-4839-A99B-913F6288099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E2E23135-1C15-4A9D-842A-DA31F48FD44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234D33BB-838D-4B53-A4F8-8E4A989AEAA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887730A2-2547-4CCD-A7B0-617EDC4F46C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D2C4567F-C909-4694-ABD4-F222F29EACF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46716F13-7973-4160-90B6-CAAB788CE1C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2687F7C1-B43D-4B27-ACB5-746FC28378D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6D4132C1-0FB4-4E3F-ADDB-ADF92960043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6CCE3E96-2A9D-44FB-B1AE-8C76D0B4F69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8350375C-487E-4D1E-B4A4-E08209BCC73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E937A8C1-FA30-45B9-8589-322FBF678BE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41299487-4B61-4ACF-9D7A-3C7568D9FB9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5A6502B5-3A9A-4D3D-B193-55CD4496670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A22EF794-0DB4-49D3-A54A-52A6A73662F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18397CF7-E37B-4DCB-AB45-C1B16ADCAE1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B8D210AE-100E-429C-9755-85D94CBEC9D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22AA2AC2-18A7-4C86-A7EF-874CCEF715B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F4B892E5-5B43-4FB5-80DA-DD56FB8D7E6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A5518E8E-7A1B-485F-B6EB-2C99B907518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3D044BD9-DD5A-4152-BFFE-BC6656C632A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326A84A7-BC5E-4429-9B58-8EDE373D86F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AA66E5D1-A0F6-4BA9-9800-34F67B41E70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FA66A09F-0046-47E2-A71C-AA87D5C7947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72890852-E534-4D2C-9FA4-53B3746D040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FF4479D1-4777-4EA0-BF8E-F022E7377389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773AB757-9C3E-4F76-A6A0-042C9FC562D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FCC3902D-E1C6-4CB0-980E-D3998C33E7E9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A23090CE-DBBB-4869-A02B-32173C3A58E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EB67C38C-5B2A-40DA-A0C3-4FE2F412FF2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403F76F4-3CA8-4341-842E-734477BD4F5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C9997EA2-5D5F-4BFA-9E82-87D13EA578F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55A64E08-5DE8-434B-9A49-2CC12BD045B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713E2357-7F39-4914-8CCB-8F6C2D122B7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5BB02525-58D5-4527-A53B-FFC2509805A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186736DF-C10B-4A23-AD04-64737EFE327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EAEE4C60-135D-469E-B9F2-1A18028121C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789A90C2-97FD-4883-814A-6FAAA419516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ED9DA124-D36B-4496-AB06-5FD00C8EA8DE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6EC16EF8-CDC4-45B4-AEFE-F0A948F9B4F3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6260074E-D1DC-4052-9357-052F3967A239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CC6EBFFB-890E-42F6-A288-F97215313633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B4685F6-8A92-4958-9368-E59EC34B22B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467C8BF1-3044-4B11-8BB3-4BC284FB04E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4DD8F4A2-56CF-4769-B36C-579592F5F34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ECDAB108-184B-4C3D-8347-B72C4730AEA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159E21EC-18FE-4551-985B-A71324C34B9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ED00271D-5EC8-4912-809B-8F6904AD9C89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B10B4978-17DE-4D1D-A336-F0507DA4943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F864F3C8-9EDB-42D9-ACC2-2CBA90336F5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7F7B1950-A9AB-49EB-A790-FA1FF624FA0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2D63C804-2BAF-46EC-A6DA-5FBD0F946CC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E08550B9-3717-431A-9652-DFC604F6802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D07EB9BC-9949-4623-B79A-5B4660CAD01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82A48EC7-F336-4A6B-A0A0-729F3601068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BF83B66D-4AA6-4B0A-AE05-9FC561C4F9F9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24428233-C5E1-43A4-A40B-D6899161945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2ED2873F-07F9-404E-802E-05829E5D167E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99460CF3-0D95-4595-A0BE-615A8DEBC99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5D450BD7-286F-4FDC-8484-FFC9014E8CF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561C861A-37F1-4A07-89EB-ADDF95BCE3C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AF559E7B-A2EC-4EF3-9C2B-582FFE82FDD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105AE411-80EA-4DBF-AE50-A9C373099E3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F134BF07-D917-4E8C-A9AB-5511A7A2C0B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57785C6B-DCE2-40E0-BA7D-B2BC5779BD8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15717A13-8D4B-48CD-8EE2-EB22C9A321D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CF59142A-7AAF-478F-9BF5-45C4A25CEE4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26604650-BAFD-4BAE-9C67-B2963B24C34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466683E1-BEED-476B-8EE7-5160B13A194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8BB986D-25E0-41CB-AF63-0AA349F5A51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F4246FAB-9EA8-40D4-9D12-4F51EAD7583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4347B9C5-3654-4B25-B89C-8BCBE392FEA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42EEAE66-C323-497A-B703-FB4ADE78969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522CB7D-9F15-4D1B-96E5-95CDF81E747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91AAFEAA-4B4B-4156-B1A8-B0E2E963149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DD55D2FD-0978-4843-92A6-65AA217F713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7A63B6AF-B9EB-4F40-8E55-D231FA7C809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FAF3A419-5882-4481-8702-114CB8A017C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B6A0574A-0EC1-441E-A4E2-5356A63B17B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93007EFA-6A3B-4649-9CD1-EB9998E51E5E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82A04365-A002-44CD-A183-1D6298BEEC0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14E447F1-A776-4559-814D-6354BEB54E2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CC7EE170-E5A6-4EFD-9B4A-32C860C33E2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E10C7D41-35A0-40F0-9619-CCA2DC236BE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C1459D76-5BEE-4AD9-9A26-0CEB068EE5F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AA0B8E4A-A093-4874-8866-E8324401E20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436635F5-6C1D-4EF0-A07C-F6A246A14E3D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E50D460F-C8AE-49A3-B296-8188D318E7F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263F1025-8BC7-45B4-8513-077AAC1FCF8E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89BF7CD7-2892-4C26-A43E-ABA51351B61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EADF665A-3CA1-48CE-99E1-5F70D686C2F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139ABEF6-D60B-4047-AE00-28AB8D19DAF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E765D0BD-451E-4A25-870E-CFFAA624F08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29EE7F7E-0FDC-47F8-9F65-C5C8F1AC272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B0EEB527-2C91-418D-9188-4287B05DFA77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684FB9B0-C474-433D-92A8-5DC0ADE55EF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E8D8CFCD-D564-44FB-9AD1-B00F263A970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64C1F645-9E18-4D76-A124-03FB41251633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AFEE2931-2519-4B98-95CF-0DD1E5A0755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F4571501-D98A-47DA-8BA7-FB86180EC7F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A439CE75-AAF7-4A74-9899-9208B2E0636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B89BB582-2DFA-4CD1-82E9-895E8A2105C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37EA2283-224F-4AD3-A205-792DCA80E57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F23E76E3-ABF2-46A5-8AAC-9F09390FC4C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15772526-2BDB-46FC-84E1-12470837F50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6116BF56-0DAB-4629-9D6E-028E4D9BC66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D1578C4-D6E5-4CC0-A107-7B7309460B5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FE0642DE-8AC1-4F05-80EA-BB87489E784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582151C-5E8E-41A4-A02E-93F39689EAC8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552907D5-CDEB-4000-A32A-05048BB5B1F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58161187-3387-452C-A459-B92F9B13755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F82EA339-1FBD-4E94-99F6-802437CBAF22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18DB910C-68D7-468C-AFA7-7B994A6A231C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3DBDD1F5-E678-4409-8D11-E36DB8FF82CF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2DBE5D78-D681-459F-96EC-9A5CDAAF8D66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A8861015-CDD6-43D1-B0D7-B4DC8DBAEB91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220C378B-260D-4E9C-BC59-3B8A8ABC1874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5BC4FD73-7859-4E7B-92D6-1B1A4C358D5A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1C35F30B-E2C3-4AE3-866D-D1437B8F050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E20D8894-D64A-4627-8183-512FF07BB083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A32D411D-C65D-4045-8162-47303BDD8E23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7C7F9ED8-5790-4A0B-8F84-E68CB8256CA5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641FDAFE-173E-4141-9F53-AF5830E303BB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73177710-AE5A-4205-A0A2-D5356AD3EC60}"/>
            </a:ext>
          </a:extLst>
        </xdr:cNvPr>
        <xdr:cNvSpPr txBox="1">
          <a:spLocks noChangeArrowheads="1"/>
        </xdr:cNvSpPr>
      </xdr:nvSpPr>
      <xdr:spPr bwMode="auto">
        <a:xfrm>
          <a:off x="2419350" y="2708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D93FB464-00BC-4967-9E76-EE2B6CEE2E6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2AA26EF2-B11C-4250-89CF-AF0F6847F5D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4FF06F05-6C10-45AD-AFE7-AAF7C63863D4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D072BE53-4C72-4196-8513-FF3F134068D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29EB54D5-6BE7-4212-989D-9A4BE8E7252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8B214E1F-2BC5-4B9C-8908-DCDB871526BC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8EDB9C18-CB25-4339-9351-DBDCE3F4C89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8F82C0BA-D4D9-4C54-9426-167DD1D883E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30E363D9-DD77-4F3E-93BF-E68AEACAA8E2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CABF2E4B-3BC0-4F70-8862-138B117522E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16D360FC-613C-4E52-8214-C180DC7E73F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9C3F1459-2C13-453F-AE4C-56ABF542725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F12AB1F3-A645-4B56-878D-C5E6163F5952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627CFB7B-F4B1-47FC-B92F-4510414DA28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73C5BB1C-BE56-4651-B594-D608CF7D872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2A24C996-2D0C-439C-BAD0-78C293D6843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848355BB-98CA-4321-9CBA-BAC6E30BD1B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90030461-8057-492E-86B2-266FA0F1171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60D514BC-5BEC-438E-82A9-F4AAD764167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44DA0806-C812-4E8A-95A2-764F19DE70B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DA7961E0-413C-4B6A-B946-66D7C9089C02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A5C3189C-9F0D-46FC-9BE7-D32EFCC67FD9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D2F81CC5-78F9-462D-9E09-3896C8606F3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29AC2FFC-E919-4CDB-83F3-57078E8A73C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1CBE72F2-B447-40E1-94DA-247E8F23F4D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575E0CDD-1C16-4379-8D62-1A07BE4C3C0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43890245-4E69-4050-84EB-C7F62B86EEC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9C486E90-662A-406D-8F46-DBBBF42E8D3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ACE44695-5840-458C-899F-0BB697921642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22400A3-0A44-4943-882D-1F89FF25731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86836FD6-1371-4313-AEC4-404B36C6FEC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A0B53C72-D52C-40C3-884C-0F3F6ACA96B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ADD8598F-8A55-445E-A54C-E42D5FCB2F9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B125E0E9-8EA6-449A-9033-8018D1B304B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63B2581F-6265-40A7-B9ED-D0723ED4D47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FF9234B4-8DFD-413C-BE3B-1C985EDB9ED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18668CA9-67A1-4FCE-894E-46592EDD650C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FCE1E2D4-B101-4C1A-870C-A82FAFF5866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D0773D05-F34A-414E-B434-D2F510487AE9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22922188-7291-4A1D-ABF0-6AB0FF549D8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790B05FB-595F-4091-9113-1D3044D411F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CE4DF2EB-D262-4841-A8E3-9A4931898D3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69950540-E9A4-4A57-A2E2-D2C32DE9F6E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21A78968-8882-4D43-A849-6F5E2B71853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30709916-5BE0-4C25-A167-DF42930A57E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1D240430-A86F-4EC7-ADEA-0D9D26C9B4C9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6B90FB15-A829-45F6-A397-0C3655AD0764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223E8837-9102-4ED4-BD8D-2C6F43D4E95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C7E24FB4-017C-49F5-AD2E-F609C3B88412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35EB7FA3-126C-48B4-B851-7FA000D8EFB3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FBDDA219-86BB-49C6-A1F6-1126AD1206D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DC48EF9C-0F04-4E99-AA68-51ACCF1DEB24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842D0BEE-5592-4143-958A-6C0873D8FC6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C3FFDD48-14BA-47B4-A3F3-907FF541E12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AB943885-6858-4FDB-90BB-8E4EE8BF9CE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92A90551-81A9-49A8-9700-074B8315461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E5D4976D-86D0-47FC-878E-432CA1CF1964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881496B-79E4-405C-A384-64E35149DFE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9C35A64B-6090-4C9E-823C-20BAC1D74F83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5BBA856F-1680-4DE8-8F2F-8A245915FA5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F0C9C215-5677-4E58-B022-5EA9D35C4E5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2B5C4D56-D67D-4A3D-A3E8-8604D7474814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888DB6CA-F6A5-45C3-A5F5-D8A4C08F735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DBC29F85-93F9-4FE2-AC9D-2EDB1F6B2D9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C9C82F12-F678-40DB-B8D4-0A12DD004B0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1C0C00AF-F298-4EFB-9457-02128A5C36E3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B61BE5C-2BE4-4A06-A652-19FE02B28C6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8DF3E56E-7C34-4910-8F7D-B4BFDB10812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23A22409-177C-43EF-ADFE-B09CE6B9E719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FAC8329F-842B-430A-8F67-0321EA64ABF9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3777A260-DFF0-43ED-B37E-DBAB49F2D12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ED3AA436-005D-458D-8984-0075DE318472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D91CA7A0-004C-4442-BA8F-D34823106F3C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6F208ED7-0E2F-47AD-8A61-C71C1D8586B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C01C94FB-2FD1-4B2A-B8AC-697A546C6792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CDBAF0DB-917F-4F05-9FA9-74345AA8FBD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22E698CA-2B28-40C3-9517-7D81FFAA435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A91C92C0-25DE-42DA-B305-86F8B6DA121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DDB6FCF-CA6B-412C-8943-D4451E1197F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94F86EC7-3F1D-400C-ADF4-23085FC2DC1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A1479F3D-0BDD-47E5-9C99-760273E81383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1A4AFEC4-8E58-4B90-897C-DDAB1C5BECB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B016AA25-DB63-4FD2-82C7-63A441CEA89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8EB1B5E6-6C84-4243-A6B7-00E5D4E24C4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FE5A2A86-490A-4D82-BD15-56509CCE558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A12CE3A5-2384-4122-96DA-99B558F5A86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495EEAF2-9CDF-4AFD-A842-1D6987008606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674743D1-648F-4E40-9F51-454308501C3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29E9DA4D-751B-479C-860F-AEF06E662B16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52FB098F-EF7A-40FA-8A61-9254EB6139F4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DCF232DD-6154-4703-80A4-0C4C9F95FF5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2A38EC23-A33E-44E9-B877-430600C480B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6EDADA11-2790-47E1-AE6D-81F0361D99B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887BC53F-21CC-4EEB-ADF6-74213A99D47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635AEA2C-C92C-4BEB-B2A8-C4C9716B572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AEE66AA-6DC9-426F-99C2-5F99DED1CE0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7C67F58A-0A36-4D0A-B23E-4830366D61C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B284246A-05BF-4117-90F4-DE369D22811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C7099554-7926-4496-B00E-453B3DA474EC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2B878355-527A-40EC-BF28-5DCBC973BD3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9BD4DA77-447B-43A2-B998-1E77BBD6E9B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E070E205-654E-4C8F-BBC8-D41C8D265519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DE3A0E7D-EB5C-4433-9CD1-2853CD91829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C2C392B-1053-4BD5-ABFD-0F831D27DEC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8DCF7F5E-191A-42D7-95C2-2018E17E14F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B4C3C721-A0F7-4595-BA09-2A51A64056C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1308330C-2EA8-42AD-8BDF-ACCBC43DDD3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D7A72025-03C9-4EA3-9F65-8C86F71EBF66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89505956-8738-4DBE-A24B-7C0C2030A26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56D7E532-F541-4401-9B01-4D187CB993A2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EBE52BD7-AEF8-498D-848A-C5D47A01B52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6C436576-0F8E-432D-ADC2-4B9E7446441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849641B9-3059-4BB7-81A4-50CCEA8B1D7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9CBA4391-A569-40C9-BAC3-FD974724568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871E62D1-28F9-455B-9D30-AA77D6106E79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CD331A17-690D-4A41-BA74-0F308690EDD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EB4206BF-D637-4E5A-9FEF-A93CF66C1EB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D44B8408-CE13-4C3A-8BBD-29B80BC8534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F3D9EFD8-458C-4707-810F-48C77A8E2E5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87F72D1A-39EB-4C09-B56B-EB4C58DC4063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AF5789F0-E315-4505-AE79-1213E103FA1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DA8BB103-7D84-45A1-B2C9-E3DA15C5101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FAE7AA41-E7F0-495C-8968-264AC9622F56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84635EDB-0D28-4039-B43D-8755C816487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76EE7CAA-1E51-4CCA-B508-158EF9976FD6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45C73AE1-E17D-4CFE-AEDF-C5207A2BFA2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43F1785-E51A-4C02-9911-D22EE454F87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BEB4A82E-0173-438A-B40A-E7C3B77DA3E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B2AA18A-FA98-4B52-B9AD-F8581567D4E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B0617D7A-9B01-407A-96A8-60397FC213A4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917A87D9-8102-4784-9237-5CA6A884E2F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C7CCB060-2534-4183-A0B5-6CD48B357DB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B148A3F6-0B21-40DD-BC42-E60FE4286DE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E255B5F6-BE70-4E8A-9C3B-4278F00DC5F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C112FDF0-08F6-4D6E-80D5-4989D83A0C46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206E17B1-5351-4728-BBCA-A151F750C94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1F250D4A-95AC-4CB1-9676-AFEAC984D72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3E1ADD29-3E67-4146-B7BB-4E6B18736B23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C473156E-2EC6-41B7-88E9-2EC873A5E97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BD5E3161-5512-4438-A079-411041E26B7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DD2D2374-CAB1-4C11-8EC8-7392192469A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2B6709ED-965A-475A-AB26-0AFBAD2DB8B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D97D0A40-1403-44A0-AAA9-8CE774F49B9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5E9BA336-B181-43EA-8002-DC60AC1CE29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DEA57FBB-5832-45A0-8721-B97AE7AED77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1D2F2CC1-4DC4-45F7-8B44-7D8B42220204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381749AB-993B-4ECC-A1B2-6B5F7B193BB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FF1ECE8-D16F-4A08-81FA-240937125DFC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8881C79C-B8DA-4E0A-B4DD-FE30F310301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7B586157-1B83-4E1F-8064-6CA0C1B54E3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891BA4AC-3D5F-4F98-841D-549D7C7E1804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1DB534F-3BB3-4F3A-968B-864D592E05E9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97BAD9DE-3121-4D72-A469-BDA64CECADF3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EB1B97BE-F56D-40A4-8E68-080E00A22A3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1E949EF6-F7B5-434C-B686-0AAACB49B403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4363523-8D91-4A49-84C0-DB11C789D5B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49E64486-98D3-43D1-B453-558FA33BC899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B66A67EC-41E6-4FB8-B65B-69BCDB2897C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5BD8CA28-4B9A-4411-B1BB-4DE7E5F689C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640AB527-6A48-48E6-95BB-AD04EDF2C56E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36C69D7F-0415-4FF3-86A0-3027E718E52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C5EAF268-B664-41D4-ADAA-03906A4586D6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E646A683-0A19-4CB8-B642-E795036E07A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D83D3FD7-A6FB-40F7-B121-BDBC5EABE44C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A2B50186-3FDF-43D4-B30B-70C7DA54F3E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BDBA1439-E207-4D3D-BE2D-F695BBDA578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99E866C2-F1D2-443E-BC2C-A969A9877C2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B95CB804-D272-467E-BF8E-4C12095E9ED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3D52C7F7-DF8D-4244-99AF-220DA547F6F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883DDAFF-C090-45C4-BCC2-2C90CC3CB97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41EC2A0C-1CC6-4021-9C68-ECD6A6FE16E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1D514147-3FFA-48BD-9CA7-86F7BFFFF39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C318EA16-1776-4AA7-BA15-1BBFD8F7CEF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83B1A37B-50EA-40C1-A3D6-4424D0C637AA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98A0911B-D020-4F91-BBF3-A166A941BD6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7908E1A3-7F0C-4651-886C-995A31E828D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8B493B9E-4DFC-415D-80A2-DA97F822C44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D1094E86-9654-44A4-9BE5-A0F7EFBBAEBC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5DEC127B-E19E-40BD-AE75-CAF0F1337FAB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A0CF933E-14B8-4CAB-93FB-EF211D0EF34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DF92D595-7154-40CE-B5C4-C44606929D36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2E1EE159-0956-49C2-9696-34B278B7B8A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8DE30EEA-4D96-4FA8-A24E-216AFC0EFD1F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43737986-4682-4097-86FD-D26EBA38A581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8F6916F8-1732-4CC6-86FC-D082EB239C33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4AD92DC0-80B7-4230-8009-1262D4EAAE25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D7412575-6B04-46F7-9F5F-4327A9812360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70CC2F8A-6F45-4E04-9DE8-FBF9B3D96A37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4344858C-F003-4347-9116-52D820FD951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5FDCE4CE-0A3C-4705-8889-29BC5A9C8918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B61A7AEE-D4BF-4D8D-86E0-0C3473DD0246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A14D16A1-1DA5-4FC3-8E4F-A5394509A75D}"/>
            </a:ext>
          </a:extLst>
        </xdr:cNvPr>
        <xdr:cNvSpPr txBox="1">
          <a:spLocks noChangeArrowheads="1"/>
        </xdr:cNvSpPr>
      </xdr:nvSpPr>
      <xdr:spPr bwMode="auto">
        <a:xfrm>
          <a:off x="2419350" y="2959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22F8A569-3B9F-474C-8B0B-D6CC7184F05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E96EC4E-4B55-43BF-A454-B6777A40184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95D6617-5B25-4C20-A3E8-A09711CAA09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8BA1C720-4CC5-48B9-9777-4E6AD7CF013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D043BE66-A08D-46A3-A67A-BB45A68DF59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5DDDEAE5-2CD8-4582-9DF1-069CF02A67D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BDC3DA7-E5C9-475D-8EFD-940463EEEBC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E0213093-AD2F-416F-A0BD-E585B0DCDDA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C7E53B3E-850C-4688-AE7B-D164CA8A204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4782A511-3DD9-44B1-9045-5B9D9DC9D1C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652B5989-2AB4-41F9-B384-38BBA0D414C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1F43177-3FB5-4178-992F-96EC572D749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933CC58-40B5-4CFB-B486-CBA1F6E150E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91F0E428-9588-4531-98FD-967218DCDC1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EEF0DE58-A949-42DC-9693-AFEFC89FF60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ABDFA699-205D-460F-AE2D-E97ECABC0F2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FFB4261B-4C48-4895-A0AB-D1EFAD272BA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7874F26F-81C9-4026-B028-FCE1BDF9826F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EA7D85A3-188D-4CD4-80DE-39C5DEFB26A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1D54E318-3538-4763-AE5D-9D8FA3167F7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C08D6BE1-2ECD-43B4-B7E5-A45E8798B22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F1B46FF7-75A8-4080-AABA-7D03D93CB52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A568E1F9-8E5A-4815-87FF-F3651F3688A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518489EF-52A6-48D2-BA02-C7918C93506F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7DF2A7F5-603B-441B-BA89-096F4F9F012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6AD17D25-BEE4-4E6A-8434-112DB73D13B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D8D9B272-D5CA-4BDE-8C86-DC2F57826DE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1BFFC79E-23B7-4E94-903C-84ACFA57152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6B82C55F-46C2-4DE8-8684-50566976303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A0B037D3-1C09-4C54-85B9-E495A86629C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FE29DD5B-0F74-40F3-A81D-C8F3C90444F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582AD44B-B64F-4A4F-A7D8-6D2A5BCBED7A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5EA73765-B3E8-4389-8980-217A3A76CC70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FC6EAA3-5EBE-4331-BFF6-85462C91FDD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5625AAB2-99A5-41A6-A66F-0B2D07C278C9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163E4050-A6D8-4C19-9B9F-0BCA6635A99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D87AFDA-BC2D-4439-99BE-80FB6399DDB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DA3BE4B3-ADFD-4189-A8B9-1287539C0C4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EFD8E898-A526-4E00-A241-31DE4320A7D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27E73691-E0EB-4F4A-B327-288E90F25CD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2155B309-B2BF-424F-8FBB-C0E139601D9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6619F3EF-DAFF-4DC9-92F7-0AD72DA6398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169FD0CD-B2EF-4855-83F3-D4D6A2309EA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1631218C-BC3E-41DF-BFE0-602381127CD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CBABE861-6EE4-4F17-B68A-59C60B69114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305DBDE3-3655-4B5D-BA5F-FB08864E8A0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21AE0AE2-5C61-4D5E-9E71-BC7013FFBC9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96F734C-3D97-4FA9-A0FF-532122936B8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CCE2B00E-1DBB-4160-85F3-E77BCA64C60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DA91072E-7CE7-49FE-B150-0434AE831AA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A91DAD-FA84-4F5D-AB53-06A75D97F52A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F58B163A-4D0C-462C-A40C-12D6F16A71A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194FC8DA-4B9B-4C93-BBFB-0449EB52FE8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365AB763-25EF-4217-B1C5-66E0F063968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13697848-EA54-4A22-A184-3B5B6C8B6E5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E8E2F44E-A536-4AEF-961A-BDCEAC89FB7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425BC517-C37F-4B16-BB95-D484B0CE3CC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9A698D41-5642-4DFD-91C5-7509E8530A0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8DF30B60-F30F-4832-ADEF-2877570D2FB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3B768C8B-D1E3-41ED-B0BC-7279B331021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15B4B323-EDAB-49E4-BF67-7DB3072554B0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F9462830-87C5-421B-85C6-F6F3A28DC6A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AA5992C9-5824-48AB-89F6-3CD459E59A2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384CA109-3ABE-408D-B166-F9B6C7C050FF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DCA0F1CC-1DE7-4236-B59E-723513D2FA6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B57FD564-45B0-4C5D-AC44-9DC87B1B50A0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40CD2ADE-A7E7-4E3B-98E7-E85B24C4230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EADEC2A-B8B2-419B-963D-16114B4E7BE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D51B2933-DAFC-4622-94C7-681F516FE61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62EB857-B550-481D-A358-91574CF3E40F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6AEC455F-A6F6-482E-A5CC-F8C7C55978F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CB389C4-7786-4C5F-86A4-B09BB93FA48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8E3D8DB4-F3F1-4071-B5E7-2B0C3CCDEFE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99E2018D-90EB-4DE6-ABF1-61F2AB7F7B5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A65EDA4C-152A-4A76-87C9-EB94375D955A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CE306081-B9DC-4031-9900-9813BFC4CF9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5636EC-CAB0-4375-96D6-E1E498F42EA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6CAF5E37-BA53-4E09-98A0-1C6C6566592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F11BFA6B-8419-43E8-A423-2C015770E9B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31270B8D-7DC8-47C8-9BE6-C494B99432C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B7AF8DB6-EA25-4E92-95B0-8C82C87E1D49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B06692D0-0C58-4FA2-8240-B545E167EB1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ED7ECC1D-B2B4-43A3-99AB-198DCC57326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87981ABB-408C-44A6-8283-8D6284F4C05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C0FAB1A6-65F5-4AE0-A293-028FFE2EF5E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30745B88-8446-4B12-A462-F5C3CB8FBC3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598227D6-425D-4932-B627-579E927FE06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57AC9B0F-8883-4A87-A25C-59DECC4B5D2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C439CD30-DBCE-42C3-A6F0-A849995BFEE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50FA75B7-58CC-4614-B155-9D9FF30A0F5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9DBE7F65-EF0A-45E5-883B-9F358E994E4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589D7924-DDC8-4DAF-B2E9-7A7C39E0CA7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D6CC1AB-C912-4D2E-A4F5-5144A83AD3F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47B3804A-FDCD-423C-97CF-BB44E32FFC5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C82A272B-806F-490C-B9AA-F1C8D12764D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4D8B2290-CDBF-4C17-9F10-FB97C93093C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65219C57-39F1-451B-946A-A23F6F8F85D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A03AB61-3E33-458B-9974-545324134E7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51607DF4-A8F7-48F3-9479-D6EFABC406E0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3B63F8FE-6221-4A8C-84AF-E809E72E8DD9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E3D1E5DC-E7D0-4278-8001-C25DBFD4F5B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C9290961-3517-4AA2-827E-7CE5D3D0B5D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B59365F3-9508-44F7-9E64-B09B46AFA8B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33EF8CCB-1BB1-48CC-B3EA-0E53BB6081F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DFCC8390-0BE6-4259-BCF8-9C2FD0A8A5B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FEA562CC-0866-49E0-9209-AF27C4EF9E2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CE7CEDCB-A2D3-4AA7-B327-41232A4AFFD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FD06A4A3-D971-4CD7-8C62-03FB1C74FA8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38F69347-5B06-4DAC-8B86-BA61CF818CC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374F1B30-D6E3-43C9-8B40-456417D21C8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36D4C86C-A360-4E94-9A83-34E9AD71335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8BF7DB1B-1BC1-4345-9182-260DE6EDE45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7DDBFC8F-4C44-4B35-8A7A-09522B556BA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AF5C461F-FC96-432A-AA83-9A2259CA253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705F7837-E270-4FFE-BA36-CDE5D4E9D1A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90AAD558-D09C-4FCF-BF2A-B9D34C75622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5026130-128E-4566-87AD-C3527B73CF3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5C14F72-E32B-448E-9F3A-8B4A9E75A490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BBE0F011-08FE-447D-B2EC-6CFDB5D775C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1FE6113A-2B54-4388-AF47-DBA11D8E0D69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C5D39636-0946-4C9B-B134-1EA7CF9273B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F2BF55BE-9210-436D-B943-27AA0095FFB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30BE717F-162B-4615-8D3B-5428A668471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6E54F696-9983-4B20-96F4-3B8A83DF81D0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969C17F9-E436-4F85-BBE1-99C2BEF5EED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3D6C6BFA-8290-4252-88EA-C05C535E26E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921F3804-A94F-48F4-98E6-2EDBAD470DD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E86EAABA-DDDF-4734-A730-F0481DED3F0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5967B2BD-33FF-48F6-B786-13DF7D70EAFF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F7C84A18-C03E-4CEB-88FA-BF3C288469EA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F844C73D-1FFE-494B-BAAC-73ED4A54148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ED7D1239-1718-4C79-8515-ACEEBAD88D3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96E31946-0D74-4B7F-84E2-4AC1BC846329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6A293C93-344B-48A4-96DB-A6BCC207207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174722AE-76AA-4403-A068-3E508A40DAC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1D225AB5-39A3-4095-BD34-AFF580370C0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7B1275C0-E308-4C7C-8A7A-AF97E800092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6DC82562-461F-4033-903B-D899ED80D8FF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A4C006F8-B6FD-439A-89E3-1431A2A8E550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2C978821-F8AE-4CAF-95EB-41BBD09E26EF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51FF68C9-4551-4E1E-A216-F24DA88104B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334CF803-69A5-4CF4-9E4F-A781DB995D2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95D43152-CB1A-4719-A221-2955E87C79F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FF5851B3-F416-451B-BF2A-03C18E52A0A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4E8E0AF8-B300-416F-B999-7C6D4F6E01F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5E4CB0A2-71A0-4CCE-BEFC-155CDCB749B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8C74B84C-F016-4769-B4E3-29D4B3EA287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EC1C9517-CF4A-4848-B561-D381A60C96AA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B010FA-810B-4293-B532-B9C9669836F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F713DA8F-C003-4B23-B53F-ECA5B6752F2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9BA7B334-FFF9-4CC2-998F-4E110FB2839A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EC9115C5-C548-48EA-A50E-432F01EA49EA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9B8B4AA-CAAE-4330-B5F4-00ADCB9431AA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72EE2847-5294-4268-8A28-43298BBDA0BF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338851A2-A096-4C96-BED3-6D5797FEEFE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5EFC156F-B31A-4406-99C2-16FEA5F2C7E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6034A8A-2BA3-44ED-BE3B-D1A8402E6C4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86D4DB73-EE65-410E-AB28-93F3CD109F0F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63D10973-B027-46B3-81EB-D6AD83AA8EA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EC9BFA11-2739-493E-8D9C-5CC2C3649B6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CE0A320E-32D7-4E42-A6C3-842994F1F6E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351EAC49-788F-4422-9632-205A28C0CDC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B66F928E-1DE8-4D2D-B263-BB2855687E7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ECBB9505-48F0-4D48-A1BB-3B246E4C473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10932E2F-9874-433B-9BB5-C5BC5105BA2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FBC15BFE-A513-45FD-96DB-20253D516A1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F3348960-412A-4D18-80E4-31F89EBB792D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E0CCBCA2-861B-40FF-965E-51A412CC2F3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DED2134D-317A-4706-9D95-B5849CFAD7B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2C82066D-616B-4B15-B4C7-2D31736FA2A9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4CC6A6A0-DD46-48AB-9468-96F7D5901CE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4F74C9CD-2EA5-4011-98C2-A7F73361C190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231EF25D-C124-4006-8D83-BE5CC868427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826313B4-D652-4F2F-9E34-D1353DBD25C7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123B06C9-A7F2-41F0-A22C-4529D567339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401C24CC-112A-4CA9-9C3A-5A947A638F2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D3CB6939-B2B2-4F1B-BC31-DB5A29D5F9F1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4341D726-B399-4B4D-A608-AEB54DF2361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A5011726-21AB-472E-8144-5F895B5CA52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A46794E7-4FE0-43E2-9220-BCE00BF71D06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AC6B76DA-CF22-42C8-BAED-865E096BC7C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E4F857E0-49C0-45E8-A352-15A7866AC10C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36D17AEF-0C5A-4530-B4BE-0206ECBABEEB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A2D69848-8059-44C0-9352-32B42C0398C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E21383FB-AD22-4157-ACA3-A555559FFF5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D189890-7507-4359-8B1C-36F3E999E63A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755694C0-3CFB-4C28-A88F-6D8F0DC214F3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E5E83787-DE96-4BDD-B76F-361657019C72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6D0C866D-BA1A-489C-B504-E1EA58D90864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AEC31F19-102A-4E2D-9EAE-4B31C479201E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7EBB975C-11CF-4010-B750-1977A7DAE305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CEE4CBF-70B6-4DAF-8252-86C20D08DE08}"/>
            </a:ext>
          </a:extLst>
        </xdr:cNvPr>
        <xdr:cNvSpPr txBox="1">
          <a:spLocks noChangeArrowheads="1"/>
        </xdr:cNvSpPr>
      </xdr:nvSpPr>
      <xdr:spPr bwMode="auto">
        <a:xfrm>
          <a:off x="2419350" y="29394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D13F8C88-66EE-464D-9D0C-77038BD4ECC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FE809B0B-9E13-4BB2-97C1-B22B52B42957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C5C04C0F-0535-47F1-8415-DC2D00F3101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22472073-481A-49B3-88EB-6ECAB530E4B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5037C456-34D6-43AE-B452-B16B395CB51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7E2A9382-9361-42B1-8C9C-0AE536CF89F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44ADD5DC-ABC6-4D63-9609-83F3563A1F7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69544E5F-9617-4BEF-83D6-7B8D4CD31E3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14E4E58A-6878-42B8-97CD-D7D8973EDA3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964D6890-E935-4A53-9A6A-EC371D585D5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E286EAB7-3057-4795-941A-DF6C2BE0EA4E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CBF472AF-9AEF-40B0-9872-6651838DF03E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C92F23F3-4EF9-4D01-B783-EED61C5E663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3128105E-11EB-4B77-B66F-C8489B1E847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F5AF2EA3-5DC9-45BC-AF8A-49B264240FD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8B14C25B-50CC-454A-9095-0569AF87DA7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7BC72667-4B7A-495C-8AC0-83675A93F81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25AE6FD3-4F5B-415B-8BFF-378C4C924E6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6867812D-1D8B-4D50-98CA-42EA5138EC8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4A55C628-E2FF-452E-BC79-882A7B52404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85207EDB-A5A4-4FFB-8623-2DD43650CEC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688031E8-4295-4C82-BD51-F924505667B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CE35D992-EB53-44CB-8223-B59F60A7A91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A665B0E9-FD6A-40C2-BD62-6C99C61B5D8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DF24FE9C-2883-4509-9B15-66B39D4DDE4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373564E1-8744-468A-B8C7-D745521341F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845AA08B-9BB5-4948-9D45-B4E071E6F06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319AE904-3414-47DF-9ABD-BBDBE9A345C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BD8BE335-25D4-466E-ACD2-0EAE963A24D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51BA8F60-E474-46ED-9256-783CF3AF1AA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9E32B57B-F054-4EEC-ABA9-9ADE4F933A7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C59EF1DF-09E0-4C9B-9A75-7D398DF4BBA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5C4F2221-0AEC-49E9-9608-722BD1A0310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DA008C99-79E8-4998-AB56-4154AD13BB8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134B020D-9DDB-4A55-982C-4BE781E11A2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96154AF8-D2CA-4CE1-BBD9-3CE1FB729B2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E19AA5D6-7AA2-4664-976A-B9C9430F598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D88E5186-A605-4347-A2AD-1B30F948E7C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92C045D4-D881-4000-AACD-96476F9C581E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FC8BE545-54BE-4FAE-A212-C41E09A54F1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48F101F8-A07B-4778-A9C7-42A6D2A2F3C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ACE1B44B-7802-4155-A564-A993BEA7DB4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8232E2BE-8DB1-4A8E-BB25-6C6116AF917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FB0D0478-773D-40FC-810D-C262A04BC115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DB2381D6-22E2-4288-8250-800698EC9FB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CD4FD7CB-E6EA-46FB-8E88-4C2CE345100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F5BE100A-94D6-4797-A9B7-3BE5E7B66A5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28381A64-E78B-490E-8C77-0C0DB5AC397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D72CDC68-3C30-4B38-B201-8B79F749F5A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EC23EB2F-F2BF-45C8-8C01-104B0AC0B3F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6CF89360-0264-41B3-A760-50A5978C024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465841F0-FDFB-4712-B327-0EE789D19A2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D794961F-F102-4E8C-BDF5-B59394A5D898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1CC9261F-361C-47AB-A677-CDB16D22449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37E6DA9-5192-450F-923B-325E369AD26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EC5BDC8A-F056-40C1-8C5E-EDFCD5051E9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8CB729BB-27F4-409F-8D32-F975802890A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61C00FCE-EC24-4546-8FA4-7EAE4ED77B0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702D9821-908A-4B19-804C-D5C352DFE7E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4F50ED1B-B6D4-490B-892D-4EE2B433B7C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8DACD6BF-B46F-4AE8-8D97-41FC0918ECC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9D0014BB-69DF-44AA-B563-3F716C0D1F5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AC795D98-322B-492E-A2C8-16B5019F7E3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37D544DD-A319-4BAC-BC91-88C7399A55E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143AA069-D882-4C2F-B11F-1ECF0D23147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42DC0074-D027-4071-B3B1-A4AAE5FE2925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4A00C259-637F-44D5-B915-6950AFD8F16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362FBCAA-E54D-427F-8DE6-8A2A64162FE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CE1CA2B9-895C-4D41-98CA-929ED0B572C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CE3D6C9E-7B7B-467C-AA0C-CED197B6AE9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86BF4397-E8FB-4C43-A1F4-EF00BD8B901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E86951EC-7AA2-463D-A641-FCCF02E42E5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24D9A8B7-6DA7-4E89-8A15-46BDC5665A3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59072BA-C5FF-42A8-87EC-7030B4A5B19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3EC7FF33-01F5-4436-9DF3-915818FF38C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6575AEC9-C0E2-4A8B-86FE-BF43A37526B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E64DA28E-73BB-4920-BEBD-06DFEE34FA4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5D512A36-C909-4A05-9429-C930B8AC676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D1093F71-4381-4877-901D-5B156D6AC53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612C5970-1809-4A03-A82A-35F0A9532FF7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B672E5B4-484A-4967-A032-613F25C2758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761FD82B-0366-44CA-B46E-D7330F9B8AC7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ED17509F-EFCA-4099-8E20-E985E216A25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2903E7D4-EAA1-4121-B57B-AEFC2B7F9515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2DC7BC93-1A4C-4402-AC27-519A114FE53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8B180274-FD65-4C39-B929-F683D671A4E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3A9A5C09-56C9-43DA-B1DC-F88C177A310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E3EE4C4C-FA14-4A46-99C5-56F99017A77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31BB3E56-C189-43E6-99D7-37268914F4D8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83216D14-FDFC-4E6E-AEBB-58CAEF3625C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57F81D70-B9E5-4E8F-BDF9-904B25F6DDA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E72DA0E-7471-41B5-A3EE-FBC8B7D797DE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27F20CAE-635D-4682-BA6D-373CB4B352F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B21F3DB8-81B6-4653-934C-A23845C4FA3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8C9CE07D-60FA-4DD1-B549-EE6F65C2F74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9BDB6592-DDE3-4DAB-9FFC-47630DABD99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2FE40353-9CA7-4890-B354-DFC92D2D0AB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64010657-333A-4FF0-9CFC-09027AEAF737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91EE148A-AE3F-42FC-A3EC-E990744E5D8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3A4ED3CC-A598-4FA1-BF62-00E8FB44D99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CF1C752E-A79F-4FEA-85A6-C1531EB3CF2E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6AFE9D10-F221-476C-A59E-D5A8DAD9A7D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3F059299-E721-4329-818D-F1CC95D4219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91A1FD6A-BE39-4D8A-A2D3-852BF6A1992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A7EF1749-15F6-4C32-8425-9B15C578529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9D592422-CE03-48CA-A571-06939715AAC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A203C169-9A6F-4A16-8203-2CEA038F9CA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5A3CF1EA-D997-4F8C-8390-7E0CB27E718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EA93FB4D-AE11-4B0C-8403-F1A34311F6F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1E754AFC-638F-4794-B72E-CAAB73CF528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170DFB02-1C14-4D74-98FF-77138EA55ED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4A0AC631-E2D8-4D59-B6E2-EDC0B3B46E07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9C6714B7-5312-4D2D-88D0-07B26586ECD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1A0D06-E276-45CF-AB66-2CE360A0E95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1F72B729-A96A-4328-B59E-C1711357C475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5354F983-CDC2-4B58-9723-D347D048A9A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8277C3B1-2F46-4895-81DA-0EC46D15B09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CB11FF32-E82C-4023-AC1F-7817B8F7323E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17C2F4E6-DBA8-4B16-A509-72782EBA7D2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9DFC65C6-004E-4C19-8131-C50E2594477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B6BBC841-16C2-4197-BD43-C93C0B8B939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554E3EE9-62D5-4E08-AA1B-22E4BEE4E75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2618AC0F-A586-4345-B1C1-9870C0A4367E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558B68F5-1AEF-46C8-8FEF-1F8EDFA113E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5B2F9EB2-5B8F-4B51-8403-1FB6B1B6F90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9168BAF1-C9E4-4AC7-9DB9-230CCF156AA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7D4641DA-A3E5-4D76-ABA5-CCAE6CC91A97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E907283A-DDBC-457C-8DD3-E8244FD3254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614C5CAF-7E43-45BF-BAA1-B13ACDD7B0F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588DA5DB-33B5-4E3C-80AE-7B3A003BB3F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717B4F80-533D-4560-A8D5-3D6DF406C88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E5E1107D-C075-4DAA-8349-C61750C99D4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72E1FB0E-D17D-46AB-A549-62BC0EC0F13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E4FEE0F7-CEF5-4170-ABF5-AD5480E92D0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CD954439-9581-424F-8457-EBC96404573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3CE61BAE-87FD-4FFB-8481-3FEF6EEDFF08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3154CE1C-67DF-4CA0-84FF-17E57B756AE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8C65F9EF-20CD-4664-BC80-C32A8DABA52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A97C81-6338-41C2-8A62-8DAC7C42755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E7EC6A43-AF5F-4CA8-B759-F87A8FBE71F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3BA9942F-744B-4D94-908B-BE90660078E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A77EDC09-8E17-4233-9DEB-49BE4656D73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9F042A8B-2883-48D4-85D4-C68D240AC3C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E61D46CD-3625-4D5B-A6A5-3A83716E7A0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6504E499-8CAF-4416-9D75-D554F3770AB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12BEDCB1-697A-477F-BCAE-F2EA40F75D6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21289144-2D38-40B9-B9B5-8F08A0865E20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6319392F-59CC-4E66-9ABA-1E910735EF4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138AA1D8-F75A-447E-A2A6-891CDDED1227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86486D08-2AC0-4730-A0C4-813D6C0BE41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8DCDCD98-5DC8-4845-BE90-DCC5AB9EEDF5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F81D9F5E-4979-45B7-B5F0-E767146CE6D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1A1FADAE-9DCE-452C-8B7A-CC215AF3C53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DCF33FFE-B13D-4EAB-A867-02BB2DDD8DC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E74D877A-8B5C-442C-ACCF-5E499980EFB7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BAD82F12-2845-4EB8-8A92-CF88C5473C05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C4A7E2F8-5299-4A3E-9BAB-C526EFFA96F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92CE91CE-7FA5-47D1-BAEC-2DB83D26CEBC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BCC365C-11B1-48F4-9172-A94311E004E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E61A5A59-F36A-4E66-81F4-B24AD843114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BBD5F4ED-5755-4B0E-A37E-2876B7810C4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A8350B5A-6E1C-4B88-9918-8CA545DD171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F5B9B060-EC57-470E-8735-2F70A30C47F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93F36CF-F0A4-4C3E-98C0-ACDD4F41DA4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B4A6B971-50A7-4702-A6DE-6252622C7D6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3E2AE528-0F8E-4270-901F-1477E70CF7B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57ED12F7-A2E8-43CE-9C5A-2B5B94FF2548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D12B0A4B-1BEF-4F43-8FC5-E4D0D433588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6AA91ECD-8720-4D79-9D56-E2F53F7869B8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9F39E8E9-F694-4D49-9683-ACDE406CB3F1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58D8A210-4CBA-4035-A33D-93CD0AA5EE7E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B1DE72E7-07E0-49F5-932B-F4C89C6C11C5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C2231D7F-6A50-4712-BFEF-372E8C96264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74261B06-8470-4635-95E6-A58905F7A6C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BBCB4161-3FF5-4A9E-950F-9ADB87C5036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295AFD0B-0479-431E-84D6-355EB17F254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8F1FAA1D-D779-4696-94E5-52941BBBA1AA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574BF772-C993-4560-A693-5E7482A06A09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346608C4-57F6-4A1B-AB67-DA30C8B7B3E2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6D212F44-4963-49F0-B9F1-29B46FCDFDD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196D19FF-B2FE-45E4-BF8A-8A89B47A4308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C92CD28F-401E-4ACA-8484-FC50199147C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ED8C1AA6-AD09-4E06-AE6D-C72EAE6D5AF4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CE5C4653-79DE-4F28-B34B-7CBB6E69AA7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7B210EC7-70B9-4ED7-AA49-794314389BD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7A5FB9D0-00E9-427A-AE34-F2F150C656C6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EC280B5-B50C-48FB-B9CD-0289935F035D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890A8D7E-47EA-4E8B-BBD0-B3B9AAE2B427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74848821-0EF1-46DB-993B-927A45B76718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D67D8F3D-3C96-461C-B4AE-E3301768A95F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D8502F10-3ED2-4038-A1EE-70B695BF585B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165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22ACEBB7-19AF-4018-BAAB-CE0C25120A83}"/>
            </a:ext>
          </a:extLst>
        </xdr:cNvPr>
        <xdr:cNvSpPr txBox="1">
          <a:spLocks noChangeArrowheads="1"/>
        </xdr:cNvSpPr>
      </xdr:nvSpPr>
      <xdr:spPr bwMode="auto">
        <a:xfrm>
          <a:off x="2419350" y="39357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E9603963-189A-4C56-8DA3-F3EDFA6FBFC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96212789-BF57-4492-80AF-764BF5B8C99F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52684B6C-EB3B-4C21-830A-BD12A0D205C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AD6FE8D3-1EDA-4D23-B970-DC29AF30C60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F9E335E2-EA65-4710-84A9-2DFF43B85EB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5D651D6A-8E7C-4BB4-BDE0-8D52023E445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91172423-6465-4F31-B92E-199EA1579A1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5805C96B-FF54-4B09-9B0C-7AD90D384F6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8E22034A-5392-493A-AC8F-3D769E3E1A1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8E217B1F-7DF2-4C38-AAD0-E8511BEAD3EB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D61D1B63-FF2B-4BA1-983C-E99C9FC91D8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4E8CB3F7-DBED-41C9-B886-689D8FDE8E5A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DB9AF2EC-505D-449E-9314-A3A4D37945E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6D1E89CD-6168-4235-A40D-47A4B042F11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FAE7A65C-6F55-4964-86AD-819C54D06E95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86F185E1-4D85-4892-9EAC-CB6C8A3090F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B37A7A12-53F0-41F8-9232-4B8C8BEBDBC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839BE590-9267-4CC0-948D-F2437B6009B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2B4031FF-90DD-4429-9D49-CFBC4CD8EFB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A52F7BC7-00D7-43B7-A8BB-CDDD38ABDA28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6F338773-36E4-4177-9521-67373EEEDA0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207399B8-9251-418D-B662-5EEAEADA809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EA7B3C42-0A3B-487A-9221-F3CE90662DE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9DD79800-6A75-415B-979F-B51F7CAC045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66C55CF1-CD47-48EE-BAC1-9A9226219C5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9AC765E0-0A9B-4080-8103-563232844DC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E801FE0A-5010-45A4-95B0-7787EA7C9EA9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27500F90-BB98-46C6-8E1D-631D2BB3E8B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9D878100-22C3-4DB4-B2A3-53E8BCC952F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8DDDCBF5-6366-4215-89E0-CA25201F5F7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F59FAB3E-D942-4E81-9753-94E421E09FC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E14FA94-6B34-49FE-9976-016CA630660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26CA005B-0DA0-4655-923B-65CA412A90F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90E9747E-C030-431A-BF7A-8CB290710D5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BBE2E66E-16EC-466B-A50F-851688A23BB8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D7F44E36-5606-49F0-9536-265ADBCAECD8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1494FD5D-F4B2-499D-8A8E-1556529C946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6B30BD97-C175-41CC-828F-D9EAFC2455B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1EDEE6A5-0739-4680-93C2-66026C7B2E35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9D253BD3-934C-4485-BCB6-868D9B374D3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8726D829-B972-4BD3-896C-BBF9CDEDA9A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654BCCE5-2CD8-4C30-8B8F-29596AAA4C7F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9DD528A8-5EE2-4EA3-96DA-69160F0C625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625C79B7-3C1E-4914-B64D-E1513872337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1C5018CF-F4D1-453D-9843-FE783D6ED659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CAB65BC4-BE8D-4083-B1EF-DF16554FEA6B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5636E0C3-A888-4C7F-A0E8-CF94461EF72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C55F954B-97B3-4703-8D6E-B190ED0DBB9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C6FFDA53-81BD-4738-BCE0-78FF9F18C57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3D04F953-D3A6-4907-A5BA-6040C37A385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7D1E97B4-6601-45CC-962D-54DF4272FBB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94A3D09A-7FDE-44D1-A0AF-B223668D8F3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A5D6C92E-EFB9-4296-82D2-F488924D411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DFA67B4E-4993-4434-8FF4-62C6121EB94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DD5916D5-E838-4608-B6FE-004782915EF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CBA3716C-2BDF-4407-888B-C69173D8F1A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F3E4554-FCF2-496E-80B7-16FCCCE15D6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764A05D5-9782-43AC-9B8A-165C9D65772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477A37A8-964C-4945-B006-50872440C5D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E7591AA6-F852-4159-821D-39D95484524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291AD017-129F-4371-94D3-56FD4E6E0DC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340C08C9-FA07-4B4B-A273-20F03D307FB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D7CF4F78-4CD7-4A18-9488-7537A8D3F21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A325246-412E-4DB5-BF30-CEAA4169CD0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8A68EFA8-08F9-4B3B-A7D8-1DA74DC360B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3CCBC9E4-E9D3-4467-B5F0-62262F9E34E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DB53F9FA-9319-496F-A17D-74040E9EF26B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447669C1-77A3-49BF-A4A4-A1ED34C17D8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B3E31045-57D5-41A7-8249-962749B9C20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BC8B079D-2282-49B5-91E3-BDFD3E1CA68F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16E823C3-5952-4F6F-9375-2A8F8F241F9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A0896AB2-B024-49DC-8097-931343135E5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2937926B-28F6-49EC-9D6B-C13B0212205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EDD59D9B-FE3F-42AE-BA07-1371A940194F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19005E6-F475-47CF-9488-73D807A2415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CA266901-E504-4242-AB74-A3A7E44D939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A800E01B-AE33-47B2-B931-C2B8D5403ADB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27498631-D52A-4B1B-9A57-BEECD4CA5D0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4395A1C8-7FF4-4EE5-A51E-4B75FF2CD02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34FDB71-83B1-41AD-94C2-BB96692834E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11B54E92-6487-421E-B21C-FA9A2D22C199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ED519A8A-DA2D-4E25-9F02-1E9E0F9F18D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302A113F-EB49-4BB1-97E4-485B3C3BECD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FB40EC64-C4FC-49B7-A94B-140B669EFD3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7FDD80D9-2ADF-4B04-9375-329AF8758BF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82504601-DB4F-443B-B01F-68F3F7A0473A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92FC4E50-397F-4D2F-9E9B-75781E21F12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BB58DC83-B9A3-40DA-B1C4-50C822CE84B9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EB13A5DD-302C-4C3F-B86A-6446246AE86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318F3F58-DDE1-4A7C-9713-49540E8B28A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4433ACE6-8DC1-4BE0-B2E2-A739B5B9275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5D6B50D9-53B0-4D4B-9F4D-B74FC9D4DDF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351728E6-4FE5-4E62-A1E1-9C5732E7EFC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AF38F8C9-3C3D-4375-B5DE-A2725AAD515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F0998620-6794-4CF3-8628-FED8AC38663A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98DD36B4-5C61-438C-A164-358DBEC44AA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DD8A0901-5429-4216-9417-6EA44B364B8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4F9FD4BE-1328-4E51-9F3F-A2CE55968FC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8115A20C-BAB7-4ADB-A8A3-CC3C0B72315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8C364BD8-AC14-414E-A685-8B78C3068EC9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75687ED1-9C95-43BC-84C0-9EB9975942D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8690A8F3-290E-40AD-9DFB-22CA4DE4E75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7C80456C-626F-4956-B535-9D0DF7B43F1A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959B244A-EB19-452A-80A8-55A82FEB1D0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B56BA3C5-C76A-4347-A5F3-EC5D16D70F7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2E26675B-6C58-4B02-9356-9867E46BCC08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3B531C17-B86B-4556-B55B-1AD35CEF040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152D4B0B-89F1-4836-8EAF-8446D26E5C6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FD0C0DE9-CFA1-4AF7-9BEE-EE10EA82A0F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E5D33753-4762-4E9E-8CDF-601B07290DC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64E6DC86-231A-4229-BB62-A09AC6002BA8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538EF4ED-6DE4-4A8D-A0A9-E282DD8E3D1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34D202A9-1F0D-492D-9C75-0E889C3D871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31749043-7A20-4B11-8244-5881601F30DB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B127C25B-5760-4DA2-A664-BE5E8386F13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DBB2CAF0-4615-4483-A2FD-689FEDC1A0E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CBC7FD6D-31C2-4350-AB66-344E93282E1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69FAC279-4F76-43D9-9800-2D2692A2155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9D0E3516-7034-4E92-B190-9CECBED6C99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1A3583DC-37D0-4912-BD6C-D75C17A6B17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D2C117E7-4AA7-418C-A90B-1D9E39A4E41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691E3393-3871-402D-942A-1D24EECC898F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C0D125D4-5254-4116-B1BE-774C32FB718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D9B778E3-31C1-4035-BCA1-CEF284666F9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6819DB1E-E278-4BC1-A3E1-6E3941B936F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24066C9C-8C0E-444D-B6CE-CE27A1EFFC9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B50AB6D8-F5F7-48B6-BB1B-1C54905D5C9A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2B6EFCCE-7AC3-4651-91DF-C19BFC0AE9E5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C0220D19-C14D-46A5-990F-1734739CD03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89AE915E-B943-4D0C-BA60-1F7096AEFAEF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149B6518-6366-4E1A-A54A-9B1B9888573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FF73E4ED-9C37-4CA7-98A6-D3ADC91F8E85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268574A6-D914-4A2B-831E-36464414B2E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1FD23E39-9379-40A4-8237-9CC5ACEC023F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A6ED380B-9034-4651-AD5B-874E9FBFFF5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944D7860-03CF-4C2D-B8E5-104B37C1DD7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41E1C032-5E32-4CF8-BEF9-B2F50C4E0069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9F4692B1-0588-4DBF-A6F2-08B46590355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8C15D64C-B7E9-4C1E-A9E1-2BB64FDA98E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8DD215CB-058F-48BD-9170-13A2C068B775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D552ED72-0775-4C7F-A684-B2C9C8D50AE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98D04B81-3A47-4FC1-9E18-0757D54EA40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7AF348ED-0C7A-4DDE-B274-476D530E1E1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D19686AD-10CC-4C8D-93F1-12C58166ACB5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90893B6C-6F5D-4D07-8AEF-81C4EFDAFAD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2AB52356-CE2A-4C2B-92BB-0681D46CE1F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66FBCF98-26F8-43E6-BC1D-B01DB9CB9A8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1AD45010-BD28-417A-B045-E8FC4537D27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BD487320-4663-46B5-A477-363C743EFEE8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9AA12AED-5576-46EE-8A9B-025280F3742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C386EEC2-3B2D-40CA-9190-73F18FF80FF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E654BD1C-8F74-44AA-81F3-3D7CEFD4F89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BE1507F2-4B7F-4A17-9C35-68FE2068F78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76014A91-656A-4F9D-AC6A-902B3145B1FF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FF354F09-7CF7-4E75-BCEE-4760C3D472D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F47F677B-8809-48D2-941E-152B096ADA58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A43DDA4-C72B-484E-98DB-00EEFA7E46D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856DEEED-1DBE-44A4-803E-0AA5FDA42B6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2B067590-A6D7-42EB-B689-AB76F43FF11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D456070B-56EE-4FC4-892C-68673991BAC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AE9019D9-4E08-49F8-8600-B7BCB9D7982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F14A2C36-7B65-428D-B51C-575B3B3AC4F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C2CEDB18-C519-41F3-A5EF-D428884DC962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40B0678C-CD52-47C5-9566-C8DB5F6F3095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616FE92-63C7-4899-BB61-823DC7DF0D9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C8CA6193-009F-4862-A71E-9D54D2428B7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8A8A94C5-0C70-4569-BDCD-94DF52E33D3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20BFE8C1-3F96-41C5-A82E-BA2911AF189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A2F1EAD9-7139-42C5-9148-D43A82CDA009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3CD353B9-70C3-40F2-AEE7-96A5A2DD50A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83E2B5D1-A40B-4EC7-9D90-39F0ADA6F421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7649327-2F17-4DB7-8B7D-DB34DF817027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1F3BBF14-0FDD-480E-B9CB-EC6BC41FE313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256536F9-06C3-40DC-9FEC-2B7911809D66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1E3DCEA2-4215-4546-91CE-9962402F8E4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C171377A-67FF-415F-926C-C6E2CC64B32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605F21F9-C0D0-4399-BDC2-A4D2AF5DD6C4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1FA2F85D-F1EF-4C56-82F7-F752E7C2FEE8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45F054E6-194A-421C-9AE0-61F956B7AE2B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45709E87-7EC9-4F68-A4BE-4035E90BD375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A07638D1-0392-4312-9535-03408DE840C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543E5F2E-2082-4A71-8AFB-F73473E555F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BAB65EF5-56C1-4690-805C-99A4C9BC094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175F448B-058F-4613-9366-4B6A7A671E5C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B2539C49-37F1-4469-A42E-DBCA17831D0A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70CCC610-631D-46A1-91FC-C2B0F70C5445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C1B0AB4E-F7F7-4A73-80E0-3B5493FD20B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214D5520-0365-4E2F-923F-6E65C1545DA0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CA30C8FD-F7A8-4D47-9F46-02CA0363862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F142BB38-1DAB-4F7E-B1E2-447CC27A738B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A4DAA303-3899-4EB4-A872-E64187D75CCD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A4892A45-F3B9-4BEE-AB83-23706E6EF69E}"/>
            </a:ext>
          </a:extLst>
        </xdr:cNvPr>
        <xdr:cNvSpPr txBox="1">
          <a:spLocks noChangeArrowheads="1"/>
        </xdr:cNvSpPr>
      </xdr:nvSpPr>
      <xdr:spPr bwMode="auto">
        <a:xfrm>
          <a:off x="2419350" y="38776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C631860B-95E4-4639-95BC-8F7593362D0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D405E850-1BC8-4936-B4B8-C1792A963BA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6C80F44A-8204-49C7-907C-9EBF6206BCC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9616D1E2-04E5-499E-9A9B-EDAC95ADC8A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67ECE1A1-A492-4724-8E4C-B7DB08E8BD5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4F788A0-D212-4DB6-AC13-36DF46AA0A7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637E6C08-94B8-4E1D-A507-646512F887A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FC19221E-37A1-48F2-9E45-908FD2D460C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627E39D9-1146-4C63-BC6D-99F203CC5E5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97BC4694-221B-4C83-BEB2-52D35B751A2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A4D510EB-5E76-4C09-8DAB-2C567C45A1E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DC24A961-E428-4BE4-A1BD-AC42669F656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95A3B54A-A0B0-4B9B-8EC4-4CFAD958B8F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1DA27A4E-A003-46A3-B027-393D4227B40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37C1B6CA-FBBA-4EFE-A6FA-E826038D52A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CDE6C065-32C0-4BFD-9348-C2811C9AFEB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3ED8A1B-09AC-44E5-AA96-DD938623C35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A0BF410F-C786-4207-B79D-230F270656B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D58BBEDA-CCFE-4E92-806D-AE88B5890C4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98C820DD-0783-4480-A78F-2591F4967F4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18E3AD78-D5BF-4CB4-A339-1F8113EEA59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C2B46E04-9C23-491B-B0A2-0B39FBC7ABB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E9C1E58-EAF7-45F9-8AB3-19711F038824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8479BD82-5721-4B24-8193-2F3DEE1785E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19A44DAD-4CDD-47CD-87FC-EFC252A6769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5418B2F-C325-4977-A05B-A5796D90EF23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4A9B5CFA-2E0A-4219-9E2B-52038ACD4DD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8840B0B6-03AC-41AA-93D5-0250884B02E3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F0C5781C-8AEA-4901-83DA-0AC41051ACB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D8C1A465-AF74-4AC1-88AB-46FE45DF565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55147E4C-0CF5-496D-AE4B-27573386A5E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D162BA52-F108-42DE-B9CB-002E54A20674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EC58B799-5658-4C9C-BB4D-0CA650CB020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E4E3AEF3-9235-463A-9346-09F12188255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DEFB30B0-02D6-45C4-A4B3-3CBDE38533F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B32C9142-BB80-4A06-B619-6543DF98EC3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62E832EF-B421-4F2F-873E-609E9760774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1ABD371A-91BE-4406-AE4E-5B13E1C7C70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CDB2561A-6DF1-4807-8864-C45350FF181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BE2FA164-D990-4CC0-AC97-42021A2B473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5C589A1C-DD9B-4719-8AFF-9E2957269EB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A3785B6C-6D5C-45ED-B1B2-3A71522D3D4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8EE76A56-372D-460B-80F1-E850DF307333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3D3C051F-1B8B-4E2F-B567-03EFC7633C03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81F81FB2-2B5E-4CDE-AE45-CAB4DE210514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FE2B9BCF-5DB1-46FF-A744-26B45930170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D24B1255-B2DA-4B37-B2DB-44BC7DF2143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7DB9439-6670-494E-9CD4-830082FF63A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33CA7A17-1873-4A33-BF2B-608735E84C7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6832DAC6-3718-438F-98A3-E84C87C76B7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E79B99AE-4453-4248-B067-1F489C6DD14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5C43ED55-5E08-4BE9-8AC7-D49D2A3CFAA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D5F17EB0-9226-40DA-8BBC-BB739320956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7BEDDC41-2691-4491-A4C0-D4DA6A28920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1090CC12-D974-4468-ACE4-B07DC678DC6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AACFE97B-0520-4506-92EB-56A0E98676A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8AFD6031-51B4-463F-81E0-8F26CDA7AA4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EAFFD456-6E9C-45B7-AD55-91589182EE8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3F7AFA4B-F2AB-4252-BF08-9F17A7636C9D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71735EA2-BCA5-449D-A8CF-37C07ED35AB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BBBC68EB-B856-4425-BADF-421C83AD3EC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39FCFDA6-1D8C-4851-B57F-27B22942707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A6DB8C97-A4EF-471F-A58E-2C6FD83A6CD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F968D044-56B1-4EB2-884E-A8448DA8337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4C302E5E-4916-47A5-8E5A-9FD4C298CBF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5E034403-01E0-482F-9103-FC71170BFD8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C398A8D3-DA4D-40C6-B39A-5D9A3E81662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BCE504D9-3A03-4B54-893F-63A8F96943A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16BA091D-32C5-4FB7-85EF-CEBCB2A3236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C0651E76-0DEE-46EF-8658-46DA0BE1D1C4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14AF6F5-B994-4B82-9A1B-95D6143614C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28E0210-131A-415C-9A17-457E5561D323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ECF9E743-4163-400F-84EE-45933585641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5CBCD133-BBC3-4558-8D8C-202FD1FDDFD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745DEF3A-732F-46A5-AE6B-C7118481FAA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8B260145-22D9-416D-B053-873D9EE4FBF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1195D52-FD51-4DE6-B69B-79BD703330B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626C6D8E-E26A-45C9-BD21-D2CF327E932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B42F914A-BFAE-47C5-BB25-6B6ACE2B7FC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95C36F8A-C8D6-406E-8AFD-FE0A298B15E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3DBB2DB8-87B7-4D0F-886C-CDEDD78C328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E0E3F87C-44C3-46D2-A423-A3A67276845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F3E3838E-4709-45C9-8C64-1B19E21A999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3B44611B-290C-4D30-B118-188FF356DA4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B9F4CE92-F004-44A5-9EB3-366FE9EBA293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23A9D249-A808-4D48-9A8F-A4231200058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F81A3310-9D68-4521-915F-2114422625E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3DB61874-B2E5-4AF3-95D9-E4348BF01C9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F5F11AE6-1E95-4CFA-B4DA-81335D48539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5D384BC4-534A-49B0-AAAA-88AF78B804A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48D86EFC-8080-44CF-97B1-78E0ADCB134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591B7275-D398-4DFE-9D32-250541E4A92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E901A473-2468-4B55-823F-017F53CE4476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695CF183-E90B-4540-B443-C1AE1F38CAE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7DFB9261-3A66-463F-B0F9-88CB3993971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D182EA86-41B6-48C8-BC65-E424524EC36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513000D0-7676-4F64-A45A-E46D41E6430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6712C20-DAC4-4EFC-BC83-A45EEE19EE1D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882A10A1-F5DD-427A-BFC9-D6A0A16E506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180F8ED3-2FE0-4B7E-84C5-272D2573604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809F55E4-9A04-4018-9331-C8EBCD4517B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66C2BCBC-E330-4F3D-BE11-6FD7DFF1161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B4FC05E1-40C3-4D47-9D5D-6289BE6FA14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4535DE4D-C117-40D9-A3E4-235E933ECB14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3ADF4A8E-C3C8-403C-A761-B76FDBA8009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6B722004-F466-4EBD-A6DD-D77B722B789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380BC948-B918-46AE-85D1-DA9513CCED3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533CC72D-DDA3-4AF3-A507-5ACD5ACEF653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3992E2E2-98A1-45A7-88A6-F09DD293EC2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8E94C882-D5A9-4046-BFA1-46493A1E3D7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CFFEF0D7-047D-4FEF-9506-632217D0622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E31E4F15-5A19-463C-BD02-CC513F692E3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45A4B93F-969F-4963-B310-94D9898F462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8BA30DD8-F908-4034-A2FC-977ABFFCFEF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DC9108B5-7314-4C5B-928A-01A4892BE33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3C80D90B-2A60-4366-9CFB-2ACCAEFF5584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AD78ADF6-C5D2-4081-8BB2-EDFD6CEB2B2D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E86D8BC4-04A6-41CB-B58D-45469E1E5B5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B3727D46-16B3-417D-95AA-C0EB0E4D8C0D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1C44FA26-F94E-407A-8A3C-0B557C4FDB8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662A77D9-B7FC-42A3-A130-D0CD8853369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637FD54A-73F4-4C13-BECF-F3C2DE25A956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4C956ED8-3C04-43A6-A3AF-4CBFBD0FBFE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1E095CA0-DEC1-4431-B60B-FE48227AA90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286A7A99-7EB9-4598-A045-E4909675067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DAD499B8-0683-474E-ADFA-7C3664889D9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76436366-8659-4AB1-9592-A8D57210348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8C0F035-AE32-43A6-9CF6-93F8F1E2EA9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D7B89476-11C9-4EEF-AF50-3F7DD379EC5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631155D9-CA3C-4030-8543-960C648841F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6D167210-5024-4CCB-8710-4FB2E2F85F6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B029B46C-DA07-48EE-B6F7-DF18E8B5F44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A1A5E521-6347-49A8-9EAC-42D7050765F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15FB6D3A-7C50-4555-AD70-FAC801AB767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64D68D64-421B-429F-9871-C56E968C7DE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6E9714FA-F947-4041-8080-C9A74C84A5E3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AF03A722-A2B4-4C8D-9D95-D54E6B21E16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CEF8EFE8-47F6-4FBD-9EEF-04AB1DB1AC9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7D43BC7B-3BA0-44D9-B497-4CC9F95477D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B592B06-51AC-4BF9-9F32-B05BB4384FD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F9A91022-5CE8-4D1E-94CB-D5D3C48B4A0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F48AB9E4-4267-4EDF-B0D4-88062367286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477C0CBA-BA2B-4824-9ED0-516AFAE1649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16DBB9CC-69F2-444A-9DC2-B350DFF79D0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519A0E21-A5AD-4E07-B9F0-2669F6EA2B8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AF336DB3-D73D-453E-9C98-A65949FD9CC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EF1B4FD5-039A-474E-8956-8F560290052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27F1D8F3-4ECA-4846-8AC7-28508E71A6E6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26645723-4642-47D5-8374-9147B5721DD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EB7161AD-2479-42ED-A7B2-F1AA030D2CBD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72E611D5-8300-4A12-928C-88C17BD8721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9C89C466-2E6C-4842-A0F2-F1451748910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B4240A15-81B9-445D-9069-D19E88A63EDD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580925D9-C5E8-4E30-9F8F-F3E20F54442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8AD3B3E2-7799-475B-8C88-1BCF5663715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8112A0CC-D126-4DF0-B0EB-F277DA4D9B9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2F0D9500-A2EE-4F45-A379-81A5CA498DC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3CA8DB01-6B6D-4A30-B461-8AFC43BB8F4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9FDFD329-4601-4FF6-AEE8-AA8D8097C32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D5B73D30-2340-4A81-9729-A77A90C27E3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AD771E47-6B12-4B0C-846B-BB849B9CD32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36085D8C-C500-4BE0-B7CD-86E67BA9CBE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D4CCE30D-94AF-42C8-9CCA-09A46B47E88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157B3C16-2694-4A42-931F-81F881B7CBE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21C3D649-A1B1-49A6-AA9D-E1CA750FC55D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6ACC0736-E2E8-46B6-BB96-3640DC56EB7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EA32D98-B56E-4895-A0BE-E9B1043C9F9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B1154142-8A25-40C1-820B-80D1D6268DC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6EC28A20-4D89-43DF-8964-B73824F6B45B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3D0689E9-DCDE-47DD-B639-781E7EDA4696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CE0AD311-F816-4072-A32F-6E56DA8291F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34E8B872-3E1D-4CAF-9495-8EFEEC69720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26A1F107-0E4A-48AC-88E4-A96F200E7444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D84C9BB6-4B42-49DB-8036-C808978795BA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C98337B3-5DF2-46D2-ACD5-8B996A6353A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F05FDB7F-4412-467A-985D-0C70C0FA651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B369BBB6-A4E8-433C-B5D0-A566F2E50667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71C25B12-A81E-4F30-B0DD-E22A45CDF0E8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91688845-B0B3-492B-BAB0-BC48B4999CB6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CAE81618-C9EE-4C61-94BB-425461E9C182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4B3F93F2-AE5A-4191-B9C7-61AC06ACB1DD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289E56B0-F6F9-4B53-AECB-94A47F48B865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E650927-4A1A-49CE-938F-27474FCBBC63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532DC27-FAAC-438F-88D3-CAFCD36EFB51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B8BC3289-1D80-4049-B4E9-DD05E1006AE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CDB7CF5-2143-4E1B-8C5C-7DA9AADE2A10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371D2632-B578-479F-8952-481572B9FBCD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D65DE283-F47B-4B3B-85BA-D5058043AB5E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FC16B82-FFC7-4236-B550-626DE00EF4DC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A274BA46-59BD-49FC-9989-E02E697491F9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7BD52539-FCAC-4E48-8F02-4B4E8F91A076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355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47288C90-4025-40FA-8368-E9CF1F3DC1EF}"/>
            </a:ext>
          </a:extLst>
        </xdr:cNvPr>
        <xdr:cNvSpPr txBox="1">
          <a:spLocks noChangeArrowheads="1"/>
        </xdr:cNvSpPr>
      </xdr:nvSpPr>
      <xdr:spPr bwMode="auto">
        <a:xfrm>
          <a:off x="2419350" y="814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59466B59-0C9A-4840-A2BF-852DD3FA93D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CBF365F8-A924-4DF7-B3AA-82DC0F63D93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D8442EFE-E2E5-4493-BF9B-9FB4155B79E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6A2F25B3-D192-444F-8FD1-2D26E246AE45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59A9E9AD-31D9-43A6-8B38-7C440F25A6F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7FAD7344-25CD-4999-A614-4840D06B1D60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24470260-764C-45E4-B5D8-56F6349B50F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C0A1CEAF-E8EC-4F6A-8FC9-6AC03F346122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E22FC6E3-4335-41F7-9D38-205140BA672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DAE8435F-37D7-43CD-81EA-B34C7067DC0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5AB755EE-2119-4B13-9683-7AA9DBC0C8E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DB9610D8-D679-465F-9F92-FFDA00EF1FC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3EE33188-B568-4595-8148-7382604A159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723E095-5F22-43F2-A931-085339D0A321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EE0ACDB-027B-4C4A-AD83-4C86F6E6417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5C992B41-6F4E-43EA-B094-91A5BECB69F0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91E9EC5B-85D6-493E-B66F-EB8CDE46F39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DE8A280B-BA72-49D1-A3A9-EAADE1F2531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86560288-78CB-4D34-BB82-A46D72D1AAD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5282277-E57D-47E5-ADFC-30DC29B54EA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BC3DBC9E-A782-4075-ACFF-2BD512B572A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3DBFEDFD-E644-493C-88DF-1E7391EEA0E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24645FE7-93AB-40C0-AB5E-25C55196461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B675B749-2B0B-4122-85E2-30594DE1BF82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96D99C5E-26B7-469F-8693-C74DEDAD9BD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5EFC8697-C432-4A83-8D0D-EC9CD152FD2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B5CE99F4-29B4-495C-8F04-4F9FD8C6771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D0851449-4B45-4293-9163-16EC66F24AF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F509984D-434C-4761-8E52-10493D86308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1C7CC48A-3A68-44DB-99FF-97C4B10621E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988BF6FA-9945-45F8-8911-DC82D1682DC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D4358BEC-9C2C-4A8B-AD9F-93ED71F9C30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37D7F36C-53ED-478D-A730-16E9285E8D8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19540F0E-1532-4CFE-A920-78A50D634B6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4BCC96F8-B243-4316-A00E-DACE2C33CF51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DA7D9B85-118B-4AAB-A325-A8108E77EE75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3E44BDD3-F213-45A7-AEBA-ACF80631F1A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7CBF6B33-8A87-4275-B569-8E3AEA7DB1C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108CE55A-0850-4E4C-93BC-4E4660D0B19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1E8AABFB-F4EC-4E26-BECE-D73681F51312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D0464B5F-0C45-4216-AF49-553D79E59BD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F8D8CCA-2794-4AE8-BA4A-341FCB53933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B54AA957-0095-42FC-A329-DCEA7C32F867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DD9D9536-75CA-44A9-8CAD-EE11216AA20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27E150E6-6A3D-4B09-A783-11F8BE1003C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9C3C3AAD-305F-494D-8379-1487572F63E0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1BDD65A-746F-47BF-AF0B-566C4846C1D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2A89FE0D-EA29-40D8-B3CB-698081FEF60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442E91FA-BA0C-4311-BC3C-455B758C774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5C5AFB7F-26CD-4863-BE95-214E16B4A08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DEBF96F6-028B-4E34-AF5F-B18D46C32C5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3060C53-8BAB-4A6E-9142-8E225928E1A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C08F298-741E-47B3-B068-EF17B1086E51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94CB1AB9-4503-447C-81CA-8A8864624545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3D9DCA04-F567-4B68-9A72-222445C680C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5C2E8BC8-B168-439D-B090-942DE6C8D1A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EAAE7F4D-9682-49D2-B43D-2E9E2D1DFCE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7F0EB505-1203-4CC5-AA1A-294F5384DE5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6725DEFB-16B9-4D7A-9612-DFA02EC9C32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684362A6-94B2-49A5-85C3-5C781B633BA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89A34138-9917-4EE3-A410-5AE09A1391D5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A21147FF-6342-4C02-90F0-052FB563CCE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BA8C40F5-CF6F-4DAB-9DCE-2D4C4DE753B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4A363258-C34F-4B89-B2AF-E2929461AAB2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8945A7CE-3D95-4136-A297-CECA9E2391A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72E7E75D-9C6C-4E05-94C3-BE5DB7A0A3E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9519855D-D749-49B6-B743-0D2FC385332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32DA824B-AF00-4535-A405-D4BC1A754CE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3217F196-6369-41B4-9C68-AFFB7935901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209F6DB6-B7B4-4C3A-823A-5932947655A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20286155-038E-4F7E-8C0A-767C7EBFD0C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1066A0B6-A22F-4D91-8572-6247BEB06AF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BA1FAE96-FC64-4ADB-9BCA-4FA1A95E73B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F5E26CCF-90D4-4AB3-9F6E-8BF4D02B66B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A6D4491D-E036-466D-953A-42C33A190C3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27597DDD-25D8-4A71-97F4-F06BEC8FC2B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1935409F-BF11-469B-9C5F-F9B6530FA83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984399F4-7537-4C3D-956A-E151B8CC7D4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162EEFB6-872D-4868-BE4D-B04CE1A202C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50AEE8A-0B09-4AC4-952C-0524320858C7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23C16DF6-CACD-4F10-AA9C-5FF767B7460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328A6CB9-0615-4492-8761-B91639464C2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19A3CD08-CFF1-4C81-AB8C-AA976AEB8D1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45D943B0-1BC5-4B60-8B33-2BEFB0FEDCE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5DBDD774-76A3-4592-B7E5-5B39EF1FA9A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76DCF7FE-CB46-4279-99B3-BE3448DD452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31DDE2C8-8953-4C5E-9E0F-76C808EEF9B1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6827EF29-7E4C-4191-80CD-D9F4BC9E298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4E4E786-C3C5-4C8E-9F1F-43F1C96F9F5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663B93E8-2F5A-4153-ACCE-521A1832C9E7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48390F46-DB66-49D3-8189-4A9372F9029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13E350D9-0D58-4210-883F-82BE3CF047E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A1E9EE41-390D-4F06-8F02-2C8F1C79FAB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57C1B4D-219E-4006-8460-C5D42602C7B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CD5F76B3-43CD-480E-BBA4-CB66081B3CC0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C5F93EB4-0359-434D-AF43-C600D074C30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3FBA45CF-82A8-463B-A3F5-8A0C6BA6CF00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F9BE76A9-1191-40E8-955C-42A09FEAD507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CDC1DB46-B03A-47AB-8018-C0B71985832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B09BE899-BDF9-4396-9B72-C1B5F5A454D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A8A317-80ED-4256-A304-08D626C87BC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A2C63F42-D4B6-4411-BF7F-CA5C96C9076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3E2FA87E-CA3D-4E2E-A943-A6B106FC2D1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B980109C-54DA-4443-BC50-50832CD04132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B22DB4D1-F4DA-499D-B646-D337C917310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F30A78F2-4F3C-4AAF-861B-620CD6A105C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436B128D-B09E-42D4-A96E-C4C6E8FA430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C040B46D-F7FD-4344-81D9-564436877901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A958633A-BDE6-4E77-9357-FB37F7F5492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9048880-62BA-4449-8D53-FC090160C53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11ED98C1-102A-4FFC-B06E-29E6FE6A3861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06FF4F3-F98E-423E-99E0-28285445101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2BEBD032-3BF9-45CC-85AC-497149695A9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55C90290-A8FD-4C68-80C9-F4DADF6C17C1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78D0951E-F10F-4F34-BD07-503D7DC13692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AE1D8227-72E8-453B-A19C-327397490FC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EF56DEB-6CBD-4CAB-B1A0-0FBFA9EA438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40310BF1-4A0C-4672-AE11-608BBC1013C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E8C98161-48FB-43AD-861C-6F8E30C9BD9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4016412A-AB83-4DD1-B954-0973AD1CCDF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C7261771-8B72-4349-8B0F-6E56003B76D7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10148309-C045-4922-8A41-837B2BBC4F6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79064F3D-F58D-4444-8E49-6C9EB809617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69B49978-9116-45EB-93DA-1F10A4391E2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8532824-6B0A-4C01-81D9-A1997DB761F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84136F5C-35A0-4B0C-BE1D-A6818EB59FE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C1617852-40DD-42CC-858A-B04D30569955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3DE3D181-4585-4A12-84AD-52C1725F073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E75BB41F-0052-4497-A6BC-72350DE4178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E7A77381-DC2D-43C6-BFC2-946E3C27D0C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46F38C-6009-464B-9ECB-A2920636602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5EFE56D1-CD0C-4FBE-8F7F-243EC382A495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C4BBC91-62B7-4BE1-A82B-B8F8D647DA6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7FC1CBF-C462-42DB-8659-5C8BB084339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F3EFF70F-22DE-481D-A462-3785888DAB6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39A8754C-88A4-43AC-A320-68D4AD82260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C3092A4A-9F35-4B8D-84B9-A1C40E1EC65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F30BAC29-3B46-4C84-BAEA-C1B1A9E0D4B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3A8A913A-E220-4295-8859-B145C6F87F1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96FC2031-5F3C-4B3C-93C3-4B7798971E6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E2F98013-AFD3-400B-964B-932522BC210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3F9EB365-8E94-4430-8118-315EA510977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E60DE363-1431-4CA4-9CC2-7FC5834DB36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30AB5623-78FB-4FF8-B07E-52067D9FD53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C713A48E-7544-42E2-8680-8717A34FEE1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E5470F0F-789F-4609-AC8A-15899F852957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2DD39FD-8B7F-4574-A63A-4B7390F118F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8DB7BE9C-A292-4F4D-B0AC-2B528FC55192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84A83DA9-742C-4ABA-9BC2-0FF1D840186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ECD49E56-DE97-4433-8F71-43757260B062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ACD42F02-58CA-44AE-A284-07E5EC39CB6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A3D426AB-AD4A-44C1-B407-2B55537BD58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6307F465-4A11-442C-830C-0CB11D2374D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973EC9D6-1BEB-4D41-9FD7-12E55A91871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F2613BCE-AB8D-40B0-A19E-395C24B8728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221ADA87-C4F6-4FA4-B0C7-6BCCD89E414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79C16952-7DA2-45A8-9461-4E82E00062D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C5E62C33-1CF7-4D85-9E91-F2F6DB037AA8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E1D61FA-26D9-4AB7-A287-749AB958176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408E73CA-AFC0-452D-97FE-3597F8C5A1E5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3382DAD1-A4B2-4F28-981E-4C6BA25FABB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C4C1F2A2-A293-4AC7-BED2-60145CF8582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53D2D570-6A0B-4FC4-85FA-AD7FF0A286CC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1BC67DD1-53BD-46A6-836C-DAE50D508F8E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13DD6DC2-90D1-46FE-9228-BD1109946D8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8728B5D-DA1B-48AA-BD20-65B9F69373B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B220FA57-BC22-4CB4-BC05-AEB19E7488E7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A3CFBC86-F30A-410A-AE4D-BC26C8CAFD3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B2C83C32-98EB-4E81-8700-886D00C2651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BFA4D415-B797-4B7A-9A35-3CEBE269FFFA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9844CDD-79D1-4BAB-928F-B92A439C0F76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E12072A6-F41F-4291-BF63-080C77F8CB33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98B886F0-EC39-4618-969C-A5F49DF417F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C6D4964B-03F9-4164-A681-6079BC50320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7B087ED6-DC80-49AF-BE83-9D17F7B68D20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76E888D6-0C9C-422B-A965-0BA2136BAAF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51CE58D9-C986-45D1-AE2E-154413B15F8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C8544CBE-CEFD-47B9-BFA1-EE50B4F72C10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1D8FDCAE-2B1E-4E65-BFD2-7F4155F5EB2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B47A4EE0-2609-41F4-B9B1-F6225F48047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A15C61E0-42B1-49D4-A4CE-6A4DA18609D0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AB017FF9-2B76-4734-B6A3-609571766D8F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D0E4EB85-767A-476A-BC1B-EDE19132BBD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449F893A-4C5C-441E-8E25-BDA124BCAFB5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6EE8194C-676D-41BE-B842-24CA9756C442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2BD6EBDC-19C1-4B61-B3B0-C4D28082712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FA331C57-42B5-410F-BF64-114C4CBC1C0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2DA531C4-4439-46F6-BD30-A8B2DC8A3F94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6550B18D-3A97-4FCF-BC00-0720858147B9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6CF42433-1116-4053-80B5-6D85C6C7F43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34D54D14-C861-4426-8B59-54BCF8EDE72B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354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BCE177EE-9C4A-4030-8559-90D83C6B3C8D}"/>
            </a:ext>
          </a:extLst>
        </xdr:cNvPr>
        <xdr:cNvSpPr txBox="1">
          <a:spLocks noChangeArrowheads="1"/>
        </xdr:cNvSpPr>
      </xdr:nvSpPr>
      <xdr:spPr bwMode="auto">
        <a:xfrm>
          <a:off x="2419350" y="81067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391</xdr:row>
      <xdr:rowOff>0</xdr:rowOff>
    </xdr:from>
    <xdr:ext cx="0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695575" y="638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02"/>
  <sheetViews>
    <sheetView tabSelected="1" zoomScaleNormal="100" zoomScaleSheetLayoutView="90" workbookViewId="0">
      <selection activeCell="N1" sqref="N1"/>
    </sheetView>
  </sheetViews>
  <sheetFormatPr defaultColWidth="9.140625" defaultRowHeight="15.75" x14ac:dyDescent="0.3"/>
  <cols>
    <col min="1" max="1" width="3.7109375" style="4" customWidth="1"/>
    <col min="2" max="2" width="10.42578125" style="4" customWidth="1"/>
    <col min="3" max="3" width="50.7109375" style="10" customWidth="1"/>
    <col min="4" max="4" width="10.85546875" style="10" customWidth="1"/>
    <col min="5" max="5" width="10.42578125" style="11" customWidth="1"/>
    <col min="6" max="6" width="12.140625" style="13" customWidth="1"/>
    <col min="7" max="7" width="12.28515625" style="13" customWidth="1"/>
    <col min="8" max="8" width="12" style="13" customWidth="1"/>
    <col min="9" max="9" width="7.85546875" style="13" customWidth="1"/>
    <col min="10" max="10" width="12" style="13" customWidth="1"/>
    <col min="11" max="11" width="8.5703125" style="13" customWidth="1"/>
    <col min="12" max="12" width="12.28515625" style="13" customWidth="1"/>
    <col min="13" max="13" width="13.28515625" style="13" customWidth="1"/>
    <col min="14" max="14" width="14.85546875" style="4" customWidth="1"/>
    <col min="15" max="16384" width="9.140625" style="4"/>
  </cols>
  <sheetData>
    <row r="1" spans="1:18" s="2" customFormat="1" ht="34.5" customHeight="1" x14ac:dyDescent="0.35">
      <c r="A1" s="409" t="s">
        <v>119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1"/>
      <c r="O1" s="1"/>
      <c r="P1" s="1"/>
      <c r="Q1" s="1"/>
      <c r="R1" s="1"/>
    </row>
    <row r="2" spans="1:18" ht="18" x14ac:dyDescent="0.25">
      <c r="A2" s="410" t="s">
        <v>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3"/>
      <c r="O2" s="3"/>
      <c r="P2" s="3"/>
      <c r="Q2" s="3"/>
      <c r="R2" s="3"/>
    </row>
    <row r="3" spans="1:18" x14ac:dyDescent="0.3">
      <c r="A3" s="5"/>
      <c r="B3" s="5"/>
      <c r="C3" s="6"/>
      <c r="D3" s="7"/>
      <c r="E3" s="8"/>
      <c r="F3" s="9"/>
      <c r="G3" s="9"/>
      <c r="H3" s="9"/>
      <c r="I3" s="9"/>
      <c r="J3" s="9"/>
      <c r="K3" s="9"/>
      <c r="L3" s="9"/>
      <c r="M3" s="9"/>
    </row>
    <row r="4" spans="1:18" x14ac:dyDescent="0.3">
      <c r="A4" s="411"/>
      <c r="B4" s="411"/>
      <c r="C4" s="411"/>
      <c r="F4" s="12"/>
      <c r="G4" s="12"/>
      <c r="H4" s="12"/>
      <c r="I4" s="12"/>
      <c r="J4" s="12"/>
      <c r="K4" s="412"/>
      <c r="L4" s="412"/>
      <c r="M4" s="9"/>
    </row>
    <row r="5" spans="1:18" x14ac:dyDescent="0.3">
      <c r="A5" s="411"/>
      <c r="B5" s="411"/>
      <c r="C5" s="411"/>
      <c r="F5" s="12"/>
      <c r="G5" s="12"/>
      <c r="H5" s="12"/>
      <c r="K5" s="413"/>
      <c r="L5" s="413"/>
      <c r="M5" s="9"/>
    </row>
    <row r="6" spans="1:18" s="2" customFormat="1" ht="9" customHeight="1" x14ac:dyDescent="0.3">
      <c r="A6" s="5"/>
      <c r="B6" s="5"/>
      <c r="C6" s="6"/>
      <c r="D6" s="7"/>
      <c r="E6" s="8"/>
      <c r="F6" s="9"/>
      <c r="G6" s="9"/>
      <c r="H6" s="9"/>
      <c r="I6" s="9"/>
      <c r="J6" s="9"/>
      <c r="K6" s="9"/>
      <c r="L6" s="9"/>
      <c r="M6" s="9"/>
    </row>
    <row r="7" spans="1:18" s="2" customFormat="1" ht="31.5" customHeight="1" x14ac:dyDescent="0.25">
      <c r="A7" s="364" t="s">
        <v>1</v>
      </c>
      <c r="B7" s="389" t="s">
        <v>2</v>
      </c>
      <c r="C7" s="407" t="s">
        <v>3</v>
      </c>
      <c r="D7" s="407" t="s">
        <v>4</v>
      </c>
      <c r="E7" s="408" t="s">
        <v>121</v>
      </c>
      <c r="F7" s="402" t="s">
        <v>120</v>
      </c>
      <c r="G7" s="402" t="s">
        <v>5</v>
      </c>
      <c r="H7" s="402"/>
      <c r="I7" s="402" t="s">
        <v>6</v>
      </c>
      <c r="J7" s="402"/>
      <c r="K7" s="402" t="s">
        <v>7</v>
      </c>
      <c r="L7" s="402"/>
      <c r="M7" s="402" t="s">
        <v>8</v>
      </c>
    </row>
    <row r="8" spans="1:18" s="2" customFormat="1" ht="30" x14ac:dyDescent="0.25">
      <c r="A8" s="364"/>
      <c r="B8" s="389"/>
      <c r="C8" s="407"/>
      <c r="D8" s="407"/>
      <c r="E8" s="408"/>
      <c r="F8" s="402"/>
      <c r="G8" s="342" t="s">
        <v>9</v>
      </c>
      <c r="H8" s="342" t="s">
        <v>8</v>
      </c>
      <c r="I8" s="342" t="s">
        <v>9</v>
      </c>
      <c r="J8" s="342" t="s">
        <v>8</v>
      </c>
      <c r="K8" s="342" t="s">
        <v>9</v>
      </c>
      <c r="L8" s="342" t="s">
        <v>8</v>
      </c>
      <c r="M8" s="402"/>
    </row>
    <row r="9" spans="1:18" s="18" customFormat="1" ht="15" x14ac:dyDescent="0.25">
      <c r="A9" s="14">
        <v>1</v>
      </c>
      <c r="B9" s="15">
        <v>2</v>
      </c>
      <c r="C9" s="16">
        <v>3</v>
      </c>
      <c r="D9" s="16">
        <v>4</v>
      </c>
      <c r="E9" s="17">
        <v>5</v>
      </c>
      <c r="F9" s="342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</row>
    <row r="10" spans="1:18" s="2" customFormat="1" thickBot="1" x14ac:dyDescent="0.3">
      <c r="A10" s="347"/>
      <c r="B10" s="340"/>
      <c r="C10" s="153"/>
      <c r="D10" s="153"/>
      <c r="E10" s="167"/>
      <c r="F10" s="154"/>
      <c r="G10" s="154"/>
      <c r="H10" s="154"/>
      <c r="I10" s="154"/>
      <c r="J10" s="154"/>
      <c r="K10" s="154"/>
      <c r="L10" s="154"/>
      <c r="M10" s="154"/>
    </row>
    <row r="11" spans="1:18" s="24" customFormat="1" thickTop="1" x14ac:dyDescent="0.25">
      <c r="A11" s="132"/>
      <c r="B11" s="162"/>
      <c r="C11" s="163" t="s">
        <v>10</v>
      </c>
      <c r="D11" s="164"/>
      <c r="E11" s="165"/>
      <c r="F11" s="166"/>
      <c r="G11" s="166"/>
      <c r="H11" s="166"/>
      <c r="I11" s="166"/>
      <c r="J11" s="166"/>
      <c r="K11" s="166"/>
      <c r="L11" s="166"/>
      <c r="M11" s="166"/>
    </row>
    <row r="12" spans="1:18" s="24" customFormat="1" ht="15" x14ac:dyDescent="0.25">
      <c r="A12" s="403">
        <v>1</v>
      </c>
      <c r="B12" s="405"/>
      <c r="C12" s="25" t="s">
        <v>11</v>
      </c>
      <c r="D12" s="345" t="s">
        <v>12</v>
      </c>
      <c r="E12" s="26"/>
      <c r="F12" s="134">
        <v>2.1949999999999998</v>
      </c>
      <c r="G12" s="26"/>
      <c r="H12" s="342"/>
      <c r="I12" s="26"/>
      <c r="J12" s="27"/>
      <c r="K12" s="26"/>
      <c r="L12" s="342"/>
      <c r="M12" s="342"/>
    </row>
    <row r="13" spans="1:18" s="24" customFormat="1" thickBot="1" x14ac:dyDescent="0.3">
      <c r="A13" s="404"/>
      <c r="B13" s="406"/>
      <c r="C13" s="139" t="s">
        <v>13</v>
      </c>
      <c r="D13" s="172" t="s">
        <v>14</v>
      </c>
      <c r="E13" s="141">
        <v>194</v>
      </c>
      <c r="F13" s="154">
        <f>F12*E13</f>
        <v>425.83</v>
      </c>
      <c r="G13" s="142"/>
      <c r="H13" s="142"/>
      <c r="I13" s="142"/>
      <c r="J13" s="173"/>
      <c r="K13" s="142"/>
      <c r="L13" s="142"/>
      <c r="M13" s="142"/>
    </row>
    <row r="14" spans="1:18" s="24" customFormat="1" ht="16.5" thickTop="1" thickBot="1" x14ac:dyDescent="0.3">
      <c r="A14" s="343"/>
      <c r="B14" s="168"/>
      <c r="C14" s="155" t="s">
        <v>15</v>
      </c>
      <c r="D14" s="169"/>
      <c r="E14" s="170"/>
      <c r="F14" s="171"/>
      <c r="G14" s="171"/>
      <c r="H14" s="171"/>
      <c r="I14" s="171"/>
      <c r="J14" s="171"/>
      <c r="K14" s="171"/>
      <c r="L14" s="171"/>
      <c r="M14" s="171"/>
    </row>
    <row r="15" spans="1:18" s="24" customFormat="1" ht="19.5" customHeight="1" thickTop="1" x14ac:dyDescent="0.25">
      <c r="A15" s="19"/>
      <c r="B15" s="30"/>
      <c r="C15" s="20" t="s">
        <v>16</v>
      </c>
      <c r="D15" s="21"/>
      <c r="E15" s="22"/>
      <c r="F15" s="23"/>
      <c r="G15" s="23"/>
      <c r="H15" s="23"/>
      <c r="I15" s="23"/>
      <c r="J15" s="23"/>
      <c r="K15" s="23"/>
      <c r="L15" s="23"/>
      <c r="M15" s="23"/>
    </row>
    <row r="16" spans="1:18" s="24" customFormat="1" ht="33" customHeight="1" x14ac:dyDescent="0.25">
      <c r="A16" s="96">
        <v>1</v>
      </c>
      <c r="B16" s="97"/>
      <c r="C16" s="31" t="s">
        <v>100</v>
      </c>
      <c r="D16" s="98" t="s">
        <v>97</v>
      </c>
      <c r="E16" s="99"/>
      <c r="F16" s="100">
        <v>4635.01</v>
      </c>
      <c r="G16" s="100"/>
      <c r="H16" s="99"/>
      <c r="I16" s="101"/>
      <c r="J16" s="99"/>
      <c r="K16" s="100"/>
      <c r="L16" s="99"/>
      <c r="M16" s="99"/>
    </row>
    <row r="17" spans="1:13" s="24" customFormat="1" ht="19.5" customHeight="1" x14ac:dyDescent="0.25">
      <c r="A17" s="102"/>
      <c r="B17" s="97"/>
      <c r="C17" s="103"/>
      <c r="D17" s="102" t="s">
        <v>98</v>
      </c>
      <c r="E17" s="104"/>
      <c r="F17" s="135">
        <f>F16/1000</f>
        <v>4.6350100000000003</v>
      </c>
      <c r="G17" s="106"/>
      <c r="H17" s="104"/>
      <c r="I17" s="106"/>
      <c r="J17" s="104"/>
      <c r="K17" s="106"/>
      <c r="L17" s="104"/>
      <c r="M17" s="104"/>
    </row>
    <row r="18" spans="1:13" s="24" customFormat="1" ht="19.5" customHeight="1" thickBot="1" x14ac:dyDescent="0.3">
      <c r="A18" s="181"/>
      <c r="B18" s="182"/>
      <c r="C18" s="183" t="s">
        <v>104</v>
      </c>
      <c r="D18" s="181" t="s">
        <v>99</v>
      </c>
      <c r="E18" s="184">
        <f>(8.9+6.28*2)/1000</f>
        <v>2.146E-2</v>
      </c>
      <c r="F18" s="185">
        <f>F16*E18</f>
        <v>99.467314600000009</v>
      </c>
      <c r="G18" s="142"/>
      <c r="H18" s="142"/>
      <c r="I18" s="142"/>
      <c r="J18" s="142"/>
      <c r="K18" s="142"/>
      <c r="L18" s="142"/>
      <c r="M18" s="142"/>
    </row>
    <row r="19" spans="1:13" s="24" customFormat="1" ht="30.75" customHeight="1" thickTop="1" x14ac:dyDescent="0.25">
      <c r="A19" s="174">
        <v>2</v>
      </c>
      <c r="B19" s="175"/>
      <c r="C19" s="176" t="s">
        <v>101</v>
      </c>
      <c r="D19" s="177" t="s">
        <v>97</v>
      </c>
      <c r="E19" s="178"/>
      <c r="F19" s="179">
        <f>F16-17.45</f>
        <v>4617.5600000000004</v>
      </c>
      <c r="G19" s="137"/>
      <c r="H19" s="137"/>
      <c r="I19" s="180"/>
      <c r="J19" s="137"/>
      <c r="K19" s="137"/>
      <c r="L19" s="137"/>
      <c r="M19" s="137"/>
    </row>
    <row r="20" spans="1:13" s="24" customFormat="1" ht="19.5" customHeight="1" x14ac:dyDescent="0.25">
      <c r="A20" s="102"/>
      <c r="B20" s="97"/>
      <c r="C20" s="103"/>
      <c r="D20" s="102" t="s">
        <v>98</v>
      </c>
      <c r="E20" s="104"/>
      <c r="F20" s="105">
        <f>F19/1000</f>
        <v>4.6175600000000001</v>
      </c>
      <c r="G20" s="26"/>
      <c r="H20" s="26"/>
      <c r="I20" s="26"/>
      <c r="J20" s="26"/>
      <c r="K20" s="26"/>
      <c r="L20" s="26"/>
      <c r="M20" s="26"/>
    </row>
    <row r="21" spans="1:13" s="24" customFormat="1" ht="19.5" customHeight="1" x14ac:dyDescent="0.25">
      <c r="A21" s="102"/>
      <c r="B21" s="97"/>
      <c r="C21" s="103" t="s">
        <v>13</v>
      </c>
      <c r="D21" s="102" t="s">
        <v>102</v>
      </c>
      <c r="E21" s="104">
        <f>13.2</f>
        <v>13.2</v>
      </c>
      <c r="F21" s="104">
        <f>F20*E21</f>
        <v>60.951791999999998</v>
      </c>
      <c r="G21" s="26"/>
      <c r="H21" s="26"/>
      <c r="I21" s="26"/>
      <c r="J21" s="26"/>
      <c r="K21" s="26"/>
      <c r="L21" s="26"/>
      <c r="M21" s="26"/>
    </row>
    <row r="22" spans="1:13" s="24" customFormat="1" ht="19.5" customHeight="1" x14ac:dyDescent="0.25">
      <c r="A22" s="102"/>
      <c r="B22" s="97"/>
      <c r="C22" s="103" t="s">
        <v>103</v>
      </c>
      <c r="D22" s="102" t="s">
        <v>99</v>
      </c>
      <c r="E22" s="104">
        <f>29.5</f>
        <v>29.5</v>
      </c>
      <c r="F22" s="104">
        <f>F20*E22</f>
        <v>136.21802</v>
      </c>
      <c r="G22" s="26"/>
      <c r="H22" s="26"/>
      <c r="I22" s="26"/>
      <c r="J22" s="26"/>
      <c r="K22" s="26"/>
      <c r="L22" s="26"/>
      <c r="M22" s="26"/>
    </row>
    <row r="23" spans="1:13" s="24" customFormat="1" ht="19.5" customHeight="1" thickBot="1" x14ac:dyDescent="0.3">
      <c r="A23" s="181"/>
      <c r="B23" s="182"/>
      <c r="C23" s="187" t="s">
        <v>43</v>
      </c>
      <c r="D23" s="181" t="s">
        <v>22</v>
      </c>
      <c r="E23" s="185">
        <f>2.1</f>
        <v>2.1</v>
      </c>
      <c r="F23" s="185">
        <f>F20*E23</f>
        <v>9.6968760000000014</v>
      </c>
      <c r="G23" s="142"/>
      <c r="H23" s="142"/>
      <c r="I23" s="142"/>
      <c r="J23" s="142"/>
      <c r="K23" s="142"/>
      <c r="L23" s="142"/>
      <c r="M23" s="142"/>
    </row>
    <row r="24" spans="1:13" s="24" customFormat="1" ht="55.5" customHeight="1" thickTop="1" x14ac:dyDescent="0.25">
      <c r="A24" s="174">
        <v>3</v>
      </c>
      <c r="B24" s="175"/>
      <c r="C24" s="176" t="s">
        <v>122</v>
      </c>
      <c r="D24" s="177" t="s">
        <v>97</v>
      </c>
      <c r="E24" s="178"/>
      <c r="F24" s="179">
        <f>1539*0.8*0.5+13*6*0.8*0.8+10*2*1.5+8*3.3*1.5+8*2.3*1.5+20*3*2.5</f>
        <v>912.72</v>
      </c>
      <c r="G24" s="179"/>
      <c r="H24" s="178"/>
      <c r="I24" s="186"/>
      <c r="J24" s="178"/>
      <c r="K24" s="179"/>
      <c r="L24" s="178"/>
      <c r="M24" s="178"/>
    </row>
    <row r="25" spans="1:13" s="24" customFormat="1" ht="19.5" customHeight="1" x14ac:dyDescent="0.25">
      <c r="A25" s="102"/>
      <c r="B25" s="97"/>
      <c r="C25" s="103"/>
      <c r="D25" s="102" t="s">
        <v>98</v>
      </c>
      <c r="E25" s="104"/>
      <c r="F25" s="105">
        <f>F24/1000</f>
        <v>0.91271999999999998</v>
      </c>
      <c r="G25" s="106"/>
      <c r="H25" s="104"/>
      <c r="I25" s="106"/>
      <c r="J25" s="104"/>
      <c r="K25" s="106"/>
      <c r="L25" s="104"/>
      <c r="M25" s="104"/>
    </row>
    <row r="26" spans="1:13" s="24" customFormat="1" ht="19.5" customHeight="1" x14ac:dyDescent="0.25">
      <c r="A26" s="102"/>
      <c r="B26" s="97"/>
      <c r="C26" s="103" t="s">
        <v>13</v>
      </c>
      <c r="D26" s="102" t="s">
        <v>102</v>
      </c>
      <c r="E26" s="104">
        <f>13.2</f>
        <v>13.2</v>
      </c>
      <c r="F26" s="104">
        <f>F25*E26</f>
        <v>12.047903999999999</v>
      </c>
      <c r="G26" s="26"/>
      <c r="H26" s="26"/>
      <c r="I26" s="26"/>
      <c r="J26" s="26"/>
      <c r="K26" s="26"/>
      <c r="L26" s="26"/>
      <c r="M26" s="26"/>
    </row>
    <row r="27" spans="1:13" s="24" customFormat="1" ht="19.5" customHeight="1" x14ac:dyDescent="0.25">
      <c r="A27" s="102"/>
      <c r="B27" s="97"/>
      <c r="C27" s="103" t="s">
        <v>103</v>
      </c>
      <c r="D27" s="102" t="s">
        <v>99</v>
      </c>
      <c r="E27" s="104">
        <f>29.5</f>
        <v>29.5</v>
      </c>
      <c r="F27" s="104">
        <f>F25*E27</f>
        <v>26.925239999999999</v>
      </c>
      <c r="G27" s="26"/>
      <c r="H27" s="26"/>
      <c r="I27" s="26"/>
      <c r="J27" s="26"/>
      <c r="K27" s="26"/>
      <c r="L27" s="26"/>
      <c r="M27" s="26"/>
    </row>
    <row r="28" spans="1:13" s="24" customFormat="1" ht="19.5" customHeight="1" thickBot="1" x14ac:dyDescent="0.3">
      <c r="A28" s="181"/>
      <c r="B28" s="182"/>
      <c r="C28" s="187" t="s">
        <v>43</v>
      </c>
      <c r="D28" s="181" t="s">
        <v>22</v>
      </c>
      <c r="E28" s="185">
        <f>2.1</f>
        <v>2.1</v>
      </c>
      <c r="F28" s="185">
        <f>F25*E28</f>
        <v>1.916712</v>
      </c>
      <c r="G28" s="142"/>
      <c r="H28" s="142"/>
      <c r="I28" s="148"/>
      <c r="J28" s="142"/>
      <c r="K28" s="142"/>
      <c r="L28" s="142"/>
      <c r="M28" s="142"/>
    </row>
    <row r="29" spans="1:13" s="24" customFormat="1" ht="19.5" customHeight="1" thickTop="1" thickBot="1" x14ac:dyDescent="0.3">
      <c r="A29" s="189">
        <v>4</v>
      </c>
      <c r="B29" s="190"/>
      <c r="C29" s="191" t="s">
        <v>106</v>
      </c>
      <c r="D29" s="192" t="s">
        <v>105</v>
      </c>
      <c r="E29" s="193">
        <v>1.7</v>
      </c>
      <c r="F29" s="193">
        <f>(F24+F19)*E29</f>
        <v>9401.4760000000006</v>
      </c>
      <c r="G29" s="194"/>
      <c r="H29" s="194"/>
      <c r="I29" s="194"/>
      <c r="J29" s="194"/>
      <c r="K29" s="194"/>
      <c r="L29" s="194"/>
      <c r="M29" s="194"/>
    </row>
    <row r="30" spans="1:13" s="2" customFormat="1" thickTop="1" x14ac:dyDescent="0.25">
      <c r="A30" s="393">
        <v>5</v>
      </c>
      <c r="B30" s="380"/>
      <c r="C30" s="198" t="s">
        <v>23</v>
      </c>
      <c r="D30" s="199" t="s">
        <v>24</v>
      </c>
      <c r="E30" s="200"/>
      <c r="F30" s="201">
        <f>F24*0.25*0.07</f>
        <v>15.972600000000002</v>
      </c>
      <c r="G30" s="202"/>
      <c r="H30" s="202"/>
      <c r="I30" s="202"/>
      <c r="J30" s="202"/>
      <c r="K30" s="202"/>
      <c r="L30" s="202"/>
      <c r="M30" s="202"/>
    </row>
    <row r="31" spans="1:13" s="2" customFormat="1" ht="13.5" customHeight="1" thickBot="1" x14ac:dyDescent="0.3">
      <c r="A31" s="394"/>
      <c r="B31" s="381"/>
      <c r="C31" s="203" t="s">
        <v>13</v>
      </c>
      <c r="D31" s="140" t="s">
        <v>14</v>
      </c>
      <c r="E31" s="204">
        <v>2.06</v>
      </c>
      <c r="F31" s="204">
        <f>E31*F30</f>
        <v>32.903556000000002</v>
      </c>
      <c r="G31" s="142"/>
      <c r="H31" s="142"/>
      <c r="I31" s="142"/>
      <c r="J31" s="142"/>
      <c r="K31" s="142"/>
      <c r="L31" s="142"/>
      <c r="M31" s="142"/>
    </row>
    <row r="32" spans="1:13" ht="60.75" thickTop="1" x14ac:dyDescent="0.25">
      <c r="A32" s="395">
        <v>6</v>
      </c>
      <c r="B32" s="133"/>
      <c r="C32" s="195" t="s">
        <v>25</v>
      </c>
      <c r="D32" s="163" t="s">
        <v>26</v>
      </c>
      <c r="E32" s="196"/>
      <c r="F32" s="147">
        <v>11847.21</v>
      </c>
      <c r="G32" s="197"/>
      <c r="H32" s="147"/>
      <c r="I32" s="197"/>
      <c r="J32" s="147"/>
      <c r="K32" s="197"/>
      <c r="L32" s="147"/>
      <c r="M32" s="197"/>
    </row>
    <row r="33" spans="1:14" ht="15" x14ac:dyDescent="0.25">
      <c r="A33" s="395"/>
      <c r="B33" s="126"/>
      <c r="C33" s="36" t="s">
        <v>13</v>
      </c>
      <c r="D33" s="29" t="s">
        <v>14</v>
      </c>
      <c r="E33" s="37">
        <f>55.8/1000</f>
        <v>5.5799999999999995E-2</v>
      </c>
      <c r="F33" s="38">
        <f>E33*F32</f>
        <v>661.07431799999995</v>
      </c>
      <c r="G33" s="38"/>
      <c r="H33" s="38"/>
      <c r="I33" s="38"/>
      <c r="J33" s="38"/>
      <c r="K33" s="38"/>
      <c r="L33" s="38"/>
      <c r="M33" s="38"/>
    </row>
    <row r="34" spans="1:14" ht="15" x14ac:dyDescent="0.25">
      <c r="A34" s="395"/>
      <c r="B34" s="128"/>
      <c r="C34" s="28" t="s">
        <v>27</v>
      </c>
      <c r="D34" s="29" t="s">
        <v>19</v>
      </c>
      <c r="E34" s="37">
        <f>2.65/1000</f>
        <v>2.65E-3</v>
      </c>
      <c r="F34" s="38">
        <f>E34*F32</f>
        <v>31.395106499999997</v>
      </c>
      <c r="G34" s="38"/>
      <c r="H34" s="38"/>
      <c r="I34" s="38"/>
      <c r="J34" s="38"/>
      <c r="K34" s="38"/>
      <c r="L34" s="38"/>
      <c r="M34" s="38"/>
    </row>
    <row r="35" spans="1:14" ht="15" x14ac:dyDescent="0.25">
      <c r="A35" s="395"/>
      <c r="B35" s="129"/>
      <c r="C35" s="36" t="s">
        <v>28</v>
      </c>
      <c r="D35" s="29" t="s">
        <v>19</v>
      </c>
      <c r="E35" s="37">
        <f>8.22/1000</f>
        <v>8.2199999999999999E-3</v>
      </c>
      <c r="F35" s="38">
        <f>E35*F32</f>
        <v>97.384066199999992</v>
      </c>
      <c r="G35" s="38"/>
      <c r="H35" s="38"/>
      <c r="I35" s="38"/>
      <c r="J35" s="38"/>
      <c r="K35" s="38"/>
      <c r="L35" s="38"/>
      <c r="M35" s="38"/>
    </row>
    <row r="36" spans="1:14" ht="15" x14ac:dyDescent="0.25">
      <c r="A36" s="395"/>
      <c r="B36" s="129"/>
      <c r="C36" s="36" t="s">
        <v>29</v>
      </c>
      <c r="D36" s="29" t="s">
        <v>19</v>
      </c>
      <c r="E36" s="37">
        <f>21.4/1000</f>
        <v>2.1399999999999999E-2</v>
      </c>
      <c r="F36" s="38">
        <f>E36*F32</f>
        <v>253.53029399999997</v>
      </c>
      <c r="G36" s="38"/>
      <c r="H36" s="38"/>
      <c r="I36" s="38"/>
      <c r="J36" s="38"/>
      <c r="K36" s="38"/>
      <c r="L36" s="38"/>
      <c r="M36" s="38"/>
    </row>
    <row r="37" spans="1:14" ht="14.25" customHeight="1" x14ac:dyDescent="0.25">
      <c r="A37" s="395"/>
      <c r="B37" s="129"/>
      <c r="C37" s="36" t="s">
        <v>30</v>
      </c>
      <c r="D37" s="29" t="s">
        <v>19</v>
      </c>
      <c r="E37" s="37">
        <v>7.1000000000000002E-4</v>
      </c>
      <c r="F37" s="38">
        <f>E37*F32</f>
        <v>8.4115190999999996</v>
      </c>
      <c r="G37" s="38"/>
      <c r="H37" s="38"/>
      <c r="I37" s="38"/>
      <c r="J37" s="38"/>
      <c r="K37" s="38"/>
      <c r="L37" s="38"/>
      <c r="M37" s="38"/>
    </row>
    <row r="38" spans="1:14" ht="14.25" customHeight="1" x14ac:dyDescent="0.25">
      <c r="A38" s="395"/>
      <c r="B38" s="128"/>
      <c r="C38" s="36" t="s">
        <v>31</v>
      </c>
      <c r="D38" s="29" t="s">
        <v>19</v>
      </c>
      <c r="E38" s="37">
        <f>3.5/1000</f>
        <v>3.5000000000000001E-3</v>
      </c>
      <c r="F38" s="38">
        <f>E38*F32</f>
        <v>41.465235</v>
      </c>
      <c r="G38" s="38"/>
      <c r="H38" s="38"/>
      <c r="I38" s="38"/>
      <c r="J38" s="38"/>
      <c r="K38" s="38"/>
      <c r="L38" s="38"/>
      <c r="M38" s="38"/>
    </row>
    <row r="39" spans="1:14" ht="14.25" customHeight="1" x14ac:dyDescent="0.25">
      <c r="A39" s="395"/>
      <c r="B39" s="126"/>
      <c r="C39" s="36" t="s">
        <v>32</v>
      </c>
      <c r="D39" s="125" t="s">
        <v>22</v>
      </c>
      <c r="E39" s="37">
        <f>1.02/1000</f>
        <v>1.0200000000000001E-3</v>
      </c>
      <c r="F39" s="38">
        <f>E39*F32</f>
        <v>12.0841542</v>
      </c>
      <c r="G39" s="38"/>
      <c r="H39" s="38"/>
      <c r="I39" s="38"/>
      <c r="J39" s="38"/>
      <c r="K39" s="38"/>
      <c r="L39" s="38"/>
      <c r="M39" s="38"/>
    </row>
    <row r="40" spans="1:14" ht="14.25" customHeight="1" thickBot="1" x14ac:dyDescent="0.3">
      <c r="A40" s="396"/>
      <c r="B40" s="138"/>
      <c r="C40" s="158" t="s">
        <v>33</v>
      </c>
      <c r="D40" s="140" t="s">
        <v>34</v>
      </c>
      <c r="E40" s="159">
        <f>25/1000</f>
        <v>2.5000000000000001E-2</v>
      </c>
      <c r="F40" s="160">
        <f>F32*E40</f>
        <v>296.18025</v>
      </c>
      <c r="G40" s="161"/>
      <c r="H40" s="160"/>
      <c r="I40" s="160"/>
      <c r="J40" s="160"/>
      <c r="K40" s="160"/>
      <c r="L40" s="160"/>
      <c r="M40" s="160"/>
    </row>
    <row r="41" spans="1:14" ht="16.5" thickTop="1" thickBot="1" x14ac:dyDescent="0.3">
      <c r="A41" s="348"/>
      <c r="B41" s="341"/>
      <c r="C41" s="155" t="s">
        <v>37</v>
      </c>
      <c r="D41" s="155"/>
      <c r="E41" s="156"/>
      <c r="F41" s="157"/>
      <c r="G41" s="152"/>
      <c r="H41" s="157"/>
      <c r="I41" s="157"/>
      <c r="J41" s="157"/>
      <c r="K41" s="157"/>
      <c r="L41" s="157"/>
      <c r="M41" s="157"/>
      <c r="N41" s="2"/>
    </row>
    <row r="42" spans="1:14" ht="31.5" customHeight="1" thickTop="1" thickBot="1" x14ac:dyDescent="0.3">
      <c r="A42" s="348"/>
      <c r="B42" s="341"/>
      <c r="C42" s="149" t="s">
        <v>38</v>
      </c>
      <c r="D42" s="150"/>
      <c r="E42" s="151"/>
      <c r="F42" s="152"/>
      <c r="G42" s="152"/>
      <c r="H42" s="152"/>
      <c r="I42" s="152"/>
      <c r="J42" s="152"/>
      <c r="K42" s="152"/>
      <c r="L42" s="152"/>
      <c r="M42" s="152"/>
    </row>
    <row r="43" spans="1:14" s="2" customFormat="1" ht="29.25" customHeight="1" thickTop="1" x14ac:dyDescent="0.25">
      <c r="A43" s="397">
        <v>1</v>
      </c>
      <c r="B43" s="136"/>
      <c r="C43" s="144" t="s">
        <v>123</v>
      </c>
      <c r="D43" s="145" t="s">
        <v>89</v>
      </c>
      <c r="E43" s="146"/>
      <c r="F43" s="147">
        <v>13781.08</v>
      </c>
      <c r="G43" s="147"/>
      <c r="H43" s="147"/>
      <c r="I43" s="147"/>
      <c r="J43" s="147"/>
      <c r="K43" s="147"/>
      <c r="L43" s="147"/>
      <c r="M43" s="147"/>
    </row>
    <row r="44" spans="1:14" s="2" customFormat="1" ht="12.75" customHeight="1" x14ac:dyDescent="0.25">
      <c r="A44" s="364"/>
      <c r="B44" s="109"/>
      <c r="C44" s="36" t="s">
        <v>13</v>
      </c>
      <c r="D44" s="125" t="s">
        <v>14</v>
      </c>
      <c r="E44" s="123">
        <f>42.9/1000</f>
        <v>4.2900000000000001E-2</v>
      </c>
      <c r="F44" s="26">
        <f>E44*F43</f>
        <v>591.20833200000004</v>
      </c>
      <c r="G44" s="26"/>
      <c r="H44" s="26"/>
      <c r="I44" s="26"/>
      <c r="J44" s="26"/>
      <c r="K44" s="26"/>
      <c r="L44" s="26"/>
      <c r="M44" s="26"/>
    </row>
    <row r="45" spans="1:14" s="2" customFormat="1" ht="15" x14ac:dyDescent="0.25">
      <c r="A45" s="364"/>
      <c r="B45" s="128"/>
      <c r="C45" s="28" t="s">
        <v>27</v>
      </c>
      <c r="D45" s="125" t="s">
        <v>19</v>
      </c>
      <c r="E45" s="123">
        <f>2.69/1000</f>
        <v>2.6900000000000001E-3</v>
      </c>
      <c r="F45" s="26">
        <f>E45*F43</f>
        <v>37.071105199999998</v>
      </c>
      <c r="G45" s="26"/>
      <c r="H45" s="26"/>
      <c r="I45" s="26"/>
      <c r="J45" s="26"/>
      <c r="K45" s="26"/>
      <c r="L45" s="26"/>
      <c r="M45" s="26"/>
    </row>
    <row r="46" spans="1:14" s="2" customFormat="1" ht="16.5" customHeight="1" x14ac:dyDescent="0.25">
      <c r="A46" s="364"/>
      <c r="B46" s="128"/>
      <c r="C46" s="45" t="s">
        <v>39</v>
      </c>
      <c r="D46" s="125" t="s">
        <v>19</v>
      </c>
      <c r="E46" s="123">
        <f>0.41/1000</f>
        <v>4.0999999999999999E-4</v>
      </c>
      <c r="F46" s="26">
        <f>E46*F43</f>
        <v>5.6502428</v>
      </c>
      <c r="G46" s="26"/>
      <c r="H46" s="26"/>
      <c r="I46" s="44"/>
      <c r="J46" s="26"/>
      <c r="K46" s="26"/>
      <c r="L46" s="26"/>
      <c r="M46" s="26"/>
    </row>
    <row r="47" spans="1:14" s="2" customFormat="1" ht="15" x14ac:dyDescent="0.25">
      <c r="A47" s="364"/>
      <c r="B47" s="129"/>
      <c r="C47" s="28" t="s">
        <v>28</v>
      </c>
      <c r="D47" s="125" t="s">
        <v>19</v>
      </c>
      <c r="E47" s="123">
        <f>7.6/1000</f>
        <v>7.6E-3</v>
      </c>
      <c r="F47" s="26">
        <f>E47*F43</f>
        <v>104.736208</v>
      </c>
      <c r="G47" s="26"/>
      <c r="H47" s="26"/>
      <c r="I47" s="26"/>
      <c r="J47" s="26"/>
      <c r="K47" s="26"/>
      <c r="L47" s="26"/>
      <c r="M47" s="26"/>
    </row>
    <row r="48" spans="1:14" s="2" customFormat="1" ht="15" x14ac:dyDescent="0.25">
      <c r="A48" s="364"/>
      <c r="B48" s="129"/>
      <c r="C48" s="28" t="s">
        <v>29</v>
      </c>
      <c r="D48" s="125" t="s">
        <v>19</v>
      </c>
      <c r="E48" s="123">
        <f>7.4/1000</f>
        <v>7.4000000000000003E-3</v>
      </c>
      <c r="F48" s="26">
        <f>E48*F43</f>
        <v>101.97999200000001</v>
      </c>
      <c r="G48" s="26"/>
      <c r="H48" s="26"/>
      <c r="I48" s="26"/>
      <c r="J48" s="26"/>
      <c r="K48" s="26"/>
      <c r="L48" s="26"/>
      <c r="M48" s="26"/>
    </row>
    <row r="49" spans="1:13" s="2" customFormat="1" ht="15" x14ac:dyDescent="0.25">
      <c r="A49" s="364"/>
      <c r="B49" s="128"/>
      <c r="C49" s="28" t="s">
        <v>31</v>
      </c>
      <c r="D49" s="125" t="s">
        <v>19</v>
      </c>
      <c r="E49" s="123">
        <f>1.48/1000</f>
        <v>1.48E-3</v>
      </c>
      <c r="F49" s="26">
        <f>E49*F43</f>
        <v>20.3959984</v>
      </c>
      <c r="G49" s="26"/>
      <c r="H49" s="26"/>
      <c r="I49" s="26"/>
      <c r="J49" s="26"/>
      <c r="K49" s="26"/>
      <c r="L49" s="26"/>
      <c r="M49" s="26"/>
    </row>
    <row r="50" spans="1:13" s="2" customFormat="1" ht="15.75" customHeight="1" x14ac:dyDescent="0.25">
      <c r="A50" s="364"/>
      <c r="B50" s="128"/>
      <c r="C50" s="28" t="s">
        <v>40</v>
      </c>
      <c r="D50" s="125" t="s">
        <v>34</v>
      </c>
      <c r="E50" s="123">
        <f>(149)/1000</f>
        <v>0.14899999999999999</v>
      </c>
      <c r="F50" s="26">
        <f>E50*F43</f>
        <v>2053.3809200000001</v>
      </c>
      <c r="G50" s="26"/>
      <c r="H50" s="26"/>
      <c r="I50" s="26"/>
      <c r="J50" s="26"/>
      <c r="K50" s="26"/>
      <c r="L50" s="26"/>
      <c r="M50" s="26"/>
    </row>
    <row r="51" spans="1:13" s="2" customFormat="1" ht="15.75" customHeight="1" x14ac:dyDescent="0.25">
      <c r="A51" s="364"/>
      <c r="B51" s="109"/>
      <c r="C51" s="45" t="s">
        <v>41</v>
      </c>
      <c r="D51" s="125" t="s">
        <v>42</v>
      </c>
      <c r="E51" s="26">
        <v>1.6</v>
      </c>
      <c r="F51" s="26">
        <f>F50*E51</f>
        <v>3285.4094720000003</v>
      </c>
      <c r="G51" s="26"/>
      <c r="H51" s="26"/>
      <c r="I51" s="26"/>
      <c r="J51" s="26"/>
      <c r="K51" s="26"/>
      <c r="L51" s="26"/>
      <c r="M51" s="26"/>
    </row>
    <row r="52" spans="1:13" s="2" customFormat="1" ht="15.75" customHeight="1" thickBot="1" x14ac:dyDescent="0.3">
      <c r="A52" s="365"/>
      <c r="B52" s="138"/>
      <c r="C52" s="139" t="s">
        <v>33</v>
      </c>
      <c r="D52" s="140" t="s">
        <v>34</v>
      </c>
      <c r="E52" s="141">
        <f>11/1000</f>
        <v>1.0999999999999999E-2</v>
      </c>
      <c r="F52" s="142">
        <f>E52*F43</f>
        <v>151.59188</v>
      </c>
      <c r="G52" s="143"/>
      <c r="H52" s="142"/>
      <c r="I52" s="142"/>
      <c r="J52" s="142"/>
      <c r="K52" s="142"/>
      <c r="L52" s="142"/>
      <c r="M52" s="142"/>
    </row>
    <row r="53" spans="1:13" s="2" customFormat="1" ht="30.75" thickTop="1" x14ac:dyDescent="0.25">
      <c r="A53" s="355">
        <v>2</v>
      </c>
      <c r="B53" s="119"/>
      <c r="C53" s="46" t="s">
        <v>169</v>
      </c>
      <c r="D53" s="107" t="s">
        <v>89</v>
      </c>
      <c r="E53" s="111"/>
      <c r="F53" s="111">
        <v>10791.89</v>
      </c>
      <c r="G53" s="111"/>
      <c r="H53" s="111"/>
      <c r="I53" s="111"/>
      <c r="J53" s="111"/>
      <c r="K53" s="111"/>
      <c r="L53" s="111"/>
      <c r="M53" s="111"/>
    </row>
    <row r="54" spans="1:13" s="2" customFormat="1" ht="15.75" customHeight="1" x14ac:dyDescent="0.25">
      <c r="A54" s="356"/>
      <c r="B54" s="107"/>
      <c r="C54" s="110"/>
      <c r="D54" s="107" t="s">
        <v>107</v>
      </c>
      <c r="E54" s="111"/>
      <c r="F54" s="120">
        <f>F53/1000</f>
        <v>10.791889999999999</v>
      </c>
      <c r="G54" s="111"/>
      <c r="H54" s="111"/>
      <c r="I54" s="111"/>
      <c r="J54" s="111"/>
      <c r="K54" s="111"/>
      <c r="L54" s="111"/>
      <c r="M54" s="111"/>
    </row>
    <row r="55" spans="1:13" s="2" customFormat="1" ht="15.75" customHeight="1" x14ac:dyDescent="0.25">
      <c r="A55" s="356"/>
      <c r="B55" s="112"/>
      <c r="C55" s="113" t="s">
        <v>59</v>
      </c>
      <c r="D55" s="107" t="s">
        <v>102</v>
      </c>
      <c r="E55" s="111">
        <f>405-2*4.64</f>
        <v>395.72</v>
      </c>
      <c r="F55" s="111">
        <f>F54*E55</f>
        <v>4270.5667107999998</v>
      </c>
      <c r="G55" s="111"/>
      <c r="H55" s="111"/>
      <c r="I55" s="111"/>
      <c r="J55" s="111"/>
      <c r="K55" s="111"/>
      <c r="L55" s="111"/>
      <c r="M55" s="111"/>
    </row>
    <row r="56" spans="1:13" s="2" customFormat="1" ht="15.75" customHeight="1" x14ac:dyDescent="0.25">
      <c r="A56" s="356"/>
      <c r="B56" s="114"/>
      <c r="C56" s="113" t="s">
        <v>108</v>
      </c>
      <c r="D56" s="107" t="s">
        <v>99</v>
      </c>
      <c r="E56" s="111">
        <v>22.6</v>
      </c>
      <c r="F56" s="111">
        <f>F54*E56</f>
        <v>243.89671399999997</v>
      </c>
      <c r="G56" s="111"/>
      <c r="H56" s="111"/>
      <c r="I56" s="111"/>
      <c r="J56" s="111"/>
      <c r="K56" s="111"/>
      <c r="L56" s="111"/>
      <c r="M56" s="111"/>
    </row>
    <row r="57" spans="1:13" s="2" customFormat="1" ht="15.75" customHeight="1" x14ac:dyDescent="0.25">
      <c r="A57" s="356"/>
      <c r="B57" s="112"/>
      <c r="C57" s="113" t="s">
        <v>43</v>
      </c>
      <c r="D57" s="107" t="s">
        <v>22</v>
      </c>
      <c r="E57" s="111">
        <f>13.5-2*0.1</f>
        <v>13.3</v>
      </c>
      <c r="F57" s="111">
        <f>F54*E57</f>
        <v>143.53213699999998</v>
      </c>
      <c r="G57" s="111"/>
      <c r="H57" s="111"/>
      <c r="I57" s="111"/>
      <c r="J57" s="111"/>
      <c r="K57" s="111"/>
      <c r="L57" s="111"/>
      <c r="M57" s="111"/>
    </row>
    <row r="58" spans="1:13" s="2" customFormat="1" ht="15.75" customHeight="1" x14ac:dyDescent="0.25">
      <c r="A58" s="356"/>
      <c r="B58" s="115"/>
      <c r="C58" s="110" t="s">
        <v>112</v>
      </c>
      <c r="D58" s="107" t="s">
        <v>97</v>
      </c>
      <c r="E58" s="111">
        <f>204-4*10.2</f>
        <v>163.19999999999999</v>
      </c>
      <c r="F58" s="111">
        <f>F54*E58</f>
        <v>1761.2364479999997</v>
      </c>
      <c r="G58" s="111"/>
      <c r="H58" s="111"/>
      <c r="I58" s="111"/>
      <c r="J58" s="111"/>
      <c r="K58" s="111"/>
      <c r="L58" s="111"/>
      <c r="M58" s="111"/>
    </row>
    <row r="59" spans="1:13" s="2" customFormat="1" ht="15.75" customHeight="1" x14ac:dyDescent="0.25">
      <c r="A59" s="356"/>
      <c r="B59" s="109"/>
      <c r="C59" s="28" t="s">
        <v>116</v>
      </c>
      <c r="D59" s="125" t="s">
        <v>42</v>
      </c>
      <c r="E59" s="123">
        <v>2.4</v>
      </c>
      <c r="F59" s="26">
        <f>F58*E59</f>
        <v>4226.9674751999992</v>
      </c>
      <c r="G59" s="26"/>
      <c r="H59" s="26"/>
      <c r="I59" s="26"/>
      <c r="J59" s="26"/>
      <c r="K59" s="26"/>
      <c r="L59" s="26"/>
      <c r="M59" s="111"/>
    </row>
    <row r="60" spans="1:13" s="2" customFormat="1" ht="15.75" customHeight="1" x14ac:dyDescent="0.25">
      <c r="A60" s="356"/>
      <c r="B60" s="115"/>
      <c r="C60" s="110" t="s">
        <v>113</v>
      </c>
      <c r="D60" s="107" t="s">
        <v>105</v>
      </c>
      <c r="E60" s="108" t="s">
        <v>109</v>
      </c>
      <c r="F60" s="111">
        <v>3.51</v>
      </c>
      <c r="G60" s="111"/>
      <c r="H60" s="111"/>
      <c r="I60" s="111"/>
      <c r="J60" s="111"/>
      <c r="K60" s="111"/>
      <c r="L60" s="111"/>
      <c r="M60" s="111"/>
    </row>
    <row r="61" spans="1:13" s="2" customFormat="1" ht="15.75" customHeight="1" x14ac:dyDescent="0.25">
      <c r="A61" s="356"/>
      <c r="B61" s="115"/>
      <c r="C61" s="110" t="s">
        <v>168</v>
      </c>
      <c r="D61" s="107" t="s">
        <v>105</v>
      </c>
      <c r="E61" s="108" t="s">
        <v>109</v>
      </c>
      <c r="F61" s="111">
        <v>1.06</v>
      </c>
      <c r="G61" s="111"/>
      <c r="H61" s="111"/>
      <c r="I61" s="111"/>
      <c r="J61" s="111"/>
      <c r="K61" s="111"/>
      <c r="L61" s="111"/>
      <c r="M61" s="111"/>
    </row>
    <row r="62" spans="1:13" s="2" customFormat="1" ht="15.75" customHeight="1" x14ac:dyDescent="0.25">
      <c r="A62" s="356"/>
      <c r="B62" s="109"/>
      <c r="C62" s="28" t="s">
        <v>48</v>
      </c>
      <c r="D62" s="125" t="s">
        <v>42</v>
      </c>
      <c r="E62" s="123">
        <v>1</v>
      </c>
      <c r="F62" s="26">
        <f>F60*E62</f>
        <v>3.51</v>
      </c>
      <c r="G62" s="26"/>
      <c r="H62" s="26"/>
      <c r="I62" s="26"/>
      <c r="J62" s="26"/>
      <c r="K62" s="26"/>
      <c r="L62" s="26"/>
      <c r="M62" s="26"/>
    </row>
    <row r="63" spans="1:13" s="2" customFormat="1" ht="15.75" customHeight="1" x14ac:dyDescent="0.25">
      <c r="A63" s="356"/>
      <c r="B63" s="121"/>
      <c r="C63" s="117" t="s">
        <v>110</v>
      </c>
      <c r="D63" s="118" t="s">
        <v>89</v>
      </c>
      <c r="E63" s="111">
        <f>11.7-2*0.59</f>
        <v>10.52</v>
      </c>
      <c r="F63" s="111">
        <f>F54*E63</f>
        <v>113.53068279999998</v>
      </c>
      <c r="G63" s="108"/>
      <c r="H63" s="111"/>
      <c r="I63" s="111"/>
      <c r="J63" s="111"/>
      <c r="K63" s="111"/>
      <c r="L63" s="111"/>
      <c r="M63" s="111"/>
    </row>
    <row r="64" spans="1:13" s="2" customFormat="1" ht="15.75" customHeight="1" x14ac:dyDescent="0.25">
      <c r="A64" s="356"/>
      <c r="B64" s="116"/>
      <c r="C64" s="117" t="s">
        <v>111</v>
      </c>
      <c r="D64" s="118" t="s">
        <v>105</v>
      </c>
      <c r="E64" s="111">
        <f>0.23-2*0.01</f>
        <v>0.21000000000000002</v>
      </c>
      <c r="F64" s="111">
        <f>E64*F54</f>
        <v>2.2662968999999999</v>
      </c>
      <c r="G64" s="108"/>
      <c r="H64" s="111"/>
      <c r="I64" s="111"/>
      <c r="J64" s="111"/>
      <c r="K64" s="111"/>
      <c r="L64" s="111"/>
      <c r="M64" s="111"/>
    </row>
    <row r="65" spans="1:13" s="2" customFormat="1" ht="15.75" customHeight="1" x14ac:dyDescent="0.25">
      <c r="A65" s="356"/>
      <c r="B65" s="116"/>
      <c r="C65" s="117" t="s">
        <v>21</v>
      </c>
      <c r="D65" s="118" t="s">
        <v>22</v>
      </c>
      <c r="E65" s="111">
        <f>6.4-2*0.19</f>
        <v>6.0200000000000005</v>
      </c>
      <c r="F65" s="111">
        <f>E65*F54</f>
        <v>64.967177800000002</v>
      </c>
      <c r="G65" s="108"/>
      <c r="H65" s="111"/>
      <c r="I65" s="111"/>
      <c r="J65" s="111"/>
      <c r="K65" s="111"/>
      <c r="L65" s="111"/>
      <c r="M65" s="111"/>
    </row>
    <row r="66" spans="1:13" s="2" customFormat="1" ht="15.75" customHeight="1" thickBot="1" x14ac:dyDescent="0.3">
      <c r="A66" s="357"/>
      <c r="B66" s="138"/>
      <c r="C66" s="207" t="s">
        <v>33</v>
      </c>
      <c r="D66" s="208" t="s">
        <v>97</v>
      </c>
      <c r="E66" s="209">
        <v>178</v>
      </c>
      <c r="F66" s="209">
        <f>F54*E66</f>
        <v>1920.9564199999998</v>
      </c>
      <c r="G66" s="209"/>
      <c r="H66" s="209"/>
      <c r="I66" s="209"/>
      <c r="J66" s="209"/>
      <c r="K66" s="209"/>
      <c r="L66" s="209"/>
      <c r="M66" s="209"/>
    </row>
    <row r="67" spans="1:13" s="2" customFormat="1" ht="15.75" customHeight="1" thickTop="1" x14ac:dyDescent="0.25">
      <c r="A67" s="355">
        <v>3</v>
      </c>
      <c r="B67" s="205"/>
      <c r="C67" s="144" t="s">
        <v>114</v>
      </c>
      <c r="D67" s="188" t="s">
        <v>89</v>
      </c>
      <c r="E67" s="206"/>
      <c r="F67" s="206">
        <v>7567.16</v>
      </c>
      <c r="G67" s="206"/>
      <c r="H67" s="206"/>
      <c r="I67" s="206"/>
      <c r="J67" s="206"/>
      <c r="K67" s="206"/>
      <c r="L67" s="206"/>
      <c r="M67" s="206"/>
    </row>
    <row r="68" spans="1:13" s="2" customFormat="1" ht="15.75" customHeight="1" x14ac:dyDescent="0.25">
      <c r="A68" s="356"/>
      <c r="B68" s="107"/>
      <c r="C68" s="110"/>
      <c r="D68" s="107" t="s">
        <v>107</v>
      </c>
      <c r="E68" s="111"/>
      <c r="F68" s="120">
        <f>F67/1000</f>
        <v>7.5671599999999994</v>
      </c>
      <c r="G68" s="111"/>
      <c r="H68" s="111"/>
      <c r="I68" s="111"/>
      <c r="J68" s="111"/>
      <c r="K68" s="111"/>
      <c r="L68" s="111"/>
      <c r="M68" s="111"/>
    </row>
    <row r="69" spans="1:13" s="2" customFormat="1" ht="15.75" customHeight="1" x14ac:dyDescent="0.25">
      <c r="A69" s="356"/>
      <c r="B69" s="112"/>
      <c r="C69" s="113" t="s">
        <v>59</v>
      </c>
      <c r="D69" s="107" t="s">
        <v>102</v>
      </c>
      <c r="E69" s="111">
        <v>11.7</v>
      </c>
      <c r="F69" s="111">
        <f>F68*E69</f>
        <v>88.535771999999994</v>
      </c>
      <c r="G69" s="111"/>
      <c r="H69" s="111"/>
      <c r="I69" s="111"/>
      <c r="J69" s="111"/>
      <c r="K69" s="111"/>
      <c r="L69" s="111"/>
      <c r="M69" s="111"/>
    </row>
    <row r="70" spans="1:13" s="2" customFormat="1" ht="15.75" customHeight="1" x14ac:dyDescent="0.25">
      <c r="A70" s="356"/>
      <c r="B70" s="115"/>
      <c r="C70" s="31" t="s">
        <v>49</v>
      </c>
      <c r="D70" s="125" t="s">
        <v>46</v>
      </c>
      <c r="E70" s="47" t="s">
        <v>47</v>
      </c>
      <c r="F70" s="44">
        <f>F67*2.22/1000</f>
        <v>16.7990952</v>
      </c>
      <c r="G70" s="26"/>
      <c r="H70" s="26"/>
      <c r="I70" s="26"/>
      <c r="J70" s="26"/>
      <c r="K70" s="26"/>
      <c r="L70" s="26"/>
      <c r="M70" s="26"/>
    </row>
    <row r="71" spans="1:13" s="2" customFormat="1" ht="30.75" thickBot="1" x14ac:dyDescent="0.3">
      <c r="A71" s="357"/>
      <c r="B71" s="210"/>
      <c r="C71" s="139" t="s">
        <v>50</v>
      </c>
      <c r="D71" s="140" t="s">
        <v>42</v>
      </c>
      <c r="E71" s="141">
        <v>1</v>
      </c>
      <c r="F71" s="148">
        <f>F70*E71</f>
        <v>16.7990952</v>
      </c>
      <c r="G71" s="142"/>
      <c r="H71" s="142"/>
      <c r="I71" s="142"/>
      <c r="J71" s="142"/>
      <c r="K71" s="142"/>
      <c r="L71" s="142"/>
      <c r="M71" s="142"/>
    </row>
    <row r="72" spans="1:13" s="2" customFormat="1" ht="30.75" thickTop="1" x14ac:dyDescent="0.25">
      <c r="A72" s="398">
        <v>4</v>
      </c>
      <c r="B72" s="211"/>
      <c r="C72" s="212" t="s">
        <v>53</v>
      </c>
      <c r="D72" s="199" t="s">
        <v>54</v>
      </c>
      <c r="E72" s="213"/>
      <c r="F72" s="214">
        <v>4388.24</v>
      </c>
      <c r="G72" s="214"/>
      <c r="H72" s="214"/>
      <c r="I72" s="214"/>
      <c r="J72" s="214"/>
      <c r="K72" s="214"/>
      <c r="L72" s="214"/>
      <c r="M72" s="214"/>
    </row>
    <row r="73" spans="1:13" s="2" customFormat="1" ht="13.5" customHeight="1" x14ac:dyDescent="0.25">
      <c r="A73" s="399"/>
      <c r="B73" s="122"/>
      <c r="C73" s="28" t="s">
        <v>13</v>
      </c>
      <c r="D73" s="125" t="s">
        <v>14</v>
      </c>
      <c r="E73" s="123">
        <v>7.6999999999999999E-2</v>
      </c>
      <c r="F73" s="26">
        <f>E73*F72</f>
        <v>337.89447999999999</v>
      </c>
      <c r="G73" s="26"/>
      <c r="H73" s="26"/>
      <c r="I73" s="26"/>
      <c r="J73" s="26"/>
      <c r="K73" s="26"/>
      <c r="L73" s="26"/>
      <c r="M73" s="26"/>
    </row>
    <row r="74" spans="1:13" s="2" customFormat="1" ht="13.5" customHeight="1" x14ac:dyDescent="0.25">
      <c r="A74" s="399"/>
      <c r="B74" s="128"/>
      <c r="C74" s="28" t="s">
        <v>55</v>
      </c>
      <c r="D74" s="125" t="s">
        <v>19</v>
      </c>
      <c r="E74" s="123">
        <v>0.19400000000000001</v>
      </c>
      <c r="F74" s="26">
        <f>E74*F72</f>
        <v>851.31855999999993</v>
      </c>
      <c r="G74" s="26"/>
      <c r="H74" s="26"/>
      <c r="I74" s="26"/>
      <c r="J74" s="26"/>
      <c r="K74" s="26"/>
      <c r="L74" s="26"/>
      <c r="M74" s="26"/>
    </row>
    <row r="75" spans="1:13" s="2" customFormat="1" ht="13.5" customHeight="1" x14ac:dyDescent="0.25">
      <c r="A75" s="399"/>
      <c r="B75" s="128"/>
      <c r="C75" s="28" t="s">
        <v>56</v>
      </c>
      <c r="D75" s="125" t="s">
        <v>19</v>
      </c>
      <c r="E75" s="123">
        <v>1.67E-2</v>
      </c>
      <c r="F75" s="26">
        <f>E75*F72</f>
        <v>73.283608000000001</v>
      </c>
      <c r="G75" s="26"/>
      <c r="H75" s="26"/>
      <c r="I75" s="26"/>
      <c r="J75" s="26"/>
      <c r="K75" s="26"/>
      <c r="L75" s="26"/>
      <c r="M75" s="26"/>
    </row>
    <row r="76" spans="1:13" s="2" customFormat="1" ht="13.5" customHeight="1" x14ac:dyDescent="0.25">
      <c r="A76" s="399"/>
      <c r="B76" s="128"/>
      <c r="C76" s="28" t="s">
        <v>31</v>
      </c>
      <c r="D76" s="125" t="s">
        <v>19</v>
      </c>
      <c r="E76" s="123">
        <v>8.8000000000000005E-3</v>
      </c>
      <c r="F76" s="26">
        <f>E76*F72</f>
        <v>38.616512</v>
      </c>
      <c r="G76" s="26"/>
      <c r="H76" s="26"/>
      <c r="I76" s="26"/>
      <c r="J76" s="26"/>
      <c r="K76" s="26"/>
      <c r="L76" s="26"/>
      <c r="M76" s="26"/>
    </row>
    <row r="77" spans="1:13" s="2" customFormat="1" ht="13.5" customHeight="1" x14ac:dyDescent="0.25">
      <c r="A77" s="399"/>
      <c r="B77" s="122"/>
      <c r="C77" s="28" t="s">
        <v>43</v>
      </c>
      <c r="D77" s="125" t="s">
        <v>22</v>
      </c>
      <c r="E77" s="123">
        <v>6.3700000000000007E-2</v>
      </c>
      <c r="F77" s="26">
        <f>E77*F72</f>
        <v>279.530888</v>
      </c>
      <c r="G77" s="26"/>
      <c r="H77" s="26"/>
      <c r="I77" s="26"/>
      <c r="J77" s="26"/>
      <c r="K77" s="26"/>
      <c r="L77" s="26"/>
      <c r="M77" s="26"/>
    </row>
    <row r="78" spans="1:13" s="2" customFormat="1" ht="13.5" customHeight="1" x14ac:dyDescent="0.25">
      <c r="A78" s="399"/>
      <c r="B78" s="130"/>
      <c r="C78" s="28" t="s">
        <v>57</v>
      </c>
      <c r="D78" s="125" t="s">
        <v>46</v>
      </c>
      <c r="E78" s="123">
        <f>0.06/100</f>
        <v>5.9999999999999995E-4</v>
      </c>
      <c r="F78" s="26">
        <f>E78*F72</f>
        <v>2.6329439999999997</v>
      </c>
      <c r="G78" s="26"/>
      <c r="H78" s="26"/>
      <c r="I78" s="26"/>
      <c r="J78" s="26"/>
      <c r="K78" s="26"/>
      <c r="L78" s="26"/>
      <c r="M78" s="26"/>
    </row>
    <row r="79" spans="1:13" s="2" customFormat="1" ht="13.5" customHeight="1" x14ac:dyDescent="0.25">
      <c r="A79" s="399"/>
      <c r="B79" s="128"/>
      <c r="C79" s="28" t="s">
        <v>33</v>
      </c>
      <c r="D79" s="125" t="s">
        <v>34</v>
      </c>
      <c r="E79" s="123">
        <v>6.2E-2</v>
      </c>
      <c r="F79" s="26">
        <f>E79*F74</f>
        <v>52.781750719999998</v>
      </c>
      <c r="G79" s="26"/>
      <c r="H79" s="26"/>
      <c r="I79" s="26"/>
      <c r="J79" s="26"/>
      <c r="K79" s="26"/>
      <c r="L79" s="26"/>
      <c r="M79" s="26"/>
    </row>
    <row r="80" spans="1:13" s="2" customFormat="1" ht="13.5" customHeight="1" thickBot="1" x14ac:dyDescent="0.3">
      <c r="A80" s="400"/>
      <c r="B80" s="215"/>
      <c r="C80" s="139" t="s">
        <v>52</v>
      </c>
      <c r="D80" s="140" t="s">
        <v>22</v>
      </c>
      <c r="E80" s="141">
        <v>1.78E-2</v>
      </c>
      <c r="F80" s="142">
        <f>E80*F72</f>
        <v>78.110671999999994</v>
      </c>
      <c r="G80" s="142"/>
      <c r="H80" s="142"/>
      <c r="I80" s="142"/>
      <c r="J80" s="142"/>
      <c r="K80" s="142"/>
      <c r="L80" s="142"/>
      <c r="M80" s="142"/>
    </row>
    <row r="81" spans="1:14" s="2" customFormat="1" ht="30.75" thickTop="1" x14ac:dyDescent="0.25">
      <c r="A81" s="388">
        <v>5</v>
      </c>
      <c r="B81" s="211"/>
      <c r="C81" s="212" t="s">
        <v>58</v>
      </c>
      <c r="D81" s="199" t="s">
        <v>17</v>
      </c>
      <c r="E81" s="213"/>
      <c r="F81" s="214">
        <v>675.85</v>
      </c>
      <c r="G81" s="214"/>
      <c r="H81" s="214"/>
      <c r="I81" s="214"/>
      <c r="J81" s="214"/>
      <c r="K81" s="214"/>
      <c r="L81" s="214"/>
      <c r="M81" s="214"/>
    </row>
    <row r="82" spans="1:14" s="2" customFormat="1" ht="14.25" customHeight="1" x14ac:dyDescent="0.25">
      <c r="A82" s="389"/>
      <c r="B82" s="122"/>
      <c r="C82" s="28" t="s">
        <v>59</v>
      </c>
      <c r="D82" s="125" t="s">
        <v>14</v>
      </c>
      <c r="E82" s="123">
        <v>0.15</v>
      </c>
      <c r="F82" s="26">
        <f>E82*F81</f>
        <v>101.3775</v>
      </c>
      <c r="G82" s="26"/>
      <c r="H82" s="26"/>
      <c r="I82" s="26"/>
      <c r="J82" s="26"/>
      <c r="K82" s="26"/>
      <c r="L82" s="26"/>
      <c r="M82" s="26"/>
    </row>
    <row r="83" spans="1:14" s="2" customFormat="1" ht="14.25" customHeight="1" x14ac:dyDescent="0.25">
      <c r="A83" s="389"/>
      <c r="B83" s="128"/>
      <c r="C83" s="28" t="s">
        <v>27</v>
      </c>
      <c r="D83" s="125" t="s">
        <v>19</v>
      </c>
      <c r="E83" s="123">
        <v>2.1600000000000001E-2</v>
      </c>
      <c r="F83" s="26">
        <f>E83*F81</f>
        <v>14.598360000000001</v>
      </c>
      <c r="G83" s="26"/>
      <c r="H83" s="26"/>
      <c r="I83" s="26"/>
      <c r="J83" s="26"/>
      <c r="K83" s="26"/>
      <c r="L83" s="26"/>
      <c r="M83" s="26"/>
    </row>
    <row r="84" spans="1:14" ht="14.25" customHeight="1" x14ac:dyDescent="0.25">
      <c r="A84" s="389"/>
      <c r="B84" s="128"/>
      <c r="C84" s="28" t="s">
        <v>39</v>
      </c>
      <c r="D84" s="125" t="s">
        <v>19</v>
      </c>
      <c r="E84" s="123">
        <v>2.7300000000000001E-2</v>
      </c>
      <c r="F84" s="26">
        <f>E84*F81</f>
        <v>18.450705000000003</v>
      </c>
      <c r="G84" s="26"/>
      <c r="H84" s="26"/>
      <c r="I84" s="26"/>
      <c r="J84" s="26"/>
      <c r="K84" s="26"/>
      <c r="L84" s="26"/>
      <c r="M84" s="26"/>
    </row>
    <row r="85" spans="1:14" ht="14.25" customHeight="1" x14ac:dyDescent="0.25">
      <c r="A85" s="389"/>
      <c r="B85" s="128"/>
      <c r="C85" s="28" t="s">
        <v>31</v>
      </c>
      <c r="D85" s="125" t="s">
        <v>19</v>
      </c>
      <c r="E85" s="123">
        <v>9.7000000000000003E-3</v>
      </c>
      <c r="F85" s="26">
        <f>E85*F81</f>
        <v>6.5557450000000008</v>
      </c>
      <c r="G85" s="26"/>
      <c r="H85" s="26"/>
      <c r="I85" s="26"/>
      <c r="J85" s="26"/>
      <c r="K85" s="26"/>
      <c r="L85" s="26"/>
      <c r="M85" s="26"/>
    </row>
    <row r="86" spans="1:14" ht="14.25" customHeight="1" x14ac:dyDescent="0.25">
      <c r="A86" s="389"/>
      <c r="B86" s="128"/>
      <c r="C86" s="28" t="s">
        <v>60</v>
      </c>
      <c r="D86" s="125" t="s">
        <v>34</v>
      </c>
      <c r="E86" s="123">
        <v>1.22</v>
      </c>
      <c r="F86" s="26">
        <f>E86*F81</f>
        <v>824.53700000000003</v>
      </c>
      <c r="G86" s="26"/>
      <c r="H86" s="26"/>
      <c r="I86" s="26"/>
      <c r="J86" s="26"/>
      <c r="K86" s="26"/>
      <c r="L86" s="26"/>
      <c r="M86" s="26"/>
    </row>
    <row r="87" spans="1:14" ht="14.25" customHeight="1" x14ac:dyDescent="0.25">
      <c r="A87" s="389"/>
      <c r="B87" s="109"/>
      <c r="C87" s="28" t="s">
        <v>61</v>
      </c>
      <c r="D87" s="125" t="s">
        <v>42</v>
      </c>
      <c r="E87" s="123">
        <v>1.55</v>
      </c>
      <c r="F87" s="26">
        <f>F86*E87</f>
        <v>1278.0323500000002</v>
      </c>
      <c r="G87" s="26"/>
      <c r="H87" s="26"/>
      <c r="I87" s="26"/>
      <c r="J87" s="26"/>
      <c r="K87" s="26"/>
      <c r="L87" s="26"/>
      <c r="M87" s="26"/>
    </row>
    <row r="88" spans="1:14" ht="14.25" customHeight="1" thickBot="1" x14ac:dyDescent="0.3">
      <c r="A88" s="390"/>
      <c r="B88" s="138"/>
      <c r="C88" s="139" t="s">
        <v>33</v>
      </c>
      <c r="D88" s="140" t="s">
        <v>34</v>
      </c>
      <c r="E88" s="141">
        <v>7.0000000000000007E-2</v>
      </c>
      <c r="F88" s="142">
        <f>E88*F81</f>
        <v>47.309500000000007</v>
      </c>
      <c r="G88" s="142"/>
      <c r="H88" s="142"/>
      <c r="I88" s="142"/>
      <c r="J88" s="142"/>
      <c r="K88" s="142"/>
      <c r="L88" s="142"/>
      <c r="M88" s="142"/>
    </row>
    <row r="89" spans="1:14" ht="16.5" thickTop="1" thickBot="1" x14ac:dyDescent="0.3">
      <c r="A89" s="217"/>
      <c r="B89" s="218"/>
      <c r="C89" s="219" t="s">
        <v>62</v>
      </c>
      <c r="D89" s="219"/>
      <c r="E89" s="220"/>
      <c r="F89" s="221"/>
      <c r="G89" s="194"/>
      <c r="H89" s="221"/>
      <c r="I89" s="221"/>
      <c r="J89" s="221"/>
      <c r="K89" s="221"/>
      <c r="L89" s="221"/>
      <c r="M89" s="221"/>
      <c r="N89" s="2"/>
    </row>
    <row r="90" spans="1:14" s="24" customFormat="1" ht="31.5" thickTop="1" thickBot="1" x14ac:dyDescent="0.3">
      <c r="A90" s="222"/>
      <c r="B90" s="223"/>
      <c r="C90" s="224" t="s">
        <v>63</v>
      </c>
      <c r="D90" s="225"/>
      <c r="E90" s="226"/>
      <c r="F90" s="227"/>
      <c r="G90" s="227"/>
      <c r="H90" s="227"/>
      <c r="I90" s="227"/>
      <c r="J90" s="227"/>
      <c r="K90" s="227"/>
      <c r="L90" s="227"/>
      <c r="M90" s="227"/>
    </row>
    <row r="91" spans="1:14" s="2" customFormat="1" ht="43.5" customHeight="1" thickTop="1" x14ac:dyDescent="0.25">
      <c r="A91" s="401">
        <v>1</v>
      </c>
      <c r="B91" s="216"/>
      <c r="C91" s="144" t="s">
        <v>124</v>
      </c>
      <c r="D91" s="145" t="s">
        <v>17</v>
      </c>
      <c r="E91" s="146"/>
      <c r="F91" s="147">
        <v>19.79</v>
      </c>
      <c r="G91" s="147"/>
      <c r="H91" s="147"/>
      <c r="I91" s="147"/>
      <c r="J91" s="147"/>
      <c r="K91" s="147"/>
      <c r="L91" s="147"/>
      <c r="M91" s="147"/>
    </row>
    <row r="92" spans="1:14" s="2" customFormat="1" ht="13.5" customHeight="1" x14ac:dyDescent="0.25">
      <c r="A92" s="389"/>
      <c r="B92" s="123"/>
      <c r="C92" s="28" t="s">
        <v>13</v>
      </c>
      <c r="D92" s="29" t="s">
        <v>14</v>
      </c>
      <c r="E92" s="123">
        <f>0.377</f>
        <v>0.377</v>
      </c>
      <c r="F92" s="26">
        <f>E92*F91</f>
        <v>7.4608299999999996</v>
      </c>
      <c r="G92" s="26"/>
      <c r="H92" s="26"/>
      <c r="I92" s="26"/>
      <c r="J92" s="26"/>
      <c r="K92" s="26"/>
      <c r="L92" s="26"/>
      <c r="M92" s="26"/>
    </row>
    <row r="93" spans="1:14" s="2" customFormat="1" ht="13.5" customHeight="1" x14ac:dyDescent="0.25">
      <c r="A93" s="389"/>
      <c r="B93" s="128"/>
      <c r="C93" s="28" t="s">
        <v>18</v>
      </c>
      <c r="D93" s="29" t="s">
        <v>19</v>
      </c>
      <c r="E93" s="123">
        <f>0.0392</f>
        <v>3.9199999999999999E-2</v>
      </c>
      <c r="F93" s="26">
        <f>E93*F91</f>
        <v>0.7757679999999999</v>
      </c>
      <c r="G93" s="26"/>
      <c r="H93" s="26"/>
      <c r="I93" s="26"/>
      <c r="J93" s="26"/>
      <c r="K93" s="26"/>
      <c r="L93" s="26"/>
      <c r="M93" s="26"/>
    </row>
    <row r="94" spans="1:14" s="2" customFormat="1" ht="13.5" customHeight="1" x14ac:dyDescent="0.25">
      <c r="A94" s="389"/>
      <c r="B94" s="97"/>
      <c r="C94" s="28" t="s">
        <v>20</v>
      </c>
      <c r="D94" s="29" t="s">
        <v>19</v>
      </c>
      <c r="E94" s="123">
        <f>0.009</f>
        <v>8.9999999999999993E-3</v>
      </c>
      <c r="F94" s="26">
        <f>F91*E94</f>
        <v>0.17810999999999999</v>
      </c>
      <c r="G94" s="26"/>
      <c r="H94" s="26"/>
      <c r="I94" s="26"/>
      <c r="J94" s="26"/>
      <c r="K94" s="26"/>
      <c r="L94" s="26"/>
      <c r="M94" s="26"/>
    </row>
    <row r="95" spans="1:14" s="2" customFormat="1" ht="13.5" customHeight="1" thickBot="1" x14ac:dyDescent="0.3">
      <c r="A95" s="390"/>
      <c r="B95" s="141"/>
      <c r="C95" s="139" t="s">
        <v>21</v>
      </c>
      <c r="D95" s="140" t="s">
        <v>22</v>
      </c>
      <c r="E95" s="141">
        <v>1.92E-3</v>
      </c>
      <c r="F95" s="142">
        <f>E95*F91</f>
        <v>3.7996799999999997E-2</v>
      </c>
      <c r="G95" s="142"/>
      <c r="H95" s="142"/>
      <c r="I95" s="142"/>
      <c r="J95" s="142"/>
      <c r="K95" s="142"/>
      <c r="L95" s="142"/>
      <c r="M95" s="142"/>
    </row>
    <row r="96" spans="1:14" s="2" customFormat="1" ht="30.75" thickTop="1" x14ac:dyDescent="0.25">
      <c r="A96" s="391">
        <v>2</v>
      </c>
      <c r="B96" s="380"/>
      <c r="C96" s="198" t="s">
        <v>64</v>
      </c>
      <c r="D96" s="199" t="s">
        <v>24</v>
      </c>
      <c r="E96" s="200"/>
      <c r="F96" s="201">
        <f>F91*0.07</f>
        <v>1.3853</v>
      </c>
      <c r="G96" s="200"/>
      <c r="H96" s="200"/>
      <c r="I96" s="200"/>
      <c r="J96" s="200"/>
      <c r="K96" s="200"/>
      <c r="L96" s="228"/>
      <c r="M96" s="228"/>
    </row>
    <row r="97" spans="1:14" s="2" customFormat="1" ht="13.5" customHeight="1" thickBot="1" x14ac:dyDescent="0.3">
      <c r="A97" s="392"/>
      <c r="B97" s="381"/>
      <c r="C97" s="203" t="s">
        <v>13</v>
      </c>
      <c r="D97" s="140" t="s">
        <v>14</v>
      </c>
      <c r="E97" s="204">
        <v>2.06</v>
      </c>
      <c r="F97" s="204">
        <f>E97*F96</f>
        <v>2.8537180000000002</v>
      </c>
      <c r="G97" s="204"/>
      <c r="H97" s="204"/>
      <c r="I97" s="204"/>
      <c r="J97" s="204"/>
      <c r="K97" s="204"/>
      <c r="L97" s="229"/>
      <c r="M97" s="229"/>
    </row>
    <row r="98" spans="1:14" ht="30.75" thickTop="1" x14ac:dyDescent="0.25">
      <c r="A98" s="382">
        <v>3</v>
      </c>
      <c r="B98" s="230"/>
      <c r="C98" s="212" t="s">
        <v>65</v>
      </c>
      <c r="D98" s="199" t="s">
        <v>24</v>
      </c>
      <c r="E98" s="231"/>
      <c r="F98" s="232">
        <f>F91</f>
        <v>19.79</v>
      </c>
      <c r="G98" s="214"/>
      <c r="H98" s="214"/>
      <c r="I98" s="214"/>
      <c r="J98" s="214"/>
      <c r="K98" s="214"/>
      <c r="L98" s="214"/>
      <c r="M98" s="214"/>
    </row>
    <row r="99" spans="1:14" s="41" customFormat="1" ht="15" x14ac:dyDescent="0.25">
      <c r="A99" s="383"/>
      <c r="B99" s="126"/>
      <c r="C99" s="36" t="s">
        <v>13</v>
      </c>
      <c r="D99" s="29" t="s">
        <v>14</v>
      </c>
      <c r="E99" s="39">
        <v>0.06</v>
      </c>
      <c r="F99" s="40">
        <f>E99*F98</f>
        <v>1.1874</v>
      </c>
      <c r="G99" s="39"/>
      <c r="H99" s="40"/>
      <c r="I99" s="40"/>
      <c r="J99" s="40"/>
      <c r="K99" s="40"/>
      <c r="L99" s="40"/>
      <c r="M99" s="40"/>
    </row>
    <row r="100" spans="1:14" s="41" customFormat="1" x14ac:dyDescent="0.3">
      <c r="A100" s="383"/>
      <c r="B100" s="128"/>
      <c r="C100" s="28" t="s">
        <v>18</v>
      </c>
      <c r="D100" s="29" t="s">
        <v>19</v>
      </c>
      <c r="E100" s="39">
        <v>0.14000000000000001</v>
      </c>
      <c r="F100" s="40">
        <f>E100*F98</f>
        <v>2.7706</v>
      </c>
      <c r="G100" s="39"/>
      <c r="H100" s="40"/>
      <c r="I100" s="40"/>
      <c r="J100" s="40"/>
      <c r="K100" s="233"/>
      <c r="L100" s="42"/>
      <c r="M100" s="40"/>
    </row>
    <row r="101" spans="1:14" s="41" customFormat="1" ht="15" x14ac:dyDescent="0.25">
      <c r="A101" s="383"/>
      <c r="B101" s="109"/>
      <c r="C101" s="28" t="s">
        <v>35</v>
      </c>
      <c r="D101" s="43" t="s">
        <v>36</v>
      </c>
      <c r="E101" s="39">
        <v>1.7</v>
      </c>
      <c r="F101" s="40">
        <f>F98*E101</f>
        <v>33.643000000000001</v>
      </c>
      <c r="G101" s="39"/>
      <c r="H101" s="40"/>
      <c r="I101" s="40"/>
      <c r="J101" s="40"/>
      <c r="K101" s="40"/>
      <c r="L101" s="40"/>
      <c r="M101" s="40"/>
    </row>
    <row r="102" spans="1:14" s="41" customFormat="1" thickBot="1" x14ac:dyDescent="0.3">
      <c r="A102" s="384"/>
      <c r="B102" s="234"/>
      <c r="C102" s="158" t="s">
        <v>32</v>
      </c>
      <c r="D102" s="140" t="s">
        <v>22</v>
      </c>
      <c r="E102" s="235">
        <f>6.98/1000</f>
        <v>6.9800000000000001E-3</v>
      </c>
      <c r="F102" s="236">
        <f>E102*F98</f>
        <v>0.13813419999999998</v>
      </c>
      <c r="G102" s="237"/>
      <c r="H102" s="236"/>
      <c r="I102" s="236"/>
      <c r="J102" s="236"/>
      <c r="K102" s="236"/>
      <c r="L102" s="236"/>
      <c r="M102" s="236"/>
    </row>
    <row r="103" spans="1:14" ht="16.5" thickTop="1" thickBot="1" x14ac:dyDescent="0.3">
      <c r="A103" s="217"/>
      <c r="B103" s="218"/>
      <c r="C103" s="219" t="s">
        <v>66</v>
      </c>
      <c r="D103" s="219"/>
      <c r="E103" s="220"/>
      <c r="F103" s="221"/>
      <c r="G103" s="194"/>
      <c r="H103" s="221"/>
      <c r="I103" s="221"/>
      <c r="J103" s="221"/>
      <c r="K103" s="221"/>
      <c r="L103" s="221"/>
      <c r="M103" s="221"/>
      <c r="N103" s="2"/>
    </row>
    <row r="104" spans="1:14" ht="30.75" thickTop="1" x14ac:dyDescent="0.25">
      <c r="A104" s="344"/>
      <c r="B104" s="124"/>
      <c r="C104" s="20" t="s">
        <v>67</v>
      </c>
      <c r="D104" s="125"/>
      <c r="E104" s="44"/>
      <c r="F104" s="26"/>
      <c r="G104" s="26"/>
      <c r="H104" s="26"/>
      <c r="I104" s="26"/>
      <c r="J104" s="26"/>
      <c r="K104" s="26"/>
      <c r="L104" s="26"/>
      <c r="M104" s="26"/>
    </row>
    <row r="105" spans="1:14" ht="30" x14ac:dyDescent="0.25">
      <c r="A105" s="364">
        <v>1</v>
      </c>
      <c r="B105" s="109"/>
      <c r="C105" s="31" t="s">
        <v>115</v>
      </c>
      <c r="D105" s="345" t="s">
        <v>89</v>
      </c>
      <c r="E105" s="32"/>
      <c r="F105" s="342">
        <v>198.64</v>
      </c>
      <c r="G105" s="342"/>
      <c r="H105" s="342"/>
      <c r="I105" s="342"/>
      <c r="J105" s="342"/>
      <c r="K105" s="342"/>
      <c r="L105" s="342"/>
      <c r="M105" s="342"/>
    </row>
    <row r="106" spans="1:14" ht="15" x14ac:dyDescent="0.25">
      <c r="A106" s="364"/>
      <c r="B106" s="109"/>
      <c r="C106" s="36" t="s">
        <v>13</v>
      </c>
      <c r="D106" s="125" t="s">
        <v>14</v>
      </c>
      <c r="E106" s="123">
        <f>42.9/1000</f>
        <v>4.2900000000000001E-2</v>
      </c>
      <c r="F106" s="26">
        <f>E106*F105</f>
        <v>8.5216560000000001</v>
      </c>
      <c r="G106" s="26"/>
      <c r="H106" s="26"/>
      <c r="I106" s="26"/>
      <c r="J106" s="26"/>
      <c r="K106" s="26"/>
      <c r="L106" s="26"/>
      <c r="M106" s="26"/>
    </row>
    <row r="107" spans="1:14" ht="15" x14ac:dyDescent="0.25">
      <c r="A107" s="364"/>
      <c r="B107" s="128"/>
      <c r="C107" s="28" t="s">
        <v>27</v>
      </c>
      <c r="D107" s="125" t="s">
        <v>19</v>
      </c>
      <c r="E107" s="123">
        <f>2.69/1000</f>
        <v>2.6900000000000001E-3</v>
      </c>
      <c r="F107" s="26">
        <f>E107*F105</f>
        <v>0.53434159999999997</v>
      </c>
      <c r="G107" s="26"/>
      <c r="H107" s="26"/>
      <c r="I107" s="26"/>
      <c r="J107" s="26"/>
      <c r="K107" s="26"/>
      <c r="L107" s="26"/>
      <c r="M107" s="26"/>
    </row>
    <row r="108" spans="1:14" ht="15" x14ac:dyDescent="0.25">
      <c r="A108" s="364"/>
      <c r="B108" s="128"/>
      <c r="C108" s="45" t="s">
        <v>39</v>
      </c>
      <c r="D108" s="125" t="s">
        <v>19</v>
      </c>
      <c r="E108" s="123">
        <f>0.41/1000</f>
        <v>4.0999999999999999E-4</v>
      </c>
      <c r="F108" s="26">
        <f>E108*F105</f>
        <v>8.1442399999999998E-2</v>
      </c>
      <c r="G108" s="26"/>
      <c r="H108" s="26"/>
      <c r="I108" s="44"/>
      <c r="J108" s="26"/>
      <c r="K108" s="26"/>
      <c r="L108" s="26"/>
      <c r="M108" s="26"/>
    </row>
    <row r="109" spans="1:14" ht="15" x14ac:dyDescent="0.25">
      <c r="A109" s="364"/>
      <c r="B109" s="129"/>
      <c r="C109" s="28" t="s">
        <v>28</v>
      </c>
      <c r="D109" s="125" t="s">
        <v>19</v>
      </c>
      <c r="E109" s="123">
        <f>7.6/1000</f>
        <v>7.6E-3</v>
      </c>
      <c r="F109" s="26">
        <f>E109*F105</f>
        <v>1.5096639999999999</v>
      </c>
      <c r="G109" s="26"/>
      <c r="H109" s="26"/>
      <c r="I109" s="26"/>
      <c r="J109" s="26"/>
      <c r="K109" s="26"/>
      <c r="L109" s="26"/>
      <c r="M109" s="26"/>
    </row>
    <row r="110" spans="1:14" ht="15" x14ac:dyDescent="0.25">
      <c r="A110" s="364"/>
      <c r="B110" s="129"/>
      <c r="C110" s="28" t="s">
        <v>29</v>
      </c>
      <c r="D110" s="125" t="s">
        <v>19</v>
      </c>
      <c r="E110" s="123">
        <f>7.4/1000</f>
        <v>7.4000000000000003E-3</v>
      </c>
      <c r="F110" s="26">
        <f>E110*F105</f>
        <v>1.4699359999999999</v>
      </c>
      <c r="G110" s="26"/>
      <c r="H110" s="26"/>
      <c r="I110" s="26"/>
      <c r="J110" s="26"/>
      <c r="K110" s="26"/>
      <c r="L110" s="26"/>
      <c r="M110" s="26"/>
    </row>
    <row r="111" spans="1:14" ht="15" x14ac:dyDescent="0.25">
      <c r="A111" s="364"/>
      <c r="B111" s="128"/>
      <c r="C111" s="28" t="s">
        <v>31</v>
      </c>
      <c r="D111" s="125" t="s">
        <v>19</v>
      </c>
      <c r="E111" s="123">
        <f>1.48/1000</f>
        <v>1.48E-3</v>
      </c>
      <c r="F111" s="26">
        <f>E111*F105</f>
        <v>0.29398719999999995</v>
      </c>
      <c r="G111" s="26"/>
      <c r="H111" s="26"/>
      <c r="I111" s="26"/>
      <c r="J111" s="26"/>
      <c r="K111" s="26"/>
      <c r="L111" s="26"/>
      <c r="M111" s="26"/>
    </row>
    <row r="112" spans="1:14" x14ac:dyDescent="0.25">
      <c r="A112" s="364"/>
      <c r="B112" s="128"/>
      <c r="C112" s="28" t="s">
        <v>40</v>
      </c>
      <c r="D112" s="125" t="s">
        <v>34</v>
      </c>
      <c r="E112" s="123">
        <f>(149)/1000</f>
        <v>0.14899999999999999</v>
      </c>
      <c r="F112" s="26">
        <f>E112*F105</f>
        <v>29.597359999999998</v>
      </c>
      <c r="G112" s="26"/>
      <c r="H112" s="26"/>
      <c r="I112" s="26"/>
      <c r="J112" s="26"/>
      <c r="K112" s="26"/>
      <c r="L112" s="26"/>
      <c r="M112" s="26"/>
    </row>
    <row r="113" spans="1:13" ht="15" x14ac:dyDescent="0.25">
      <c r="A113" s="364"/>
      <c r="B113" s="109"/>
      <c r="C113" s="45" t="s">
        <v>41</v>
      </c>
      <c r="D113" s="125" t="s">
        <v>42</v>
      </c>
      <c r="E113" s="26">
        <v>1.6</v>
      </c>
      <c r="F113" s="26">
        <f>F112*E113</f>
        <v>47.355775999999999</v>
      </c>
      <c r="G113" s="26"/>
      <c r="H113" s="26"/>
      <c r="I113" s="26"/>
      <c r="J113" s="26"/>
      <c r="K113" s="26"/>
      <c r="L113" s="26"/>
      <c r="M113" s="26"/>
    </row>
    <row r="114" spans="1:13" ht="16.5" thickBot="1" x14ac:dyDescent="0.3">
      <c r="A114" s="365"/>
      <c r="B114" s="138"/>
      <c r="C114" s="139" t="s">
        <v>33</v>
      </c>
      <c r="D114" s="140" t="s">
        <v>34</v>
      </c>
      <c r="E114" s="141">
        <v>7.0000000000000007E-2</v>
      </c>
      <c r="F114" s="142">
        <f>E114*F105</f>
        <v>13.9048</v>
      </c>
      <c r="G114" s="143"/>
      <c r="H114" s="142"/>
      <c r="I114" s="142"/>
      <c r="J114" s="142"/>
      <c r="K114" s="142"/>
      <c r="L114" s="142"/>
      <c r="M114" s="142"/>
    </row>
    <row r="115" spans="1:13" ht="30.75" thickTop="1" x14ac:dyDescent="0.25">
      <c r="A115" s="355">
        <v>2</v>
      </c>
      <c r="B115" s="205"/>
      <c r="C115" s="238" t="s">
        <v>169</v>
      </c>
      <c r="D115" s="188" t="s">
        <v>89</v>
      </c>
      <c r="E115" s="206"/>
      <c r="F115" s="244">
        <v>154.76</v>
      </c>
      <c r="G115" s="206"/>
      <c r="H115" s="206"/>
      <c r="I115" s="206"/>
      <c r="J115" s="206"/>
      <c r="K115" s="206"/>
      <c r="L115" s="206"/>
      <c r="M115" s="206"/>
    </row>
    <row r="116" spans="1:13" ht="15" x14ac:dyDescent="0.25">
      <c r="A116" s="356"/>
      <c r="B116" s="107"/>
      <c r="C116" s="110"/>
      <c r="D116" s="107" t="s">
        <v>107</v>
      </c>
      <c r="E116" s="111"/>
      <c r="F116" s="120">
        <f>F115/1000</f>
        <v>0.15475999999999998</v>
      </c>
      <c r="G116" s="111"/>
      <c r="H116" s="111"/>
      <c r="I116" s="111"/>
      <c r="J116" s="111"/>
      <c r="K116" s="111"/>
      <c r="L116" s="111"/>
      <c r="M116" s="111"/>
    </row>
    <row r="117" spans="1:13" ht="15" x14ac:dyDescent="0.25">
      <c r="A117" s="356"/>
      <c r="B117" s="112"/>
      <c r="C117" s="113" t="s">
        <v>59</v>
      </c>
      <c r="D117" s="107" t="s">
        <v>102</v>
      </c>
      <c r="E117" s="111">
        <f>405-2*4.64</f>
        <v>395.72</v>
      </c>
      <c r="F117" s="111">
        <f>F116*E117</f>
        <v>61.241627199999996</v>
      </c>
      <c r="G117" s="111"/>
      <c r="H117" s="111"/>
      <c r="I117" s="111"/>
      <c r="J117" s="111"/>
      <c r="K117" s="111"/>
      <c r="L117" s="111"/>
      <c r="M117" s="111"/>
    </row>
    <row r="118" spans="1:13" ht="15" x14ac:dyDescent="0.25">
      <c r="A118" s="356"/>
      <c r="B118" s="114"/>
      <c r="C118" s="113" t="s">
        <v>108</v>
      </c>
      <c r="D118" s="107" t="s">
        <v>99</v>
      </c>
      <c r="E118" s="111">
        <v>22.6</v>
      </c>
      <c r="F118" s="111">
        <f>F116*E118</f>
        <v>3.4975759999999996</v>
      </c>
      <c r="G118" s="111"/>
      <c r="H118" s="111"/>
      <c r="I118" s="111"/>
      <c r="J118" s="111"/>
      <c r="K118" s="111"/>
      <c r="L118" s="111"/>
      <c r="M118" s="111"/>
    </row>
    <row r="119" spans="1:13" ht="15" x14ac:dyDescent="0.25">
      <c r="A119" s="356"/>
      <c r="B119" s="112"/>
      <c r="C119" s="113" t="s">
        <v>43</v>
      </c>
      <c r="D119" s="107" t="s">
        <v>22</v>
      </c>
      <c r="E119" s="111">
        <f>13.5-2*0.1</f>
        <v>13.3</v>
      </c>
      <c r="F119" s="111">
        <f>F116*E119</f>
        <v>2.0583079999999998</v>
      </c>
      <c r="G119" s="111"/>
      <c r="H119" s="111"/>
      <c r="I119" s="111"/>
      <c r="J119" s="111"/>
      <c r="K119" s="111"/>
      <c r="L119" s="111"/>
      <c r="M119" s="111"/>
    </row>
    <row r="120" spans="1:13" ht="15" x14ac:dyDescent="0.25">
      <c r="A120" s="356"/>
      <c r="B120" s="115"/>
      <c r="C120" s="110" t="s">
        <v>112</v>
      </c>
      <c r="D120" s="107" t="s">
        <v>97</v>
      </c>
      <c r="E120" s="111">
        <f>204-4*10.2</f>
        <v>163.19999999999999</v>
      </c>
      <c r="F120" s="111">
        <f>F116*E120</f>
        <v>25.256831999999996</v>
      </c>
      <c r="G120" s="111"/>
      <c r="H120" s="111"/>
      <c r="I120" s="111"/>
      <c r="J120" s="111"/>
      <c r="K120" s="111"/>
      <c r="L120" s="111"/>
      <c r="M120" s="111"/>
    </row>
    <row r="121" spans="1:13" ht="15" x14ac:dyDescent="0.25">
      <c r="A121" s="356"/>
      <c r="B121" s="109"/>
      <c r="C121" s="28" t="s">
        <v>116</v>
      </c>
      <c r="D121" s="125" t="s">
        <v>42</v>
      </c>
      <c r="E121" s="123">
        <v>2.4</v>
      </c>
      <c r="F121" s="26">
        <f>F120*E121</f>
        <v>60.61639679999999</v>
      </c>
      <c r="G121" s="26"/>
      <c r="H121" s="26"/>
      <c r="I121" s="26"/>
      <c r="J121" s="26"/>
      <c r="K121" s="26"/>
      <c r="L121" s="26"/>
      <c r="M121" s="111"/>
    </row>
    <row r="122" spans="1:13" ht="15" x14ac:dyDescent="0.25">
      <c r="A122" s="356"/>
      <c r="B122" s="121"/>
      <c r="C122" s="117" t="s">
        <v>110</v>
      </c>
      <c r="D122" s="118" t="s">
        <v>89</v>
      </c>
      <c r="E122" s="111">
        <f>11.7-2*0.59</f>
        <v>10.52</v>
      </c>
      <c r="F122" s="111">
        <f>F116*E122</f>
        <v>1.6280751999999998</v>
      </c>
      <c r="G122" s="108"/>
      <c r="H122" s="111"/>
      <c r="I122" s="111"/>
      <c r="J122" s="111"/>
      <c r="K122" s="111"/>
      <c r="L122" s="111"/>
      <c r="M122" s="111"/>
    </row>
    <row r="123" spans="1:13" ht="15" x14ac:dyDescent="0.25">
      <c r="A123" s="356"/>
      <c r="B123" s="116"/>
      <c r="C123" s="117" t="s">
        <v>111</v>
      </c>
      <c r="D123" s="118" t="s">
        <v>105</v>
      </c>
      <c r="E123" s="111">
        <f>0.23-2*0.01</f>
        <v>0.21000000000000002</v>
      </c>
      <c r="F123" s="111">
        <f>E123*F116</f>
        <v>3.2499599999999997E-2</v>
      </c>
      <c r="G123" s="108"/>
      <c r="H123" s="111"/>
      <c r="I123" s="111"/>
      <c r="J123" s="111"/>
      <c r="K123" s="111"/>
      <c r="L123" s="111"/>
      <c r="M123" s="111"/>
    </row>
    <row r="124" spans="1:13" ht="15" x14ac:dyDescent="0.25">
      <c r="A124" s="356"/>
      <c r="B124" s="116"/>
      <c r="C124" s="117" t="s">
        <v>21</v>
      </c>
      <c r="D124" s="118" t="s">
        <v>22</v>
      </c>
      <c r="E124" s="111">
        <f>6.4-2*0.19</f>
        <v>6.0200000000000005</v>
      </c>
      <c r="F124" s="111">
        <f>E124*F116</f>
        <v>0.93165519999999991</v>
      </c>
      <c r="G124" s="108"/>
      <c r="H124" s="111"/>
      <c r="I124" s="111"/>
      <c r="J124" s="111"/>
      <c r="K124" s="111"/>
      <c r="L124" s="111"/>
      <c r="M124" s="111"/>
    </row>
    <row r="125" spans="1:13" thickBot="1" x14ac:dyDescent="0.3">
      <c r="A125" s="357"/>
      <c r="B125" s="138"/>
      <c r="C125" s="207" t="s">
        <v>33</v>
      </c>
      <c r="D125" s="208" t="s">
        <v>97</v>
      </c>
      <c r="E125" s="209">
        <v>178</v>
      </c>
      <c r="F125" s="209">
        <f>F116*E125</f>
        <v>27.547279999999997</v>
      </c>
      <c r="G125" s="209"/>
      <c r="H125" s="209"/>
      <c r="I125" s="209"/>
      <c r="J125" s="209"/>
      <c r="K125" s="209"/>
      <c r="L125" s="209"/>
      <c r="M125" s="209"/>
    </row>
    <row r="126" spans="1:13" thickTop="1" x14ac:dyDescent="0.25">
      <c r="A126" s="355">
        <v>3</v>
      </c>
      <c r="B126" s="205"/>
      <c r="C126" s="144" t="s">
        <v>114</v>
      </c>
      <c r="D126" s="188" t="s">
        <v>89</v>
      </c>
      <c r="E126" s="206"/>
      <c r="F126" s="244">
        <v>154.76</v>
      </c>
      <c r="G126" s="206"/>
      <c r="H126" s="206"/>
      <c r="I126" s="206"/>
      <c r="J126" s="206"/>
      <c r="K126" s="206"/>
      <c r="L126" s="206"/>
      <c r="M126" s="206"/>
    </row>
    <row r="127" spans="1:13" ht="15" x14ac:dyDescent="0.25">
      <c r="A127" s="356"/>
      <c r="B127" s="107"/>
      <c r="C127" s="110"/>
      <c r="D127" s="107" t="s">
        <v>107</v>
      </c>
      <c r="E127" s="111"/>
      <c r="F127" s="120">
        <f>F126/1000</f>
        <v>0.15475999999999998</v>
      </c>
      <c r="G127" s="111"/>
      <c r="H127" s="111"/>
      <c r="I127" s="111"/>
      <c r="J127" s="111"/>
      <c r="K127" s="111"/>
      <c r="L127" s="111"/>
      <c r="M127" s="111"/>
    </row>
    <row r="128" spans="1:13" ht="15" x14ac:dyDescent="0.25">
      <c r="A128" s="356"/>
      <c r="B128" s="112"/>
      <c r="C128" s="113" t="s">
        <v>59</v>
      </c>
      <c r="D128" s="107" t="s">
        <v>102</v>
      </c>
      <c r="E128" s="111">
        <v>11.7</v>
      </c>
      <c r="F128" s="111">
        <f>F127*E128</f>
        <v>1.8106919999999997</v>
      </c>
      <c r="G128" s="111"/>
      <c r="H128" s="111"/>
      <c r="I128" s="111"/>
      <c r="J128" s="111"/>
      <c r="K128" s="111"/>
      <c r="L128" s="111"/>
      <c r="M128" s="111"/>
    </row>
    <row r="129" spans="1:14" ht="15" x14ac:dyDescent="0.25">
      <c r="A129" s="356"/>
      <c r="B129" s="115"/>
      <c r="C129" s="31" t="s">
        <v>49</v>
      </c>
      <c r="D129" s="125" t="s">
        <v>46</v>
      </c>
      <c r="E129" s="47" t="s">
        <v>47</v>
      </c>
      <c r="F129" s="44">
        <f>F126*2.22/1000</f>
        <v>0.34356720000000002</v>
      </c>
      <c r="G129" s="26"/>
      <c r="H129" s="26"/>
      <c r="I129" s="26"/>
      <c r="J129" s="26"/>
      <c r="K129" s="26"/>
      <c r="L129" s="26"/>
      <c r="M129" s="26"/>
    </row>
    <row r="130" spans="1:14" ht="30.75" thickBot="1" x14ac:dyDescent="0.3">
      <c r="A130" s="357"/>
      <c r="B130" s="210"/>
      <c r="C130" s="139" t="s">
        <v>50</v>
      </c>
      <c r="D130" s="140" t="s">
        <v>42</v>
      </c>
      <c r="E130" s="141">
        <v>1</v>
      </c>
      <c r="F130" s="148">
        <f>F129*E130</f>
        <v>0.34356720000000002</v>
      </c>
      <c r="G130" s="142"/>
      <c r="H130" s="142"/>
      <c r="I130" s="142"/>
      <c r="J130" s="142"/>
      <c r="K130" s="142"/>
      <c r="L130" s="142"/>
      <c r="M130" s="142"/>
    </row>
    <row r="131" spans="1:14" s="2" customFormat="1" ht="30.75" thickTop="1" x14ac:dyDescent="0.25">
      <c r="A131" s="385">
        <v>4</v>
      </c>
      <c r="B131" s="211"/>
      <c r="C131" s="212" t="s">
        <v>58</v>
      </c>
      <c r="D131" s="199" t="s">
        <v>17</v>
      </c>
      <c r="E131" s="213"/>
      <c r="F131" s="214">
        <v>11.41</v>
      </c>
      <c r="G131" s="214"/>
      <c r="H131" s="214"/>
      <c r="I131" s="214"/>
      <c r="J131" s="214"/>
      <c r="K131" s="214"/>
      <c r="L131" s="214"/>
      <c r="M131" s="214"/>
    </row>
    <row r="132" spans="1:14" s="2" customFormat="1" ht="14.25" customHeight="1" x14ac:dyDescent="0.25">
      <c r="A132" s="386"/>
      <c r="B132" s="122"/>
      <c r="C132" s="28" t="s">
        <v>59</v>
      </c>
      <c r="D132" s="125" t="s">
        <v>14</v>
      </c>
      <c r="E132" s="123">
        <v>0.15</v>
      </c>
      <c r="F132" s="26">
        <f>E132*F131</f>
        <v>1.7115</v>
      </c>
      <c r="G132" s="26"/>
      <c r="H132" s="26"/>
      <c r="I132" s="26"/>
      <c r="J132" s="26"/>
      <c r="K132" s="26"/>
      <c r="L132" s="26"/>
      <c r="M132" s="26"/>
    </row>
    <row r="133" spans="1:14" s="2" customFormat="1" ht="14.25" customHeight="1" x14ac:dyDescent="0.25">
      <c r="A133" s="386"/>
      <c r="B133" s="128"/>
      <c r="C133" s="28" t="s">
        <v>27</v>
      </c>
      <c r="D133" s="125" t="s">
        <v>19</v>
      </c>
      <c r="E133" s="123">
        <v>2.1600000000000001E-2</v>
      </c>
      <c r="F133" s="26">
        <f>E133*F131</f>
        <v>0.24645600000000001</v>
      </c>
      <c r="G133" s="26"/>
      <c r="H133" s="26"/>
      <c r="I133" s="26"/>
      <c r="J133" s="26"/>
      <c r="K133" s="26"/>
      <c r="L133" s="26"/>
      <c r="M133" s="26"/>
    </row>
    <row r="134" spans="1:14" ht="14.25" customHeight="1" x14ac:dyDescent="0.25">
      <c r="A134" s="386"/>
      <c r="B134" s="128"/>
      <c r="C134" s="28" t="s">
        <v>39</v>
      </c>
      <c r="D134" s="125" t="s">
        <v>19</v>
      </c>
      <c r="E134" s="123">
        <v>2.7300000000000001E-2</v>
      </c>
      <c r="F134" s="26">
        <f>E134*F131</f>
        <v>0.31149300000000002</v>
      </c>
      <c r="G134" s="26"/>
      <c r="H134" s="26"/>
      <c r="I134" s="26"/>
      <c r="J134" s="26"/>
      <c r="K134" s="26"/>
      <c r="L134" s="26"/>
      <c r="M134" s="26"/>
    </row>
    <row r="135" spans="1:14" ht="14.25" customHeight="1" x14ac:dyDescent="0.25">
      <c r="A135" s="386"/>
      <c r="B135" s="128"/>
      <c r="C135" s="28" t="s">
        <v>31</v>
      </c>
      <c r="D135" s="125" t="s">
        <v>19</v>
      </c>
      <c r="E135" s="123">
        <v>9.7000000000000003E-3</v>
      </c>
      <c r="F135" s="26">
        <f>E135*F131</f>
        <v>0.11067700000000001</v>
      </c>
      <c r="G135" s="26"/>
      <c r="H135" s="26"/>
      <c r="I135" s="26"/>
      <c r="J135" s="26"/>
      <c r="K135" s="26"/>
      <c r="L135" s="26"/>
      <c r="M135" s="26"/>
    </row>
    <row r="136" spans="1:14" ht="14.25" customHeight="1" x14ac:dyDescent="0.25">
      <c r="A136" s="386"/>
      <c r="B136" s="128"/>
      <c r="C136" s="28" t="s">
        <v>60</v>
      </c>
      <c r="D136" s="125" t="s">
        <v>34</v>
      </c>
      <c r="E136" s="123">
        <v>1.22</v>
      </c>
      <c r="F136" s="26">
        <f>E136*F131</f>
        <v>13.920199999999999</v>
      </c>
      <c r="G136" s="26"/>
      <c r="H136" s="26"/>
      <c r="I136" s="26"/>
      <c r="J136" s="26"/>
      <c r="K136" s="26"/>
      <c r="L136" s="26"/>
      <c r="M136" s="26"/>
    </row>
    <row r="137" spans="1:14" ht="14.25" customHeight="1" x14ac:dyDescent="0.25">
      <c r="A137" s="386"/>
      <c r="B137" s="109"/>
      <c r="C137" s="28" t="s">
        <v>61</v>
      </c>
      <c r="D137" s="125" t="s">
        <v>42</v>
      </c>
      <c r="E137" s="123">
        <v>1.55</v>
      </c>
      <c r="F137" s="26">
        <f>F136*E137</f>
        <v>21.576309999999999</v>
      </c>
      <c r="G137" s="26"/>
      <c r="H137" s="26"/>
      <c r="I137" s="26"/>
      <c r="J137" s="26"/>
      <c r="K137" s="26"/>
      <c r="L137" s="26"/>
      <c r="M137" s="26"/>
    </row>
    <row r="138" spans="1:14" ht="14.25" customHeight="1" thickBot="1" x14ac:dyDescent="0.3">
      <c r="A138" s="387"/>
      <c r="B138" s="138"/>
      <c r="C138" s="139" t="s">
        <v>33</v>
      </c>
      <c r="D138" s="140" t="s">
        <v>34</v>
      </c>
      <c r="E138" s="141">
        <v>7.0000000000000007E-2</v>
      </c>
      <c r="F138" s="142">
        <f>E138*F131</f>
        <v>0.79870000000000008</v>
      </c>
      <c r="G138" s="142"/>
      <c r="H138" s="142"/>
      <c r="I138" s="142"/>
      <c r="J138" s="142"/>
      <c r="K138" s="142"/>
      <c r="L138" s="142"/>
      <c r="M138" s="142"/>
    </row>
    <row r="139" spans="1:14" ht="16.5" thickTop="1" thickBot="1" x14ac:dyDescent="0.3">
      <c r="A139" s="217"/>
      <c r="B139" s="218"/>
      <c r="C139" s="219" t="s">
        <v>68</v>
      </c>
      <c r="D139" s="219"/>
      <c r="E139" s="220"/>
      <c r="F139" s="221"/>
      <c r="G139" s="194"/>
      <c r="H139" s="221"/>
      <c r="I139" s="221"/>
      <c r="J139" s="221"/>
      <c r="K139" s="221"/>
      <c r="L139" s="221"/>
      <c r="M139" s="221"/>
      <c r="N139" s="2"/>
    </row>
    <row r="140" spans="1:14" s="24" customFormat="1" ht="31.5" thickTop="1" thickBot="1" x14ac:dyDescent="0.3">
      <c r="A140" s="222"/>
      <c r="B140" s="223"/>
      <c r="C140" s="224" t="s">
        <v>69</v>
      </c>
      <c r="D140" s="225"/>
      <c r="E140" s="226"/>
      <c r="F140" s="227"/>
      <c r="G140" s="227"/>
      <c r="H140" s="227"/>
      <c r="I140" s="227"/>
      <c r="J140" s="227"/>
      <c r="K140" s="227"/>
      <c r="L140" s="227"/>
      <c r="M140" s="227"/>
    </row>
    <row r="141" spans="1:14" s="2" customFormat="1" ht="43.5" customHeight="1" thickTop="1" x14ac:dyDescent="0.25">
      <c r="A141" s="388">
        <v>1</v>
      </c>
      <c r="B141" s="239"/>
      <c r="C141" s="212" t="s">
        <v>124</v>
      </c>
      <c r="D141" s="199" t="s">
        <v>17</v>
      </c>
      <c r="E141" s="213"/>
      <c r="F141" s="214">
        <v>50.82</v>
      </c>
      <c r="G141" s="214"/>
      <c r="H141" s="214"/>
      <c r="I141" s="214"/>
      <c r="J141" s="214"/>
      <c r="K141" s="214"/>
      <c r="L141" s="214"/>
      <c r="M141" s="214"/>
    </row>
    <row r="142" spans="1:14" s="2" customFormat="1" ht="13.5" customHeight="1" x14ac:dyDescent="0.3">
      <c r="A142" s="389"/>
      <c r="B142" s="131"/>
      <c r="C142" s="28" t="s">
        <v>13</v>
      </c>
      <c r="D142" s="29" t="s">
        <v>14</v>
      </c>
      <c r="E142" s="123">
        <f>0.377</f>
        <v>0.377</v>
      </c>
      <c r="F142" s="26">
        <f>E142*F141</f>
        <v>19.159140000000001</v>
      </c>
      <c r="G142" s="26"/>
      <c r="H142" s="26"/>
      <c r="I142" s="26"/>
      <c r="J142" s="26"/>
      <c r="K142" s="26"/>
      <c r="L142" s="26"/>
      <c r="M142" s="26"/>
    </row>
    <row r="143" spans="1:14" s="2" customFormat="1" ht="13.5" customHeight="1" x14ac:dyDescent="0.3">
      <c r="A143" s="389"/>
      <c r="B143" s="131"/>
      <c r="C143" s="28" t="s">
        <v>18</v>
      </c>
      <c r="D143" s="29" t="s">
        <v>19</v>
      </c>
      <c r="E143" s="123">
        <f>0.0392</f>
        <v>3.9199999999999999E-2</v>
      </c>
      <c r="F143" s="26">
        <f>E143*F141</f>
        <v>1.9921439999999999</v>
      </c>
      <c r="G143" s="26"/>
      <c r="H143" s="26"/>
      <c r="I143" s="26"/>
      <c r="J143" s="26"/>
      <c r="K143" s="26"/>
      <c r="L143" s="26"/>
      <c r="M143" s="26"/>
    </row>
    <row r="144" spans="1:14" s="2" customFormat="1" ht="13.5" customHeight="1" x14ac:dyDescent="0.3">
      <c r="A144" s="389"/>
      <c r="B144" s="131"/>
      <c r="C144" s="28" t="s">
        <v>20</v>
      </c>
      <c r="D144" s="29" t="s">
        <v>19</v>
      </c>
      <c r="E144" s="123">
        <f>0.009</f>
        <v>8.9999999999999993E-3</v>
      </c>
      <c r="F144" s="26">
        <f>F141*E144</f>
        <v>0.45737999999999995</v>
      </c>
      <c r="G144" s="26"/>
      <c r="H144" s="26"/>
      <c r="I144" s="26"/>
      <c r="J144" s="26"/>
      <c r="K144" s="26"/>
      <c r="L144" s="26"/>
      <c r="M144" s="26"/>
    </row>
    <row r="145" spans="1:14" s="2" customFormat="1" ht="13.5" customHeight="1" thickBot="1" x14ac:dyDescent="0.35">
      <c r="A145" s="390"/>
      <c r="B145" s="240"/>
      <c r="C145" s="139" t="s">
        <v>21</v>
      </c>
      <c r="D145" s="140" t="s">
        <v>22</v>
      </c>
      <c r="E145" s="141">
        <v>1.92E-3</v>
      </c>
      <c r="F145" s="142">
        <f>E145*F141</f>
        <v>9.7574400000000006E-2</v>
      </c>
      <c r="G145" s="142"/>
      <c r="H145" s="142"/>
      <c r="I145" s="142"/>
      <c r="J145" s="142"/>
      <c r="K145" s="142"/>
      <c r="L145" s="142"/>
      <c r="M145" s="142"/>
    </row>
    <row r="146" spans="1:14" s="2" customFormat="1" ht="30.75" thickTop="1" x14ac:dyDescent="0.25">
      <c r="A146" s="391">
        <v>2</v>
      </c>
      <c r="B146" s="380"/>
      <c r="C146" s="198" t="s">
        <v>64</v>
      </c>
      <c r="D146" s="199" t="s">
        <v>24</v>
      </c>
      <c r="E146" s="200"/>
      <c r="F146" s="201">
        <f>F141*0.04</f>
        <v>2.0327999999999999</v>
      </c>
      <c r="G146" s="200"/>
      <c r="H146" s="200"/>
      <c r="I146" s="200"/>
      <c r="J146" s="200"/>
      <c r="K146" s="200"/>
      <c r="L146" s="228"/>
      <c r="M146" s="228"/>
    </row>
    <row r="147" spans="1:14" s="2" customFormat="1" ht="13.5" customHeight="1" thickBot="1" x14ac:dyDescent="0.3">
      <c r="A147" s="392"/>
      <c r="B147" s="381"/>
      <c r="C147" s="203" t="s">
        <v>13</v>
      </c>
      <c r="D147" s="140" t="s">
        <v>14</v>
      </c>
      <c r="E147" s="204">
        <v>2.06</v>
      </c>
      <c r="F147" s="204">
        <f>E147*F146</f>
        <v>4.1875679999999997</v>
      </c>
      <c r="G147" s="204"/>
      <c r="H147" s="204"/>
      <c r="I147" s="204"/>
      <c r="J147" s="204"/>
      <c r="K147" s="204"/>
      <c r="L147" s="229"/>
      <c r="M147" s="229"/>
    </row>
    <row r="148" spans="1:14" ht="30.75" thickTop="1" x14ac:dyDescent="0.25">
      <c r="A148" s="382">
        <v>3</v>
      </c>
      <c r="B148" s="230"/>
      <c r="C148" s="212" t="s">
        <v>70</v>
      </c>
      <c r="D148" s="199" t="s">
        <v>24</v>
      </c>
      <c r="E148" s="231"/>
      <c r="F148" s="232">
        <f>F141</f>
        <v>50.82</v>
      </c>
      <c r="G148" s="214"/>
      <c r="H148" s="214"/>
      <c r="I148" s="214"/>
      <c r="J148" s="214"/>
      <c r="K148" s="214"/>
      <c r="L148" s="214"/>
      <c r="M148" s="214"/>
    </row>
    <row r="149" spans="1:14" s="41" customFormat="1" ht="15" x14ac:dyDescent="0.25">
      <c r="A149" s="383"/>
      <c r="B149" s="126"/>
      <c r="C149" s="36" t="s">
        <v>13</v>
      </c>
      <c r="D149" s="29" t="s">
        <v>14</v>
      </c>
      <c r="E149" s="39">
        <v>0.06</v>
      </c>
      <c r="F149" s="40">
        <f>E149*F148</f>
        <v>3.0491999999999999</v>
      </c>
      <c r="G149" s="39"/>
      <c r="H149" s="40"/>
      <c r="I149" s="40"/>
      <c r="J149" s="40"/>
      <c r="K149" s="40"/>
      <c r="L149" s="40"/>
      <c r="M149" s="40"/>
    </row>
    <row r="150" spans="1:14" s="41" customFormat="1" x14ac:dyDescent="0.3">
      <c r="A150" s="383"/>
      <c r="B150" s="97"/>
      <c r="C150" s="28" t="s">
        <v>18</v>
      </c>
      <c r="D150" s="29" t="s">
        <v>19</v>
      </c>
      <c r="E150" s="39">
        <v>0.14000000000000001</v>
      </c>
      <c r="F150" s="40">
        <f>E150*F148</f>
        <v>7.1148000000000007</v>
      </c>
      <c r="G150" s="39"/>
      <c r="H150" s="40"/>
      <c r="I150" s="40"/>
      <c r="J150" s="40"/>
      <c r="K150" s="233"/>
      <c r="L150" s="42"/>
      <c r="M150" s="40"/>
    </row>
    <row r="151" spans="1:14" s="41" customFormat="1" ht="15" x14ac:dyDescent="0.25">
      <c r="A151" s="383"/>
      <c r="B151" s="109"/>
      <c r="C151" s="28" t="s">
        <v>35</v>
      </c>
      <c r="D151" s="43" t="s">
        <v>36</v>
      </c>
      <c r="E151" s="39">
        <v>1.65</v>
      </c>
      <c r="F151" s="40">
        <f>F148*E151</f>
        <v>83.852999999999994</v>
      </c>
      <c r="G151" s="39"/>
      <c r="H151" s="40"/>
      <c r="I151" s="40"/>
      <c r="J151" s="40"/>
      <c r="K151" s="40"/>
      <c r="L151" s="40"/>
      <c r="M151" s="40"/>
    </row>
    <row r="152" spans="1:14" s="41" customFormat="1" thickBot="1" x14ac:dyDescent="0.3">
      <c r="A152" s="384"/>
      <c r="B152" s="234"/>
      <c r="C152" s="158" t="s">
        <v>32</v>
      </c>
      <c r="D152" s="140" t="s">
        <v>22</v>
      </c>
      <c r="E152" s="235">
        <f>6.98/1000</f>
        <v>6.9800000000000001E-3</v>
      </c>
      <c r="F152" s="236">
        <f>E152*F148</f>
        <v>0.35472360000000003</v>
      </c>
      <c r="G152" s="237"/>
      <c r="H152" s="236"/>
      <c r="I152" s="236"/>
      <c r="J152" s="236"/>
      <c r="K152" s="236"/>
      <c r="L152" s="236"/>
      <c r="M152" s="236"/>
    </row>
    <row r="153" spans="1:14" ht="16.5" thickTop="1" thickBot="1" x14ac:dyDescent="0.3">
      <c r="A153" s="217"/>
      <c r="B153" s="218"/>
      <c r="C153" s="219" t="s">
        <v>71</v>
      </c>
      <c r="D153" s="219"/>
      <c r="E153" s="220"/>
      <c r="F153" s="221"/>
      <c r="G153" s="194"/>
      <c r="H153" s="221"/>
      <c r="I153" s="221"/>
      <c r="J153" s="221"/>
      <c r="K153" s="221"/>
      <c r="L153" s="221"/>
      <c r="M153" s="221"/>
      <c r="N153" s="2"/>
    </row>
    <row r="154" spans="1:14" ht="50.25" customHeight="1" thickTop="1" thickBot="1" x14ac:dyDescent="0.3">
      <c r="A154" s="217"/>
      <c r="B154" s="218"/>
      <c r="C154" s="224" t="s">
        <v>72</v>
      </c>
      <c r="D154" s="241"/>
      <c r="E154" s="242"/>
      <c r="F154" s="194"/>
      <c r="G154" s="194"/>
      <c r="H154" s="194"/>
      <c r="I154" s="194"/>
      <c r="J154" s="194"/>
      <c r="K154" s="194"/>
      <c r="L154" s="194"/>
      <c r="M154" s="194"/>
    </row>
    <row r="155" spans="1:14" ht="30.75" thickTop="1" x14ac:dyDescent="0.25">
      <c r="A155" s="363">
        <v>1</v>
      </c>
      <c r="B155" s="243"/>
      <c r="C155" s="212" t="s">
        <v>115</v>
      </c>
      <c r="D155" s="199" t="s">
        <v>89</v>
      </c>
      <c r="E155" s="213"/>
      <c r="F155" s="214">
        <v>660.52</v>
      </c>
      <c r="G155" s="214"/>
      <c r="H155" s="214"/>
      <c r="I155" s="214"/>
      <c r="J155" s="214"/>
      <c r="K155" s="214"/>
      <c r="L155" s="214"/>
      <c r="M155" s="214"/>
    </row>
    <row r="156" spans="1:14" ht="15" x14ac:dyDescent="0.25">
      <c r="A156" s="364"/>
      <c r="B156" s="109"/>
      <c r="C156" s="36" t="s">
        <v>13</v>
      </c>
      <c r="D156" s="125" t="s">
        <v>14</v>
      </c>
      <c r="E156" s="123">
        <f>42.9/1000</f>
        <v>4.2900000000000001E-2</v>
      </c>
      <c r="F156" s="26">
        <f>E156*F155</f>
        <v>28.336307999999999</v>
      </c>
      <c r="G156" s="26"/>
      <c r="H156" s="26"/>
      <c r="I156" s="26"/>
      <c r="J156" s="26"/>
      <c r="K156" s="26"/>
      <c r="L156" s="26"/>
      <c r="M156" s="26"/>
    </row>
    <row r="157" spans="1:14" ht="15" x14ac:dyDescent="0.25">
      <c r="A157" s="364"/>
      <c r="B157" s="128"/>
      <c r="C157" s="28" t="s">
        <v>27</v>
      </c>
      <c r="D157" s="125" t="s">
        <v>19</v>
      </c>
      <c r="E157" s="123">
        <f>2.69/1000</f>
        <v>2.6900000000000001E-3</v>
      </c>
      <c r="F157" s="26">
        <f>E157*F155</f>
        <v>1.7767988000000001</v>
      </c>
      <c r="G157" s="26"/>
      <c r="H157" s="26"/>
      <c r="I157" s="26"/>
      <c r="J157" s="26"/>
      <c r="K157" s="26"/>
      <c r="L157" s="26"/>
      <c r="M157" s="26"/>
    </row>
    <row r="158" spans="1:14" ht="15" x14ac:dyDescent="0.25">
      <c r="A158" s="364"/>
      <c r="B158" s="128"/>
      <c r="C158" s="45" t="s">
        <v>39</v>
      </c>
      <c r="D158" s="125" t="s">
        <v>19</v>
      </c>
      <c r="E158" s="123">
        <f>0.41/1000</f>
        <v>4.0999999999999999E-4</v>
      </c>
      <c r="F158" s="26">
        <f>E158*F155</f>
        <v>0.27081319999999998</v>
      </c>
      <c r="G158" s="26"/>
      <c r="H158" s="26"/>
      <c r="I158" s="44"/>
      <c r="J158" s="26"/>
      <c r="K158" s="26"/>
      <c r="L158" s="26"/>
      <c r="M158" s="26"/>
    </row>
    <row r="159" spans="1:14" ht="15" x14ac:dyDescent="0.25">
      <c r="A159" s="364"/>
      <c r="B159" s="129"/>
      <c r="C159" s="28" t="s">
        <v>28</v>
      </c>
      <c r="D159" s="125" t="s">
        <v>19</v>
      </c>
      <c r="E159" s="123">
        <f>7.6/1000</f>
        <v>7.6E-3</v>
      </c>
      <c r="F159" s="26">
        <f>E159*F155</f>
        <v>5.019952</v>
      </c>
      <c r="G159" s="26"/>
      <c r="H159" s="26"/>
      <c r="I159" s="26"/>
      <c r="J159" s="26"/>
      <c r="K159" s="26"/>
      <c r="L159" s="26"/>
      <c r="M159" s="26"/>
    </row>
    <row r="160" spans="1:14" ht="15" x14ac:dyDescent="0.25">
      <c r="A160" s="364"/>
      <c r="B160" s="129"/>
      <c r="C160" s="28" t="s">
        <v>29</v>
      </c>
      <c r="D160" s="125" t="s">
        <v>19</v>
      </c>
      <c r="E160" s="123">
        <f>7.4/1000</f>
        <v>7.4000000000000003E-3</v>
      </c>
      <c r="F160" s="26">
        <f>E160*F155</f>
        <v>4.887848</v>
      </c>
      <c r="G160" s="26"/>
      <c r="H160" s="26"/>
      <c r="I160" s="26"/>
      <c r="J160" s="26"/>
      <c r="K160" s="26"/>
      <c r="L160" s="26"/>
      <c r="M160" s="26"/>
    </row>
    <row r="161" spans="1:14" ht="15" x14ac:dyDescent="0.25">
      <c r="A161" s="364"/>
      <c r="B161" s="128"/>
      <c r="C161" s="28" t="s">
        <v>31</v>
      </c>
      <c r="D161" s="125" t="s">
        <v>19</v>
      </c>
      <c r="E161" s="123">
        <f>1.48/1000</f>
        <v>1.48E-3</v>
      </c>
      <c r="F161" s="26">
        <f>E161*F155</f>
        <v>0.97756959999999993</v>
      </c>
      <c r="G161" s="26"/>
      <c r="H161" s="26"/>
      <c r="I161" s="26"/>
      <c r="J161" s="26"/>
      <c r="K161" s="26"/>
      <c r="L161" s="26"/>
      <c r="M161" s="26"/>
    </row>
    <row r="162" spans="1:14" x14ac:dyDescent="0.25">
      <c r="A162" s="364"/>
      <c r="B162" s="128"/>
      <c r="C162" s="28" t="s">
        <v>40</v>
      </c>
      <c r="D162" s="125" t="s">
        <v>34</v>
      </c>
      <c r="E162" s="123">
        <f>(149-2*12.4)/1000</f>
        <v>0.1242</v>
      </c>
      <c r="F162" s="26">
        <f>E162*F155</f>
        <v>82.036584000000005</v>
      </c>
      <c r="G162" s="26"/>
      <c r="H162" s="26"/>
      <c r="I162" s="26"/>
      <c r="J162" s="26"/>
      <c r="K162" s="26"/>
      <c r="L162" s="26"/>
      <c r="M162" s="26"/>
    </row>
    <row r="163" spans="1:14" ht="15" x14ac:dyDescent="0.25">
      <c r="A163" s="364"/>
      <c r="B163" s="109"/>
      <c r="C163" s="45" t="s">
        <v>41</v>
      </c>
      <c r="D163" s="125" t="s">
        <v>42</v>
      </c>
      <c r="E163" s="26">
        <v>1.6</v>
      </c>
      <c r="F163" s="26">
        <f>F162*E163</f>
        <v>131.2585344</v>
      </c>
      <c r="G163" s="26"/>
      <c r="H163" s="26"/>
      <c r="I163" s="26"/>
      <c r="J163" s="26"/>
      <c r="K163" s="26"/>
      <c r="L163" s="26"/>
      <c r="M163" s="26"/>
    </row>
    <row r="164" spans="1:14" ht="16.5" thickBot="1" x14ac:dyDescent="0.3">
      <c r="A164" s="365"/>
      <c r="B164" s="138"/>
      <c r="C164" s="139" t="s">
        <v>33</v>
      </c>
      <c r="D164" s="140" t="s">
        <v>34</v>
      </c>
      <c r="E164" s="141">
        <v>7.0000000000000007E-2</v>
      </c>
      <c r="F164" s="142">
        <f>E164*F155</f>
        <v>46.236400000000003</v>
      </c>
      <c r="G164" s="143"/>
      <c r="H164" s="142"/>
      <c r="I164" s="142"/>
      <c r="J164" s="142"/>
      <c r="K164" s="142"/>
      <c r="L164" s="142"/>
      <c r="M164" s="142"/>
    </row>
    <row r="165" spans="1:14" ht="45.75" thickTop="1" x14ac:dyDescent="0.25">
      <c r="A165" s="356">
        <v>2</v>
      </c>
      <c r="B165" s="205"/>
      <c r="C165" s="238" t="s">
        <v>73</v>
      </c>
      <c r="D165" s="188" t="s">
        <v>89</v>
      </c>
      <c r="E165" s="206"/>
      <c r="F165" s="244">
        <f>F155</f>
        <v>660.52</v>
      </c>
      <c r="G165" s="206"/>
      <c r="H165" s="206"/>
      <c r="I165" s="206"/>
      <c r="J165" s="206"/>
      <c r="K165" s="206"/>
      <c r="L165" s="206"/>
      <c r="M165" s="206"/>
    </row>
    <row r="166" spans="1:14" ht="15" x14ac:dyDescent="0.25">
      <c r="A166" s="356"/>
      <c r="B166" s="107"/>
      <c r="C166" s="110"/>
      <c r="D166" s="107" t="s">
        <v>107</v>
      </c>
      <c r="E166" s="111"/>
      <c r="F166" s="120">
        <f>F165/1000</f>
        <v>0.66052</v>
      </c>
      <c r="G166" s="111"/>
      <c r="H166" s="111"/>
      <c r="I166" s="111"/>
      <c r="J166" s="111"/>
      <c r="K166" s="111"/>
      <c r="L166" s="111"/>
      <c r="M166" s="111"/>
    </row>
    <row r="167" spans="1:14" ht="15" x14ac:dyDescent="0.25">
      <c r="A167" s="356"/>
      <c r="B167" s="112"/>
      <c r="C167" s="113" t="s">
        <v>59</v>
      </c>
      <c r="D167" s="107" t="s">
        <v>102</v>
      </c>
      <c r="E167" s="111">
        <f>405-2*4.64</f>
        <v>395.72</v>
      </c>
      <c r="F167" s="111">
        <f>F166*E167</f>
        <v>261.38097440000001</v>
      </c>
      <c r="G167" s="111"/>
      <c r="H167" s="111"/>
      <c r="I167" s="111"/>
      <c r="J167" s="111"/>
      <c r="K167" s="111"/>
      <c r="L167" s="111"/>
      <c r="M167" s="111"/>
    </row>
    <row r="168" spans="1:14" ht="15" x14ac:dyDescent="0.25">
      <c r="A168" s="356"/>
      <c r="B168" s="114"/>
      <c r="C168" s="113" t="s">
        <v>108</v>
      </c>
      <c r="D168" s="107" t="s">
        <v>99</v>
      </c>
      <c r="E168" s="111">
        <v>22.6</v>
      </c>
      <c r="F168" s="111">
        <f>F166*E168</f>
        <v>14.927752000000002</v>
      </c>
      <c r="G168" s="111"/>
      <c r="H168" s="111"/>
      <c r="I168" s="111"/>
      <c r="J168" s="111"/>
      <c r="K168" s="111"/>
      <c r="L168" s="111"/>
      <c r="M168" s="111"/>
    </row>
    <row r="169" spans="1:14" ht="15" x14ac:dyDescent="0.25">
      <c r="A169" s="356"/>
      <c r="B169" s="112"/>
      <c r="C169" s="113" t="s">
        <v>43</v>
      </c>
      <c r="D169" s="107" t="s">
        <v>22</v>
      </c>
      <c r="E169" s="111">
        <f>13.5-2*0.1</f>
        <v>13.3</v>
      </c>
      <c r="F169" s="111">
        <f>F166*E169</f>
        <v>8.7849160000000008</v>
      </c>
      <c r="G169" s="111"/>
      <c r="H169" s="111"/>
      <c r="I169" s="111"/>
      <c r="J169" s="111"/>
      <c r="K169" s="111"/>
      <c r="L169" s="111"/>
      <c r="M169" s="111"/>
    </row>
    <row r="170" spans="1:14" ht="15" x14ac:dyDescent="0.25">
      <c r="A170" s="356"/>
      <c r="B170" s="115"/>
      <c r="C170" s="110" t="s">
        <v>112</v>
      </c>
      <c r="D170" s="107" t="s">
        <v>97</v>
      </c>
      <c r="E170" s="111">
        <f>204-8*10.2</f>
        <v>122.4</v>
      </c>
      <c r="F170" s="111">
        <f>F166*E170</f>
        <v>80.847648000000007</v>
      </c>
      <c r="G170" s="111"/>
      <c r="H170" s="111"/>
      <c r="I170" s="111"/>
      <c r="J170" s="111"/>
      <c r="K170" s="111"/>
      <c r="L170" s="111"/>
      <c r="M170" s="111"/>
    </row>
    <row r="171" spans="1:14" ht="15" x14ac:dyDescent="0.25">
      <c r="A171" s="356"/>
      <c r="B171" s="109"/>
      <c r="C171" s="28" t="s">
        <v>116</v>
      </c>
      <c r="D171" s="125" t="s">
        <v>42</v>
      </c>
      <c r="E171" s="123">
        <v>2.4</v>
      </c>
      <c r="F171" s="26">
        <f>F170*E171</f>
        <v>194.03435520000002</v>
      </c>
      <c r="G171" s="26"/>
      <c r="H171" s="26"/>
      <c r="I171" s="26"/>
      <c r="J171" s="26"/>
      <c r="K171" s="26"/>
      <c r="L171" s="26"/>
      <c r="M171" s="111"/>
    </row>
    <row r="172" spans="1:14" ht="15" x14ac:dyDescent="0.25">
      <c r="A172" s="356"/>
      <c r="B172" s="121"/>
      <c r="C172" s="117" t="s">
        <v>110</v>
      </c>
      <c r="D172" s="118" t="s">
        <v>89</v>
      </c>
      <c r="E172" s="111">
        <f>11.7-2*0.59</f>
        <v>10.52</v>
      </c>
      <c r="F172" s="111">
        <f>F166*E172</f>
        <v>6.9486703999999992</v>
      </c>
      <c r="G172" s="108"/>
      <c r="H172" s="111"/>
      <c r="I172" s="111"/>
      <c r="J172" s="111"/>
      <c r="K172" s="111"/>
      <c r="L172" s="111"/>
      <c r="M172" s="111"/>
    </row>
    <row r="173" spans="1:14" ht="15" x14ac:dyDescent="0.25">
      <c r="A173" s="356"/>
      <c r="B173" s="116"/>
      <c r="C173" s="117" t="s">
        <v>111</v>
      </c>
      <c r="D173" s="118" t="s">
        <v>105</v>
      </c>
      <c r="E173" s="111">
        <f>0.23-2*0.01</f>
        <v>0.21000000000000002</v>
      </c>
      <c r="F173" s="111">
        <f>E173*F166</f>
        <v>0.1387092</v>
      </c>
      <c r="G173" s="108"/>
      <c r="H173" s="111"/>
      <c r="I173" s="111"/>
      <c r="J173" s="111"/>
      <c r="K173" s="111"/>
      <c r="L173" s="111"/>
      <c r="M173" s="111"/>
    </row>
    <row r="174" spans="1:14" ht="15" x14ac:dyDescent="0.25">
      <c r="A174" s="356"/>
      <c r="B174" s="116"/>
      <c r="C174" s="117" t="s">
        <v>21</v>
      </c>
      <c r="D174" s="118" t="s">
        <v>22</v>
      </c>
      <c r="E174" s="111">
        <f>6.4-2*0.19</f>
        <v>6.0200000000000005</v>
      </c>
      <c r="F174" s="111">
        <f>E174*F166</f>
        <v>3.9763304000000002</v>
      </c>
      <c r="G174" s="108"/>
      <c r="H174" s="111"/>
      <c r="I174" s="111"/>
      <c r="J174" s="111"/>
      <c r="K174" s="111"/>
      <c r="L174" s="111"/>
      <c r="M174" s="111"/>
    </row>
    <row r="175" spans="1:14" thickBot="1" x14ac:dyDescent="0.3">
      <c r="A175" s="357"/>
      <c r="B175" s="138"/>
      <c r="C175" s="207" t="s">
        <v>33</v>
      </c>
      <c r="D175" s="208" t="s">
        <v>97</v>
      </c>
      <c r="E175" s="209">
        <v>178</v>
      </c>
      <c r="F175" s="209">
        <f>F166*E175</f>
        <v>117.57256</v>
      </c>
      <c r="G175" s="209"/>
      <c r="H175" s="209"/>
      <c r="I175" s="209"/>
      <c r="J175" s="209"/>
      <c r="K175" s="209"/>
      <c r="L175" s="209"/>
      <c r="M175" s="209"/>
    </row>
    <row r="176" spans="1:14" ht="16.5" thickTop="1" thickBot="1" x14ac:dyDescent="0.3">
      <c r="A176" s="217"/>
      <c r="B176" s="218"/>
      <c r="C176" s="219" t="s">
        <v>74</v>
      </c>
      <c r="D176" s="219"/>
      <c r="E176" s="220"/>
      <c r="F176" s="221"/>
      <c r="G176" s="194"/>
      <c r="H176" s="221"/>
      <c r="I176" s="221"/>
      <c r="J176" s="221"/>
      <c r="K176" s="221"/>
      <c r="L176" s="221"/>
      <c r="M176" s="221"/>
      <c r="N176" s="2"/>
    </row>
    <row r="177" spans="1:13" ht="57" customHeight="1" thickTop="1" thickBot="1" x14ac:dyDescent="0.3">
      <c r="A177" s="245"/>
      <c r="B177" s="246"/>
      <c r="C177" s="224" t="s">
        <v>125</v>
      </c>
      <c r="D177" s="224"/>
      <c r="E177" s="247"/>
      <c r="F177" s="248"/>
      <c r="G177" s="248"/>
      <c r="H177" s="248"/>
      <c r="I177" s="248"/>
      <c r="J177" s="248"/>
      <c r="K177" s="248"/>
      <c r="L177" s="248"/>
      <c r="M177" s="248"/>
    </row>
    <row r="178" spans="1:13" ht="16.5" thickTop="1" x14ac:dyDescent="0.25">
      <c r="A178" s="360">
        <v>1</v>
      </c>
      <c r="B178" s="249"/>
      <c r="C178" s="212" t="s">
        <v>126</v>
      </c>
      <c r="D178" s="199" t="s">
        <v>17</v>
      </c>
      <c r="E178" s="239"/>
      <c r="F178" s="214">
        <f>177*0.7*0.1</f>
        <v>12.39</v>
      </c>
      <c r="G178" s="214"/>
      <c r="H178" s="214"/>
      <c r="I178" s="214"/>
      <c r="J178" s="214"/>
      <c r="K178" s="214"/>
      <c r="L178" s="214"/>
      <c r="M178" s="214"/>
    </row>
    <row r="179" spans="1:13" ht="15" x14ac:dyDescent="0.25">
      <c r="A179" s="361"/>
      <c r="B179" s="124"/>
      <c r="C179" s="51" t="s">
        <v>59</v>
      </c>
      <c r="D179" s="52" t="s">
        <v>14</v>
      </c>
      <c r="E179" s="53">
        <v>1.8</v>
      </c>
      <c r="F179" s="54">
        <f>E179*F178</f>
        <v>22.302000000000003</v>
      </c>
      <c r="G179" s="55"/>
      <c r="H179" s="55"/>
      <c r="I179" s="54"/>
      <c r="J179" s="55"/>
      <c r="K179" s="55"/>
      <c r="L179" s="55"/>
      <c r="M179" s="26"/>
    </row>
    <row r="180" spans="1:13" ht="15" x14ac:dyDescent="0.25">
      <c r="A180" s="361"/>
      <c r="B180" s="124"/>
      <c r="C180" s="51" t="s">
        <v>43</v>
      </c>
      <c r="D180" s="52" t="s">
        <v>22</v>
      </c>
      <c r="E180" s="53">
        <v>1.22</v>
      </c>
      <c r="F180" s="54">
        <f>E180*F178</f>
        <v>15.1158</v>
      </c>
      <c r="G180" s="54"/>
      <c r="H180" s="55"/>
      <c r="I180" s="55"/>
      <c r="J180" s="55"/>
      <c r="K180" s="55"/>
      <c r="L180" s="55"/>
      <c r="M180" s="26"/>
    </row>
    <row r="181" spans="1:13" ht="15" x14ac:dyDescent="0.25">
      <c r="A181" s="361"/>
      <c r="B181" s="128"/>
      <c r="C181" s="71" t="s">
        <v>51</v>
      </c>
      <c r="D181" s="72" t="s">
        <v>24</v>
      </c>
      <c r="E181" s="73">
        <v>1.1000000000000001</v>
      </c>
      <c r="F181" s="74">
        <f>F178*E181</f>
        <v>13.629000000000001</v>
      </c>
      <c r="G181" s="74"/>
      <c r="H181" s="74"/>
      <c r="I181" s="74"/>
      <c r="J181" s="74"/>
      <c r="K181" s="74"/>
      <c r="L181" s="74"/>
      <c r="M181" s="74"/>
    </row>
    <row r="182" spans="1:13" thickBot="1" x14ac:dyDescent="0.3">
      <c r="A182" s="362"/>
      <c r="B182" s="210"/>
      <c r="C182" s="250" t="s">
        <v>127</v>
      </c>
      <c r="D182" s="140" t="s">
        <v>42</v>
      </c>
      <c r="E182" s="141">
        <v>1.55</v>
      </c>
      <c r="F182" s="142">
        <f>F181*E182</f>
        <v>21.124950000000002</v>
      </c>
      <c r="G182" s="142"/>
      <c r="H182" s="142"/>
      <c r="I182" s="142"/>
      <c r="J182" s="142"/>
      <c r="K182" s="142"/>
      <c r="L182" s="142"/>
      <c r="M182" s="142"/>
    </row>
    <row r="183" spans="1:13" thickTop="1" x14ac:dyDescent="0.25">
      <c r="A183" s="363">
        <v>2</v>
      </c>
      <c r="B183" s="249"/>
      <c r="C183" s="212" t="s">
        <v>79</v>
      </c>
      <c r="D183" s="199" t="s">
        <v>80</v>
      </c>
      <c r="E183" s="213"/>
      <c r="F183" s="214">
        <v>168</v>
      </c>
      <c r="G183" s="214"/>
      <c r="H183" s="214"/>
      <c r="I183" s="214"/>
      <c r="J183" s="214"/>
      <c r="K183" s="214"/>
      <c r="L183" s="214"/>
      <c r="M183" s="214"/>
    </row>
    <row r="184" spans="1:13" ht="15" customHeight="1" x14ac:dyDescent="0.25">
      <c r="A184" s="364"/>
      <c r="B184" s="124"/>
      <c r="C184" s="28" t="s">
        <v>13</v>
      </c>
      <c r="D184" s="125" t="s">
        <v>14</v>
      </c>
      <c r="E184" s="123">
        <v>1.0900000000000001</v>
      </c>
      <c r="F184" s="26">
        <f>E184*F183</f>
        <v>183.12</v>
      </c>
      <c r="G184" s="26"/>
      <c r="H184" s="26"/>
      <c r="I184" s="26"/>
      <c r="J184" s="26"/>
      <c r="K184" s="26"/>
      <c r="L184" s="26"/>
      <c r="M184" s="26"/>
    </row>
    <row r="185" spans="1:13" ht="15" customHeight="1" x14ac:dyDescent="0.25">
      <c r="A185" s="364"/>
      <c r="B185" s="124"/>
      <c r="C185" s="28" t="s">
        <v>43</v>
      </c>
      <c r="D185" s="125" t="s">
        <v>22</v>
      </c>
      <c r="E185" s="123">
        <v>0.23699999999999999</v>
      </c>
      <c r="F185" s="26">
        <f>E185*F183</f>
        <v>39.815999999999995</v>
      </c>
      <c r="G185" s="26"/>
      <c r="H185" s="26"/>
      <c r="I185" s="26"/>
      <c r="J185" s="26"/>
      <c r="K185" s="26"/>
      <c r="L185" s="26"/>
      <c r="M185" s="26"/>
    </row>
    <row r="186" spans="1:13" ht="15" customHeight="1" thickBot="1" x14ac:dyDescent="0.3">
      <c r="A186" s="365"/>
      <c r="B186" s="138"/>
      <c r="C186" s="139" t="s">
        <v>81</v>
      </c>
      <c r="D186" s="140" t="s">
        <v>82</v>
      </c>
      <c r="E186" s="141">
        <v>1</v>
      </c>
      <c r="F186" s="142">
        <f>F183*E186</f>
        <v>168</v>
      </c>
      <c r="G186" s="142"/>
      <c r="H186" s="142"/>
      <c r="I186" s="142"/>
      <c r="J186" s="142"/>
      <c r="K186" s="142"/>
      <c r="L186" s="142"/>
      <c r="M186" s="142"/>
    </row>
    <row r="187" spans="1:13" ht="41.25" customHeight="1" thickTop="1" x14ac:dyDescent="0.25">
      <c r="A187" s="363">
        <v>3</v>
      </c>
      <c r="B187" s="251"/>
      <c r="C187" s="212" t="s">
        <v>83</v>
      </c>
      <c r="D187" s="199" t="s">
        <v>26</v>
      </c>
      <c r="E187" s="213"/>
      <c r="F187" s="214">
        <f>F183*0.53*3.14</f>
        <v>279.58560000000006</v>
      </c>
      <c r="G187" s="214"/>
      <c r="H187" s="214"/>
      <c r="I187" s="214"/>
      <c r="J187" s="214"/>
      <c r="K187" s="214"/>
      <c r="L187" s="214"/>
      <c r="M187" s="214"/>
    </row>
    <row r="188" spans="1:13" ht="15" x14ac:dyDescent="0.25">
      <c r="A188" s="364"/>
      <c r="B188" s="125"/>
      <c r="C188" s="28" t="s">
        <v>59</v>
      </c>
      <c r="D188" s="125" t="s">
        <v>14</v>
      </c>
      <c r="E188" s="123">
        <v>0.33600000000000002</v>
      </c>
      <c r="F188" s="26">
        <f>E188*F187</f>
        <v>93.94076160000003</v>
      </c>
      <c r="G188" s="26"/>
      <c r="H188" s="26"/>
      <c r="I188" s="26"/>
      <c r="J188" s="26"/>
      <c r="K188" s="26"/>
      <c r="L188" s="26"/>
      <c r="M188" s="26"/>
    </row>
    <row r="189" spans="1:13" ht="14.25" customHeight="1" x14ac:dyDescent="0.25">
      <c r="A189" s="364"/>
      <c r="B189" s="125"/>
      <c r="C189" s="28" t="s">
        <v>43</v>
      </c>
      <c r="D189" s="125" t="s">
        <v>22</v>
      </c>
      <c r="E189" s="123">
        <v>1.4999999999999999E-2</v>
      </c>
      <c r="F189" s="26">
        <f>E189*F187</f>
        <v>4.1937840000000008</v>
      </c>
      <c r="G189" s="26"/>
      <c r="H189" s="26"/>
      <c r="I189" s="26"/>
      <c r="J189" s="26"/>
      <c r="K189" s="26"/>
      <c r="L189" s="26"/>
      <c r="M189" s="26"/>
    </row>
    <row r="190" spans="1:13" ht="14.25" customHeight="1" x14ac:dyDescent="0.25">
      <c r="A190" s="364"/>
      <c r="B190" s="130"/>
      <c r="C190" s="28" t="s">
        <v>57</v>
      </c>
      <c r="D190" s="125" t="s">
        <v>46</v>
      </c>
      <c r="E190" s="123">
        <f>2.4/1000</f>
        <v>2.3999999999999998E-3</v>
      </c>
      <c r="F190" s="26">
        <f>F187*E190</f>
        <v>0.67100544000000006</v>
      </c>
      <c r="G190" s="26"/>
      <c r="H190" s="26"/>
      <c r="I190" s="26"/>
      <c r="J190" s="26"/>
      <c r="K190" s="26"/>
      <c r="L190" s="26"/>
      <c r="M190" s="26"/>
    </row>
    <row r="191" spans="1:13" thickBot="1" x14ac:dyDescent="0.3">
      <c r="A191" s="365"/>
      <c r="B191" s="140"/>
      <c r="C191" s="139" t="s">
        <v>21</v>
      </c>
      <c r="D191" s="140" t="s">
        <v>22</v>
      </c>
      <c r="E191" s="141">
        <v>2.2800000000000001E-2</v>
      </c>
      <c r="F191" s="142">
        <f>E191*F187</f>
        <v>6.3745516800000015</v>
      </c>
      <c r="G191" s="142"/>
      <c r="H191" s="142"/>
      <c r="I191" s="142"/>
      <c r="J191" s="142"/>
      <c r="K191" s="142"/>
      <c r="L191" s="142"/>
      <c r="M191" s="142"/>
    </row>
    <row r="192" spans="1:13" ht="30.75" thickTop="1" x14ac:dyDescent="0.25">
      <c r="A192" s="358">
        <v>4</v>
      </c>
      <c r="B192" s="126"/>
      <c r="C192" s="31" t="s">
        <v>129</v>
      </c>
      <c r="D192" s="345" t="s">
        <v>17</v>
      </c>
      <c r="E192" s="32"/>
      <c r="F192" s="57">
        <f>1.4*24</f>
        <v>33.599999999999994</v>
      </c>
      <c r="G192" s="342"/>
      <c r="H192" s="342"/>
      <c r="I192" s="342"/>
      <c r="J192" s="342"/>
      <c r="K192" s="342"/>
      <c r="L192" s="342"/>
      <c r="M192" s="342"/>
    </row>
    <row r="193" spans="1:16" ht="13.5" customHeight="1" x14ac:dyDescent="0.25">
      <c r="A193" s="358"/>
      <c r="B193" s="126"/>
      <c r="C193" s="28" t="s">
        <v>13</v>
      </c>
      <c r="D193" s="125" t="s">
        <v>14</v>
      </c>
      <c r="E193" s="123">
        <v>13.2</v>
      </c>
      <c r="F193" s="26">
        <f>E193*F192</f>
        <v>443.51999999999992</v>
      </c>
      <c r="G193" s="26"/>
      <c r="H193" s="26"/>
      <c r="I193" s="26"/>
      <c r="J193" s="26"/>
      <c r="K193" s="26"/>
      <c r="L193" s="26"/>
      <c r="M193" s="26"/>
    </row>
    <row r="194" spans="1:16" ht="13.5" customHeight="1" x14ac:dyDescent="0.25">
      <c r="A194" s="358"/>
      <c r="B194" s="126"/>
      <c r="C194" s="28" t="s">
        <v>43</v>
      </c>
      <c r="D194" s="125" t="s">
        <v>19</v>
      </c>
      <c r="E194" s="123">
        <v>1.43</v>
      </c>
      <c r="F194" s="26">
        <f>E194*F192</f>
        <v>48.047999999999988</v>
      </c>
      <c r="G194" s="26"/>
      <c r="H194" s="26"/>
      <c r="I194" s="26"/>
      <c r="J194" s="26"/>
      <c r="K194" s="26"/>
      <c r="L194" s="26"/>
      <c r="M194" s="26"/>
    </row>
    <row r="195" spans="1:16" ht="13.5" customHeight="1" x14ac:dyDescent="0.25">
      <c r="A195" s="358"/>
      <c r="B195" s="115"/>
      <c r="C195" s="28" t="s">
        <v>44</v>
      </c>
      <c r="D195" s="125" t="s">
        <v>34</v>
      </c>
      <c r="E195" s="123">
        <v>1</v>
      </c>
      <c r="F195" s="26">
        <f>F192*E195</f>
        <v>33.599999999999994</v>
      </c>
      <c r="G195" s="26"/>
      <c r="H195" s="26"/>
      <c r="I195" s="26"/>
      <c r="J195" s="26"/>
      <c r="K195" s="26"/>
      <c r="L195" s="26"/>
      <c r="M195" s="26"/>
    </row>
    <row r="196" spans="1:16" ht="13.5" customHeight="1" x14ac:dyDescent="0.25">
      <c r="A196" s="358"/>
      <c r="B196" s="109"/>
      <c r="C196" s="28" t="s">
        <v>45</v>
      </c>
      <c r="D196" s="125" t="s">
        <v>42</v>
      </c>
      <c r="E196" s="123">
        <v>2.4</v>
      </c>
      <c r="F196" s="26">
        <f>F195*E196</f>
        <v>80.639999999999986</v>
      </c>
      <c r="G196" s="26"/>
      <c r="H196" s="26"/>
      <c r="I196" s="26"/>
      <c r="J196" s="26"/>
      <c r="K196" s="26"/>
      <c r="L196" s="26"/>
      <c r="M196" s="26"/>
    </row>
    <row r="197" spans="1:16" ht="13.5" customHeight="1" x14ac:dyDescent="0.25">
      <c r="A197" s="358"/>
      <c r="B197" s="115"/>
      <c r="C197" s="110" t="s">
        <v>130</v>
      </c>
      <c r="D197" s="107" t="s">
        <v>105</v>
      </c>
      <c r="E197" s="108" t="s">
        <v>109</v>
      </c>
      <c r="F197" s="26">
        <f>24*110/1000</f>
        <v>2.64</v>
      </c>
      <c r="G197" s="26"/>
      <c r="H197" s="26"/>
      <c r="I197" s="111"/>
      <c r="J197" s="111"/>
      <c r="K197" s="111"/>
      <c r="L197" s="111"/>
      <c r="M197" s="26"/>
    </row>
    <row r="198" spans="1:16" ht="13.5" customHeight="1" x14ac:dyDescent="0.25">
      <c r="A198" s="358"/>
      <c r="B198" s="109"/>
      <c r="C198" s="28" t="s">
        <v>48</v>
      </c>
      <c r="D198" s="125" t="s">
        <v>42</v>
      </c>
      <c r="E198" s="123">
        <v>1</v>
      </c>
      <c r="F198" s="26">
        <f>F197*E198</f>
        <v>2.64</v>
      </c>
      <c r="G198" s="26"/>
      <c r="H198" s="26"/>
      <c r="I198" s="26"/>
      <c r="J198" s="26"/>
      <c r="K198" s="26"/>
      <c r="L198" s="26"/>
      <c r="M198" s="26"/>
    </row>
    <row r="199" spans="1:16" ht="13.5" customHeight="1" x14ac:dyDescent="0.25">
      <c r="A199" s="358"/>
      <c r="B199" s="121"/>
      <c r="C199" s="117" t="s">
        <v>110</v>
      </c>
      <c r="D199" s="118" t="s">
        <v>89</v>
      </c>
      <c r="E199" s="111">
        <v>2.64</v>
      </c>
      <c r="F199" s="26">
        <f>F192*E199</f>
        <v>88.703999999999994</v>
      </c>
      <c r="G199" s="26"/>
      <c r="H199" s="26"/>
      <c r="I199" s="111"/>
      <c r="J199" s="111"/>
      <c r="K199" s="111"/>
      <c r="L199" s="111"/>
      <c r="M199" s="26"/>
    </row>
    <row r="200" spans="1:16" x14ac:dyDescent="0.25">
      <c r="A200" s="358"/>
      <c r="B200" s="115"/>
      <c r="C200" s="28" t="s">
        <v>84</v>
      </c>
      <c r="D200" s="125" t="s">
        <v>34</v>
      </c>
      <c r="E200" s="123">
        <v>5.9799999999999999E-2</v>
      </c>
      <c r="F200" s="26">
        <f>E200*F192</f>
        <v>2.0092799999999995</v>
      </c>
      <c r="G200" s="26"/>
      <c r="H200" s="26"/>
      <c r="I200" s="26"/>
      <c r="J200" s="26"/>
      <c r="K200" s="26"/>
      <c r="L200" s="26"/>
      <c r="M200" s="26"/>
    </row>
    <row r="201" spans="1:16" ht="13.5" customHeight="1" thickBot="1" x14ac:dyDescent="0.3">
      <c r="A201" s="359"/>
      <c r="B201" s="234"/>
      <c r="C201" s="139" t="s">
        <v>52</v>
      </c>
      <c r="D201" s="140" t="s">
        <v>22</v>
      </c>
      <c r="E201" s="141">
        <v>0.49</v>
      </c>
      <c r="F201" s="142">
        <f>F192*E201</f>
        <v>16.463999999999999</v>
      </c>
      <c r="G201" s="142"/>
      <c r="H201" s="142"/>
      <c r="I201" s="142"/>
      <c r="J201" s="142"/>
      <c r="K201" s="142"/>
      <c r="L201" s="142"/>
      <c r="M201" s="142"/>
    </row>
    <row r="202" spans="1:16" ht="13.5" customHeight="1" thickTop="1" x14ac:dyDescent="0.25">
      <c r="A202" s="366">
        <v>5</v>
      </c>
      <c r="B202" s="249"/>
      <c r="C202" s="212" t="s">
        <v>117</v>
      </c>
      <c r="D202" s="199" t="s">
        <v>17</v>
      </c>
      <c r="E202" s="213"/>
      <c r="F202" s="214">
        <v>130</v>
      </c>
      <c r="G202" s="214"/>
      <c r="H202" s="214"/>
      <c r="I202" s="214"/>
      <c r="J202" s="214"/>
      <c r="K202" s="214"/>
      <c r="L202" s="214"/>
      <c r="M202" s="214"/>
    </row>
    <row r="203" spans="1:16" ht="13.5" customHeight="1" x14ac:dyDescent="0.25">
      <c r="A203" s="367"/>
      <c r="B203" s="124"/>
      <c r="C203" s="28" t="s">
        <v>13</v>
      </c>
      <c r="D203" s="125" t="s">
        <v>14</v>
      </c>
      <c r="E203" s="123">
        <v>0.15</v>
      </c>
      <c r="F203" s="26">
        <f>E203*F202</f>
        <v>19.5</v>
      </c>
      <c r="G203" s="26"/>
      <c r="H203" s="26"/>
      <c r="I203" s="26"/>
      <c r="J203" s="26"/>
      <c r="K203" s="26"/>
      <c r="L203" s="26"/>
      <c r="M203" s="26"/>
    </row>
    <row r="204" spans="1:16" ht="13.5" customHeight="1" x14ac:dyDescent="0.25">
      <c r="A204" s="367"/>
      <c r="B204" s="124"/>
      <c r="C204" s="58" t="s">
        <v>43</v>
      </c>
      <c r="D204" s="52" t="s">
        <v>22</v>
      </c>
      <c r="E204" s="53">
        <v>1.22</v>
      </c>
      <c r="F204" s="26">
        <f>E204*F202</f>
        <v>158.6</v>
      </c>
      <c r="G204" s="26"/>
      <c r="H204" s="26"/>
      <c r="I204" s="26"/>
      <c r="J204" s="26"/>
      <c r="K204" s="26"/>
      <c r="L204" s="26"/>
      <c r="M204" s="26"/>
    </row>
    <row r="205" spans="1:16" x14ac:dyDescent="0.25">
      <c r="A205" s="367"/>
      <c r="B205" s="128"/>
      <c r="C205" s="28" t="s">
        <v>60</v>
      </c>
      <c r="D205" s="125" t="s">
        <v>34</v>
      </c>
      <c r="E205" s="123">
        <v>1.24</v>
      </c>
      <c r="F205" s="26">
        <f>F202*E205</f>
        <v>161.19999999999999</v>
      </c>
      <c r="G205" s="26"/>
      <c r="H205" s="26"/>
      <c r="I205" s="26"/>
      <c r="J205" s="26"/>
      <c r="K205" s="26"/>
      <c r="L205" s="26"/>
      <c r="M205" s="26"/>
    </row>
    <row r="206" spans="1:16" ht="15.75" customHeight="1" thickBot="1" x14ac:dyDescent="0.3">
      <c r="A206" s="368"/>
      <c r="B206" s="210"/>
      <c r="C206" s="250" t="s">
        <v>61</v>
      </c>
      <c r="D206" s="140" t="s">
        <v>42</v>
      </c>
      <c r="E206" s="141">
        <v>1.55</v>
      </c>
      <c r="F206" s="142">
        <f>F205*E206</f>
        <v>249.85999999999999</v>
      </c>
      <c r="G206" s="142"/>
      <c r="H206" s="142"/>
      <c r="I206" s="142"/>
      <c r="J206" s="142"/>
      <c r="K206" s="142"/>
      <c r="L206" s="142"/>
      <c r="M206" s="142"/>
    </row>
    <row r="207" spans="1:16" ht="16.5" thickTop="1" thickBot="1" x14ac:dyDescent="0.3">
      <c r="A207" s="252"/>
      <c r="B207" s="253"/>
      <c r="C207" s="219" t="s">
        <v>85</v>
      </c>
      <c r="D207" s="241"/>
      <c r="E207" s="220"/>
      <c r="F207" s="194"/>
      <c r="G207" s="194"/>
      <c r="H207" s="221"/>
      <c r="I207" s="221"/>
      <c r="J207" s="221"/>
      <c r="K207" s="221"/>
      <c r="L207" s="221"/>
      <c r="M207" s="221"/>
      <c r="N207" s="2"/>
    </row>
    <row r="208" spans="1:16" s="41" customFormat="1" ht="36.75" customHeight="1" thickTop="1" thickBot="1" x14ac:dyDescent="0.35">
      <c r="A208" s="267"/>
      <c r="B208" s="268"/>
      <c r="C208" s="224" t="s">
        <v>136</v>
      </c>
      <c r="D208" s="269"/>
      <c r="E208" s="270"/>
      <c r="F208" s="271"/>
      <c r="G208" s="272"/>
      <c r="H208" s="271"/>
      <c r="I208" s="273"/>
      <c r="J208" s="273"/>
      <c r="K208" s="273"/>
      <c r="L208" s="273"/>
      <c r="M208" s="271"/>
      <c r="N208" s="369"/>
      <c r="O208" s="370"/>
      <c r="P208" s="370"/>
    </row>
    <row r="209" spans="1:13" s="41" customFormat="1" ht="30.75" thickTop="1" x14ac:dyDescent="0.25">
      <c r="A209" s="371">
        <v>1</v>
      </c>
      <c r="B209" s="262"/>
      <c r="C209" s="263" t="s">
        <v>75</v>
      </c>
      <c r="D209" s="145" t="s">
        <v>24</v>
      </c>
      <c r="E209" s="264"/>
      <c r="F209" s="265">
        <f>10*0.6*0.7</f>
        <v>4.1999999999999993</v>
      </c>
      <c r="G209" s="265"/>
      <c r="H209" s="265"/>
      <c r="I209" s="265"/>
      <c r="J209" s="265"/>
      <c r="K209" s="265"/>
      <c r="L209" s="266"/>
      <c r="M209" s="266"/>
    </row>
    <row r="210" spans="1:13" s="41" customFormat="1" ht="15" x14ac:dyDescent="0.25">
      <c r="A210" s="372"/>
      <c r="B210" s="124"/>
      <c r="C210" s="33" t="s">
        <v>13</v>
      </c>
      <c r="D210" s="125" t="s">
        <v>14</v>
      </c>
      <c r="E210" s="48">
        <v>1.32E-2</v>
      </c>
      <c r="F210" s="49">
        <f>E210*F209</f>
        <v>5.5439999999999989E-2</v>
      </c>
      <c r="G210" s="48"/>
      <c r="H210" s="34"/>
      <c r="I210" s="34"/>
      <c r="J210" s="34"/>
      <c r="K210" s="34"/>
      <c r="L210" s="50"/>
      <c r="M210" s="50"/>
    </row>
    <row r="211" spans="1:13" s="41" customFormat="1" ht="15" x14ac:dyDescent="0.25">
      <c r="A211" s="372"/>
      <c r="B211" s="97"/>
      <c r="C211" s="33" t="s">
        <v>76</v>
      </c>
      <c r="D211" s="125" t="s">
        <v>19</v>
      </c>
      <c r="E211" s="48">
        <f>0.0295</f>
        <v>2.9499999999999998E-2</v>
      </c>
      <c r="F211" s="49">
        <f>E211*F209</f>
        <v>0.12389999999999997</v>
      </c>
      <c r="G211" s="48"/>
      <c r="H211" s="34"/>
      <c r="I211" s="34"/>
      <c r="J211" s="34"/>
      <c r="K211" s="34"/>
      <c r="L211" s="50"/>
      <c r="M211" s="50"/>
    </row>
    <row r="212" spans="1:13" s="41" customFormat="1" thickBot="1" x14ac:dyDescent="0.3">
      <c r="A212" s="373"/>
      <c r="B212" s="258"/>
      <c r="C212" s="203" t="s">
        <v>43</v>
      </c>
      <c r="D212" s="140" t="s">
        <v>77</v>
      </c>
      <c r="E212" s="259">
        <v>2.0999999999999999E-3</v>
      </c>
      <c r="F212" s="260">
        <f>F209*E212</f>
        <v>8.819999999999998E-3</v>
      </c>
      <c r="G212" s="204"/>
      <c r="H212" s="204"/>
      <c r="I212" s="204"/>
      <c r="J212" s="204"/>
      <c r="K212" s="204"/>
      <c r="L212" s="261"/>
      <c r="M212" s="261"/>
    </row>
    <row r="213" spans="1:13" s="41" customFormat="1" ht="30.75" thickTop="1" x14ac:dyDescent="0.25">
      <c r="A213" s="374">
        <v>2</v>
      </c>
      <c r="B213" s="376"/>
      <c r="C213" s="254" t="s">
        <v>78</v>
      </c>
      <c r="D213" s="145" t="s">
        <v>24</v>
      </c>
      <c r="E213" s="255"/>
      <c r="F213" s="256">
        <f>F209*0.07</f>
        <v>0.29399999999999998</v>
      </c>
      <c r="G213" s="255"/>
      <c r="H213" s="255"/>
      <c r="I213" s="255"/>
      <c r="J213" s="255"/>
      <c r="K213" s="255"/>
      <c r="L213" s="257"/>
      <c r="M213" s="257"/>
    </row>
    <row r="214" spans="1:13" s="41" customFormat="1" thickBot="1" x14ac:dyDescent="0.3">
      <c r="A214" s="375"/>
      <c r="B214" s="376"/>
      <c r="C214" s="33" t="s">
        <v>13</v>
      </c>
      <c r="D214" s="125" t="s">
        <v>14</v>
      </c>
      <c r="E214" s="34">
        <v>2.06</v>
      </c>
      <c r="F214" s="34">
        <f>E214*F213</f>
        <v>0.60563999999999996</v>
      </c>
      <c r="G214" s="34"/>
      <c r="H214" s="34"/>
      <c r="I214" s="34"/>
      <c r="J214" s="34"/>
      <c r="K214" s="34"/>
      <c r="L214" s="35"/>
      <c r="M214" s="35"/>
    </row>
    <row r="215" spans="1:13" s="41" customFormat="1" ht="16.5" thickTop="1" x14ac:dyDescent="0.25">
      <c r="A215" s="360">
        <v>3</v>
      </c>
      <c r="B215" s="249"/>
      <c r="C215" s="212" t="s">
        <v>126</v>
      </c>
      <c r="D215" s="199" t="s">
        <v>17</v>
      </c>
      <c r="E215" s="239"/>
      <c r="F215" s="214">
        <f>9*1.2*0.3</f>
        <v>3.2399999999999998</v>
      </c>
      <c r="G215" s="214"/>
      <c r="H215" s="214"/>
      <c r="I215" s="214"/>
      <c r="J215" s="214"/>
      <c r="K215" s="214"/>
      <c r="L215" s="214"/>
      <c r="M215" s="214"/>
    </row>
    <row r="216" spans="1:13" s="41" customFormat="1" ht="15" x14ac:dyDescent="0.25">
      <c r="A216" s="361"/>
      <c r="B216" s="124"/>
      <c r="C216" s="51" t="s">
        <v>59</v>
      </c>
      <c r="D216" s="52" t="s">
        <v>14</v>
      </c>
      <c r="E216" s="53">
        <v>1.8</v>
      </c>
      <c r="F216" s="54">
        <f>E216*F215</f>
        <v>5.8319999999999999</v>
      </c>
      <c r="G216" s="55"/>
      <c r="H216" s="55"/>
      <c r="I216" s="54"/>
      <c r="J216" s="55"/>
      <c r="K216" s="55"/>
      <c r="L216" s="55"/>
      <c r="M216" s="26"/>
    </row>
    <row r="217" spans="1:13" s="41" customFormat="1" ht="15" x14ac:dyDescent="0.25">
      <c r="A217" s="361"/>
      <c r="B217" s="124"/>
      <c r="C217" s="51" t="s">
        <v>43</v>
      </c>
      <c r="D217" s="52" t="s">
        <v>22</v>
      </c>
      <c r="E217" s="53">
        <v>1.22</v>
      </c>
      <c r="F217" s="54">
        <f>E217*F215</f>
        <v>3.9527999999999994</v>
      </c>
      <c r="G217" s="54"/>
      <c r="H217" s="55"/>
      <c r="I217" s="55"/>
      <c r="J217" s="55"/>
      <c r="K217" s="55"/>
      <c r="L217" s="55"/>
      <c r="M217" s="26"/>
    </row>
    <row r="218" spans="1:13" s="41" customFormat="1" ht="15" x14ac:dyDescent="0.25">
      <c r="A218" s="361"/>
      <c r="B218" s="128"/>
      <c r="C218" s="71" t="s">
        <v>51</v>
      </c>
      <c r="D218" s="72" t="s">
        <v>24</v>
      </c>
      <c r="E218" s="73">
        <v>1.1000000000000001</v>
      </c>
      <c r="F218" s="74">
        <f>F215*E218</f>
        <v>3.5640000000000001</v>
      </c>
      <c r="G218" s="74"/>
      <c r="H218" s="74"/>
      <c r="I218" s="74"/>
      <c r="J218" s="74"/>
      <c r="K218" s="74"/>
      <c r="L218" s="74"/>
      <c r="M218" s="74"/>
    </row>
    <row r="219" spans="1:13" s="41" customFormat="1" thickBot="1" x14ac:dyDescent="0.3">
      <c r="A219" s="362"/>
      <c r="B219" s="210"/>
      <c r="C219" s="250" t="s">
        <v>127</v>
      </c>
      <c r="D219" s="140" t="s">
        <v>42</v>
      </c>
      <c r="E219" s="141">
        <v>1.55</v>
      </c>
      <c r="F219" s="142">
        <f>F218*E219</f>
        <v>5.5242000000000004</v>
      </c>
      <c r="G219" s="142"/>
      <c r="H219" s="142"/>
      <c r="I219" s="142"/>
      <c r="J219" s="142"/>
      <c r="K219" s="142"/>
      <c r="L219" s="142"/>
      <c r="M219" s="142"/>
    </row>
    <row r="220" spans="1:13" s="41" customFormat="1" thickTop="1" x14ac:dyDescent="0.25">
      <c r="A220" s="363">
        <v>4</v>
      </c>
      <c r="B220" s="249"/>
      <c r="C220" s="212" t="s">
        <v>131</v>
      </c>
      <c r="D220" s="199" t="s">
        <v>80</v>
      </c>
      <c r="E220" s="213"/>
      <c r="F220" s="214">
        <v>9</v>
      </c>
      <c r="G220" s="214"/>
      <c r="H220" s="214"/>
      <c r="I220" s="214"/>
      <c r="J220" s="214"/>
      <c r="K220" s="214"/>
      <c r="L220" s="214"/>
      <c r="M220" s="214"/>
    </row>
    <row r="221" spans="1:13" s="41" customFormat="1" ht="15" x14ac:dyDescent="0.25">
      <c r="A221" s="364"/>
      <c r="B221" s="124"/>
      <c r="C221" s="28" t="s">
        <v>13</v>
      </c>
      <c r="D221" s="125" t="s">
        <v>14</v>
      </c>
      <c r="E221" s="123">
        <v>2.06</v>
      </c>
      <c r="F221" s="26">
        <f>E221*F220</f>
        <v>18.54</v>
      </c>
      <c r="G221" s="26"/>
      <c r="H221" s="26"/>
      <c r="I221" s="26"/>
      <c r="J221" s="26"/>
      <c r="K221" s="26"/>
      <c r="L221" s="26"/>
      <c r="M221" s="26"/>
    </row>
    <row r="222" spans="1:13" s="41" customFormat="1" ht="15" x14ac:dyDescent="0.25">
      <c r="A222" s="364"/>
      <c r="B222" s="124"/>
      <c r="C222" s="28" t="s">
        <v>43</v>
      </c>
      <c r="D222" s="125" t="s">
        <v>22</v>
      </c>
      <c r="E222" s="123">
        <v>0.67900000000000005</v>
      </c>
      <c r="F222" s="26">
        <f>E222*F220</f>
        <v>6.1110000000000007</v>
      </c>
      <c r="G222" s="26"/>
      <c r="H222" s="26"/>
      <c r="I222" s="26"/>
      <c r="J222" s="26"/>
      <c r="K222" s="26"/>
      <c r="L222" s="26"/>
      <c r="M222" s="26"/>
    </row>
    <row r="223" spans="1:13" s="41" customFormat="1" thickBot="1" x14ac:dyDescent="0.3">
      <c r="A223" s="365"/>
      <c r="B223" s="138"/>
      <c r="C223" s="139" t="s">
        <v>132</v>
      </c>
      <c r="D223" s="140" t="s">
        <v>46</v>
      </c>
      <c r="E223" s="141" t="s">
        <v>118</v>
      </c>
      <c r="F223" s="148">
        <f>F220*3.14*1*12*7.85/1000</f>
        <v>2.6620919999999999</v>
      </c>
      <c r="G223" s="142"/>
      <c r="H223" s="142"/>
      <c r="I223" s="142"/>
      <c r="J223" s="142"/>
      <c r="K223" s="142"/>
      <c r="L223" s="142"/>
      <c r="M223" s="142"/>
    </row>
    <row r="224" spans="1:13" s="41" customFormat="1" ht="45.75" thickTop="1" x14ac:dyDescent="0.25">
      <c r="A224" s="363">
        <v>5</v>
      </c>
      <c r="B224" s="251"/>
      <c r="C224" s="212" t="s">
        <v>83</v>
      </c>
      <c r="D224" s="199" t="s">
        <v>26</v>
      </c>
      <c r="E224" s="213"/>
      <c r="F224" s="214">
        <f>F220*1*3.14</f>
        <v>28.26</v>
      </c>
      <c r="G224" s="214"/>
      <c r="H224" s="214"/>
      <c r="I224" s="214"/>
      <c r="J224" s="214"/>
      <c r="K224" s="214"/>
      <c r="L224" s="214"/>
      <c r="M224" s="214"/>
    </row>
    <row r="225" spans="1:13" s="41" customFormat="1" ht="15" x14ac:dyDescent="0.25">
      <c r="A225" s="364"/>
      <c r="B225" s="125"/>
      <c r="C225" s="28" t="s">
        <v>59</v>
      </c>
      <c r="D225" s="125" t="s">
        <v>14</v>
      </c>
      <c r="E225" s="123">
        <v>0.33600000000000002</v>
      </c>
      <c r="F225" s="26">
        <f>E225*F224</f>
        <v>9.4953600000000016</v>
      </c>
      <c r="G225" s="26"/>
      <c r="H225" s="26"/>
      <c r="I225" s="26"/>
      <c r="J225" s="26"/>
      <c r="K225" s="26"/>
      <c r="L225" s="26"/>
      <c r="M225" s="26"/>
    </row>
    <row r="226" spans="1:13" s="41" customFormat="1" ht="15" x14ac:dyDescent="0.25">
      <c r="A226" s="364"/>
      <c r="B226" s="125"/>
      <c r="C226" s="28" t="s">
        <v>43</v>
      </c>
      <c r="D226" s="125" t="s">
        <v>22</v>
      </c>
      <c r="E226" s="123">
        <v>1.4999999999999999E-2</v>
      </c>
      <c r="F226" s="26">
        <f>E226*F224</f>
        <v>0.4239</v>
      </c>
      <c r="G226" s="26"/>
      <c r="H226" s="26"/>
      <c r="I226" s="26"/>
      <c r="J226" s="26"/>
      <c r="K226" s="26"/>
      <c r="L226" s="26"/>
      <c r="M226" s="26"/>
    </row>
    <row r="227" spans="1:13" s="41" customFormat="1" ht="15" x14ac:dyDescent="0.25">
      <c r="A227" s="364"/>
      <c r="B227" s="130"/>
      <c r="C227" s="28" t="s">
        <v>57</v>
      </c>
      <c r="D227" s="125" t="s">
        <v>46</v>
      </c>
      <c r="E227" s="123">
        <f>2.4/1000</f>
        <v>2.3999999999999998E-3</v>
      </c>
      <c r="F227" s="26">
        <f>F224*E227</f>
        <v>6.7823999999999995E-2</v>
      </c>
      <c r="G227" s="26"/>
      <c r="H227" s="26"/>
      <c r="I227" s="26"/>
      <c r="J227" s="26"/>
      <c r="K227" s="26"/>
      <c r="L227" s="26"/>
      <c r="M227" s="26"/>
    </row>
    <row r="228" spans="1:13" s="41" customFormat="1" thickBot="1" x14ac:dyDescent="0.3">
      <c r="A228" s="365"/>
      <c r="B228" s="140"/>
      <c r="C228" s="139" t="s">
        <v>21</v>
      </c>
      <c r="D228" s="140" t="s">
        <v>22</v>
      </c>
      <c r="E228" s="141">
        <v>2.2800000000000001E-2</v>
      </c>
      <c r="F228" s="142">
        <f>E228*F224</f>
        <v>0.64432800000000001</v>
      </c>
      <c r="G228" s="142"/>
      <c r="H228" s="142"/>
      <c r="I228" s="142"/>
      <c r="J228" s="142"/>
      <c r="K228" s="142"/>
      <c r="L228" s="142"/>
      <c r="M228" s="142"/>
    </row>
    <row r="229" spans="1:13" s="41" customFormat="1" ht="30.75" thickTop="1" x14ac:dyDescent="0.25">
      <c r="A229" s="358">
        <v>6</v>
      </c>
      <c r="B229" s="126"/>
      <c r="C229" s="31" t="s">
        <v>133</v>
      </c>
      <c r="D229" s="345" t="s">
        <v>17</v>
      </c>
      <c r="E229" s="32"/>
      <c r="F229" s="57">
        <v>3.9</v>
      </c>
      <c r="G229" s="342"/>
      <c r="H229" s="342"/>
      <c r="I229" s="342"/>
      <c r="J229" s="342"/>
      <c r="K229" s="342"/>
      <c r="L229" s="342"/>
      <c r="M229" s="342"/>
    </row>
    <row r="230" spans="1:13" s="41" customFormat="1" ht="15" x14ac:dyDescent="0.25">
      <c r="A230" s="358"/>
      <c r="B230" s="126"/>
      <c r="C230" s="28" t="s">
        <v>13</v>
      </c>
      <c r="D230" s="125" t="s">
        <v>14</v>
      </c>
      <c r="E230" s="123">
        <v>19.3</v>
      </c>
      <c r="F230" s="26">
        <f>E230*F229</f>
        <v>75.27</v>
      </c>
      <c r="G230" s="26"/>
      <c r="H230" s="26"/>
      <c r="I230" s="26"/>
      <c r="J230" s="26"/>
      <c r="K230" s="26"/>
      <c r="L230" s="26"/>
      <c r="M230" s="26"/>
    </row>
    <row r="231" spans="1:13" s="41" customFormat="1" ht="15" x14ac:dyDescent="0.25">
      <c r="A231" s="358"/>
      <c r="B231" s="126"/>
      <c r="C231" s="28" t="s">
        <v>43</v>
      </c>
      <c r="D231" s="125" t="s">
        <v>19</v>
      </c>
      <c r="E231" s="123">
        <v>1.01</v>
      </c>
      <c r="F231" s="26">
        <f>E231*F229</f>
        <v>3.9390000000000001</v>
      </c>
      <c r="G231" s="26"/>
      <c r="H231" s="26"/>
      <c r="I231" s="26"/>
      <c r="J231" s="26"/>
      <c r="K231" s="26"/>
      <c r="L231" s="26"/>
      <c r="M231" s="26"/>
    </row>
    <row r="232" spans="1:13" s="41" customFormat="1" x14ac:dyDescent="0.25">
      <c r="A232" s="358"/>
      <c r="B232" s="115"/>
      <c r="C232" s="28" t="s">
        <v>44</v>
      </c>
      <c r="D232" s="125" t="s">
        <v>34</v>
      </c>
      <c r="E232" s="123">
        <v>1.0149999999999999</v>
      </c>
      <c r="F232" s="26">
        <f>F229*E232</f>
        <v>3.9584999999999995</v>
      </c>
      <c r="G232" s="26"/>
      <c r="H232" s="26"/>
      <c r="I232" s="26"/>
      <c r="J232" s="26"/>
      <c r="K232" s="26"/>
      <c r="L232" s="26"/>
      <c r="M232" s="26"/>
    </row>
    <row r="233" spans="1:13" s="41" customFormat="1" ht="15" x14ac:dyDescent="0.25">
      <c r="A233" s="358"/>
      <c r="B233" s="109"/>
      <c r="C233" s="28" t="s">
        <v>45</v>
      </c>
      <c r="D233" s="125" t="s">
        <v>42</v>
      </c>
      <c r="E233" s="123">
        <v>2.4</v>
      </c>
      <c r="F233" s="26">
        <f>F232*E233</f>
        <v>9.5003999999999991</v>
      </c>
      <c r="G233" s="26"/>
      <c r="H233" s="26"/>
      <c r="I233" s="26"/>
      <c r="J233" s="26"/>
      <c r="K233" s="26"/>
      <c r="L233" s="26"/>
      <c r="M233" s="26"/>
    </row>
    <row r="234" spans="1:13" s="41" customFormat="1" ht="15" x14ac:dyDescent="0.25">
      <c r="A234" s="358"/>
      <c r="B234" s="115"/>
      <c r="C234" s="110" t="s">
        <v>134</v>
      </c>
      <c r="D234" s="107" t="s">
        <v>105</v>
      </c>
      <c r="E234" s="108" t="s">
        <v>109</v>
      </c>
      <c r="F234" s="274">
        <v>0.17535000000000001</v>
      </c>
      <c r="G234" s="26"/>
      <c r="H234" s="26"/>
      <c r="I234" s="111"/>
      <c r="J234" s="111"/>
      <c r="K234" s="111"/>
      <c r="L234" s="111"/>
      <c r="M234" s="26"/>
    </row>
    <row r="235" spans="1:13" s="41" customFormat="1" ht="15" x14ac:dyDescent="0.25">
      <c r="A235" s="358"/>
      <c r="B235" s="109"/>
      <c r="C235" s="28" t="s">
        <v>135</v>
      </c>
      <c r="D235" s="125" t="s">
        <v>42</v>
      </c>
      <c r="E235" s="123">
        <v>1</v>
      </c>
      <c r="F235" s="274">
        <f>F234*E235</f>
        <v>0.17535000000000001</v>
      </c>
      <c r="G235" s="26"/>
      <c r="H235" s="26"/>
      <c r="I235" s="26"/>
      <c r="J235" s="26"/>
      <c r="K235" s="26"/>
      <c r="L235" s="26"/>
      <c r="M235" s="26"/>
    </row>
    <row r="236" spans="1:13" s="41" customFormat="1" x14ac:dyDescent="0.25">
      <c r="A236" s="358"/>
      <c r="B236" s="115"/>
      <c r="C236" s="28" t="s">
        <v>84</v>
      </c>
      <c r="D236" s="125" t="s">
        <v>34</v>
      </c>
      <c r="E236" s="123">
        <v>0.248</v>
      </c>
      <c r="F236" s="26">
        <f>E236*F229</f>
        <v>0.96719999999999995</v>
      </c>
      <c r="G236" s="26"/>
      <c r="H236" s="26"/>
      <c r="I236" s="26"/>
      <c r="J236" s="26"/>
      <c r="K236" s="26"/>
      <c r="L236" s="26"/>
      <c r="M236" s="26"/>
    </row>
    <row r="237" spans="1:13" s="41" customFormat="1" thickBot="1" x14ac:dyDescent="0.3">
      <c r="A237" s="359"/>
      <c r="B237" s="234"/>
      <c r="C237" s="139" t="s">
        <v>52</v>
      </c>
      <c r="D237" s="140" t="s">
        <v>22</v>
      </c>
      <c r="E237" s="141">
        <v>4.74</v>
      </c>
      <c r="F237" s="142">
        <f>F229*E237</f>
        <v>18.486000000000001</v>
      </c>
      <c r="G237" s="142"/>
      <c r="H237" s="142"/>
      <c r="I237" s="142"/>
      <c r="J237" s="142"/>
      <c r="K237" s="142"/>
      <c r="L237" s="142"/>
      <c r="M237" s="142"/>
    </row>
    <row r="238" spans="1:13" s="41" customFormat="1" ht="30.75" thickTop="1" x14ac:dyDescent="0.25">
      <c r="A238" s="377">
        <v>7</v>
      </c>
      <c r="B238" s="280"/>
      <c r="C238" s="281" t="s">
        <v>87</v>
      </c>
      <c r="D238" s="251" t="s">
        <v>34</v>
      </c>
      <c r="E238" s="239"/>
      <c r="F238" s="214">
        <v>7.2</v>
      </c>
      <c r="G238" s="282"/>
      <c r="H238" s="214"/>
      <c r="I238" s="283"/>
      <c r="J238" s="214"/>
      <c r="K238" s="283"/>
      <c r="L238" s="214"/>
      <c r="M238" s="214"/>
    </row>
    <row r="239" spans="1:13" x14ac:dyDescent="0.3">
      <c r="A239" s="378"/>
      <c r="B239" s="127"/>
      <c r="C239" s="63" t="s">
        <v>59</v>
      </c>
      <c r="D239" s="62" t="s">
        <v>14</v>
      </c>
      <c r="E239" s="53">
        <v>3.39</v>
      </c>
      <c r="F239" s="54">
        <f>E239*F238</f>
        <v>24.408000000000001</v>
      </c>
      <c r="G239" s="61"/>
      <c r="H239" s="26"/>
      <c r="I239" s="60"/>
      <c r="J239" s="26"/>
      <c r="K239" s="60"/>
      <c r="L239" s="26"/>
      <c r="M239" s="54"/>
    </row>
    <row r="240" spans="1:13" x14ac:dyDescent="0.3">
      <c r="A240" s="378"/>
      <c r="B240" s="127"/>
      <c r="C240" s="63" t="s">
        <v>43</v>
      </c>
      <c r="D240" s="62" t="s">
        <v>22</v>
      </c>
      <c r="E240" s="53">
        <v>1.22</v>
      </c>
      <c r="F240" s="54">
        <f>E240*F238</f>
        <v>8.7840000000000007</v>
      </c>
      <c r="G240" s="60"/>
      <c r="H240" s="26"/>
      <c r="I240" s="60"/>
      <c r="J240" s="26"/>
      <c r="K240" s="60"/>
      <c r="L240" s="26"/>
      <c r="M240" s="54"/>
    </row>
    <row r="241" spans="1:14" x14ac:dyDescent="0.25">
      <c r="A241" s="378"/>
      <c r="B241" s="128"/>
      <c r="C241" s="63" t="s">
        <v>60</v>
      </c>
      <c r="D241" s="125" t="s">
        <v>34</v>
      </c>
      <c r="E241" s="53">
        <v>1.1000000000000001</v>
      </c>
      <c r="F241" s="54">
        <f>E241*F238</f>
        <v>7.9200000000000008</v>
      </c>
      <c r="G241" s="60"/>
      <c r="H241" s="26"/>
      <c r="I241" s="60"/>
      <c r="J241" s="26"/>
      <c r="K241" s="60"/>
      <c r="L241" s="26"/>
      <c r="M241" s="54"/>
    </row>
    <row r="242" spans="1:14" s="64" customFormat="1" ht="16.5" customHeight="1" thickBot="1" x14ac:dyDescent="0.3">
      <c r="A242" s="379"/>
      <c r="B242" s="210"/>
      <c r="C242" s="284" t="s">
        <v>61</v>
      </c>
      <c r="D242" s="140" t="s">
        <v>42</v>
      </c>
      <c r="E242" s="141">
        <v>1.55</v>
      </c>
      <c r="F242" s="142">
        <f>F241*E242</f>
        <v>12.276000000000002</v>
      </c>
      <c r="G242" s="142"/>
      <c r="H242" s="142"/>
      <c r="I242" s="142"/>
      <c r="J242" s="142"/>
      <c r="K242" s="142"/>
      <c r="L242" s="142"/>
      <c r="M242" s="142"/>
    </row>
    <row r="243" spans="1:14" ht="17.25" thickTop="1" thickBot="1" x14ac:dyDescent="0.35">
      <c r="A243" s="285"/>
      <c r="B243" s="268"/>
      <c r="C243" s="224" t="s">
        <v>88</v>
      </c>
      <c r="D243" s="286"/>
      <c r="E243" s="287"/>
      <c r="F243" s="288"/>
      <c r="G243" s="288"/>
      <c r="H243" s="288"/>
      <c r="I243" s="288"/>
      <c r="J243" s="288"/>
      <c r="K243" s="288"/>
      <c r="L243" s="288"/>
      <c r="M243" s="288"/>
      <c r="N243" s="2"/>
    </row>
    <row r="244" spans="1:14" ht="16.5" thickTop="1" x14ac:dyDescent="0.3">
      <c r="A244" s="275"/>
      <c r="B244" s="276"/>
      <c r="C244" s="163"/>
      <c r="D244" s="277"/>
      <c r="E244" s="278"/>
      <c r="F244" s="279"/>
      <c r="G244" s="279"/>
      <c r="H244" s="279"/>
      <c r="I244" s="279"/>
      <c r="J244" s="279"/>
      <c r="K244" s="279"/>
      <c r="L244" s="279"/>
      <c r="M244" s="279"/>
    </row>
    <row r="245" spans="1:14" s="70" customFormat="1" ht="46.5" customHeight="1" thickBot="1" x14ac:dyDescent="0.25">
      <c r="A245" s="67"/>
      <c r="B245" s="68"/>
      <c r="C245" s="20" t="s">
        <v>137</v>
      </c>
      <c r="D245" s="68"/>
      <c r="E245" s="68"/>
      <c r="F245" s="69"/>
      <c r="G245" s="68"/>
      <c r="H245" s="68"/>
      <c r="I245" s="68"/>
      <c r="J245" s="68"/>
      <c r="K245" s="68"/>
      <c r="L245" s="68"/>
      <c r="M245" s="68"/>
    </row>
    <row r="246" spans="1:14" s="70" customFormat="1" ht="30.75" thickTop="1" x14ac:dyDescent="0.2">
      <c r="A246" s="360">
        <v>1</v>
      </c>
      <c r="B246" s="249"/>
      <c r="C246" s="212" t="s">
        <v>128</v>
      </c>
      <c r="D246" s="199" t="s">
        <v>17</v>
      </c>
      <c r="E246" s="239"/>
      <c r="F246" s="214">
        <v>2.5</v>
      </c>
      <c r="G246" s="214"/>
      <c r="H246" s="214"/>
      <c r="I246" s="214"/>
      <c r="J246" s="214"/>
      <c r="K246" s="214"/>
      <c r="L246" s="214"/>
      <c r="M246" s="214"/>
    </row>
    <row r="247" spans="1:14" s="70" customFormat="1" ht="15" x14ac:dyDescent="0.2">
      <c r="A247" s="361"/>
      <c r="B247" s="124"/>
      <c r="C247" s="51" t="s">
        <v>59</v>
      </c>
      <c r="D247" s="52" t="s">
        <v>14</v>
      </c>
      <c r="E247" s="53">
        <v>1.78</v>
      </c>
      <c r="F247" s="54">
        <f>E247*F246</f>
        <v>4.45</v>
      </c>
      <c r="G247" s="55"/>
      <c r="H247" s="55"/>
      <c r="I247" s="54"/>
      <c r="J247" s="55"/>
      <c r="K247" s="55"/>
      <c r="L247" s="55"/>
      <c r="M247" s="26"/>
    </row>
    <row r="248" spans="1:14" s="70" customFormat="1" ht="15" x14ac:dyDescent="0.2">
      <c r="A248" s="361"/>
      <c r="B248" s="124"/>
      <c r="C248" s="51" t="s">
        <v>43</v>
      </c>
      <c r="D248" s="52" t="s">
        <v>22</v>
      </c>
      <c r="E248" s="53">
        <v>1.22</v>
      </c>
      <c r="F248" s="54">
        <f>E248*F246</f>
        <v>3.05</v>
      </c>
      <c r="G248" s="54"/>
      <c r="H248" s="55"/>
      <c r="I248" s="55"/>
      <c r="J248" s="55"/>
      <c r="K248" s="55"/>
      <c r="L248" s="55"/>
      <c r="M248" s="26"/>
    </row>
    <row r="249" spans="1:14" s="70" customFormat="1" x14ac:dyDescent="0.2">
      <c r="A249" s="361"/>
      <c r="B249" s="128"/>
      <c r="C249" s="28" t="s">
        <v>40</v>
      </c>
      <c r="D249" s="125" t="s">
        <v>34</v>
      </c>
      <c r="E249" s="123">
        <v>1.1000000000000001</v>
      </c>
      <c r="F249" s="26">
        <f>E249*F179</f>
        <v>24.532200000000007</v>
      </c>
      <c r="G249" s="26"/>
      <c r="H249" s="26"/>
      <c r="I249" s="26"/>
      <c r="J249" s="26"/>
      <c r="K249" s="26"/>
      <c r="L249" s="26"/>
      <c r="M249" s="26"/>
    </row>
    <row r="250" spans="1:14" s="70" customFormat="1" thickBot="1" x14ac:dyDescent="0.25">
      <c r="A250" s="362"/>
      <c r="B250" s="210"/>
      <c r="C250" s="250" t="s">
        <v>61</v>
      </c>
      <c r="D250" s="140" t="s">
        <v>42</v>
      </c>
      <c r="E250" s="141">
        <v>1.6</v>
      </c>
      <c r="F250" s="142">
        <f>F249*E250</f>
        <v>39.251520000000014</v>
      </c>
      <c r="G250" s="142"/>
      <c r="H250" s="142"/>
      <c r="I250" s="142"/>
      <c r="J250" s="142"/>
      <c r="K250" s="142"/>
      <c r="L250" s="142"/>
      <c r="M250" s="142"/>
    </row>
    <row r="251" spans="1:14" s="70" customFormat="1" ht="30.75" thickTop="1" x14ac:dyDescent="0.2">
      <c r="A251" s="358">
        <v>2</v>
      </c>
      <c r="B251" s="126"/>
      <c r="C251" s="31" t="s">
        <v>133</v>
      </c>
      <c r="D251" s="345" t="s">
        <v>17</v>
      </c>
      <c r="E251" s="32"/>
      <c r="F251" s="289">
        <v>17.324999999999999</v>
      </c>
      <c r="G251" s="342"/>
      <c r="H251" s="342"/>
      <c r="I251" s="342"/>
      <c r="J251" s="342"/>
      <c r="K251" s="342"/>
      <c r="L251" s="342"/>
      <c r="M251" s="342"/>
    </row>
    <row r="252" spans="1:14" s="70" customFormat="1" ht="15" x14ac:dyDescent="0.2">
      <c r="A252" s="358"/>
      <c r="B252" s="126"/>
      <c r="C252" s="28" t="s">
        <v>13</v>
      </c>
      <c r="D252" s="125" t="s">
        <v>14</v>
      </c>
      <c r="E252" s="123">
        <v>19.3</v>
      </c>
      <c r="F252" s="26">
        <f>E252*F251</f>
        <v>334.3725</v>
      </c>
      <c r="G252" s="26"/>
      <c r="H252" s="26"/>
      <c r="I252" s="26"/>
      <c r="J252" s="26"/>
      <c r="K252" s="26"/>
      <c r="L252" s="26"/>
      <c r="M252" s="26"/>
    </row>
    <row r="253" spans="1:14" s="70" customFormat="1" ht="15" x14ac:dyDescent="0.2">
      <c r="A253" s="358"/>
      <c r="B253" s="126"/>
      <c r="C253" s="28" t="s">
        <v>43</v>
      </c>
      <c r="D253" s="125" t="s">
        <v>19</v>
      </c>
      <c r="E253" s="123">
        <v>1.01</v>
      </c>
      <c r="F253" s="26">
        <f>E253*F251</f>
        <v>17.498249999999999</v>
      </c>
      <c r="G253" s="26"/>
      <c r="H253" s="26"/>
      <c r="I253" s="26"/>
      <c r="J253" s="26"/>
      <c r="K253" s="26"/>
      <c r="L253" s="26"/>
      <c r="M253" s="26"/>
    </row>
    <row r="254" spans="1:14" s="70" customFormat="1" x14ac:dyDescent="0.2">
      <c r="A254" s="358"/>
      <c r="B254" s="115"/>
      <c r="C254" s="28" t="s">
        <v>44</v>
      </c>
      <c r="D254" s="125" t="s">
        <v>34</v>
      </c>
      <c r="E254" s="123">
        <v>1.0149999999999999</v>
      </c>
      <c r="F254" s="26">
        <f>F251*E254</f>
        <v>17.584874999999997</v>
      </c>
      <c r="G254" s="26"/>
      <c r="H254" s="26"/>
      <c r="I254" s="26"/>
      <c r="J254" s="26"/>
      <c r="K254" s="26"/>
      <c r="L254" s="26"/>
      <c r="M254" s="26"/>
    </row>
    <row r="255" spans="1:14" s="70" customFormat="1" ht="15" x14ac:dyDescent="0.2">
      <c r="A255" s="358"/>
      <c r="B255" s="109"/>
      <c r="C255" s="28" t="s">
        <v>45</v>
      </c>
      <c r="D255" s="125" t="s">
        <v>42</v>
      </c>
      <c r="E255" s="123">
        <v>2.4</v>
      </c>
      <c r="F255" s="26">
        <f>F254*E255</f>
        <v>42.203699999999991</v>
      </c>
      <c r="G255" s="26"/>
      <c r="H255" s="26"/>
      <c r="I255" s="26"/>
      <c r="J255" s="26"/>
      <c r="K255" s="26"/>
      <c r="L255" s="26"/>
      <c r="M255" s="26"/>
    </row>
    <row r="256" spans="1:14" s="70" customFormat="1" ht="15" x14ac:dyDescent="0.2">
      <c r="A256" s="358"/>
      <c r="B256" s="115"/>
      <c r="C256" s="110" t="s">
        <v>134</v>
      </c>
      <c r="D256" s="107" t="s">
        <v>105</v>
      </c>
      <c r="E256" s="108" t="s">
        <v>109</v>
      </c>
      <c r="F256" s="274">
        <f>0.17535*3</f>
        <v>0.52605000000000002</v>
      </c>
      <c r="G256" s="26"/>
      <c r="H256" s="26"/>
      <c r="I256" s="111"/>
      <c r="J256" s="111"/>
      <c r="K256" s="111"/>
      <c r="L256" s="111"/>
      <c r="M256" s="26"/>
    </row>
    <row r="257" spans="1:15" s="70" customFormat="1" ht="15" x14ac:dyDescent="0.2">
      <c r="A257" s="358"/>
      <c r="B257" s="109"/>
      <c r="C257" s="28" t="s">
        <v>135</v>
      </c>
      <c r="D257" s="125" t="s">
        <v>42</v>
      </c>
      <c r="E257" s="123">
        <v>1</v>
      </c>
      <c r="F257" s="274">
        <f>F256*E257</f>
        <v>0.52605000000000002</v>
      </c>
      <c r="G257" s="26"/>
      <c r="H257" s="26"/>
      <c r="I257" s="26"/>
      <c r="J257" s="26"/>
      <c r="K257" s="26"/>
      <c r="L257" s="26"/>
      <c r="M257" s="26"/>
    </row>
    <row r="258" spans="1:15" s="70" customFormat="1" x14ac:dyDescent="0.2">
      <c r="A258" s="358"/>
      <c r="B258" s="115"/>
      <c r="C258" s="28" t="s">
        <v>84</v>
      </c>
      <c r="D258" s="125" t="s">
        <v>34</v>
      </c>
      <c r="E258" s="123">
        <v>0.248</v>
      </c>
      <c r="F258" s="26">
        <f>E258*F251</f>
        <v>4.2965999999999998</v>
      </c>
      <c r="G258" s="26"/>
      <c r="H258" s="26"/>
      <c r="I258" s="26"/>
      <c r="J258" s="26"/>
      <c r="K258" s="26"/>
      <c r="L258" s="26"/>
      <c r="M258" s="26"/>
    </row>
    <row r="259" spans="1:15" s="70" customFormat="1" thickBot="1" x14ac:dyDescent="0.25">
      <c r="A259" s="359"/>
      <c r="B259" s="234"/>
      <c r="C259" s="139" t="s">
        <v>52</v>
      </c>
      <c r="D259" s="140" t="s">
        <v>22</v>
      </c>
      <c r="E259" s="141">
        <v>4.74</v>
      </c>
      <c r="F259" s="142">
        <f>F251*E259</f>
        <v>82.120500000000007</v>
      </c>
      <c r="G259" s="142"/>
      <c r="H259" s="142"/>
      <c r="I259" s="142"/>
      <c r="J259" s="142"/>
      <c r="K259" s="142"/>
      <c r="L259" s="142"/>
      <c r="M259" s="142"/>
    </row>
    <row r="260" spans="1:15" s="81" customFormat="1" ht="16.5" thickTop="1" thickBot="1" x14ac:dyDescent="0.3">
      <c r="A260" s="292"/>
      <c r="B260" s="293"/>
      <c r="C260" s="294" t="s">
        <v>90</v>
      </c>
      <c r="D260" s="295"/>
      <c r="E260" s="295"/>
      <c r="F260" s="296"/>
      <c r="G260" s="296"/>
      <c r="H260" s="297"/>
      <c r="I260" s="297"/>
      <c r="J260" s="297"/>
      <c r="K260" s="297"/>
      <c r="L260" s="297"/>
      <c r="M260" s="297"/>
      <c r="N260" s="2"/>
      <c r="O260" s="80"/>
    </row>
    <row r="261" spans="1:15" s="81" customFormat="1" ht="16.5" thickTop="1" thickBot="1" x14ac:dyDescent="0.3">
      <c r="A261" s="292"/>
      <c r="B261" s="293"/>
      <c r="C261" s="224" t="s">
        <v>147</v>
      </c>
      <c r="D261" s="295"/>
      <c r="E261" s="295"/>
      <c r="F261" s="296"/>
      <c r="G261" s="296"/>
      <c r="H261" s="296"/>
      <c r="I261" s="296"/>
      <c r="J261" s="296"/>
      <c r="K261" s="296"/>
      <c r="L261" s="296"/>
      <c r="M261" s="296"/>
      <c r="N261" s="80"/>
      <c r="O261" s="80"/>
    </row>
    <row r="262" spans="1:15" s="81" customFormat="1" ht="26.25" thickTop="1" x14ac:dyDescent="0.25">
      <c r="A262" s="351">
        <v>1</v>
      </c>
      <c r="B262" s="303"/>
      <c r="C262" s="304" t="s">
        <v>148</v>
      </c>
      <c r="D262" s="305" t="s">
        <v>139</v>
      </c>
      <c r="E262" s="306"/>
      <c r="F262" s="300">
        <v>5</v>
      </c>
      <c r="G262" s="301"/>
      <c r="H262" s="301"/>
      <c r="I262" s="301"/>
      <c r="J262" s="301"/>
      <c r="K262" s="301"/>
      <c r="L262" s="301"/>
      <c r="M262" s="301"/>
      <c r="N262" s="80"/>
      <c r="O262" s="80"/>
    </row>
    <row r="263" spans="1:15" s="81" customFormat="1" ht="15" x14ac:dyDescent="0.25">
      <c r="A263" s="352"/>
      <c r="B263" s="298"/>
      <c r="C263" s="307"/>
      <c r="D263" s="308" t="s">
        <v>146</v>
      </c>
      <c r="E263" s="309">
        <f>2*2</f>
        <v>4</v>
      </c>
      <c r="F263" s="290">
        <f>E263*F262/10</f>
        <v>2</v>
      </c>
      <c r="G263" s="106"/>
      <c r="H263" s="106"/>
      <c r="I263" s="106"/>
      <c r="J263" s="106"/>
      <c r="K263" s="106"/>
      <c r="L263" s="106"/>
      <c r="M263" s="106"/>
      <c r="N263" s="80"/>
      <c r="O263" s="80"/>
    </row>
    <row r="264" spans="1:15" s="81" customFormat="1" ht="15" x14ac:dyDescent="0.25">
      <c r="A264" s="352"/>
      <c r="B264" s="298"/>
      <c r="C264" s="307"/>
      <c r="D264" s="308" t="s">
        <v>97</v>
      </c>
      <c r="E264" s="309">
        <f>2*2*0.3</f>
        <v>1.2</v>
      </c>
      <c r="F264" s="290">
        <f>E264*F262</f>
        <v>6</v>
      </c>
      <c r="G264" s="106"/>
      <c r="H264" s="106"/>
      <c r="I264" s="106"/>
      <c r="J264" s="106"/>
      <c r="K264" s="106"/>
      <c r="L264" s="106"/>
      <c r="M264" s="106"/>
      <c r="N264" s="80"/>
      <c r="O264" s="80"/>
    </row>
    <row r="265" spans="1:15" s="81" customFormat="1" ht="15" x14ac:dyDescent="0.25">
      <c r="A265" s="352"/>
      <c r="B265" s="310"/>
      <c r="C265" s="311" t="s">
        <v>140</v>
      </c>
      <c r="D265" s="312" t="s">
        <v>102</v>
      </c>
      <c r="E265" s="309">
        <v>2.8</v>
      </c>
      <c r="F265" s="106">
        <f>E265*F264</f>
        <v>16.799999999999997</v>
      </c>
      <c r="G265" s="106"/>
      <c r="H265" s="106"/>
      <c r="I265" s="106"/>
      <c r="J265" s="106"/>
      <c r="K265" s="106"/>
      <c r="L265" s="106"/>
      <c r="M265" s="106"/>
      <c r="N265" s="80"/>
      <c r="O265" s="80"/>
    </row>
    <row r="266" spans="1:15" s="81" customFormat="1" ht="15" x14ac:dyDescent="0.25">
      <c r="A266" s="352"/>
      <c r="B266" s="310"/>
      <c r="C266" s="313" t="s">
        <v>149</v>
      </c>
      <c r="D266" s="308" t="s">
        <v>139</v>
      </c>
      <c r="E266" s="314">
        <v>1</v>
      </c>
      <c r="F266" s="106">
        <f>E266*F262</f>
        <v>5</v>
      </c>
      <c r="G266" s="106"/>
      <c r="H266" s="106"/>
      <c r="I266" s="106"/>
      <c r="J266" s="106"/>
      <c r="K266" s="106"/>
      <c r="L266" s="106"/>
      <c r="M266" s="106"/>
      <c r="N266" s="80"/>
      <c r="O266" s="80"/>
    </row>
    <row r="267" spans="1:15" s="81" customFormat="1" ht="15" x14ac:dyDescent="0.25">
      <c r="A267" s="352"/>
      <c r="B267" s="310"/>
      <c r="C267" s="313" t="s">
        <v>142</v>
      </c>
      <c r="D267" s="312" t="s">
        <v>97</v>
      </c>
      <c r="E267" s="309">
        <v>3.15</v>
      </c>
      <c r="F267" s="106">
        <f>E267*F263</f>
        <v>6.3</v>
      </c>
      <c r="G267" s="106"/>
      <c r="H267" s="106"/>
      <c r="I267" s="106"/>
      <c r="J267" s="106"/>
      <c r="K267" s="106"/>
      <c r="L267" s="106"/>
      <c r="M267" s="106"/>
      <c r="N267" s="80"/>
      <c r="O267" s="80"/>
    </row>
    <row r="268" spans="1:15" s="81" customFormat="1" thickBot="1" x14ac:dyDescent="0.3">
      <c r="A268" s="353"/>
      <c r="B268" s="315"/>
      <c r="C268" s="316" t="s">
        <v>143</v>
      </c>
      <c r="D268" s="317" t="s">
        <v>86</v>
      </c>
      <c r="E268" s="318">
        <v>5.13</v>
      </c>
      <c r="F268" s="302">
        <f>E268*F263</f>
        <v>10.26</v>
      </c>
      <c r="G268" s="302"/>
      <c r="H268" s="302"/>
      <c r="I268" s="302"/>
      <c r="J268" s="302"/>
      <c r="K268" s="302"/>
      <c r="L268" s="302"/>
      <c r="M268" s="302"/>
      <c r="N268" s="80"/>
      <c r="O268" s="80"/>
    </row>
    <row r="269" spans="1:15" s="81" customFormat="1" ht="26.25" thickTop="1" x14ac:dyDescent="0.25">
      <c r="A269" s="351">
        <v>2</v>
      </c>
      <c r="B269" s="303"/>
      <c r="C269" s="304" t="s">
        <v>138</v>
      </c>
      <c r="D269" s="305" t="s">
        <v>139</v>
      </c>
      <c r="E269" s="306"/>
      <c r="F269" s="300">
        <v>12</v>
      </c>
      <c r="G269" s="301"/>
      <c r="H269" s="301"/>
      <c r="I269" s="301"/>
      <c r="J269" s="301"/>
      <c r="K269" s="301"/>
      <c r="L269" s="301"/>
      <c r="M269" s="301"/>
      <c r="N269" s="80"/>
      <c r="O269" s="80"/>
    </row>
    <row r="270" spans="1:15" s="81" customFormat="1" ht="15" x14ac:dyDescent="0.25">
      <c r="A270" s="352"/>
      <c r="B270" s="310"/>
      <c r="C270" s="307"/>
      <c r="D270" s="308" t="s">
        <v>97</v>
      </c>
      <c r="E270" s="309">
        <v>1.5</v>
      </c>
      <c r="F270" s="291">
        <f>E270*F269</f>
        <v>18</v>
      </c>
      <c r="G270" s="106"/>
      <c r="H270" s="106"/>
      <c r="I270" s="106"/>
      <c r="J270" s="106"/>
      <c r="K270" s="106"/>
      <c r="L270" s="106"/>
      <c r="M270" s="106"/>
      <c r="N270" s="80"/>
      <c r="O270" s="80"/>
    </row>
    <row r="271" spans="1:15" s="81" customFormat="1" ht="15" x14ac:dyDescent="0.25">
      <c r="A271" s="352"/>
      <c r="B271" s="310"/>
      <c r="C271" s="311" t="s">
        <v>140</v>
      </c>
      <c r="D271" s="312" t="s">
        <v>102</v>
      </c>
      <c r="E271" s="309">
        <v>3.1</v>
      </c>
      <c r="F271" s="106">
        <f>E271*F270</f>
        <v>55.800000000000004</v>
      </c>
      <c r="G271" s="106"/>
      <c r="H271" s="106"/>
      <c r="I271" s="106"/>
      <c r="J271" s="106"/>
      <c r="K271" s="106"/>
      <c r="L271" s="106"/>
      <c r="M271" s="106"/>
      <c r="N271" s="80"/>
      <c r="O271" s="80"/>
    </row>
    <row r="272" spans="1:15" s="81" customFormat="1" ht="15" x14ac:dyDescent="0.25">
      <c r="A272" s="352"/>
      <c r="B272" s="310"/>
      <c r="C272" s="313" t="s">
        <v>141</v>
      </c>
      <c r="D272" s="308" t="s">
        <v>139</v>
      </c>
      <c r="E272" s="314">
        <v>1</v>
      </c>
      <c r="F272" s="106">
        <f>E272*F269</f>
        <v>12</v>
      </c>
      <c r="G272" s="106"/>
      <c r="H272" s="106"/>
      <c r="I272" s="106"/>
      <c r="J272" s="106"/>
      <c r="K272" s="106"/>
      <c r="L272" s="106"/>
      <c r="M272" s="106"/>
      <c r="N272" s="80"/>
      <c r="O272" s="80"/>
    </row>
    <row r="273" spans="1:15" s="81" customFormat="1" ht="15" x14ac:dyDescent="0.25">
      <c r="A273" s="352"/>
      <c r="B273" s="310"/>
      <c r="C273" s="313" t="s">
        <v>142</v>
      </c>
      <c r="D273" s="312" t="s">
        <v>97</v>
      </c>
      <c r="E273" s="309">
        <v>1.05</v>
      </c>
      <c r="F273" s="106">
        <f>E273*F270</f>
        <v>18.900000000000002</v>
      </c>
      <c r="G273" s="106"/>
      <c r="H273" s="106"/>
      <c r="I273" s="106"/>
      <c r="J273" s="106"/>
      <c r="K273" s="106"/>
      <c r="L273" s="106"/>
      <c r="M273" s="106"/>
      <c r="N273" s="80"/>
      <c r="O273" s="80"/>
    </row>
    <row r="274" spans="1:15" s="81" customFormat="1" thickBot="1" x14ac:dyDescent="0.3">
      <c r="A274" s="353"/>
      <c r="B274" s="315"/>
      <c r="C274" s="316" t="s">
        <v>143</v>
      </c>
      <c r="D274" s="317" t="s">
        <v>86</v>
      </c>
      <c r="E274" s="318">
        <v>1.1499999999999999</v>
      </c>
      <c r="F274" s="302">
        <f>E274*F270</f>
        <v>20.7</v>
      </c>
      <c r="G274" s="302"/>
      <c r="H274" s="302"/>
      <c r="I274" s="302"/>
      <c r="J274" s="302"/>
      <c r="K274" s="302"/>
      <c r="L274" s="302"/>
      <c r="M274" s="302"/>
      <c r="N274" s="80"/>
      <c r="O274" s="80"/>
    </row>
    <row r="275" spans="1:15" s="81" customFormat="1" ht="26.25" thickTop="1" x14ac:dyDescent="0.25">
      <c r="A275" s="351">
        <v>3</v>
      </c>
      <c r="B275" s="303"/>
      <c r="C275" s="304" t="s">
        <v>144</v>
      </c>
      <c r="D275" s="305" t="s">
        <v>139</v>
      </c>
      <c r="E275" s="306"/>
      <c r="F275" s="300">
        <v>2</v>
      </c>
      <c r="G275" s="301"/>
      <c r="H275" s="301"/>
      <c r="I275" s="301"/>
      <c r="J275" s="301"/>
      <c r="K275" s="301"/>
      <c r="L275" s="301"/>
      <c r="M275" s="301"/>
      <c r="N275" s="80"/>
      <c r="O275" s="80"/>
    </row>
    <row r="276" spans="1:15" s="81" customFormat="1" ht="15" x14ac:dyDescent="0.25">
      <c r="A276" s="352"/>
      <c r="B276" s="308"/>
      <c r="C276" s="313"/>
      <c r="D276" s="308" t="s">
        <v>97</v>
      </c>
      <c r="E276" s="309">
        <v>2</v>
      </c>
      <c r="F276" s="291">
        <f>E276*F275</f>
        <v>4</v>
      </c>
      <c r="G276" s="106"/>
      <c r="H276" s="106"/>
      <c r="I276" s="106"/>
      <c r="J276" s="106"/>
      <c r="K276" s="106"/>
      <c r="L276" s="106"/>
      <c r="M276" s="106"/>
      <c r="N276" s="80"/>
      <c r="O276" s="80"/>
    </row>
    <row r="277" spans="1:15" s="81" customFormat="1" ht="15" x14ac:dyDescent="0.25">
      <c r="A277" s="352"/>
      <c r="B277" s="310"/>
      <c r="C277" s="311" t="s">
        <v>140</v>
      </c>
      <c r="D277" s="312" t="s">
        <v>102</v>
      </c>
      <c r="E277" s="309">
        <v>3.1</v>
      </c>
      <c r="F277" s="106">
        <f>E277*F276</f>
        <v>12.4</v>
      </c>
      <c r="G277" s="106"/>
      <c r="H277" s="106"/>
      <c r="I277" s="106"/>
      <c r="J277" s="106"/>
      <c r="K277" s="106"/>
      <c r="L277" s="106"/>
      <c r="M277" s="106"/>
      <c r="N277" s="80"/>
      <c r="O277" s="80"/>
    </row>
    <row r="278" spans="1:15" s="81" customFormat="1" ht="15" x14ac:dyDescent="0.25">
      <c r="A278" s="352"/>
      <c r="B278" s="310"/>
      <c r="C278" s="313" t="s">
        <v>145</v>
      </c>
      <c r="D278" s="308" t="s">
        <v>139</v>
      </c>
      <c r="E278" s="314">
        <v>1</v>
      </c>
      <c r="F278" s="106">
        <f>E278*F275</f>
        <v>2</v>
      </c>
      <c r="G278" s="106"/>
      <c r="H278" s="106"/>
      <c r="I278" s="106"/>
      <c r="J278" s="106"/>
      <c r="K278" s="106"/>
      <c r="L278" s="106"/>
      <c r="M278" s="106"/>
      <c r="N278" s="80"/>
      <c r="O278" s="80"/>
    </row>
    <row r="279" spans="1:15" s="81" customFormat="1" ht="15" x14ac:dyDescent="0.25">
      <c r="A279" s="352"/>
      <c r="B279" s="310"/>
      <c r="C279" s="313" t="s">
        <v>142</v>
      </c>
      <c r="D279" s="312" t="s">
        <v>97</v>
      </c>
      <c r="E279" s="309">
        <v>1.05</v>
      </c>
      <c r="F279" s="106">
        <f>E279*F276</f>
        <v>4.2</v>
      </c>
      <c r="G279" s="106"/>
      <c r="H279" s="106"/>
      <c r="I279" s="106"/>
      <c r="J279" s="106"/>
      <c r="K279" s="106"/>
      <c r="L279" s="106"/>
      <c r="M279" s="106"/>
      <c r="N279" s="80"/>
      <c r="O279" s="80"/>
    </row>
    <row r="280" spans="1:15" s="81" customFormat="1" thickBot="1" x14ac:dyDescent="0.3">
      <c r="A280" s="353"/>
      <c r="B280" s="315"/>
      <c r="C280" s="316" t="s">
        <v>143</v>
      </c>
      <c r="D280" s="317" t="s">
        <v>86</v>
      </c>
      <c r="E280" s="318">
        <v>1.1499999999999999</v>
      </c>
      <c r="F280" s="302">
        <f>E280*F276</f>
        <v>4.5999999999999996</v>
      </c>
      <c r="G280" s="302"/>
      <c r="H280" s="302"/>
      <c r="I280" s="302"/>
      <c r="J280" s="302"/>
      <c r="K280" s="302"/>
      <c r="L280" s="302"/>
      <c r="M280" s="302"/>
      <c r="N280" s="80"/>
      <c r="O280" s="80"/>
    </row>
    <row r="281" spans="1:15" s="81" customFormat="1" ht="26.25" thickTop="1" x14ac:dyDescent="0.25">
      <c r="A281" s="351">
        <v>4</v>
      </c>
      <c r="B281" s="303"/>
      <c r="C281" s="304" t="s">
        <v>150</v>
      </c>
      <c r="D281" s="305" t="s">
        <v>139</v>
      </c>
      <c r="E281" s="306"/>
      <c r="F281" s="300">
        <v>1</v>
      </c>
      <c r="G281" s="301"/>
      <c r="H281" s="301"/>
      <c r="I281" s="301"/>
      <c r="J281" s="301"/>
      <c r="K281" s="301"/>
      <c r="L281" s="301"/>
      <c r="M281" s="301"/>
      <c r="N281" s="80"/>
      <c r="O281" s="80"/>
    </row>
    <row r="282" spans="1:15" s="81" customFormat="1" ht="15" x14ac:dyDescent="0.25">
      <c r="A282" s="352"/>
      <c r="B282" s="308"/>
      <c r="C282" s="313"/>
      <c r="D282" s="308" t="s">
        <v>97</v>
      </c>
      <c r="E282" s="309">
        <v>3</v>
      </c>
      <c r="F282" s="291">
        <f>E282*F281</f>
        <v>3</v>
      </c>
      <c r="G282" s="106"/>
      <c r="H282" s="106"/>
      <c r="I282" s="106"/>
      <c r="J282" s="106"/>
      <c r="K282" s="106"/>
      <c r="L282" s="106"/>
      <c r="M282" s="106"/>
      <c r="N282" s="80"/>
      <c r="O282" s="80"/>
    </row>
    <row r="283" spans="1:15" s="81" customFormat="1" ht="15" x14ac:dyDescent="0.25">
      <c r="A283" s="352"/>
      <c r="B283" s="310"/>
      <c r="C283" s="311" t="s">
        <v>140</v>
      </c>
      <c r="D283" s="312" t="s">
        <v>102</v>
      </c>
      <c r="E283" s="309">
        <v>3.1</v>
      </c>
      <c r="F283" s="106">
        <f>E283*F282</f>
        <v>9.3000000000000007</v>
      </c>
      <c r="G283" s="106"/>
      <c r="H283" s="106"/>
      <c r="I283" s="106"/>
      <c r="J283" s="106"/>
      <c r="K283" s="106"/>
      <c r="L283" s="106"/>
      <c r="M283" s="106"/>
      <c r="N283" s="80"/>
      <c r="O283" s="80"/>
    </row>
    <row r="284" spans="1:15" s="81" customFormat="1" ht="15" x14ac:dyDescent="0.25">
      <c r="A284" s="352"/>
      <c r="B284" s="310"/>
      <c r="C284" s="313" t="s">
        <v>151</v>
      </c>
      <c r="D284" s="308" t="s">
        <v>139</v>
      </c>
      <c r="E284" s="314">
        <v>1</v>
      </c>
      <c r="F284" s="106">
        <f>E284*F281</f>
        <v>1</v>
      </c>
      <c r="G284" s="106"/>
      <c r="H284" s="106"/>
      <c r="I284" s="106"/>
      <c r="J284" s="106"/>
      <c r="K284" s="106"/>
      <c r="L284" s="106"/>
      <c r="M284" s="106"/>
      <c r="N284" s="80"/>
      <c r="O284" s="80"/>
    </row>
    <row r="285" spans="1:15" s="81" customFormat="1" ht="15" x14ac:dyDescent="0.25">
      <c r="A285" s="352"/>
      <c r="B285" s="310"/>
      <c r="C285" s="313" t="s">
        <v>142</v>
      </c>
      <c r="D285" s="312" t="s">
        <v>97</v>
      </c>
      <c r="E285" s="309">
        <v>1.05</v>
      </c>
      <c r="F285" s="106">
        <f>E285*F282</f>
        <v>3.1500000000000004</v>
      </c>
      <c r="G285" s="106"/>
      <c r="H285" s="106"/>
      <c r="I285" s="106"/>
      <c r="J285" s="106"/>
      <c r="K285" s="106"/>
      <c r="L285" s="106"/>
      <c r="M285" s="106"/>
      <c r="N285" s="80">
        <f>F264+F270+F276+F282</f>
        <v>31</v>
      </c>
      <c r="O285" s="80"/>
    </row>
    <row r="286" spans="1:15" s="81" customFormat="1" thickBot="1" x14ac:dyDescent="0.3">
      <c r="A286" s="353"/>
      <c r="B286" s="315"/>
      <c r="C286" s="316" t="s">
        <v>143</v>
      </c>
      <c r="D286" s="317" t="s">
        <v>86</v>
      </c>
      <c r="E286" s="318">
        <v>1.1499999999999999</v>
      </c>
      <c r="F286" s="302">
        <f>E286*F282</f>
        <v>3.4499999999999997</v>
      </c>
      <c r="G286" s="302"/>
      <c r="H286" s="302"/>
      <c r="I286" s="302"/>
      <c r="J286" s="302"/>
      <c r="K286" s="302"/>
      <c r="L286" s="302"/>
      <c r="M286" s="302"/>
      <c r="N286" s="80"/>
      <c r="O286" s="80"/>
    </row>
    <row r="287" spans="1:15" s="81" customFormat="1" thickTop="1" x14ac:dyDescent="0.25">
      <c r="A287" s="351">
        <v>5</v>
      </c>
      <c r="B287" s="310"/>
      <c r="C287" s="330" t="s">
        <v>165</v>
      </c>
      <c r="D287" s="312" t="s">
        <v>97</v>
      </c>
      <c r="E287" s="309"/>
      <c r="F287" s="309">
        <v>16</v>
      </c>
      <c r="G287" s="314"/>
      <c r="H287" s="314"/>
      <c r="I287" s="314"/>
      <c r="J287" s="314"/>
      <c r="K287" s="314"/>
      <c r="L287" s="314"/>
      <c r="M287" s="314"/>
      <c r="N287" s="80"/>
      <c r="O287" s="80"/>
    </row>
    <row r="288" spans="1:15" s="81" customFormat="1" ht="15" x14ac:dyDescent="0.25">
      <c r="A288" s="352"/>
      <c r="B288" s="310"/>
      <c r="C288" s="330"/>
      <c r="D288" s="312" t="s">
        <v>98</v>
      </c>
      <c r="E288" s="309"/>
      <c r="F288" s="331">
        <f>F287/1000</f>
        <v>1.6E-2</v>
      </c>
      <c r="G288" s="314"/>
      <c r="H288" s="314"/>
      <c r="I288" s="314"/>
      <c r="J288" s="314"/>
      <c r="K288" s="314"/>
      <c r="L288" s="314"/>
      <c r="M288" s="314"/>
      <c r="N288" s="80"/>
      <c r="O288" s="80"/>
    </row>
    <row r="289" spans="1:15" s="81" customFormat="1" ht="15" x14ac:dyDescent="0.25">
      <c r="A289" s="352"/>
      <c r="B289" s="310"/>
      <c r="C289" s="311" t="s">
        <v>140</v>
      </c>
      <c r="D289" s="312" t="s">
        <v>102</v>
      </c>
      <c r="E289" s="309">
        <v>9.75</v>
      </c>
      <c r="F289" s="314">
        <f>E289*F288</f>
        <v>0.156</v>
      </c>
      <c r="G289" s="314"/>
      <c r="H289" s="314"/>
      <c r="I289" s="314"/>
      <c r="J289" s="314"/>
      <c r="K289" s="314"/>
      <c r="L289" s="314"/>
      <c r="M289" s="314"/>
      <c r="N289" s="80"/>
      <c r="O289" s="80"/>
    </row>
    <row r="290" spans="1:15" s="81" customFormat="1" thickBot="1" x14ac:dyDescent="0.3">
      <c r="A290" s="354"/>
      <c r="B290" s="310"/>
      <c r="C290" s="330" t="s">
        <v>166</v>
      </c>
      <c r="D290" s="312" t="s">
        <v>99</v>
      </c>
      <c r="E290" s="309">
        <v>21.8</v>
      </c>
      <c r="F290" s="314">
        <f>E290*F288</f>
        <v>0.3488</v>
      </c>
      <c r="G290" s="314"/>
      <c r="H290" s="314"/>
      <c r="I290" s="314"/>
      <c r="J290" s="314"/>
      <c r="K290" s="314"/>
      <c r="L290" s="314"/>
      <c r="M290" s="314"/>
      <c r="N290" s="80"/>
      <c r="O290" s="80"/>
    </row>
    <row r="291" spans="1:15" s="81" customFormat="1" ht="16.5" thickTop="1" thickBot="1" x14ac:dyDescent="0.3">
      <c r="A291" s="319"/>
      <c r="B291" s="320"/>
      <c r="C291" s="321" t="s">
        <v>152</v>
      </c>
      <c r="D291" s="322"/>
      <c r="E291" s="322"/>
      <c r="F291" s="296"/>
      <c r="G291" s="296"/>
      <c r="H291" s="297"/>
      <c r="I291" s="297"/>
      <c r="J291" s="297"/>
      <c r="K291" s="297"/>
      <c r="L291" s="297"/>
      <c r="M291" s="297"/>
      <c r="N291" s="80"/>
      <c r="O291" s="80"/>
    </row>
    <row r="292" spans="1:15" s="81" customFormat="1" ht="16.5" thickTop="1" thickBot="1" x14ac:dyDescent="0.3">
      <c r="A292" s="319"/>
      <c r="B292" s="320"/>
      <c r="C292" s="323" t="s">
        <v>153</v>
      </c>
      <c r="D292" s="322"/>
      <c r="E292" s="322"/>
      <c r="F292" s="296"/>
      <c r="G292" s="296"/>
      <c r="H292" s="296"/>
      <c r="I292" s="296"/>
      <c r="J292" s="296"/>
      <c r="K292" s="296"/>
      <c r="L292" s="296"/>
      <c r="M292" s="296"/>
      <c r="N292" s="80"/>
      <c r="O292" s="80"/>
    </row>
    <row r="293" spans="1:15" s="81" customFormat="1" ht="26.25" thickTop="1" x14ac:dyDescent="0.25">
      <c r="A293" s="351">
        <v>1</v>
      </c>
      <c r="B293" s="303"/>
      <c r="C293" s="304" t="s">
        <v>154</v>
      </c>
      <c r="D293" s="305" t="s">
        <v>139</v>
      </c>
      <c r="E293" s="306"/>
      <c r="F293" s="300">
        <v>4</v>
      </c>
      <c r="G293" s="301"/>
      <c r="H293" s="301"/>
      <c r="I293" s="301"/>
      <c r="J293" s="301"/>
      <c r="K293" s="301"/>
      <c r="L293" s="301"/>
      <c r="M293" s="301"/>
      <c r="N293" s="80"/>
      <c r="O293" s="80"/>
    </row>
    <row r="294" spans="1:15" s="81" customFormat="1" ht="15" x14ac:dyDescent="0.25">
      <c r="A294" s="352"/>
      <c r="B294" s="298"/>
      <c r="C294" s="307"/>
      <c r="D294" s="308" t="s">
        <v>146</v>
      </c>
      <c r="E294" s="309">
        <f>4*2</f>
        <v>8</v>
      </c>
      <c r="F294" s="290">
        <f>E294*F293/10</f>
        <v>3.2</v>
      </c>
      <c r="G294" s="106"/>
      <c r="H294" s="106"/>
      <c r="I294" s="106"/>
      <c r="J294" s="106"/>
      <c r="K294" s="106"/>
      <c r="L294" s="106"/>
      <c r="M294" s="106"/>
      <c r="N294" s="80"/>
      <c r="O294" s="80"/>
    </row>
    <row r="295" spans="1:15" s="81" customFormat="1" ht="15" x14ac:dyDescent="0.25">
      <c r="A295" s="352"/>
      <c r="B295" s="298"/>
      <c r="C295" s="307"/>
      <c r="D295" s="308" t="s">
        <v>97</v>
      </c>
      <c r="E295" s="309">
        <f>4*2*0.3</f>
        <v>2.4</v>
      </c>
      <c r="F295" s="290">
        <f>E295*F293</f>
        <v>9.6</v>
      </c>
      <c r="G295" s="106"/>
      <c r="H295" s="106"/>
      <c r="I295" s="106"/>
      <c r="J295" s="106"/>
      <c r="K295" s="106"/>
      <c r="L295" s="106"/>
      <c r="M295" s="106"/>
      <c r="N295" s="80"/>
      <c r="O295" s="80"/>
    </row>
    <row r="296" spans="1:15" s="81" customFormat="1" ht="15" x14ac:dyDescent="0.25">
      <c r="A296" s="352"/>
      <c r="B296" s="310"/>
      <c r="C296" s="311" t="s">
        <v>140</v>
      </c>
      <c r="D296" s="312" t="s">
        <v>102</v>
      </c>
      <c r="E296" s="309">
        <v>2.8</v>
      </c>
      <c r="F296" s="106">
        <f>E296*F295</f>
        <v>26.88</v>
      </c>
      <c r="G296" s="106"/>
      <c r="H296" s="106"/>
      <c r="I296" s="106"/>
      <c r="J296" s="106"/>
      <c r="K296" s="106"/>
      <c r="L296" s="106"/>
      <c r="M296" s="106"/>
      <c r="N296" s="80"/>
      <c r="O296" s="80"/>
    </row>
    <row r="297" spans="1:15" s="81" customFormat="1" ht="15" x14ac:dyDescent="0.25">
      <c r="A297" s="352"/>
      <c r="B297" s="310"/>
      <c r="C297" s="313" t="s">
        <v>149</v>
      </c>
      <c r="D297" s="308" t="s">
        <v>139</v>
      </c>
      <c r="E297" s="314">
        <v>1</v>
      </c>
      <c r="F297" s="106">
        <f>E297*F293</f>
        <v>4</v>
      </c>
      <c r="G297" s="106"/>
      <c r="H297" s="106"/>
      <c r="I297" s="106"/>
      <c r="J297" s="106"/>
      <c r="K297" s="106"/>
      <c r="L297" s="106"/>
      <c r="M297" s="106"/>
      <c r="N297" s="80"/>
      <c r="O297" s="80"/>
    </row>
    <row r="298" spans="1:15" s="81" customFormat="1" ht="15" x14ac:dyDescent="0.25">
      <c r="A298" s="352"/>
      <c r="B298" s="310"/>
      <c r="C298" s="313" t="s">
        <v>142</v>
      </c>
      <c r="D298" s="312" t="s">
        <v>97</v>
      </c>
      <c r="E298" s="309">
        <v>3.15</v>
      </c>
      <c r="F298" s="106">
        <f>E298*F294</f>
        <v>10.08</v>
      </c>
      <c r="G298" s="106"/>
      <c r="H298" s="106"/>
      <c r="I298" s="106"/>
      <c r="J298" s="106"/>
      <c r="K298" s="106"/>
      <c r="L298" s="106"/>
      <c r="M298" s="106"/>
      <c r="N298" s="80"/>
      <c r="O298" s="80"/>
    </row>
    <row r="299" spans="1:15" s="81" customFormat="1" thickBot="1" x14ac:dyDescent="0.3">
      <c r="A299" s="353"/>
      <c r="B299" s="315"/>
      <c r="C299" s="316" t="s">
        <v>143</v>
      </c>
      <c r="D299" s="317" t="s">
        <v>86</v>
      </c>
      <c r="E299" s="318">
        <v>5.13</v>
      </c>
      <c r="F299" s="302">
        <f>E299*F294</f>
        <v>16.416</v>
      </c>
      <c r="G299" s="302"/>
      <c r="H299" s="302"/>
      <c r="I299" s="302"/>
      <c r="J299" s="302"/>
      <c r="K299" s="302"/>
      <c r="L299" s="302"/>
      <c r="M299" s="302"/>
      <c r="N299" s="80"/>
      <c r="O299" s="80"/>
    </row>
    <row r="300" spans="1:15" s="81" customFormat="1" ht="26.25" thickTop="1" x14ac:dyDescent="0.25">
      <c r="A300" s="351">
        <v>2</v>
      </c>
      <c r="B300" s="303"/>
      <c r="C300" s="304" t="s">
        <v>138</v>
      </c>
      <c r="D300" s="305" t="s">
        <v>139</v>
      </c>
      <c r="E300" s="306"/>
      <c r="F300" s="300">
        <v>4</v>
      </c>
      <c r="G300" s="301"/>
      <c r="H300" s="301"/>
      <c r="I300" s="301"/>
      <c r="J300" s="301"/>
      <c r="K300" s="301"/>
      <c r="L300" s="301"/>
      <c r="M300" s="301"/>
      <c r="N300" s="80"/>
      <c r="O300" s="80"/>
    </row>
    <row r="301" spans="1:15" s="81" customFormat="1" ht="15" x14ac:dyDescent="0.25">
      <c r="A301" s="352"/>
      <c r="B301" s="310"/>
      <c r="C301" s="307"/>
      <c r="D301" s="308" t="s">
        <v>97</v>
      </c>
      <c r="E301" s="309">
        <v>1.5</v>
      </c>
      <c r="F301" s="291">
        <f>E301*F300</f>
        <v>6</v>
      </c>
      <c r="G301" s="106"/>
      <c r="H301" s="106"/>
      <c r="I301" s="106"/>
      <c r="J301" s="106"/>
      <c r="K301" s="106"/>
      <c r="L301" s="106"/>
      <c r="M301" s="106"/>
      <c r="N301" s="80"/>
      <c r="O301" s="80"/>
    </row>
    <row r="302" spans="1:15" s="81" customFormat="1" ht="15" x14ac:dyDescent="0.25">
      <c r="A302" s="352"/>
      <c r="B302" s="310"/>
      <c r="C302" s="311" t="s">
        <v>140</v>
      </c>
      <c r="D302" s="312" t="s">
        <v>102</v>
      </c>
      <c r="E302" s="309">
        <v>3.1</v>
      </c>
      <c r="F302" s="106">
        <f>E302*F301</f>
        <v>18.600000000000001</v>
      </c>
      <c r="G302" s="106"/>
      <c r="H302" s="106"/>
      <c r="I302" s="106"/>
      <c r="J302" s="106"/>
      <c r="K302" s="106"/>
      <c r="L302" s="106"/>
      <c r="M302" s="106"/>
      <c r="N302" s="80"/>
      <c r="O302" s="80"/>
    </row>
    <row r="303" spans="1:15" s="81" customFormat="1" ht="15" x14ac:dyDescent="0.25">
      <c r="A303" s="352"/>
      <c r="B303" s="310"/>
      <c r="C303" s="313" t="s">
        <v>141</v>
      </c>
      <c r="D303" s="308" t="s">
        <v>139</v>
      </c>
      <c r="E303" s="314">
        <v>1</v>
      </c>
      <c r="F303" s="106">
        <f>E303*F300</f>
        <v>4</v>
      </c>
      <c r="G303" s="106"/>
      <c r="H303" s="106"/>
      <c r="I303" s="106"/>
      <c r="J303" s="106"/>
      <c r="K303" s="106"/>
      <c r="L303" s="106"/>
      <c r="M303" s="106"/>
      <c r="N303" s="80"/>
      <c r="O303" s="80"/>
    </row>
    <row r="304" spans="1:15" s="81" customFormat="1" ht="15" x14ac:dyDescent="0.25">
      <c r="A304" s="352"/>
      <c r="B304" s="310"/>
      <c r="C304" s="313" t="s">
        <v>142</v>
      </c>
      <c r="D304" s="312" t="s">
        <v>97</v>
      </c>
      <c r="E304" s="309">
        <v>1.05</v>
      </c>
      <c r="F304" s="106">
        <f>E304*F301</f>
        <v>6.3000000000000007</v>
      </c>
      <c r="G304" s="106"/>
      <c r="H304" s="106"/>
      <c r="I304" s="106"/>
      <c r="J304" s="106"/>
      <c r="K304" s="106"/>
      <c r="L304" s="106"/>
      <c r="M304" s="106"/>
      <c r="N304" s="80"/>
      <c r="O304" s="80"/>
    </row>
    <row r="305" spans="1:15" s="81" customFormat="1" thickBot="1" x14ac:dyDescent="0.3">
      <c r="A305" s="353"/>
      <c r="B305" s="315"/>
      <c r="C305" s="316" t="s">
        <v>143</v>
      </c>
      <c r="D305" s="317" t="s">
        <v>86</v>
      </c>
      <c r="E305" s="318">
        <v>1.1499999999999999</v>
      </c>
      <c r="F305" s="302">
        <f>E305*F301</f>
        <v>6.8999999999999995</v>
      </c>
      <c r="G305" s="302"/>
      <c r="H305" s="302"/>
      <c r="I305" s="302"/>
      <c r="J305" s="302"/>
      <c r="K305" s="302"/>
      <c r="L305" s="302"/>
      <c r="M305" s="302"/>
      <c r="N305" s="80"/>
      <c r="O305" s="80"/>
    </row>
    <row r="306" spans="1:15" s="81" customFormat="1" ht="26.25" thickTop="1" x14ac:dyDescent="0.25">
      <c r="A306" s="351">
        <v>3</v>
      </c>
      <c r="B306" s="303"/>
      <c r="C306" s="304" t="s">
        <v>144</v>
      </c>
      <c r="D306" s="305" t="s">
        <v>139</v>
      </c>
      <c r="E306" s="306"/>
      <c r="F306" s="300">
        <v>9</v>
      </c>
      <c r="G306" s="301"/>
      <c r="H306" s="301"/>
      <c r="I306" s="301"/>
      <c r="J306" s="301"/>
      <c r="K306" s="301"/>
      <c r="L306" s="301"/>
      <c r="M306" s="301"/>
      <c r="N306" s="80"/>
      <c r="O306" s="80"/>
    </row>
    <row r="307" spans="1:15" s="81" customFormat="1" ht="15" x14ac:dyDescent="0.25">
      <c r="A307" s="352"/>
      <c r="B307" s="308"/>
      <c r="C307" s="313"/>
      <c r="D307" s="308" t="s">
        <v>97</v>
      </c>
      <c r="E307" s="309">
        <v>2</v>
      </c>
      <c r="F307" s="291">
        <f>E307*F306</f>
        <v>18</v>
      </c>
      <c r="G307" s="106"/>
      <c r="H307" s="106"/>
      <c r="I307" s="106"/>
      <c r="J307" s="106"/>
      <c r="K307" s="106"/>
      <c r="L307" s="106"/>
      <c r="M307" s="106"/>
      <c r="N307" s="80"/>
      <c r="O307" s="80"/>
    </row>
    <row r="308" spans="1:15" s="81" customFormat="1" ht="15" x14ac:dyDescent="0.25">
      <c r="A308" s="352"/>
      <c r="B308" s="310"/>
      <c r="C308" s="311" t="s">
        <v>140</v>
      </c>
      <c r="D308" s="312" t="s">
        <v>102</v>
      </c>
      <c r="E308" s="309">
        <v>3.1</v>
      </c>
      <c r="F308" s="106">
        <f>E308*F307</f>
        <v>55.800000000000004</v>
      </c>
      <c r="G308" s="106"/>
      <c r="H308" s="106"/>
      <c r="I308" s="106"/>
      <c r="J308" s="106"/>
      <c r="K308" s="106"/>
      <c r="L308" s="106"/>
      <c r="M308" s="106"/>
      <c r="N308" s="80"/>
      <c r="O308" s="80"/>
    </row>
    <row r="309" spans="1:15" s="81" customFormat="1" ht="15" x14ac:dyDescent="0.25">
      <c r="A309" s="352"/>
      <c r="B309" s="310"/>
      <c r="C309" s="313" t="s">
        <v>145</v>
      </c>
      <c r="D309" s="308" t="s">
        <v>139</v>
      </c>
      <c r="E309" s="314">
        <v>1</v>
      </c>
      <c r="F309" s="106">
        <f>E309*F306</f>
        <v>9</v>
      </c>
      <c r="G309" s="106"/>
      <c r="H309" s="106"/>
      <c r="I309" s="106"/>
      <c r="J309" s="106"/>
      <c r="K309" s="106"/>
      <c r="L309" s="106"/>
      <c r="M309" s="106"/>
      <c r="N309" s="80"/>
      <c r="O309" s="80"/>
    </row>
    <row r="310" spans="1:15" s="81" customFormat="1" ht="15" x14ac:dyDescent="0.25">
      <c r="A310" s="352"/>
      <c r="B310" s="310"/>
      <c r="C310" s="313" t="s">
        <v>142</v>
      </c>
      <c r="D310" s="312" t="s">
        <v>97</v>
      </c>
      <c r="E310" s="309">
        <v>1.05</v>
      </c>
      <c r="F310" s="106">
        <f>E310*F307</f>
        <v>18.900000000000002</v>
      </c>
      <c r="G310" s="106"/>
      <c r="H310" s="106"/>
      <c r="I310" s="106"/>
      <c r="J310" s="106"/>
      <c r="K310" s="106"/>
      <c r="L310" s="106"/>
      <c r="M310" s="106"/>
      <c r="N310" s="80"/>
      <c r="O310" s="80"/>
    </row>
    <row r="311" spans="1:15" s="81" customFormat="1" thickBot="1" x14ac:dyDescent="0.3">
      <c r="A311" s="353"/>
      <c r="B311" s="315"/>
      <c r="C311" s="316" t="s">
        <v>143</v>
      </c>
      <c r="D311" s="317" t="s">
        <v>86</v>
      </c>
      <c r="E311" s="318">
        <v>1.1499999999999999</v>
      </c>
      <c r="F311" s="302">
        <f>E311*F307</f>
        <v>20.7</v>
      </c>
      <c r="G311" s="302"/>
      <c r="H311" s="302"/>
      <c r="I311" s="302"/>
      <c r="J311" s="302"/>
      <c r="K311" s="302"/>
      <c r="L311" s="302"/>
      <c r="M311" s="302"/>
      <c r="N311" s="80"/>
      <c r="O311" s="80"/>
    </row>
    <row r="312" spans="1:15" s="81" customFormat="1" ht="26.25" thickTop="1" x14ac:dyDescent="0.25">
      <c r="A312" s="351">
        <v>4</v>
      </c>
      <c r="B312" s="303"/>
      <c r="C312" s="304" t="s">
        <v>150</v>
      </c>
      <c r="D312" s="305" t="s">
        <v>139</v>
      </c>
      <c r="E312" s="306"/>
      <c r="F312" s="300">
        <v>8</v>
      </c>
      <c r="G312" s="301"/>
      <c r="H312" s="301"/>
      <c r="I312" s="301"/>
      <c r="J312" s="301"/>
      <c r="K312" s="301"/>
      <c r="L312" s="301"/>
      <c r="M312" s="301"/>
      <c r="N312" s="80"/>
      <c r="O312" s="80"/>
    </row>
    <row r="313" spans="1:15" s="81" customFormat="1" ht="15" x14ac:dyDescent="0.25">
      <c r="A313" s="352"/>
      <c r="B313" s="308"/>
      <c r="C313" s="313"/>
      <c r="D313" s="308" t="s">
        <v>97</v>
      </c>
      <c r="E313" s="309">
        <v>3</v>
      </c>
      <c r="F313" s="291">
        <f>E313*F312</f>
        <v>24</v>
      </c>
      <c r="G313" s="106"/>
      <c r="H313" s="106"/>
      <c r="I313" s="106"/>
      <c r="J313" s="106"/>
      <c r="K313" s="106"/>
      <c r="L313" s="106"/>
      <c r="M313" s="106"/>
      <c r="N313" s="80"/>
      <c r="O313" s="80"/>
    </row>
    <row r="314" spans="1:15" s="81" customFormat="1" ht="15" x14ac:dyDescent="0.25">
      <c r="A314" s="352"/>
      <c r="B314" s="310"/>
      <c r="C314" s="311" t="s">
        <v>140</v>
      </c>
      <c r="D314" s="312" t="s">
        <v>102</v>
      </c>
      <c r="E314" s="309">
        <v>3.1</v>
      </c>
      <c r="F314" s="106">
        <f>E314*F313</f>
        <v>74.400000000000006</v>
      </c>
      <c r="G314" s="106"/>
      <c r="H314" s="106"/>
      <c r="I314" s="106"/>
      <c r="J314" s="106"/>
      <c r="K314" s="106"/>
      <c r="L314" s="106"/>
      <c r="M314" s="106"/>
      <c r="N314" s="80"/>
      <c r="O314" s="80"/>
    </row>
    <row r="315" spans="1:15" s="81" customFormat="1" ht="15" x14ac:dyDescent="0.25">
      <c r="A315" s="352"/>
      <c r="B315" s="310"/>
      <c r="C315" s="313" t="s">
        <v>151</v>
      </c>
      <c r="D315" s="308" t="s">
        <v>139</v>
      </c>
      <c r="E315" s="314">
        <v>1</v>
      </c>
      <c r="F315" s="106">
        <f>E315*F312</f>
        <v>8</v>
      </c>
      <c r="G315" s="106"/>
      <c r="H315" s="106"/>
      <c r="I315" s="106"/>
      <c r="J315" s="106"/>
      <c r="K315" s="106"/>
      <c r="L315" s="106"/>
      <c r="M315" s="106"/>
      <c r="N315" s="80"/>
      <c r="O315" s="80"/>
    </row>
    <row r="316" spans="1:15" s="81" customFormat="1" ht="15" x14ac:dyDescent="0.25">
      <c r="A316" s="352"/>
      <c r="B316" s="310"/>
      <c r="C316" s="313" t="s">
        <v>142</v>
      </c>
      <c r="D316" s="312" t="s">
        <v>97</v>
      </c>
      <c r="E316" s="309">
        <v>1.05</v>
      </c>
      <c r="F316" s="106">
        <f>E316*F313</f>
        <v>25.200000000000003</v>
      </c>
      <c r="G316" s="106"/>
      <c r="H316" s="106"/>
      <c r="I316" s="106"/>
      <c r="J316" s="106"/>
      <c r="K316" s="106"/>
      <c r="L316" s="106"/>
      <c r="M316" s="106"/>
      <c r="N316" s="80"/>
      <c r="O316" s="80"/>
    </row>
    <row r="317" spans="1:15" s="81" customFormat="1" thickBot="1" x14ac:dyDescent="0.3">
      <c r="A317" s="353"/>
      <c r="B317" s="315"/>
      <c r="C317" s="316" t="s">
        <v>143</v>
      </c>
      <c r="D317" s="317" t="s">
        <v>86</v>
      </c>
      <c r="E317" s="318">
        <v>1.1499999999999999</v>
      </c>
      <c r="F317" s="302">
        <f>E317*F313</f>
        <v>27.599999999999998</v>
      </c>
      <c r="G317" s="302"/>
      <c r="H317" s="302"/>
      <c r="I317" s="302"/>
      <c r="J317" s="302"/>
      <c r="K317" s="302"/>
      <c r="L317" s="302"/>
      <c r="M317" s="302"/>
      <c r="N317" s="80"/>
      <c r="O317" s="80"/>
    </row>
    <row r="318" spans="1:15" s="81" customFormat="1" thickTop="1" x14ac:dyDescent="0.25">
      <c r="A318" s="351">
        <v>5</v>
      </c>
      <c r="B318" s="310"/>
      <c r="C318" s="330" t="s">
        <v>165</v>
      </c>
      <c r="D318" s="312" t="s">
        <v>97</v>
      </c>
      <c r="E318" s="309"/>
      <c r="F318" s="309">
        <v>12</v>
      </c>
      <c r="G318" s="314"/>
      <c r="H318" s="314"/>
      <c r="I318" s="314"/>
      <c r="J318" s="314"/>
      <c r="K318" s="314"/>
      <c r="L318" s="314"/>
      <c r="M318" s="314"/>
      <c r="N318" s="80"/>
      <c r="O318" s="80"/>
    </row>
    <row r="319" spans="1:15" s="81" customFormat="1" ht="15" x14ac:dyDescent="0.25">
      <c r="A319" s="352"/>
      <c r="B319" s="310"/>
      <c r="C319" s="330"/>
      <c r="D319" s="312" t="s">
        <v>98</v>
      </c>
      <c r="E319" s="309"/>
      <c r="F319" s="331">
        <f>F318/1000</f>
        <v>1.2E-2</v>
      </c>
      <c r="G319" s="314"/>
      <c r="H319" s="314"/>
      <c r="I319" s="314"/>
      <c r="J319" s="314"/>
      <c r="K319" s="314"/>
      <c r="L319" s="314"/>
      <c r="M319" s="314"/>
      <c r="N319" s="80"/>
      <c r="O319" s="80"/>
    </row>
    <row r="320" spans="1:15" s="81" customFormat="1" ht="15" x14ac:dyDescent="0.25">
      <c r="A320" s="352"/>
      <c r="B320" s="310"/>
      <c r="C320" s="311" t="s">
        <v>140</v>
      </c>
      <c r="D320" s="312" t="s">
        <v>102</v>
      </c>
      <c r="E320" s="309">
        <v>9.75</v>
      </c>
      <c r="F320" s="314">
        <f>E320*F319</f>
        <v>0.11700000000000001</v>
      </c>
      <c r="G320" s="314"/>
      <c r="H320" s="314"/>
      <c r="I320" s="314"/>
      <c r="J320" s="314"/>
      <c r="K320" s="314"/>
      <c r="L320" s="314"/>
      <c r="M320" s="314"/>
      <c r="N320" s="80"/>
      <c r="O320" s="80"/>
    </row>
    <row r="321" spans="1:15" s="81" customFormat="1" thickBot="1" x14ac:dyDescent="0.3">
      <c r="A321" s="354"/>
      <c r="B321" s="310"/>
      <c r="C321" s="330" t="s">
        <v>166</v>
      </c>
      <c r="D321" s="312" t="s">
        <v>99</v>
      </c>
      <c r="E321" s="309">
        <v>21.8</v>
      </c>
      <c r="F321" s="314">
        <f>E321*F319</f>
        <v>0.2616</v>
      </c>
      <c r="G321" s="314"/>
      <c r="H321" s="314"/>
      <c r="I321" s="314"/>
      <c r="J321" s="314"/>
      <c r="K321" s="314"/>
      <c r="L321" s="314"/>
      <c r="M321" s="314"/>
      <c r="N321" s="80"/>
      <c r="O321" s="80"/>
    </row>
    <row r="322" spans="1:15" s="81" customFormat="1" ht="16.5" thickTop="1" thickBot="1" x14ac:dyDescent="0.3">
      <c r="A322" s="319"/>
      <c r="B322" s="320"/>
      <c r="C322" s="321" t="s">
        <v>155</v>
      </c>
      <c r="D322" s="322"/>
      <c r="E322" s="322"/>
      <c r="F322" s="332"/>
      <c r="G322" s="332"/>
      <c r="H322" s="333"/>
      <c r="I322" s="333"/>
      <c r="J322" s="333"/>
      <c r="K322" s="333"/>
      <c r="L322" s="333"/>
      <c r="M322" s="333"/>
      <c r="N322" s="80">
        <f>F295+F301+F307+F313</f>
        <v>57.6</v>
      </c>
      <c r="O322" s="80"/>
    </row>
    <row r="323" spans="1:15" s="81" customFormat="1" ht="16.5" thickTop="1" thickBot="1" x14ac:dyDescent="0.3">
      <c r="A323" s="319"/>
      <c r="B323" s="320"/>
      <c r="C323" s="323" t="s">
        <v>156</v>
      </c>
      <c r="D323" s="322"/>
      <c r="E323" s="322"/>
      <c r="F323" s="296"/>
      <c r="G323" s="296"/>
      <c r="H323" s="296"/>
      <c r="I323" s="296"/>
      <c r="J323" s="296"/>
      <c r="K323" s="296"/>
      <c r="L323" s="296"/>
      <c r="M323" s="296"/>
      <c r="N323" s="80"/>
      <c r="O323" s="80"/>
    </row>
    <row r="324" spans="1:15" s="81" customFormat="1" ht="26.25" thickTop="1" x14ac:dyDescent="0.25">
      <c r="A324" s="351">
        <v>1</v>
      </c>
      <c r="B324" s="303"/>
      <c r="C324" s="304" t="s">
        <v>148</v>
      </c>
      <c r="D324" s="305" t="s">
        <v>139</v>
      </c>
      <c r="E324" s="306"/>
      <c r="F324" s="300">
        <v>4</v>
      </c>
      <c r="G324" s="301"/>
      <c r="H324" s="301"/>
      <c r="I324" s="301"/>
      <c r="J324" s="301"/>
      <c r="K324" s="301"/>
      <c r="L324" s="301"/>
      <c r="M324" s="301"/>
      <c r="N324" s="80"/>
      <c r="O324" s="80"/>
    </row>
    <row r="325" spans="1:15" s="81" customFormat="1" ht="15" x14ac:dyDescent="0.25">
      <c r="A325" s="352"/>
      <c r="B325" s="298"/>
      <c r="C325" s="307"/>
      <c r="D325" s="308" t="s">
        <v>146</v>
      </c>
      <c r="E325" s="309">
        <f>2*2</f>
        <v>4</v>
      </c>
      <c r="F325" s="290">
        <f>E325*F324/10</f>
        <v>1.6</v>
      </c>
      <c r="G325" s="106"/>
      <c r="H325" s="106"/>
      <c r="I325" s="106"/>
      <c r="J325" s="106"/>
      <c r="K325" s="106"/>
      <c r="L325" s="106"/>
      <c r="M325" s="106"/>
      <c r="N325" s="80"/>
      <c r="O325" s="80"/>
    </row>
    <row r="326" spans="1:15" s="81" customFormat="1" ht="15" x14ac:dyDescent="0.25">
      <c r="A326" s="352"/>
      <c r="B326" s="298"/>
      <c r="C326" s="307"/>
      <c r="D326" s="308" t="s">
        <v>97</v>
      </c>
      <c r="E326" s="309">
        <f>2*2*0.3</f>
        <v>1.2</v>
      </c>
      <c r="F326" s="290">
        <f>E326*F324</f>
        <v>4.8</v>
      </c>
      <c r="G326" s="106"/>
      <c r="H326" s="106"/>
      <c r="I326" s="106"/>
      <c r="J326" s="106"/>
      <c r="K326" s="106"/>
      <c r="L326" s="106"/>
      <c r="M326" s="106"/>
      <c r="N326" s="80"/>
      <c r="O326" s="80"/>
    </row>
    <row r="327" spans="1:15" s="81" customFormat="1" ht="15" x14ac:dyDescent="0.25">
      <c r="A327" s="352"/>
      <c r="B327" s="310"/>
      <c r="C327" s="311" t="s">
        <v>140</v>
      </c>
      <c r="D327" s="312" t="s">
        <v>102</v>
      </c>
      <c r="E327" s="309">
        <v>2.8</v>
      </c>
      <c r="F327" s="106">
        <f>E327*F326</f>
        <v>13.44</v>
      </c>
      <c r="G327" s="106"/>
      <c r="H327" s="106"/>
      <c r="I327" s="106"/>
      <c r="J327" s="106"/>
      <c r="K327" s="106"/>
      <c r="L327" s="106"/>
      <c r="M327" s="106"/>
      <c r="N327" s="80"/>
      <c r="O327" s="80"/>
    </row>
    <row r="328" spans="1:15" s="81" customFormat="1" ht="15" x14ac:dyDescent="0.25">
      <c r="A328" s="352"/>
      <c r="B328" s="310"/>
      <c r="C328" s="313" t="s">
        <v>149</v>
      </c>
      <c r="D328" s="308" t="s">
        <v>139</v>
      </c>
      <c r="E328" s="314">
        <v>1</v>
      </c>
      <c r="F328" s="106">
        <f>E328*F324</f>
        <v>4</v>
      </c>
      <c r="G328" s="106"/>
      <c r="H328" s="106"/>
      <c r="I328" s="106"/>
      <c r="J328" s="106"/>
      <c r="K328" s="106"/>
      <c r="L328" s="106"/>
      <c r="M328" s="106"/>
      <c r="N328" s="80"/>
      <c r="O328" s="80"/>
    </row>
    <row r="329" spans="1:15" s="81" customFormat="1" ht="15" x14ac:dyDescent="0.25">
      <c r="A329" s="352"/>
      <c r="B329" s="310"/>
      <c r="C329" s="313" t="s">
        <v>142</v>
      </c>
      <c r="D329" s="312" t="s">
        <v>97</v>
      </c>
      <c r="E329" s="309">
        <v>3.15</v>
      </c>
      <c r="F329" s="106">
        <f>E329*F325</f>
        <v>5.04</v>
      </c>
      <c r="G329" s="106"/>
      <c r="H329" s="106"/>
      <c r="I329" s="106"/>
      <c r="J329" s="106"/>
      <c r="K329" s="106"/>
      <c r="L329" s="106"/>
      <c r="M329" s="106"/>
      <c r="N329" s="80"/>
      <c r="O329" s="80"/>
    </row>
    <row r="330" spans="1:15" s="81" customFormat="1" thickBot="1" x14ac:dyDescent="0.3">
      <c r="A330" s="353"/>
      <c r="B330" s="315"/>
      <c r="C330" s="316" t="s">
        <v>143</v>
      </c>
      <c r="D330" s="317" t="s">
        <v>86</v>
      </c>
      <c r="E330" s="318">
        <v>5.13</v>
      </c>
      <c r="F330" s="302">
        <f>E330*F325</f>
        <v>8.2080000000000002</v>
      </c>
      <c r="G330" s="302"/>
      <c r="H330" s="302"/>
      <c r="I330" s="302"/>
      <c r="J330" s="302"/>
      <c r="K330" s="302"/>
      <c r="L330" s="302"/>
      <c r="M330" s="302"/>
      <c r="N330" s="80"/>
      <c r="O330" s="80"/>
    </row>
    <row r="331" spans="1:15" s="81" customFormat="1" ht="26.25" thickTop="1" x14ac:dyDescent="0.25">
      <c r="A331" s="351">
        <v>2</v>
      </c>
      <c r="B331" s="303"/>
      <c r="C331" s="304" t="s">
        <v>138</v>
      </c>
      <c r="D331" s="305" t="s">
        <v>139</v>
      </c>
      <c r="E331" s="306"/>
      <c r="F331" s="300">
        <v>10</v>
      </c>
      <c r="G331" s="301"/>
      <c r="H331" s="301"/>
      <c r="I331" s="301"/>
      <c r="J331" s="301"/>
      <c r="K331" s="301"/>
      <c r="L331" s="301"/>
      <c r="M331" s="301"/>
      <c r="N331" s="80"/>
      <c r="O331" s="80"/>
    </row>
    <row r="332" spans="1:15" s="81" customFormat="1" ht="15" x14ac:dyDescent="0.25">
      <c r="A332" s="352"/>
      <c r="B332" s="310"/>
      <c r="C332" s="307"/>
      <c r="D332" s="308" t="s">
        <v>97</v>
      </c>
      <c r="E332" s="309">
        <v>1.5</v>
      </c>
      <c r="F332" s="291">
        <f>E332*F331</f>
        <v>15</v>
      </c>
      <c r="G332" s="106"/>
      <c r="H332" s="106"/>
      <c r="I332" s="106"/>
      <c r="J332" s="106"/>
      <c r="K332" s="106"/>
      <c r="L332" s="106"/>
      <c r="M332" s="106"/>
      <c r="N332" s="80"/>
      <c r="O332" s="80"/>
    </row>
    <row r="333" spans="1:15" s="81" customFormat="1" ht="15" x14ac:dyDescent="0.25">
      <c r="A333" s="352"/>
      <c r="B333" s="310"/>
      <c r="C333" s="311" t="s">
        <v>140</v>
      </c>
      <c r="D333" s="312" t="s">
        <v>102</v>
      </c>
      <c r="E333" s="309">
        <v>3.1</v>
      </c>
      <c r="F333" s="106">
        <f>E333*F332</f>
        <v>46.5</v>
      </c>
      <c r="G333" s="106"/>
      <c r="H333" s="106"/>
      <c r="I333" s="106"/>
      <c r="J333" s="106"/>
      <c r="K333" s="106"/>
      <c r="L333" s="106"/>
      <c r="M333" s="106"/>
      <c r="N333" s="80"/>
      <c r="O333" s="80"/>
    </row>
    <row r="334" spans="1:15" s="81" customFormat="1" ht="15" x14ac:dyDescent="0.25">
      <c r="A334" s="352"/>
      <c r="B334" s="310"/>
      <c r="C334" s="313" t="s">
        <v>141</v>
      </c>
      <c r="D334" s="308" t="s">
        <v>139</v>
      </c>
      <c r="E334" s="314">
        <v>1</v>
      </c>
      <c r="F334" s="106">
        <f>E334*F331</f>
        <v>10</v>
      </c>
      <c r="G334" s="106"/>
      <c r="H334" s="106"/>
      <c r="I334" s="106"/>
      <c r="J334" s="106"/>
      <c r="K334" s="106"/>
      <c r="L334" s="106"/>
      <c r="M334" s="106"/>
      <c r="N334" s="80"/>
      <c r="O334" s="80"/>
    </row>
    <row r="335" spans="1:15" s="81" customFormat="1" ht="15" x14ac:dyDescent="0.25">
      <c r="A335" s="352"/>
      <c r="B335" s="310"/>
      <c r="C335" s="313" t="s">
        <v>142</v>
      </c>
      <c r="D335" s="312" t="s">
        <v>97</v>
      </c>
      <c r="E335" s="309">
        <v>1.05</v>
      </c>
      <c r="F335" s="106">
        <f>E335*F332</f>
        <v>15.75</v>
      </c>
      <c r="G335" s="106"/>
      <c r="H335" s="106"/>
      <c r="I335" s="106"/>
      <c r="J335" s="106"/>
      <c r="K335" s="106"/>
      <c r="L335" s="106"/>
      <c r="M335" s="106"/>
      <c r="N335" s="80"/>
      <c r="O335" s="80"/>
    </row>
    <row r="336" spans="1:15" s="81" customFormat="1" thickBot="1" x14ac:dyDescent="0.3">
      <c r="A336" s="353"/>
      <c r="B336" s="315"/>
      <c r="C336" s="316" t="s">
        <v>143</v>
      </c>
      <c r="D336" s="317" t="s">
        <v>86</v>
      </c>
      <c r="E336" s="318">
        <v>1.1499999999999999</v>
      </c>
      <c r="F336" s="302">
        <f>E336*F332</f>
        <v>17.25</v>
      </c>
      <c r="G336" s="302"/>
      <c r="H336" s="302"/>
      <c r="I336" s="302"/>
      <c r="J336" s="302"/>
      <c r="K336" s="302"/>
      <c r="L336" s="302"/>
      <c r="M336" s="302"/>
      <c r="N336" s="80"/>
      <c r="O336" s="80"/>
    </row>
    <row r="337" spans="1:15" s="81" customFormat="1" ht="26.25" thickTop="1" x14ac:dyDescent="0.25">
      <c r="A337" s="351">
        <v>3</v>
      </c>
      <c r="B337" s="303"/>
      <c r="C337" s="304" t="s">
        <v>144</v>
      </c>
      <c r="D337" s="305" t="s">
        <v>139</v>
      </c>
      <c r="E337" s="306"/>
      <c r="F337" s="300">
        <v>1</v>
      </c>
      <c r="G337" s="301"/>
      <c r="H337" s="301"/>
      <c r="I337" s="301"/>
      <c r="J337" s="301"/>
      <c r="K337" s="301"/>
      <c r="L337" s="301"/>
      <c r="M337" s="301"/>
      <c r="N337" s="80"/>
      <c r="O337" s="80"/>
    </row>
    <row r="338" spans="1:15" s="81" customFormat="1" ht="15" x14ac:dyDescent="0.25">
      <c r="A338" s="352"/>
      <c r="B338" s="308"/>
      <c r="C338" s="313"/>
      <c r="D338" s="308" t="s">
        <v>97</v>
      </c>
      <c r="E338" s="309">
        <v>2</v>
      </c>
      <c r="F338" s="291">
        <f>E338*F337</f>
        <v>2</v>
      </c>
      <c r="G338" s="106"/>
      <c r="H338" s="106"/>
      <c r="I338" s="106"/>
      <c r="J338" s="106"/>
      <c r="K338" s="106"/>
      <c r="L338" s="106"/>
      <c r="M338" s="106"/>
      <c r="N338" s="80"/>
      <c r="O338" s="80"/>
    </row>
    <row r="339" spans="1:15" s="81" customFormat="1" ht="15" x14ac:dyDescent="0.25">
      <c r="A339" s="352"/>
      <c r="B339" s="310"/>
      <c r="C339" s="311" t="s">
        <v>140</v>
      </c>
      <c r="D339" s="312" t="s">
        <v>102</v>
      </c>
      <c r="E339" s="309">
        <v>3.1</v>
      </c>
      <c r="F339" s="106">
        <f>E339*F338</f>
        <v>6.2</v>
      </c>
      <c r="G339" s="106"/>
      <c r="H339" s="106"/>
      <c r="I339" s="106"/>
      <c r="J339" s="106"/>
      <c r="K339" s="106"/>
      <c r="L339" s="106"/>
      <c r="M339" s="106"/>
      <c r="N339" s="80"/>
      <c r="O339" s="80"/>
    </row>
    <row r="340" spans="1:15" s="81" customFormat="1" ht="15" x14ac:dyDescent="0.25">
      <c r="A340" s="352"/>
      <c r="B340" s="310"/>
      <c r="C340" s="313" t="s">
        <v>145</v>
      </c>
      <c r="D340" s="308" t="s">
        <v>139</v>
      </c>
      <c r="E340" s="314">
        <v>1</v>
      </c>
      <c r="F340" s="106">
        <f>E340*F337</f>
        <v>1</v>
      </c>
      <c r="G340" s="106"/>
      <c r="H340" s="106"/>
      <c r="I340" s="106"/>
      <c r="J340" s="106"/>
      <c r="K340" s="106"/>
      <c r="L340" s="106"/>
      <c r="M340" s="106"/>
      <c r="N340" s="80"/>
      <c r="O340" s="80"/>
    </row>
    <row r="341" spans="1:15" s="81" customFormat="1" ht="15" x14ac:dyDescent="0.25">
      <c r="A341" s="352"/>
      <c r="B341" s="310"/>
      <c r="C341" s="313" t="s">
        <v>142</v>
      </c>
      <c r="D341" s="312" t="s">
        <v>97</v>
      </c>
      <c r="E341" s="309">
        <v>1.05</v>
      </c>
      <c r="F341" s="106">
        <f>E341*F338</f>
        <v>2.1</v>
      </c>
      <c r="G341" s="106"/>
      <c r="H341" s="106"/>
      <c r="I341" s="106"/>
      <c r="J341" s="106"/>
      <c r="K341" s="106"/>
      <c r="L341" s="106"/>
      <c r="M341" s="106"/>
      <c r="N341" s="80"/>
      <c r="O341" s="80"/>
    </row>
    <row r="342" spans="1:15" s="81" customFormat="1" thickBot="1" x14ac:dyDescent="0.3">
      <c r="A342" s="353"/>
      <c r="B342" s="315"/>
      <c r="C342" s="316" t="s">
        <v>143</v>
      </c>
      <c r="D342" s="317" t="s">
        <v>86</v>
      </c>
      <c r="E342" s="318">
        <v>1.1499999999999999</v>
      </c>
      <c r="F342" s="302">
        <f>E342*F338</f>
        <v>2.2999999999999998</v>
      </c>
      <c r="G342" s="302"/>
      <c r="H342" s="302"/>
      <c r="I342" s="302"/>
      <c r="J342" s="302"/>
      <c r="K342" s="302"/>
      <c r="L342" s="302"/>
      <c r="M342" s="302"/>
      <c r="N342" s="80"/>
      <c r="O342" s="80"/>
    </row>
    <row r="343" spans="1:15" s="81" customFormat="1" ht="26.25" thickTop="1" x14ac:dyDescent="0.25">
      <c r="A343" s="351">
        <v>4</v>
      </c>
      <c r="B343" s="303"/>
      <c r="C343" s="304" t="s">
        <v>150</v>
      </c>
      <c r="D343" s="305" t="s">
        <v>139</v>
      </c>
      <c r="E343" s="306"/>
      <c r="F343" s="300">
        <v>1</v>
      </c>
      <c r="G343" s="301"/>
      <c r="H343" s="301"/>
      <c r="I343" s="301"/>
      <c r="J343" s="301"/>
      <c r="K343" s="301"/>
      <c r="L343" s="301"/>
      <c r="M343" s="301"/>
      <c r="N343" s="80"/>
      <c r="O343" s="80"/>
    </row>
    <row r="344" spans="1:15" s="81" customFormat="1" ht="15" x14ac:dyDescent="0.25">
      <c r="A344" s="352"/>
      <c r="B344" s="308"/>
      <c r="C344" s="313"/>
      <c r="D344" s="308" t="s">
        <v>97</v>
      </c>
      <c r="E344" s="309">
        <v>3</v>
      </c>
      <c r="F344" s="291">
        <f>E344*F343</f>
        <v>3</v>
      </c>
      <c r="G344" s="106"/>
      <c r="H344" s="106"/>
      <c r="I344" s="106"/>
      <c r="J344" s="106"/>
      <c r="K344" s="106"/>
      <c r="L344" s="106"/>
      <c r="M344" s="106"/>
      <c r="N344" s="80"/>
      <c r="O344" s="80"/>
    </row>
    <row r="345" spans="1:15" s="81" customFormat="1" ht="15" x14ac:dyDescent="0.25">
      <c r="A345" s="352"/>
      <c r="B345" s="310"/>
      <c r="C345" s="311" t="s">
        <v>140</v>
      </c>
      <c r="D345" s="312" t="s">
        <v>102</v>
      </c>
      <c r="E345" s="309">
        <v>3.1</v>
      </c>
      <c r="F345" s="106">
        <f>E345*F344</f>
        <v>9.3000000000000007</v>
      </c>
      <c r="G345" s="106"/>
      <c r="H345" s="106"/>
      <c r="I345" s="106"/>
      <c r="J345" s="106"/>
      <c r="K345" s="106"/>
      <c r="L345" s="106"/>
      <c r="M345" s="106"/>
      <c r="N345" s="80"/>
      <c r="O345" s="80"/>
    </row>
    <row r="346" spans="1:15" s="81" customFormat="1" ht="15" x14ac:dyDescent="0.25">
      <c r="A346" s="352"/>
      <c r="B346" s="310"/>
      <c r="C346" s="313" t="s">
        <v>151</v>
      </c>
      <c r="D346" s="308" t="s">
        <v>139</v>
      </c>
      <c r="E346" s="314">
        <v>1</v>
      </c>
      <c r="F346" s="106">
        <f>E346*F343</f>
        <v>1</v>
      </c>
      <c r="G346" s="106"/>
      <c r="H346" s="106"/>
      <c r="I346" s="106"/>
      <c r="J346" s="106"/>
      <c r="K346" s="106"/>
      <c r="L346" s="106"/>
      <c r="M346" s="106"/>
      <c r="N346" s="80"/>
      <c r="O346" s="80"/>
    </row>
    <row r="347" spans="1:15" s="81" customFormat="1" ht="15" x14ac:dyDescent="0.25">
      <c r="A347" s="352"/>
      <c r="B347" s="310"/>
      <c r="C347" s="313" t="s">
        <v>142</v>
      </c>
      <c r="D347" s="312" t="s">
        <v>97</v>
      </c>
      <c r="E347" s="309">
        <v>1.05</v>
      </c>
      <c r="F347" s="106">
        <f>E347*F344</f>
        <v>3.1500000000000004</v>
      </c>
      <c r="G347" s="106"/>
      <c r="H347" s="106"/>
      <c r="I347" s="106"/>
      <c r="J347" s="106"/>
      <c r="K347" s="106"/>
      <c r="L347" s="106"/>
      <c r="M347" s="106"/>
      <c r="N347" s="80"/>
      <c r="O347" s="80"/>
    </row>
    <row r="348" spans="1:15" s="81" customFormat="1" thickBot="1" x14ac:dyDescent="0.3">
      <c r="A348" s="353"/>
      <c r="B348" s="315"/>
      <c r="C348" s="316" t="s">
        <v>143</v>
      </c>
      <c r="D348" s="317" t="s">
        <v>86</v>
      </c>
      <c r="E348" s="318">
        <v>1.1499999999999999</v>
      </c>
      <c r="F348" s="302">
        <f>E348*F344</f>
        <v>3.4499999999999997</v>
      </c>
      <c r="G348" s="302"/>
      <c r="H348" s="302"/>
      <c r="I348" s="302"/>
      <c r="J348" s="302"/>
      <c r="K348" s="302"/>
      <c r="L348" s="302"/>
      <c r="M348" s="302"/>
      <c r="N348" s="80"/>
      <c r="O348" s="80"/>
    </row>
    <row r="349" spans="1:15" s="81" customFormat="1" thickTop="1" x14ac:dyDescent="0.25">
      <c r="A349" s="351">
        <v>5</v>
      </c>
      <c r="B349" s="310"/>
      <c r="C349" s="330" t="s">
        <v>165</v>
      </c>
      <c r="D349" s="312" t="s">
        <v>97</v>
      </c>
      <c r="E349" s="309"/>
      <c r="F349" s="309">
        <v>12</v>
      </c>
      <c r="G349" s="314"/>
      <c r="H349" s="314"/>
      <c r="I349" s="314"/>
      <c r="J349" s="314"/>
      <c r="K349" s="314"/>
      <c r="L349" s="314"/>
      <c r="M349" s="314"/>
      <c r="N349" s="80"/>
      <c r="O349" s="80"/>
    </row>
    <row r="350" spans="1:15" s="81" customFormat="1" ht="15" x14ac:dyDescent="0.25">
      <c r="A350" s="352"/>
      <c r="B350" s="310"/>
      <c r="C350" s="330"/>
      <c r="D350" s="312" t="s">
        <v>98</v>
      </c>
      <c r="E350" s="309"/>
      <c r="F350" s="331">
        <f>F349/1000</f>
        <v>1.2E-2</v>
      </c>
      <c r="G350" s="314"/>
      <c r="H350" s="314"/>
      <c r="I350" s="314"/>
      <c r="J350" s="314"/>
      <c r="K350" s="314"/>
      <c r="L350" s="314"/>
      <c r="M350" s="314"/>
      <c r="N350" s="80"/>
      <c r="O350" s="80"/>
    </row>
    <row r="351" spans="1:15" s="81" customFormat="1" ht="15" x14ac:dyDescent="0.25">
      <c r="A351" s="352"/>
      <c r="B351" s="310"/>
      <c r="C351" s="311" t="s">
        <v>140</v>
      </c>
      <c r="D351" s="312" t="s">
        <v>102</v>
      </c>
      <c r="E351" s="309">
        <v>9.75</v>
      </c>
      <c r="F351" s="314">
        <f>E351*F350</f>
        <v>0.11700000000000001</v>
      </c>
      <c r="G351" s="314"/>
      <c r="H351" s="314"/>
      <c r="I351" s="314"/>
      <c r="J351" s="314"/>
      <c r="K351" s="314"/>
      <c r="L351" s="314"/>
      <c r="M351" s="314"/>
      <c r="N351" s="80"/>
      <c r="O351" s="80"/>
    </row>
    <row r="352" spans="1:15" s="81" customFormat="1" thickBot="1" x14ac:dyDescent="0.3">
      <c r="A352" s="354"/>
      <c r="B352" s="310"/>
      <c r="C352" s="330" t="s">
        <v>166</v>
      </c>
      <c r="D352" s="312" t="s">
        <v>99</v>
      </c>
      <c r="E352" s="309">
        <v>21.8</v>
      </c>
      <c r="F352" s="314">
        <f>E352*F350</f>
        <v>0.2616</v>
      </c>
      <c r="G352" s="314"/>
      <c r="H352" s="314"/>
      <c r="I352" s="314"/>
      <c r="J352" s="314"/>
      <c r="K352" s="314"/>
      <c r="L352" s="314"/>
      <c r="M352" s="314"/>
      <c r="N352" s="80"/>
      <c r="O352" s="80"/>
    </row>
    <row r="353" spans="1:15" s="81" customFormat="1" ht="16.5" thickTop="1" thickBot="1" x14ac:dyDescent="0.3">
      <c r="A353" s="292"/>
      <c r="B353" s="293"/>
      <c r="C353" s="294" t="s">
        <v>157</v>
      </c>
      <c r="D353" s="295"/>
      <c r="E353" s="295"/>
      <c r="F353" s="296"/>
      <c r="G353" s="296"/>
      <c r="H353" s="297"/>
      <c r="I353" s="297"/>
      <c r="J353" s="297"/>
      <c r="K353" s="297"/>
      <c r="L353" s="297"/>
      <c r="M353" s="297"/>
      <c r="N353" s="80">
        <f>F326+F332+F338+F344</f>
        <v>24.8</v>
      </c>
      <c r="O353" s="80"/>
    </row>
    <row r="354" spans="1:15" s="81" customFormat="1" ht="31.5" thickTop="1" thickBot="1" x14ac:dyDescent="0.3">
      <c r="A354" s="299"/>
      <c r="B354" s="293"/>
      <c r="C354" s="323" t="s">
        <v>158</v>
      </c>
      <c r="D354" s="295"/>
      <c r="E354" s="295"/>
      <c r="F354" s="296"/>
      <c r="G354" s="296"/>
      <c r="H354" s="297"/>
      <c r="I354" s="297"/>
      <c r="J354" s="297"/>
      <c r="K354" s="297"/>
      <c r="L354" s="297"/>
      <c r="M354" s="297"/>
      <c r="N354" s="80"/>
      <c r="O354" s="80"/>
    </row>
    <row r="355" spans="1:15" s="81" customFormat="1" ht="30.75" thickTop="1" x14ac:dyDescent="0.25">
      <c r="A355" s="355">
        <v>1</v>
      </c>
      <c r="B355" s="336"/>
      <c r="C355" s="324" t="s">
        <v>159</v>
      </c>
      <c r="D355" s="337" t="s">
        <v>97</v>
      </c>
      <c r="E355" s="338"/>
      <c r="F355" s="326">
        <v>3.5</v>
      </c>
      <c r="G355" s="325"/>
      <c r="H355" s="325"/>
      <c r="I355" s="325"/>
      <c r="J355" s="325"/>
      <c r="K355" s="325"/>
      <c r="L355" s="325"/>
      <c r="M355" s="325"/>
      <c r="N355" s="80"/>
      <c r="O355" s="80"/>
    </row>
    <row r="356" spans="1:15" s="81" customFormat="1" ht="15" x14ac:dyDescent="0.25">
      <c r="A356" s="356"/>
      <c r="B356" s="107"/>
      <c r="C356" s="110"/>
      <c r="D356" s="107" t="s">
        <v>160</v>
      </c>
      <c r="E356" s="111"/>
      <c r="F356" s="120">
        <f>F355/100</f>
        <v>3.5000000000000003E-2</v>
      </c>
      <c r="G356" s="111"/>
      <c r="H356" s="111"/>
      <c r="I356" s="111"/>
      <c r="J356" s="111"/>
      <c r="K356" s="111"/>
      <c r="L356" s="111"/>
      <c r="M356" s="111"/>
      <c r="N356" s="80"/>
      <c r="O356" s="80"/>
    </row>
    <row r="357" spans="1:15" s="81" customFormat="1" ht="15" x14ac:dyDescent="0.25">
      <c r="A357" s="356"/>
      <c r="B357" s="112"/>
      <c r="C357" s="113" t="s">
        <v>59</v>
      </c>
      <c r="D357" s="107" t="s">
        <v>102</v>
      </c>
      <c r="E357" s="111">
        <v>137</v>
      </c>
      <c r="F357" s="111">
        <f>F356*E357</f>
        <v>4.7950000000000008</v>
      </c>
      <c r="G357" s="111"/>
      <c r="H357" s="111"/>
      <c r="I357" s="111"/>
      <c r="J357" s="111"/>
      <c r="K357" s="111"/>
      <c r="L357" s="111"/>
      <c r="M357" s="111"/>
      <c r="N357" s="80"/>
      <c r="O357" s="80"/>
    </row>
    <row r="358" spans="1:15" s="81" customFormat="1" ht="15" x14ac:dyDescent="0.25">
      <c r="A358" s="356"/>
      <c r="B358" s="112"/>
      <c r="C358" s="113" t="s">
        <v>43</v>
      </c>
      <c r="D358" s="107" t="s">
        <v>22</v>
      </c>
      <c r="E358" s="111">
        <v>28.3</v>
      </c>
      <c r="F358" s="111">
        <f>F356*E358</f>
        <v>0.99050000000000016</v>
      </c>
      <c r="G358" s="111"/>
      <c r="H358" s="111"/>
      <c r="I358" s="111"/>
      <c r="J358" s="111"/>
      <c r="K358" s="111"/>
      <c r="L358" s="111"/>
      <c r="M358" s="111"/>
      <c r="N358" s="80"/>
      <c r="O358" s="80"/>
    </row>
    <row r="359" spans="1:15" s="81" customFormat="1" ht="15" x14ac:dyDescent="0.25">
      <c r="A359" s="356"/>
      <c r="B359" s="115"/>
      <c r="C359" s="110" t="s">
        <v>161</v>
      </c>
      <c r="D359" s="107" t="s">
        <v>97</v>
      </c>
      <c r="E359" s="111">
        <v>102</v>
      </c>
      <c r="F359" s="111">
        <f>F356*E359</f>
        <v>3.5700000000000003</v>
      </c>
      <c r="G359" s="111"/>
      <c r="H359" s="111"/>
      <c r="I359" s="111"/>
      <c r="J359" s="111"/>
      <c r="K359" s="111"/>
      <c r="L359" s="111"/>
      <c r="M359" s="111"/>
      <c r="N359" s="80"/>
      <c r="O359" s="80"/>
    </row>
    <row r="360" spans="1:15" s="81" customFormat="1" ht="15" x14ac:dyDescent="0.25">
      <c r="A360" s="356"/>
      <c r="B360" s="109"/>
      <c r="C360" s="28" t="s">
        <v>116</v>
      </c>
      <c r="D360" s="125" t="s">
        <v>42</v>
      </c>
      <c r="E360" s="123">
        <v>2.4</v>
      </c>
      <c r="F360" s="26">
        <f>F359*E360</f>
        <v>8.5679999999999996</v>
      </c>
      <c r="G360" s="26"/>
      <c r="H360" s="26"/>
      <c r="I360" s="26"/>
      <c r="J360" s="26"/>
      <c r="K360" s="26"/>
      <c r="L360" s="26"/>
      <c r="M360" s="111"/>
      <c r="N360" s="80"/>
      <c r="O360" s="80"/>
    </row>
    <row r="361" spans="1:15" s="81" customFormat="1" thickBot="1" x14ac:dyDescent="0.3">
      <c r="A361" s="357"/>
      <c r="B361" s="327"/>
      <c r="C361" s="328" t="s">
        <v>21</v>
      </c>
      <c r="D361" s="208" t="s">
        <v>22</v>
      </c>
      <c r="E361" s="209">
        <v>62</v>
      </c>
      <c r="F361" s="209">
        <f>E361*F356</f>
        <v>2.1700000000000004</v>
      </c>
      <c r="G361" s="329"/>
      <c r="H361" s="209"/>
      <c r="I361" s="209"/>
      <c r="J361" s="209"/>
      <c r="K361" s="209"/>
      <c r="L361" s="209"/>
      <c r="M361" s="209"/>
      <c r="N361" s="80"/>
      <c r="O361" s="80"/>
    </row>
    <row r="362" spans="1:15" s="81" customFormat="1" ht="16.5" thickTop="1" x14ac:dyDescent="0.25">
      <c r="A362" s="355">
        <v>2</v>
      </c>
      <c r="B362" s="126"/>
      <c r="C362" s="31" t="s">
        <v>162</v>
      </c>
      <c r="D362" s="345" t="s">
        <v>17</v>
      </c>
      <c r="E362" s="32"/>
      <c r="F362" s="57">
        <v>18.600000000000001</v>
      </c>
      <c r="G362" s="342"/>
      <c r="H362" s="342"/>
      <c r="I362" s="342"/>
      <c r="J362" s="342"/>
      <c r="K362" s="342"/>
      <c r="L362" s="342"/>
      <c r="M362" s="342"/>
      <c r="N362" s="80"/>
      <c r="O362" s="80"/>
    </row>
    <row r="363" spans="1:15" s="81" customFormat="1" ht="15" x14ac:dyDescent="0.25">
      <c r="A363" s="356"/>
      <c r="B363" s="126"/>
      <c r="C363" s="28" t="s">
        <v>13</v>
      </c>
      <c r="D363" s="125" t="s">
        <v>14</v>
      </c>
      <c r="E363" s="123">
        <v>13.2</v>
      </c>
      <c r="F363" s="26">
        <f>E363*F362</f>
        <v>245.52</v>
      </c>
      <c r="G363" s="26"/>
      <c r="H363" s="26"/>
      <c r="I363" s="26"/>
      <c r="J363" s="26"/>
      <c r="K363" s="26"/>
      <c r="L363" s="26"/>
      <c r="M363" s="26"/>
      <c r="N363" s="80"/>
      <c r="O363" s="80"/>
    </row>
    <row r="364" spans="1:15" s="81" customFormat="1" ht="15" x14ac:dyDescent="0.25">
      <c r="A364" s="356"/>
      <c r="B364" s="126"/>
      <c r="C364" s="28" t="s">
        <v>43</v>
      </c>
      <c r="D364" s="125" t="s">
        <v>19</v>
      </c>
      <c r="E364" s="123">
        <v>1.43</v>
      </c>
      <c r="F364" s="26">
        <f>E364*F362</f>
        <v>26.598000000000003</v>
      </c>
      <c r="G364" s="26"/>
      <c r="H364" s="26"/>
      <c r="I364" s="26"/>
      <c r="J364" s="26"/>
      <c r="K364" s="26"/>
      <c r="L364" s="26"/>
      <c r="M364" s="26"/>
      <c r="N364" s="80"/>
      <c r="O364" s="80"/>
    </row>
    <row r="365" spans="1:15" s="81" customFormat="1" x14ac:dyDescent="0.25">
      <c r="A365" s="356"/>
      <c r="B365" s="115"/>
      <c r="C365" s="28" t="s">
        <v>44</v>
      </c>
      <c r="D365" s="125" t="s">
        <v>34</v>
      </c>
      <c r="E365" s="123">
        <v>1</v>
      </c>
      <c r="F365" s="26">
        <f>F362*E365</f>
        <v>18.600000000000001</v>
      </c>
      <c r="G365" s="26"/>
      <c r="H365" s="26"/>
      <c r="I365" s="26"/>
      <c r="J365" s="26"/>
      <c r="K365" s="26"/>
      <c r="L365" s="26"/>
      <c r="M365" s="26"/>
      <c r="N365" s="80"/>
      <c r="O365" s="80"/>
    </row>
    <row r="366" spans="1:15" s="81" customFormat="1" ht="15" x14ac:dyDescent="0.25">
      <c r="A366" s="356"/>
      <c r="B366" s="109"/>
      <c r="C366" s="28" t="s">
        <v>45</v>
      </c>
      <c r="D366" s="125" t="s">
        <v>42</v>
      </c>
      <c r="E366" s="123">
        <v>2.4</v>
      </c>
      <c r="F366" s="26">
        <f>F365*E366</f>
        <v>44.64</v>
      </c>
      <c r="G366" s="26"/>
      <c r="H366" s="26"/>
      <c r="I366" s="26"/>
      <c r="J366" s="26"/>
      <c r="K366" s="26"/>
      <c r="L366" s="26"/>
      <c r="M366" s="26"/>
      <c r="N366" s="80"/>
      <c r="O366" s="80"/>
    </row>
    <row r="367" spans="1:15" s="81" customFormat="1" ht="15" x14ac:dyDescent="0.25">
      <c r="A367" s="356"/>
      <c r="B367" s="115"/>
      <c r="C367" s="110" t="s">
        <v>134</v>
      </c>
      <c r="D367" s="107" t="s">
        <v>105</v>
      </c>
      <c r="E367" s="108" t="s">
        <v>109</v>
      </c>
      <c r="F367" s="44">
        <v>0.876</v>
      </c>
      <c r="G367" s="26"/>
      <c r="H367" s="26"/>
      <c r="I367" s="111"/>
      <c r="J367" s="111"/>
      <c r="K367" s="111"/>
      <c r="L367" s="111"/>
      <c r="M367" s="26"/>
      <c r="N367" s="80"/>
      <c r="O367" s="80"/>
    </row>
    <row r="368" spans="1:15" s="81" customFormat="1" ht="15" x14ac:dyDescent="0.25">
      <c r="A368" s="356"/>
      <c r="B368" s="115"/>
      <c r="C368" s="110" t="s">
        <v>163</v>
      </c>
      <c r="D368" s="107" t="s">
        <v>105</v>
      </c>
      <c r="E368" s="108" t="s">
        <v>109</v>
      </c>
      <c r="F368" s="44">
        <v>5.2999999999999999E-2</v>
      </c>
      <c r="G368" s="26"/>
      <c r="H368" s="26"/>
      <c r="I368" s="111"/>
      <c r="J368" s="111"/>
      <c r="K368" s="111"/>
      <c r="L368" s="111"/>
      <c r="M368" s="26"/>
      <c r="N368" s="80"/>
      <c r="O368" s="80"/>
    </row>
    <row r="369" spans="1:15" s="81" customFormat="1" ht="30" x14ac:dyDescent="0.25">
      <c r="A369" s="356"/>
      <c r="B369" s="334"/>
      <c r="C369" s="31" t="s">
        <v>48</v>
      </c>
      <c r="D369" s="345" t="s">
        <v>42</v>
      </c>
      <c r="E369" s="345">
        <v>1</v>
      </c>
      <c r="F369" s="335">
        <f>F368+F367</f>
        <v>0.92900000000000005</v>
      </c>
      <c r="G369" s="26"/>
      <c r="H369" s="26"/>
      <c r="I369" s="26"/>
      <c r="J369" s="26"/>
      <c r="K369" s="26"/>
      <c r="L369" s="26"/>
      <c r="M369" s="26"/>
      <c r="N369" s="80"/>
      <c r="O369" s="80"/>
    </row>
    <row r="370" spans="1:15" s="81" customFormat="1" ht="15" x14ac:dyDescent="0.25">
      <c r="A370" s="356"/>
      <c r="B370" s="121"/>
      <c r="C370" s="117" t="s">
        <v>110</v>
      </c>
      <c r="D370" s="118" t="s">
        <v>89</v>
      </c>
      <c r="E370" s="111">
        <v>2.64</v>
      </c>
      <c r="F370" s="26">
        <f>F362*E370</f>
        <v>49.104000000000006</v>
      </c>
      <c r="G370" s="26"/>
      <c r="H370" s="26"/>
      <c r="I370" s="111"/>
      <c r="J370" s="111"/>
      <c r="K370" s="111"/>
      <c r="L370" s="111"/>
      <c r="M370" s="26"/>
      <c r="N370" s="80"/>
      <c r="O370" s="80"/>
    </row>
    <row r="371" spans="1:15" s="81" customFormat="1" x14ac:dyDescent="0.25">
      <c r="A371" s="356"/>
      <c r="B371" s="115"/>
      <c r="C371" s="28" t="s">
        <v>84</v>
      </c>
      <c r="D371" s="125" t="s">
        <v>34</v>
      </c>
      <c r="E371" s="123">
        <v>5.9799999999999999E-2</v>
      </c>
      <c r="F371" s="26">
        <f>E371*F362</f>
        <v>1.1122800000000002</v>
      </c>
      <c r="G371" s="26"/>
      <c r="H371" s="26"/>
      <c r="I371" s="26"/>
      <c r="J371" s="26"/>
      <c r="K371" s="26"/>
      <c r="L371" s="26"/>
      <c r="M371" s="26"/>
      <c r="N371" s="80"/>
      <c r="O371" s="80"/>
    </row>
    <row r="372" spans="1:15" s="81" customFormat="1" ht="15" x14ac:dyDescent="0.25">
      <c r="A372" s="356"/>
      <c r="B372" s="115"/>
      <c r="C372" s="28" t="s">
        <v>167</v>
      </c>
      <c r="D372" s="125" t="s">
        <v>80</v>
      </c>
      <c r="E372" s="123" t="s">
        <v>109</v>
      </c>
      <c r="F372" s="26">
        <v>3.5</v>
      </c>
      <c r="G372" s="26"/>
      <c r="H372" s="26"/>
      <c r="I372" s="26"/>
      <c r="J372" s="26"/>
      <c r="K372" s="26"/>
      <c r="L372" s="26"/>
      <c r="M372" s="26"/>
      <c r="N372" s="80"/>
      <c r="O372" s="80"/>
    </row>
    <row r="373" spans="1:15" s="81" customFormat="1" thickBot="1" x14ac:dyDescent="0.3">
      <c r="A373" s="357"/>
      <c r="B373" s="234"/>
      <c r="C373" s="139" t="s">
        <v>52</v>
      </c>
      <c r="D373" s="140" t="s">
        <v>22</v>
      </c>
      <c r="E373" s="141">
        <v>0.49</v>
      </c>
      <c r="F373" s="142">
        <f>F362*E373</f>
        <v>9.1140000000000008</v>
      </c>
      <c r="G373" s="142"/>
      <c r="H373" s="142"/>
      <c r="I373" s="142"/>
      <c r="J373" s="142"/>
      <c r="K373" s="142"/>
      <c r="L373" s="142"/>
      <c r="M373" s="142"/>
      <c r="N373" s="80"/>
      <c r="O373" s="80"/>
    </row>
    <row r="374" spans="1:15" s="81" customFormat="1" ht="16.5" thickTop="1" thickBot="1" x14ac:dyDescent="0.3">
      <c r="A374" s="292"/>
      <c r="B374" s="293"/>
      <c r="C374" s="294" t="s">
        <v>164</v>
      </c>
      <c r="D374" s="295"/>
      <c r="E374" s="295"/>
      <c r="F374" s="296"/>
      <c r="G374" s="296"/>
      <c r="H374" s="297">
        <f>SUM(H356:H373)</f>
        <v>0</v>
      </c>
      <c r="I374" s="297"/>
      <c r="J374" s="297">
        <f>SUM(J356:J373)</f>
        <v>0</v>
      </c>
      <c r="K374" s="297"/>
      <c r="L374" s="297">
        <f>SUM(L357:L373)</f>
        <v>0</v>
      </c>
      <c r="M374" s="297">
        <f>SUM(M356:M373)</f>
        <v>0</v>
      </c>
      <c r="N374" s="80"/>
      <c r="O374" s="80"/>
    </row>
    <row r="375" spans="1:15" s="81" customFormat="1" thickTop="1" x14ac:dyDescent="0.25">
      <c r="A375" s="75"/>
      <c r="B375" s="76"/>
      <c r="C375" s="77"/>
      <c r="D375" s="78"/>
      <c r="E375" s="78"/>
      <c r="F375" s="79"/>
      <c r="G375" s="79"/>
      <c r="H375" s="79"/>
      <c r="I375" s="79"/>
      <c r="J375" s="79"/>
      <c r="K375" s="79"/>
      <c r="L375" s="79"/>
      <c r="M375" s="79"/>
      <c r="N375" s="80"/>
      <c r="O375" s="80"/>
    </row>
    <row r="376" spans="1:15" ht="15" x14ac:dyDescent="0.25">
      <c r="A376" s="65"/>
      <c r="B376" s="59"/>
      <c r="C376" s="20" t="s">
        <v>91</v>
      </c>
      <c r="D376" s="29"/>
      <c r="E376" s="37"/>
      <c r="F376" s="38"/>
      <c r="G376" s="38"/>
      <c r="H376" s="66">
        <f>H243+H207+H89+H41+H14+H139+H153+H176+H260+H103+H291+H322+H353+H374</f>
        <v>0</v>
      </c>
      <c r="I376" s="66"/>
      <c r="J376" s="66">
        <f>J243+J207+J89+J41+J14+J139+J153+J176+J260+J103+J291+J322+J353+J374</f>
        <v>0</v>
      </c>
      <c r="K376" s="66"/>
      <c r="L376" s="66">
        <f>L243+L207+L89+L41+L14+L139+L153+L176+L260+L103+L291+L322+L353+L374</f>
        <v>0</v>
      </c>
      <c r="M376" s="66">
        <f>M243+M207+M89+M41+M14+M176+M153+M139+M103+M260+M291+M322+M353+M374</f>
        <v>0</v>
      </c>
      <c r="N376" s="2"/>
    </row>
    <row r="377" spans="1:15" x14ac:dyDescent="0.3">
      <c r="A377" s="82"/>
      <c r="B377" s="36"/>
      <c r="C377" s="83" t="s">
        <v>92</v>
      </c>
      <c r="D377" s="84"/>
      <c r="E377" s="23"/>
      <c r="F377" s="23"/>
      <c r="G377" s="23"/>
      <c r="H377" s="23"/>
      <c r="I377" s="23"/>
      <c r="J377" s="23"/>
      <c r="K377" s="23"/>
      <c r="L377" s="23"/>
      <c r="M377" s="56">
        <f>M376*D377</f>
        <v>0</v>
      </c>
      <c r="N377" s="2">
        <f>M13+M21+M26+M33+M44+M55+M69+M73+M82+M92+M97+M99+M106+M117+M128+M132+M142+M147+M149+M156+M167+M179+M184+M188+M193+M203+M210+M214+M216+M221+M225+M230+M239+M247+M252+M265+M271+M277+M283+M289+M296+M302+M308+M314+M320+M327+M333+M339+M345+M351+M357+M363</f>
        <v>0</v>
      </c>
    </row>
    <row r="378" spans="1:15" x14ac:dyDescent="0.3">
      <c r="A378" s="82"/>
      <c r="B378" s="36"/>
      <c r="C378" s="83" t="s">
        <v>8</v>
      </c>
      <c r="D378" s="85"/>
      <c r="E378" s="23"/>
      <c r="F378" s="23"/>
      <c r="G378" s="23"/>
      <c r="H378" s="23"/>
      <c r="I378" s="23"/>
      <c r="J378" s="23"/>
      <c r="K378" s="23"/>
      <c r="L378" s="23"/>
      <c r="M378" s="56">
        <f>M376+M377</f>
        <v>0</v>
      </c>
    </row>
    <row r="379" spans="1:15" ht="15" x14ac:dyDescent="0.25">
      <c r="A379" s="82"/>
      <c r="B379" s="29"/>
      <c r="C379" s="345" t="s">
        <v>93</v>
      </c>
      <c r="D379" s="86"/>
      <c r="E379" s="87"/>
      <c r="F379" s="342"/>
      <c r="G379" s="342"/>
      <c r="H379" s="342"/>
      <c r="I379" s="56"/>
      <c r="J379" s="56"/>
      <c r="K379" s="56"/>
      <c r="L379" s="56"/>
      <c r="M379" s="56">
        <f>M378*D379</f>
        <v>0</v>
      </c>
    </row>
    <row r="380" spans="1:15" ht="15" x14ac:dyDescent="0.25">
      <c r="A380" s="82"/>
      <c r="B380" s="29"/>
      <c r="C380" s="345" t="s">
        <v>8</v>
      </c>
      <c r="D380" s="345"/>
      <c r="E380" s="346"/>
      <c r="F380" s="342"/>
      <c r="G380" s="342"/>
      <c r="H380" s="342"/>
      <c r="I380" s="56"/>
      <c r="J380" s="56"/>
      <c r="K380" s="56"/>
      <c r="L380" s="56"/>
      <c r="M380" s="56">
        <f>M378+M379</f>
        <v>0</v>
      </c>
    </row>
    <row r="381" spans="1:15" s="2" customFormat="1" ht="15" x14ac:dyDescent="0.25">
      <c r="A381" s="82"/>
      <c r="B381" s="29"/>
      <c r="C381" s="345" t="s">
        <v>94</v>
      </c>
      <c r="D381" s="86">
        <v>0.03</v>
      </c>
      <c r="E381" s="87"/>
      <c r="F381" s="342"/>
      <c r="G381" s="342"/>
      <c r="H381" s="342"/>
      <c r="I381" s="56"/>
      <c r="J381" s="56"/>
      <c r="K381" s="56"/>
      <c r="L381" s="56"/>
      <c r="M381" s="56">
        <f>M380*D381</f>
        <v>0</v>
      </c>
    </row>
    <row r="382" spans="1:15" ht="15" x14ac:dyDescent="0.25">
      <c r="A382" s="82"/>
      <c r="B382" s="29"/>
      <c r="C382" s="345" t="s">
        <v>8</v>
      </c>
      <c r="D382" s="345"/>
      <c r="E382" s="346"/>
      <c r="F382" s="342"/>
      <c r="G382" s="342"/>
      <c r="H382" s="342"/>
      <c r="I382" s="56"/>
      <c r="J382" s="56"/>
      <c r="K382" s="56"/>
      <c r="L382" s="56"/>
      <c r="M382" s="56">
        <f>M380+M381</f>
        <v>0</v>
      </c>
    </row>
    <row r="383" spans="1:15" ht="15" x14ac:dyDescent="0.25">
      <c r="A383" s="82"/>
      <c r="B383" s="29"/>
      <c r="C383" s="345" t="s">
        <v>95</v>
      </c>
      <c r="D383" s="86">
        <v>0.18</v>
      </c>
      <c r="E383" s="87"/>
      <c r="F383" s="342"/>
      <c r="G383" s="342"/>
      <c r="H383" s="342"/>
      <c r="I383" s="56"/>
      <c r="J383" s="56"/>
      <c r="K383" s="56"/>
      <c r="L383" s="56"/>
      <c r="M383" s="56">
        <f>M382*D383</f>
        <v>0</v>
      </c>
    </row>
    <row r="384" spans="1:15" ht="15" x14ac:dyDescent="0.25">
      <c r="A384" s="82"/>
      <c r="B384" s="29"/>
      <c r="C384" s="345" t="s">
        <v>96</v>
      </c>
      <c r="D384" s="345"/>
      <c r="E384" s="346"/>
      <c r="F384" s="342"/>
      <c r="G384" s="342"/>
      <c r="H384" s="342"/>
      <c r="I384" s="56"/>
      <c r="J384" s="56"/>
      <c r="K384" s="56"/>
      <c r="L384" s="56"/>
      <c r="M384" s="349">
        <f>M382+M383</f>
        <v>0</v>
      </c>
    </row>
    <row r="385" spans="1:14" x14ac:dyDescent="0.3">
      <c r="A385" s="350"/>
      <c r="B385" s="350"/>
      <c r="C385" s="350"/>
      <c r="D385" s="350"/>
      <c r="E385" s="350"/>
      <c r="F385" s="350"/>
      <c r="G385" s="350"/>
      <c r="H385" s="350"/>
      <c r="I385" s="350"/>
      <c r="J385" s="350"/>
      <c r="K385" s="350"/>
      <c r="L385" s="350"/>
      <c r="M385" s="350"/>
    </row>
    <row r="386" spans="1:14" ht="21" customHeight="1" x14ac:dyDescent="0.3">
      <c r="A386" s="88"/>
      <c r="B386" s="339"/>
      <c r="C386" s="339"/>
      <c r="D386" s="89"/>
      <c r="E386" s="90"/>
      <c r="F386" s="91"/>
      <c r="G386" s="92"/>
      <c r="H386" s="93"/>
      <c r="I386" s="94"/>
      <c r="J386" s="94"/>
      <c r="K386" s="95"/>
      <c r="L386" s="95"/>
      <c r="M386" s="91"/>
      <c r="N386" s="2"/>
    </row>
    <row r="387" spans="1:14" ht="23.25" customHeight="1" x14ac:dyDescent="0.3">
      <c r="B387" s="339"/>
      <c r="C387" s="339"/>
    </row>
    <row r="389" spans="1:14" x14ac:dyDescent="0.3">
      <c r="A389" s="414" t="s">
        <v>170</v>
      </c>
      <c r="B389" s="414"/>
      <c r="C389" s="414"/>
      <c r="D389" s="414"/>
      <c r="E389" s="414"/>
      <c r="F389" s="414"/>
      <c r="G389" s="414"/>
      <c r="H389" s="414"/>
    </row>
    <row r="390" spans="1:14" ht="65.25" customHeight="1" x14ac:dyDescent="0.25">
      <c r="A390" s="415" t="s">
        <v>171</v>
      </c>
      <c r="B390" s="415"/>
      <c r="C390" s="415"/>
      <c r="D390" s="415"/>
      <c r="E390" s="415"/>
      <c r="F390" s="415"/>
      <c r="G390" s="415"/>
      <c r="H390" s="415"/>
      <c r="I390" s="415"/>
      <c r="J390" s="415"/>
      <c r="K390" s="415"/>
      <c r="L390" s="415"/>
      <c r="M390" s="415"/>
    </row>
    <row r="391" spans="1:14" x14ac:dyDescent="0.3">
      <c r="A391" s="416"/>
      <c r="B391" s="416"/>
      <c r="C391" s="416"/>
      <c r="D391" s="416"/>
      <c r="E391" s="416"/>
      <c r="F391" s="416"/>
      <c r="G391" s="416"/>
      <c r="H391" s="416"/>
    </row>
    <row r="392" spans="1:14" ht="15.75" customHeight="1" x14ac:dyDescent="0.25">
      <c r="A392" s="415" t="s">
        <v>172</v>
      </c>
      <c r="B392" s="415"/>
      <c r="C392" s="415"/>
      <c r="D392" s="415"/>
      <c r="E392" s="415"/>
      <c r="F392" s="415"/>
      <c r="G392" s="415"/>
      <c r="H392" s="415"/>
      <c r="I392" s="415"/>
      <c r="J392" s="415"/>
      <c r="K392" s="415"/>
      <c r="L392" s="415"/>
      <c r="M392" s="415"/>
    </row>
    <row r="393" spans="1:14" x14ac:dyDescent="0.3">
      <c r="A393" s="416"/>
      <c r="B393" s="416"/>
      <c r="C393" s="416"/>
      <c r="D393" s="416"/>
      <c r="E393" s="416"/>
      <c r="F393" s="416"/>
      <c r="G393" s="416"/>
      <c r="H393" s="416"/>
    </row>
    <row r="394" spans="1:14" ht="15" x14ac:dyDescent="0.25">
      <c r="A394" s="415" t="s">
        <v>173</v>
      </c>
      <c r="B394" s="415"/>
      <c r="C394" s="415"/>
      <c r="D394" s="415"/>
      <c r="E394" s="415"/>
      <c r="F394" s="415"/>
      <c r="G394" s="415"/>
      <c r="H394" s="415"/>
      <c r="I394" s="415"/>
      <c r="J394" s="415"/>
      <c r="K394" s="415"/>
      <c r="L394" s="415"/>
      <c r="M394" s="415"/>
    </row>
    <row r="395" spans="1:14" x14ac:dyDescent="0.3">
      <c r="A395" s="416"/>
      <c r="B395" s="416"/>
      <c r="C395" s="416"/>
      <c r="D395" s="416"/>
      <c r="E395" s="416"/>
      <c r="F395" s="416"/>
      <c r="G395" s="416"/>
      <c r="H395" s="416"/>
    </row>
    <row r="396" spans="1:14" ht="48.75" customHeight="1" x14ac:dyDescent="0.25">
      <c r="A396" s="415" t="s">
        <v>174</v>
      </c>
      <c r="B396" s="415"/>
      <c r="C396" s="415"/>
      <c r="D396" s="415"/>
      <c r="E396" s="415"/>
      <c r="F396" s="415"/>
      <c r="G396" s="415"/>
      <c r="H396" s="415"/>
      <c r="I396" s="415"/>
      <c r="J396" s="415"/>
      <c r="K396" s="415"/>
      <c r="L396" s="415"/>
      <c r="M396" s="415"/>
    </row>
    <row r="397" spans="1:14" x14ac:dyDescent="0.3">
      <c r="A397" s="416"/>
      <c r="B397" s="416"/>
      <c r="C397" s="416"/>
      <c r="D397" s="416"/>
      <c r="E397" s="416"/>
      <c r="F397" s="416"/>
      <c r="G397" s="416"/>
      <c r="H397" s="416"/>
    </row>
    <row r="398" spans="1:14" ht="15.75" customHeight="1" x14ac:dyDescent="0.25">
      <c r="A398" s="415" t="s">
        <v>175</v>
      </c>
      <c r="B398" s="415"/>
      <c r="C398" s="415"/>
      <c r="D398" s="415"/>
      <c r="E398" s="415"/>
      <c r="F398" s="415"/>
      <c r="G398" s="415"/>
      <c r="H398" s="415"/>
      <c r="I398" s="415"/>
      <c r="J398" s="415"/>
      <c r="K398" s="415"/>
      <c r="L398" s="415"/>
      <c r="M398" s="415"/>
    </row>
    <row r="399" spans="1:14" x14ac:dyDescent="0.3">
      <c r="A399" s="416"/>
      <c r="B399" s="416"/>
      <c r="C399" s="416"/>
      <c r="D399" s="416"/>
      <c r="E399" s="416"/>
      <c r="F399" s="416"/>
      <c r="G399" s="416"/>
      <c r="H399" s="416"/>
    </row>
    <row r="400" spans="1:14" ht="15.75" customHeight="1" x14ac:dyDescent="0.25">
      <c r="A400" s="415" t="s">
        <v>176</v>
      </c>
      <c r="B400" s="415"/>
      <c r="C400" s="415"/>
      <c r="D400" s="415"/>
      <c r="E400" s="415"/>
      <c r="F400" s="415"/>
      <c r="G400" s="415"/>
      <c r="H400" s="415"/>
      <c r="I400" s="415"/>
      <c r="J400" s="415"/>
      <c r="K400" s="415"/>
      <c r="L400" s="415"/>
      <c r="M400" s="415"/>
    </row>
    <row r="401" spans="1:13" x14ac:dyDescent="0.3">
      <c r="A401" s="416"/>
      <c r="B401" s="416"/>
      <c r="C401" s="416"/>
      <c r="D401" s="416"/>
      <c r="E401" s="416"/>
      <c r="F401" s="416"/>
      <c r="G401" s="416"/>
      <c r="H401" s="416"/>
    </row>
    <row r="402" spans="1:13" ht="31.5" customHeight="1" x14ac:dyDescent="0.25">
      <c r="A402" s="415" t="s">
        <v>177</v>
      </c>
      <c r="B402" s="415"/>
      <c r="C402" s="415"/>
      <c r="D402" s="415"/>
      <c r="E402" s="415"/>
      <c r="F402" s="415"/>
      <c r="G402" s="415"/>
      <c r="H402" s="415"/>
      <c r="I402" s="415"/>
      <c r="J402" s="415"/>
      <c r="K402" s="415"/>
      <c r="L402" s="415"/>
      <c r="M402" s="415"/>
    </row>
  </sheetData>
  <mergeCells count="82">
    <mergeCell ref="A390:M390"/>
    <mergeCell ref="A392:M392"/>
    <mergeCell ref="A394:M394"/>
    <mergeCell ref="A396:M396"/>
    <mergeCell ref="A398:M398"/>
    <mergeCell ref="A400:M400"/>
    <mergeCell ref="A402:M402"/>
    <mergeCell ref="A389:H389"/>
    <mergeCell ref="A1:M1"/>
    <mergeCell ref="A2:M2"/>
    <mergeCell ref="A4:C4"/>
    <mergeCell ref="K4:L4"/>
    <mergeCell ref="A5:C5"/>
    <mergeCell ref="K5:L5"/>
    <mergeCell ref="G7:H7"/>
    <mergeCell ref="I7:J7"/>
    <mergeCell ref="K7:L7"/>
    <mergeCell ref="M7:M8"/>
    <mergeCell ref="A12:A13"/>
    <mergeCell ref="B12:B13"/>
    <mergeCell ref="A7:A8"/>
    <mergeCell ref="B7:B8"/>
    <mergeCell ref="C7:C8"/>
    <mergeCell ref="D7:D8"/>
    <mergeCell ref="E7:E8"/>
    <mergeCell ref="F7:F8"/>
    <mergeCell ref="A98:A102"/>
    <mergeCell ref="A30:A31"/>
    <mergeCell ref="B30:B31"/>
    <mergeCell ref="A32:A40"/>
    <mergeCell ref="A43:A52"/>
    <mergeCell ref="A53:A66"/>
    <mergeCell ref="A67:A71"/>
    <mergeCell ref="A72:A80"/>
    <mergeCell ref="A81:A88"/>
    <mergeCell ref="A91:A95"/>
    <mergeCell ref="A96:A97"/>
    <mergeCell ref="B96:B97"/>
    <mergeCell ref="A183:A186"/>
    <mergeCell ref="A105:A114"/>
    <mergeCell ref="A115:A125"/>
    <mergeCell ref="A126:A130"/>
    <mergeCell ref="A131:A138"/>
    <mergeCell ref="A141:A145"/>
    <mergeCell ref="A146:A147"/>
    <mergeCell ref="B146:B147"/>
    <mergeCell ref="A148:A152"/>
    <mergeCell ref="A155:A164"/>
    <mergeCell ref="A165:A175"/>
    <mergeCell ref="A178:A182"/>
    <mergeCell ref="A246:A250"/>
    <mergeCell ref="A187:A191"/>
    <mergeCell ref="A192:A201"/>
    <mergeCell ref="A202:A206"/>
    <mergeCell ref="N208:P208"/>
    <mergeCell ref="A209:A212"/>
    <mergeCell ref="A213:A214"/>
    <mergeCell ref="B213:B214"/>
    <mergeCell ref="A215:A219"/>
    <mergeCell ref="A220:A223"/>
    <mergeCell ref="A224:A228"/>
    <mergeCell ref="A229:A237"/>
    <mergeCell ref="A238:A242"/>
    <mergeCell ref="A324:A330"/>
    <mergeCell ref="A251:A259"/>
    <mergeCell ref="A262:A268"/>
    <mergeCell ref="A269:A274"/>
    <mergeCell ref="A275:A280"/>
    <mergeCell ref="A281:A286"/>
    <mergeCell ref="A287:A290"/>
    <mergeCell ref="A293:A299"/>
    <mergeCell ref="A300:A305"/>
    <mergeCell ref="A306:A311"/>
    <mergeCell ref="A312:A317"/>
    <mergeCell ref="A318:A321"/>
    <mergeCell ref="A385:M385"/>
    <mergeCell ref="A331:A336"/>
    <mergeCell ref="A337:A342"/>
    <mergeCell ref="A343:A348"/>
    <mergeCell ref="A349:A352"/>
    <mergeCell ref="A355:A361"/>
    <mergeCell ref="A362:A373"/>
  </mergeCells>
  <conditionalFormatting sqref="F29 F356:M359 E361:M361">
    <cfRule type="cellIs" dxfId="172" priority="173" stopIfTrue="1" operator="lessThan">
      <formula>0</formula>
    </cfRule>
  </conditionalFormatting>
  <conditionalFormatting sqref="F54:M58 M63:M66 F60:M60">
    <cfRule type="cellIs" dxfId="171" priority="172" stopIfTrue="1" operator="lessThan">
      <formula>0</formula>
    </cfRule>
  </conditionalFormatting>
  <conditionalFormatting sqref="F53:M53">
    <cfRule type="cellIs" dxfId="170" priority="171" stopIfTrue="1" operator="lessThan">
      <formula>0</formula>
    </cfRule>
  </conditionalFormatting>
  <conditionalFormatting sqref="E63:L65">
    <cfRule type="cellIs" dxfId="169" priority="170" stopIfTrue="1" operator="lessThan">
      <formula>0</formula>
    </cfRule>
  </conditionalFormatting>
  <conditionalFormatting sqref="F66:L66">
    <cfRule type="cellIs" dxfId="168" priority="169" stopIfTrue="1" operator="lessThan">
      <formula>0</formula>
    </cfRule>
  </conditionalFormatting>
  <conditionalFormatting sqref="F68:M69">
    <cfRule type="cellIs" dxfId="167" priority="168" stopIfTrue="1" operator="lessThan">
      <formula>0</formula>
    </cfRule>
  </conditionalFormatting>
  <conditionalFormatting sqref="F67:M67">
    <cfRule type="cellIs" dxfId="166" priority="167" stopIfTrue="1" operator="lessThan">
      <formula>0</formula>
    </cfRule>
  </conditionalFormatting>
  <conditionalFormatting sqref="F116:M120 M122:M125">
    <cfRule type="cellIs" dxfId="165" priority="166" stopIfTrue="1" operator="lessThan">
      <formula>0</formula>
    </cfRule>
  </conditionalFormatting>
  <conditionalFormatting sqref="F115:M115">
    <cfRule type="cellIs" dxfId="164" priority="165" stopIfTrue="1" operator="lessThan">
      <formula>0</formula>
    </cfRule>
  </conditionalFormatting>
  <conditionalFormatting sqref="E122:L124">
    <cfRule type="cellIs" dxfId="163" priority="164" stopIfTrue="1" operator="lessThan">
      <formula>0</formula>
    </cfRule>
  </conditionalFormatting>
  <conditionalFormatting sqref="F125:L125">
    <cfRule type="cellIs" dxfId="162" priority="163" stopIfTrue="1" operator="lessThan">
      <formula>0</formula>
    </cfRule>
  </conditionalFormatting>
  <conditionalFormatting sqref="F127:M128">
    <cfRule type="cellIs" dxfId="161" priority="162" stopIfTrue="1" operator="lessThan">
      <formula>0</formula>
    </cfRule>
  </conditionalFormatting>
  <conditionalFormatting sqref="F126:M126">
    <cfRule type="cellIs" dxfId="160" priority="161" stopIfTrue="1" operator="lessThan">
      <formula>0</formula>
    </cfRule>
  </conditionalFormatting>
  <conditionalFormatting sqref="F166:M170 M172:M175">
    <cfRule type="cellIs" dxfId="159" priority="160" stopIfTrue="1" operator="lessThan">
      <formula>0</formula>
    </cfRule>
  </conditionalFormatting>
  <conditionalFormatting sqref="F165:M165">
    <cfRule type="cellIs" dxfId="158" priority="159" stopIfTrue="1" operator="lessThan">
      <formula>0</formula>
    </cfRule>
  </conditionalFormatting>
  <conditionalFormatting sqref="E172:L174">
    <cfRule type="cellIs" dxfId="157" priority="158" stopIfTrue="1" operator="lessThan">
      <formula>0</formula>
    </cfRule>
  </conditionalFormatting>
  <conditionalFormatting sqref="F175:L175">
    <cfRule type="cellIs" dxfId="156" priority="157" stopIfTrue="1" operator="lessThan">
      <formula>0</formula>
    </cfRule>
  </conditionalFormatting>
  <conditionalFormatting sqref="M59">
    <cfRule type="cellIs" dxfId="155" priority="156" stopIfTrue="1" operator="lessThan">
      <formula>0</formula>
    </cfRule>
  </conditionalFormatting>
  <conditionalFormatting sqref="M121">
    <cfRule type="cellIs" dxfId="154" priority="155" stopIfTrue="1" operator="lessThan">
      <formula>0</formula>
    </cfRule>
  </conditionalFormatting>
  <conditionalFormatting sqref="M171">
    <cfRule type="cellIs" dxfId="153" priority="154" stopIfTrue="1" operator="lessThan">
      <formula>0</formula>
    </cfRule>
  </conditionalFormatting>
  <conditionalFormatting sqref="E199">
    <cfRule type="cellIs" dxfId="152" priority="153" stopIfTrue="1" operator="lessThan">
      <formula>0</formula>
    </cfRule>
  </conditionalFormatting>
  <conditionalFormatting sqref="I197:L197">
    <cfRule type="cellIs" dxfId="151" priority="152" stopIfTrue="1" operator="lessThan">
      <formula>0</formula>
    </cfRule>
  </conditionalFormatting>
  <conditionalFormatting sqref="I199:L199">
    <cfRule type="cellIs" dxfId="150" priority="151" stopIfTrue="1" operator="lessThan">
      <formula>0</formula>
    </cfRule>
  </conditionalFormatting>
  <conditionalFormatting sqref="I234:L234">
    <cfRule type="cellIs" dxfId="149" priority="150" stopIfTrue="1" operator="lessThan">
      <formula>0</formula>
    </cfRule>
  </conditionalFormatting>
  <conditionalFormatting sqref="I256:L256">
    <cfRule type="cellIs" dxfId="148" priority="149" stopIfTrue="1" operator="lessThan">
      <formula>0</formula>
    </cfRule>
  </conditionalFormatting>
  <conditionalFormatting sqref="C265:C266 H266:H268 J265">
    <cfRule type="cellIs" dxfId="147" priority="148" stopIfTrue="1" operator="equal">
      <formula>8223.307275</formula>
    </cfRule>
  </conditionalFormatting>
  <conditionalFormatting sqref="C267">
    <cfRule type="cellIs" dxfId="146" priority="147" stopIfTrue="1" operator="equal">
      <formula>8223.307275</formula>
    </cfRule>
  </conditionalFormatting>
  <conditionalFormatting sqref="D265">
    <cfRule type="cellIs" dxfId="145" priority="146" stopIfTrue="1" operator="equal">
      <formula>8223.307275</formula>
    </cfRule>
  </conditionalFormatting>
  <conditionalFormatting sqref="D267:E267 B265 E265 G265:I265 C264:M264 G267 B267 I267:M267 K265:M265">
    <cfRule type="cellIs" dxfId="144" priority="145" stopIfTrue="1" operator="equal">
      <formula>8223.307275</formula>
    </cfRule>
  </conditionalFormatting>
  <conditionalFormatting sqref="B266 D266:G266 I266:M266">
    <cfRule type="cellIs" dxfId="143" priority="144" stopIfTrue="1" operator="equal">
      <formula>8223.307275</formula>
    </cfRule>
  </conditionalFormatting>
  <conditionalFormatting sqref="F267">
    <cfRule type="cellIs" dxfId="142" priority="143" stopIfTrue="1" operator="equal">
      <formula>8223.307275</formula>
    </cfRule>
  </conditionalFormatting>
  <conditionalFormatting sqref="F265">
    <cfRule type="cellIs" dxfId="141" priority="142" stopIfTrue="1" operator="equal">
      <formula>8223.307275</formula>
    </cfRule>
  </conditionalFormatting>
  <conditionalFormatting sqref="B264">
    <cfRule type="cellIs" dxfId="140" priority="141" stopIfTrue="1" operator="equal">
      <formula>8223.307275</formula>
    </cfRule>
  </conditionalFormatting>
  <conditionalFormatting sqref="A262 C262:M263">
    <cfRule type="cellIs" dxfId="139" priority="140" stopIfTrue="1" operator="equal">
      <formula>8223.307275</formula>
    </cfRule>
  </conditionalFormatting>
  <conditionalFormatting sqref="B262:B263">
    <cfRule type="cellIs" dxfId="138" priority="139" stopIfTrue="1" operator="equal">
      <formula>8223.307275</formula>
    </cfRule>
  </conditionalFormatting>
  <conditionalFormatting sqref="G268 I268:M268 B268:C268">
    <cfRule type="cellIs" dxfId="137" priority="138" stopIfTrue="1" operator="equal">
      <formula>8223.307275</formula>
    </cfRule>
  </conditionalFormatting>
  <conditionalFormatting sqref="D268:F268">
    <cfRule type="cellIs" dxfId="136" priority="137" stopIfTrue="1" operator="equal">
      <formula>8223.307275</formula>
    </cfRule>
  </conditionalFormatting>
  <conditionalFormatting sqref="C271 H272:H274 J271">
    <cfRule type="cellIs" dxfId="135" priority="136" stopIfTrue="1" operator="equal">
      <formula>8223.307275</formula>
    </cfRule>
  </conditionalFormatting>
  <conditionalFormatting sqref="B272:G272 B270:M270 B271 E271 B273:E273 G271:I271 G273 I272:M273 K271:M271">
    <cfRule type="cellIs" dxfId="134" priority="135" stopIfTrue="1" operator="equal">
      <formula>8223.307275</formula>
    </cfRule>
  </conditionalFormatting>
  <conditionalFormatting sqref="D271">
    <cfRule type="cellIs" dxfId="133" priority="134" stopIfTrue="1" operator="equal">
      <formula>8223.307275</formula>
    </cfRule>
  </conditionalFormatting>
  <conditionalFormatting sqref="F273">
    <cfRule type="cellIs" dxfId="132" priority="133" stopIfTrue="1" operator="equal">
      <formula>8223.307275</formula>
    </cfRule>
  </conditionalFormatting>
  <conditionalFormatting sqref="F271">
    <cfRule type="cellIs" dxfId="131" priority="132" stopIfTrue="1" operator="equal">
      <formula>8223.307275</formula>
    </cfRule>
  </conditionalFormatting>
  <conditionalFormatting sqref="A269 C269:M269">
    <cfRule type="cellIs" dxfId="130" priority="131" stopIfTrue="1" operator="equal">
      <formula>8223.307275</formula>
    </cfRule>
  </conditionalFormatting>
  <conditionalFormatting sqref="B274:G274 I274:M274">
    <cfRule type="cellIs" dxfId="129" priority="130" stopIfTrue="1" operator="equal">
      <formula>8223.307275</formula>
    </cfRule>
  </conditionalFormatting>
  <conditionalFormatting sqref="B269">
    <cfRule type="cellIs" dxfId="128" priority="129" stopIfTrue="1" operator="equal">
      <formula>8223.307275</formula>
    </cfRule>
  </conditionalFormatting>
  <conditionalFormatting sqref="C277:C278 H278:H280 J277">
    <cfRule type="cellIs" dxfId="127" priority="128" stopIfTrue="1" operator="equal">
      <formula>8223.307275</formula>
    </cfRule>
  </conditionalFormatting>
  <conditionalFormatting sqref="B277:B278 B279:C279 B276:C276 G276:M276 G278:G279 I278:M279 G277:I277 K277:M277">
    <cfRule type="cellIs" dxfId="126" priority="127" stopIfTrue="1" operator="equal">
      <formula>8223.307275</formula>
    </cfRule>
  </conditionalFormatting>
  <conditionalFormatting sqref="B280:C280 G280 I280:M280">
    <cfRule type="cellIs" dxfId="125" priority="126" stopIfTrue="1" operator="equal">
      <formula>8223.307275</formula>
    </cfRule>
  </conditionalFormatting>
  <conditionalFormatting sqref="A275 D275:M275">
    <cfRule type="cellIs" dxfId="124" priority="125" stopIfTrue="1" operator="equal">
      <formula>8223.307275</formula>
    </cfRule>
  </conditionalFormatting>
  <conditionalFormatting sqref="B275">
    <cfRule type="cellIs" dxfId="123" priority="124" stopIfTrue="1" operator="equal">
      <formula>8223.307275</formula>
    </cfRule>
  </conditionalFormatting>
  <conditionalFormatting sqref="C275">
    <cfRule type="cellIs" dxfId="122" priority="123" stopIfTrue="1" operator="equal">
      <formula>8223.307275</formula>
    </cfRule>
  </conditionalFormatting>
  <conditionalFormatting sqref="D278:F278 D276:F276 E277 D279:E279">
    <cfRule type="cellIs" dxfId="121" priority="122" stopIfTrue="1" operator="equal">
      <formula>8223.307275</formula>
    </cfRule>
  </conditionalFormatting>
  <conditionalFormatting sqref="D277">
    <cfRule type="cellIs" dxfId="120" priority="121" stopIfTrue="1" operator="equal">
      <formula>8223.307275</formula>
    </cfRule>
  </conditionalFormatting>
  <conditionalFormatting sqref="F279">
    <cfRule type="cellIs" dxfId="119" priority="120" stopIfTrue="1" operator="equal">
      <formula>8223.307275</formula>
    </cfRule>
  </conditionalFormatting>
  <conditionalFormatting sqref="F277">
    <cfRule type="cellIs" dxfId="118" priority="119" stopIfTrue="1" operator="equal">
      <formula>8223.307275</formula>
    </cfRule>
  </conditionalFormatting>
  <conditionalFormatting sqref="D280:F280">
    <cfRule type="cellIs" dxfId="117" priority="118" stopIfTrue="1" operator="equal">
      <formula>8223.307275</formula>
    </cfRule>
  </conditionalFormatting>
  <conditionalFormatting sqref="C283:C284 H284:H286 J283">
    <cfRule type="cellIs" dxfId="116" priority="117" stopIfTrue="1" operator="equal">
      <formula>8223.307275</formula>
    </cfRule>
  </conditionalFormatting>
  <conditionalFormatting sqref="B283:B284 B285:C285 B282:C282 G282:M282 G284:G285 I284:M285 G283:I283 K283:M283">
    <cfRule type="cellIs" dxfId="115" priority="116" stopIfTrue="1" operator="equal">
      <formula>8223.307275</formula>
    </cfRule>
  </conditionalFormatting>
  <conditionalFormatting sqref="B286:C286 G286 I286:M286">
    <cfRule type="cellIs" dxfId="114" priority="115" stopIfTrue="1" operator="equal">
      <formula>8223.307275</formula>
    </cfRule>
  </conditionalFormatting>
  <conditionalFormatting sqref="A281 D281:M281">
    <cfRule type="cellIs" dxfId="113" priority="114" stopIfTrue="1" operator="equal">
      <formula>8223.307275</formula>
    </cfRule>
  </conditionalFormatting>
  <conditionalFormatting sqref="B281">
    <cfRule type="cellIs" dxfId="112" priority="113" stopIfTrue="1" operator="equal">
      <formula>8223.307275</formula>
    </cfRule>
  </conditionalFormatting>
  <conditionalFormatting sqref="C281">
    <cfRule type="cellIs" dxfId="111" priority="112" stopIfTrue="1" operator="equal">
      <formula>8223.307275</formula>
    </cfRule>
  </conditionalFormatting>
  <conditionalFormatting sqref="D284:F284 D282:F282 E283 D285:E285">
    <cfRule type="cellIs" dxfId="110" priority="111" stopIfTrue="1" operator="equal">
      <formula>8223.307275</formula>
    </cfRule>
  </conditionalFormatting>
  <conditionalFormatting sqref="D283">
    <cfRule type="cellIs" dxfId="109" priority="110" stopIfTrue="1" operator="equal">
      <formula>8223.307275</formula>
    </cfRule>
  </conditionalFormatting>
  <conditionalFormatting sqref="F285">
    <cfRule type="cellIs" dxfId="108" priority="109" stopIfTrue="1" operator="equal">
      <formula>8223.307275</formula>
    </cfRule>
  </conditionalFormatting>
  <conditionalFormatting sqref="F283">
    <cfRule type="cellIs" dxfId="107" priority="108" stopIfTrue="1" operator="equal">
      <formula>8223.307275</formula>
    </cfRule>
  </conditionalFormatting>
  <conditionalFormatting sqref="D286:F286">
    <cfRule type="cellIs" dxfId="106" priority="107" stopIfTrue="1" operator="equal">
      <formula>8223.307275</formula>
    </cfRule>
  </conditionalFormatting>
  <conditionalFormatting sqref="C296:C297 H297:H299 J296">
    <cfRule type="cellIs" dxfId="105" priority="106" stopIfTrue="1" operator="equal">
      <formula>8223.307275</formula>
    </cfRule>
  </conditionalFormatting>
  <conditionalFormatting sqref="C298">
    <cfRule type="cellIs" dxfId="104" priority="105" stopIfTrue="1" operator="equal">
      <formula>8223.307275</formula>
    </cfRule>
  </conditionalFormatting>
  <conditionalFormatting sqref="D296">
    <cfRule type="cellIs" dxfId="103" priority="104" stopIfTrue="1" operator="equal">
      <formula>8223.307275</formula>
    </cfRule>
  </conditionalFormatting>
  <conditionalFormatting sqref="D298:E298 B296 E296 G296:I296 C295:M295 G298 B298 I298:M298 K296:M296">
    <cfRule type="cellIs" dxfId="102" priority="103" stopIfTrue="1" operator="equal">
      <formula>8223.307275</formula>
    </cfRule>
  </conditionalFormatting>
  <conditionalFormatting sqref="B297 D297:G297 I297:M297">
    <cfRule type="cellIs" dxfId="101" priority="102" stopIfTrue="1" operator="equal">
      <formula>8223.307275</formula>
    </cfRule>
  </conditionalFormatting>
  <conditionalFormatting sqref="F298">
    <cfRule type="cellIs" dxfId="100" priority="101" stopIfTrue="1" operator="equal">
      <formula>8223.307275</formula>
    </cfRule>
  </conditionalFormatting>
  <conditionalFormatting sqref="F296">
    <cfRule type="cellIs" dxfId="99" priority="100" stopIfTrue="1" operator="equal">
      <formula>8223.307275</formula>
    </cfRule>
  </conditionalFormatting>
  <conditionalFormatting sqref="B295">
    <cfRule type="cellIs" dxfId="98" priority="99" stopIfTrue="1" operator="equal">
      <formula>8223.307275</formula>
    </cfRule>
  </conditionalFormatting>
  <conditionalFormatting sqref="A293 C293:M294">
    <cfRule type="cellIs" dxfId="97" priority="98" stopIfTrue="1" operator="equal">
      <formula>8223.307275</formula>
    </cfRule>
  </conditionalFormatting>
  <conditionalFormatting sqref="B293:B294">
    <cfRule type="cellIs" dxfId="96" priority="97" stopIfTrue="1" operator="equal">
      <formula>8223.307275</formula>
    </cfRule>
  </conditionalFormatting>
  <conditionalFormatting sqref="G299 I299:M299 B299:C299">
    <cfRule type="cellIs" dxfId="95" priority="96" stopIfTrue="1" operator="equal">
      <formula>8223.307275</formula>
    </cfRule>
  </conditionalFormatting>
  <conditionalFormatting sqref="D299:F299">
    <cfRule type="cellIs" dxfId="94" priority="95" stopIfTrue="1" operator="equal">
      <formula>8223.307275</formula>
    </cfRule>
  </conditionalFormatting>
  <conditionalFormatting sqref="C302 H303:H305 J302">
    <cfRule type="cellIs" dxfId="93" priority="94" stopIfTrue="1" operator="equal">
      <formula>8223.307275</formula>
    </cfRule>
  </conditionalFormatting>
  <conditionalFormatting sqref="B303:G303 B301:M301 B302 E302 B304:E304 G302:I302 G304 I303:M304 K302:M302">
    <cfRule type="cellIs" dxfId="92" priority="93" stopIfTrue="1" operator="equal">
      <formula>8223.307275</formula>
    </cfRule>
  </conditionalFormatting>
  <conditionalFormatting sqref="D302">
    <cfRule type="cellIs" dxfId="91" priority="92" stopIfTrue="1" operator="equal">
      <formula>8223.307275</formula>
    </cfRule>
  </conditionalFormatting>
  <conditionalFormatting sqref="F304">
    <cfRule type="cellIs" dxfId="90" priority="91" stopIfTrue="1" operator="equal">
      <formula>8223.307275</formula>
    </cfRule>
  </conditionalFormatting>
  <conditionalFormatting sqref="F302">
    <cfRule type="cellIs" dxfId="89" priority="90" stopIfTrue="1" operator="equal">
      <formula>8223.307275</formula>
    </cfRule>
  </conditionalFormatting>
  <conditionalFormatting sqref="A300 C300:M300">
    <cfRule type="cellIs" dxfId="88" priority="89" stopIfTrue="1" operator="equal">
      <formula>8223.307275</formula>
    </cfRule>
  </conditionalFormatting>
  <conditionalFormatting sqref="B305:G305 I305:M305">
    <cfRule type="cellIs" dxfId="87" priority="88" stopIfTrue="1" operator="equal">
      <formula>8223.307275</formula>
    </cfRule>
  </conditionalFormatting>
  <conditionalFormatting sqref="B300">
    <cfRule type="cellIs" dxfId="86" priority="87" stopIfTrue="1" operator="equal">
      <formula>8223.307275</formula>
    </cfRule>
  </conditionalFormatting>
  <conditionalFormatting sqref="C308:C309 H309:H311 J308">
    <cfRule type="cellIs" dxfId="85" priority="86" stopIfTrue="1" operator="equal">
      <formula>8223.307275</formula>
    </cfRule>
  </conditionalFormatting>
  <conditionalFormatting sqref="B308:B309 B310:C310 B307:C307 G307:M307 G309:G310 I309:M310 G308:I308 K308:M308">
    <cfRule type="cellIs" dxfId="84" priority="85" stopIfTrue="1" operator="equal">
      <formula>8223.307275</formula>
    </cfRule>
  </conditionalFormatting>
  <conditionalFormatting sqref="B311:C311 G311 I311:M311">
    <cfRule type="cellIs" dxfId="83" priority="84" stopIfTrue="1" operator="equal">
      <formula>8223.307275</formula>
    </cfRule>
  </conditionalFormatting>
  <conditionalFormatting sqref="A306 D306:M306">
    <cfRule type="cellIs" dxfId="82" priority="83" stopIfTrue="1" operator="equal">
      <formula>8223.307275</formula>
    </cfRule>
  </conditionalFormatting>
  <conditionalFormatting sqref="B306">
    <cfRule type="cellIs" dxfId="81" priority="82" stopIfTrue="1" operator="equal">
      <formula>8223.307275</formula>
    </cfRule>
  </conditionalFormatting>
  <conditionalFormatting sqref="C306">
    <cfRule type="cellIs" dxfId="80" priority="81" stopIfTrue="1" operator="equal">
      <formula>8223.307275</formula>
    </cfRule>
  </conditionalFormatting>
  <conditionalFormatting sqref="D309:F309 D307:F307 E308 D310:E310">
    <cfRule type="cellIs" dxfId="79" priority="80" stopIfTrue="1" operator="equal">
      <formula>8223.307275</formula>
    </cfRule>
  </conditionalFormatting>
  <conditionalFormatting sqref="D308">
    <cfRule type="cellIs" dxfId="78" priority="79" stopIfTrue="1" operator="equal">
      <formula>8223.307275</formula>
    </cfRule>
  </conditionalFormatting>
  <conditionalFormatting sqref="F310">
    <cfRule type="cellIs" dxfId="77" priority="78" stopIfTrue="1" operator="equal">
      <formula>8223.307275</formula>
    </cfRule>
  </conditionalFormatting>
  <conditionalFormatting sqref="F308">
    <cfRule type="cellIs" dxfId="76" priority="77" stopIfTrue="1" operator="equal">
      <formula>8223.307275</formula>
    </cfRule>
  </conditionalFormatting>
  <conditionalFormatting sqref="D311:F311">
    <cfRule type="cellIs" dxfId="75" priority="76" stopIfTrue="1" operator="equal">
      <formula>8223.307275</formula>
    </cfRule>
  </conditionalFormatting>
  <conditionalFormatting sqref="C314:C315 H315:H317 J314">
    <cfRule type="cellIs" dxfId="74" priority="75" stopIfTrue="1" operator="equal">
      <formula>8223.307275</formula>
    </cfRule>
  </conditionalFormatting>
  <conditionalFormatting sqref="B314:B315 B316:C316 B313:C313 G313:M313 G315:G316 I315:M316 G314:I314 K314:M314">
    <cfRule type="cellIs" dxfId="73" priority="74" stopIfTrue="1" operator="equal">
      <formula>8223.307275</formula>
    </cfRule>
  </conditionalFormatting>
  <conditionalFormatting sqref="B317:C317 G317 I317:M317">
    <cfRule type="cellIs" dxfId="72" priority="73" stopIfTrue="1" operator="equal">
      <formula>8223.307275</formula>
    </cfRule>
  </conditionalFormatting>
  <conditionalFormatting sqref="A312 D312:M312">
    <cfRule type="cellIs" dxfId="71" priority="72" stopIfTrue="1" operator="equal">
      <formula>8223.307275</formula>
    </cfRule>
  </conditionalFormatting>
  <conditionalFormatting sqref="B312">
    <cfRule type="cellIs" dxfId="70" priority="71" stopIfTrue="1" operator="equal">
      <formula>8223.307275</formula>
    </cfRule>
  </conditionalFormatting>
  <conditionalFormatting sqref="C312">
    <cfRule type="cellIs" dxfId="69" priority="70" stopIfTrue="1" operator="equal">
      <formula>8223.307275</formula>
    </cfRule>
  </conditionalFormatting>
  <conditionalFormatting sqref="D315:F315 D313:F313 E314 D316:E316">
    <cfRule type="cellIs" dxfId="68" priority="69" stopIfTrue="1" operator="equal">
      <formula>8223.307275</formula>
    </cfRule>
  </conditionalFormatting>
  <conditionalFormatting sqref="D314">
    <cfRule type="cellIs" dxfId="67" priority="68" stopIfTrue="1" operator="equal">
      <formula>8223.307275</formula>
    </cfRule>
  </conditionalFormatting>
  <conditionalFormatting sqref="F316">
    <cfRule type="cellIs" dxfId="66" priority="67" stopIfTrue="1" operator="equal">
      <formula>8223.307275</formula>
    </cfRule>
  </conditionalFormatting>
  <conditionalFormatting sqref="F314">
    <cfRule type="cellIs" dxfId="65" priority="66" stopIfTrue="1" operator="equal">
      <formula>8223.307275</formula>
    </cfRule>
  </conditionalFormatting>
  <conditionalFormatting sqref="D317:F317">
    <cfRule type="cellIs" dxfId="64" priority="65" stopIfTrue="1" operator="equal">
      <formula>8223.307275</formula>
    </cfRule>
  </conditionalFormatting>
  <conditionalFormatting sqref="C333 H334:H336 J333">
    <cfRule type="cellIs" dxfId="63" priority="64" stopIfTrue="1" operator="equal">
      <formula>8223.307275</formula>
    </cfRule>
  </conditionalFormatting>
  <conditionalFormatting sqref="B334:G334 B332:M332 B333 E333 B335:E335 G333:I333 G335 I334:M335 K333:M333">
    <cfRule type="cellIs" dxfId="62" priority="63" stopIfTrue="1" operator="equal">
      <formula>8223.307275</formula>
    </cfRule>
  </conditionalFormatting>
  <conditionalFormatting sqref="D333">
    <cfRule type="cellIs" dxfId="61" priority="62" stopIfTrue="1" operator="equal">
      <formula>8223.307275</formula>
    </cfRule>
  </conditionalFormatting>
  <conditionalFormatting sqref="F335">
    <cfRule type="cellIs" dxfId="60" priority="61" stopIfTrue="1" operator="equal">
      <formula>8223.307275</formula>
    </cfRule>
  </conditionalFormatting>
  <conditionalFormatting sqref="F333">
    <cfRule type="cellIs" dxfId="59" priority="60" stopIfTrue="1" operator="equal">
      <formula>8223.307275</formula>
    </cfRule>
  </conditionalFormatting>
  <conditionalFormatting sqref="A331 C331:M331">
    <cfRule type="cellIs" dxfId="58" priority="59" stopIfTrue="1" operator="equal">
      <formula>8223.307275</formula>
    </cfRule>
  </conditionalFormatting>
  <conditionalFormatting sqref="B336:G336 I336:M336">
    <cfRule type="cellIs" dxfId="57" priority="58" stopIfTrue="1" operator="equal">
      <formula>8223.307275</formula>
    </cfRule>
  </conditionalFormatting>
  <conditionalFormatting sqref="B331">
    <cfRule type="cellIs" dxfId="56" priority="57" stopIfTrue="1" operator="equal">
      <formula>8223.307275</formula>
    </cfRule>
  </conditionalFormatting>
  <conditionalFormatting sqref="C339:C340 H340:H342 J339">
    <cfRule type="cellIs" dxfId="55" priority="56" stopIfTrue="1" operator="equal">
      <formula>8223.307275</formula>
    </cfRule>
  </conditionalFormatting>
  <conditionalFormatting sqref="B339:B340 B341:C341 B338:C338 G338:M338 G340:G341 I340:M341 G339:I339 K339:M339">
    <cfRule type="cellIs" dxfId="54" priority="55" stopIfTrue="1" operator="equal">
      <formula>8223.307275</formula>
    </cfRule>
  </conditionalFormatting>
  <conditionalFormatting sqref="B342:C342 G342 I342:M342">
    <cfRule type="cellIs" dxfId="53" priority="54" stopIfTrue="1" operator="equal">
      <formula>8223.307275</formula>
    </cfRule>
  </conditionalFormatting>
  <conditionalFormatting sqref="A337 D337:M337">
    <cfRule type="cellIs" dxfId="52" priority="53" stopIfTrue="1" operator="equal">
      <formula>8223.307275</formula>
    </cfRule>
  </conditionalFormatting>
  <conditionalFormatting sqref="B337">
    <cfRule type="cellIs" dxfId="51" priority="52" stopIfTrue="1" operator="equal">
      <formula>8223.307275</formula>
    </cfRule>
  </conditionalFormatting>
  <conditionalFormatting sqref="C337">
    <cfRule type="cellIs" dxfId="50" priority="51" stopIfTrue="1" operator="equal">
      <formula>8223.307275</formula>
    </cfRule>
  </conditionalFormatting>
  <conditionalFormatting sqref="D340:F340 D338:F338 E339 D341:E341">
    <cfRule type="cellIs" dxfId="49" priority="50" stopIfTrue="1" operator="equal">
      <formula>8223.307275</formula>
    </cfRule>
  </conditionalFormatting>
  <conditionalFormatting sqref="D339">
    <cfRule type="cellIs" dxfId="48" priority="49" stopIfTrue="1" operator="equal">
      <formula>8223.307275</formula>
    </cfRule>
  </conditionalFormatting>
  <conditionalFormatting sqref="F341">
    <cfRule type="cellIs" dxfId="47" priority="48" stopIfTrue="1" operator="equal">
      <formula>8223.307275</formula>
    </cfRule>
  </conditionalFormatting>
  <conditionalFormatting sqref="F339">
    <cfRule type="cellIs" dxfId="46" priority="47" stopIfTrue="1" operator="equal">
      <formula>8223.307275</formula>
    </cfRule>
  </conditionalFormatting>
  <conditionalFormatting sqref="D342:F342">
    <cfRule type="cellIs" dxfId="45" priority="46" stopIfTrue="1" operator="equal">
      <formula>8223.307275</formula>
    </cfRule>
  </conditionalFormatting>
  <conditionalFormatting sqref="C345:C346 H346:H348 J345">
    <cfRule type="cellIs" dxfId="44" priority="45" stopIfTrue="1" operator="equal">
      <formula>8223.307275</formula>
    </cfRule>
  </conditionalFormatting>
  <conditionalFormatting sqref="B345:B346 B347:C347 B344:C344 G344:M344 G346:G347 I346:M347 G345:I345 K345:M345">
    <cfRule type="cellIs" dxfId="43" priority="44" stopIfTrue="1" operator="equal">
      <formula>8223.307275</formula>
    </cfRule>
  </conditionalFormatting>
  <conditionalFormatting sqref="B348:C348 G348 I348:M348">
    <cfRule type="cellIs" dxfId="42" priority="43" stopIfTrue="1" operator="equal">
      <formula>8223.307275</formula>
    </cfRule>
  </conditionalFormatting>
  <conditionalFormatting sqref="A343 D343:M343">
    <cfRule type="cellIs" dxfId="41" priority="42" stopIfTrue="1" operator="equal">
      <formula>8223.307275</formula>
    </cfRule>
  </conditionalFormatting>
  <conditionalFormatting sqref="B343">
    <cfRule type="cellIs" dxfId="40" priority="41" stopIfTrue="1" operator="equal">
      <formula>8223.307275</formula>
    </cfRule>
  </conditionalFormatting>
  <conditionalFormatting sqref="C343">
    <cfRule type="cellIs" dxfId="39" priority="40" stopIfTrue="1" operator="equal">
      <formula>8223.307275</formula>
    </cfRule>
  </conditionalFormatting>
  <conditionalFormatting sqref="D346:F346 D344:F344 E345 D347:E347">
    <cfRule type="cellIs" dxfId="38" priority="39" stopIfTrue="1" operator="equal">
      <formula>8223.307275</formula>
    </cfRule>
  </conditionalFormatting>
  <conditionalFormatting sqref="D345">
    <cfRule type="cellIs" dxfId="37" priority="38" stopIfTrue="1" operator="equal">
      <formula>8223.307275</formula>
    </cfRule>
  </conditionalFormatting>
  <conditionalFormatting sqref="F347">
    <cfRule type="cellIs" dxfId="36" priority="37" stopIfTrue="1" operator="equal">
      <formula>8223.307275</formula>
    </cfRule>
  </conditionalFormatting>
  <conditionalFormatting sqref="F345">
    <cfRule type="cellIs" dxfId="35" priority="36" stopIfTrue="1" operator="equal">
      <formula>8223.307275</formula>
    </cfRule>
  </conditionalFormatting>
  <conditionalFormatting sqref="D348:F348">
    <cfRule type="cellIs" dxfId="34" priority="35" stopIfTrue="1" operator="equal">
      <formula>8223.307275</formula>
    </cfRule>
  </conditionalFormatting>
  <conditionalFormatting sqref="C327:C328 H328:H330 J327">
    <cfRule type="cellIs" dxfId="33" priority="34" stopIfTrue="1" operator="equal">
      <formula>8223.307275</formula>
    </cfRule>
  </conditionalFormatting>
  <conditionalFormatting sqref="C329">
    <cfRule type="cellIs" dxfId="32" priority="33" stopIfTrue="1" operator="equal">
      <formula>8223.307275</formula>
    </cfRule>
  </conditionalFormatting>
  <conditionalFormatting sqref="D327">
    <cfRule type="cellIs" dxfId="31" priority="32" stopIfTrue="1" operator="equal">
      <formula>8223.307275</formula>
    </cfRule>
  </conditionalFormatting>
  <conditionalFormatting sqref="D329:E329 B327 E327 G327:I327 C326:M326 G329 B329 I329:M329 K327:M327">
    <cfRule type="cellIs" dxfId="30" priority="31" stopIfTrue="1" operator="equal">
      <formula>8223.307275</formula>
    </cfRule>
  </conditionalFormatting>
  <conditionalFormatting sqref="B328 D328:G328 I328:M328">
    <cfRule type="cellIs" dxfId="29" priority="30" stopIfTrue="1" operator="equal">
      <formula>8223.307275</formula>
    </cfRule>
  </conditionalFormatting>
  <conditionalFormatting sqref="F329">
    <cfRule type="cellIs" dxfId="28" priority="29" stopIfTrue="1" operator="equal">
      <formula>8223.307275</formula>
    </cfRule>
  </conditionalFormatting>
  <conditionalFormatting sqref="F327">
    <cfRule type="cellIs" dxfId="27" priority="28" stopIfTrue="1" operator="equal">
      <formula>8223.307275</formula>
    </cfRule>
  </conditionalFormatting>
  <conditionalFormatting sqref="B326">
    <cfRule type="cellIs" dxfId="26" priority="27" stopIfTrue="1" operator="equal">
      <formula>8223.307275</formula>
    </cfRule>
  </conditionalFormatting>
  <conditionalFormatting sqref="A324 C324:M325">
    <cfRule type="cellIs" dxfId="25" priority="26" stopIfTrue="1" operator="equal">
      <formula>8223.307275</formula>
    </cfRule>
  </conditionalFormatting>
  <conditionalFormatting sqref="B324:B325">
    <cfRule type="cellIs" dxfId="24" priority="25" stopIfTrue="1" operator="equal">
      <formula>8223.307275</formula>
    </cfRule>
  </conditionalFormatting>
  <conditionalFormatting sqref="G330 I330:M330 B330:C330">
    <cfRule type="cellIs" dxfId="23" priority="24" stopIfTrue="1" operator="equal">
      <formula>8223.307275</formula>
    </cfRule>
  </conditionalFormatting>
  <conditionalFormatting sqref="D330:F330">
    <cfRule type="cellIs" dxfId="22" priority="23" stopIfTrue="1" operator="equal">
      <formula>8223.307275</formula>
    </cfRule>
  </conditionalFormatting>
  <conditionalFormatting sqref="F355:M355">
    <cfRule type="cellIs" dxfId="21" priority="22" stopIfTrue="1" operator="lessThan">
      <formula>0</formula>
    </cfRule>
  </conditionalFormatting>
  <conditionalFormatting sqref="M360">
    <cfRule type="cellIs" dxfId="20" priority="21" stopIfTrue="1" operator="lessThan">
      <formula>0</formula>
    </cfRule>
  </conditionalFormatting>
  <conditionalFormatting sqref="E370">
    <cfRule type="cellIs" dxfId="19" priority="20" stopIfTrue="1" operator="lessThan">
      <formula>0</formula>
    </cfRule>
  </conditionalFormatting>
  <conditionalFormatting sqref="I367:L367">
    <cfRule type="cellIs" dxfId="18" priority="19" stopIfTrue="1" operator="lessThan">
      <formula>0</formula>
    </cfRule>
  </conditionalFormatting>
  <conditionalFormatting sqref="I370:L370">
    <cfRule type="cellIs" dxfId="17" priority="18" stopIfTrue="1" operator="lessThan">
      <formula>0</formula>
    </cfRule>
  </conditionalFormatting>
  <conditionalFormatting sqref="I368:L368">
    <cfRule type="cellIs" dxfId="16" priority="17" stopIfTrue="1" operator="lessThan">
      <formula>0</formula>
    </cfRule>
  </conditionalFormatting>
  <conditionalFormatting sqref="D321 C320 J320 L321">
    <cfRule type="cellIs" dxfId="15" priority="16" stopIfTrue="1" operator="equal">
      <formula>8223.307275</formula>
    </cfRule>
  </conditionalFormatting>
  <conditionalFormatting sqref="B319:M319 B321:C321 E321 B320 D320:E320 G321:K321 G320:I320 K320:M320 M321">
    <cfRule type="cellIs" dxfId="14" priority="15" stopIfTrue="1" operator="equal">
      <formula>8223.307275</formula>
    </cfRule>
  </conditionalFormatting>
  <conditionalFormatting sqref="F320">
    <cfRule type="cellIs" dxfId="13" priority="13" stopIfTrue="1" operator="equal">
      <formula>8223.307275</formula>
    </cfRule>
  </conditionalFormatting>
  <conditionalFormatting sqref="F321">
    <cfRule type="cellIs" dxfId="12" priority="14" stopIfTrue="1" operator="equal">
      <formula>8223.307275</formula>
    </cfRule>
  </conditionalFormatting>
  <conditionalFormatting sqref="A318:M318">
    <cfRule type="cellIs" dxfId="11" priority="12" stopIfTrue="1" operator="equal">
      <formula>8223.307275</formula>
    </cfRule>
  </conditionalFormatting>
  <conditionalFormatting sqref="D352 C351 J351 L352">
    <cfRule type="cellIs" dxfId="10" priority="11" stopIfTrue="1" operator="equal">
      <formula>8223.307275</formula>
    </cfRule>
  </conditionalFormatting>
  <conditionalFormatting sqref="B350:M350 B352:C352 E352 B351 D351:E351 G352:K352 G351:I351 K351:M351 M352">
    <cfRule type="cellIs" dxfId="9" priority="10" stopIfTrue="1" operator="equal">
      <formula>8223.307275</formula>
    </cfRule>
  </conditionalFormatting>
  <conditionalFormatting sqref="F351">
    <cfRule type="cellIs" dxfId="8" priority="8" stopIfTrue="1" operator="equal">
      <formula>8223.307275</formula>
    </cfRule>
  </conditionalFormatting>
  <conditionalFormatting sqref="F352">
    <cfRule type="cellIs" dxfId="7" priority="9" stopIfTrue="1" operator="equal">
      <formula>8223.307275</formula>
    </cfRule>
  </conditionalFormatting>
  <conditionalFormatting sqref="A349:M349">
    <cfRule type="cellIs" dxfId="6" priority="7" stopIfTrue="1" operator="equal">
      <formula>8223.307275</formula>
    </cfRule>
  </conditionalFormatting>
  <conditionalFormatting sqref="D290 C289 J289 L290">
    <cfRule type="cellIs" dxfId="5" priority="6" stopIfTrue="1" operator="equal">
      <formula>8223.307275</formula>
    </cfRule>
  </conditionalFormatting>
  <conditionalFormatting sqref="B288:M288 B290:C290 E290 B289 D289:E289 G290:K290 G289:I289 K289:M289 M290">
    <cfRule type="cellIs" dxfId="4" priority="5" stopIfTrue="1" operator="equal">
      <formula>8223.307275</formula>
    </cfRule>
  </conditionalFormatting>
  <conditionalFormatting sqref="F289">
    <cfRule type="cellIs" dxfId="3" priority="3" stopIfTrue="1" operator="equal">
      <formula>8223.307275</formula>
    </cfRule>
  </conditionalFormatting>
  <conditionalFormatting sqref="F290">
    <cfRule type="cellIs" dxfId="2" priority="4" stopIfTrue="1" operator="equal">
      <formula>8223.307275</formula>
    </cfRule>
  </conditionalFormatting>
  <conditionalFormatting sqref="A287:M287">
    <cfRule type="cellIs" dxfId="1" priority="2" stopIfTrue="1" operator="equal">
      <formula>8223.307275</formula>
    </cfRule>
  </conditionalFormatting>
  <conditionalFormatting sqref="F61:M61">
    <cfRule type="cellIs" dxfId="0" priority="1" stopIfTrue="1" operator="lessThan">
      <formula>0</formula>
    </cfRule>
  </conditionalFormatting>
  <printOptions horizontalCentered="1"/>
  <pageMargins left="0.196850393700787" right="0.196850393700787" top="0.59055118110236204" bottom="0.59055118110236204" header="0" footer="0"/>
  <pageSetup paperSize="9" scale="8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ხარჯ.გადაფ. (2) შესასრ.</vt:lpstr>
      <vt:lpstr>'ხარჯ.გადაფ. (2) შესასრ.'!Print_Area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zelo</dc:creator>
  <cp:lastModifiedBy>Konstantine Tskhadaia</cp:lastModifiedBy>
  <cp:lastPrinted>2022-02-01T12:10:55Z</cp:lastPrinted>
  <dcterms:created xsi:type="dcterms:W3CDTF">2019-06-12T15:42:10Z</dcterms:created>
  <dcterms:modified xsi:type="dcterms:W3CDTF">2022-02-01T12:10:59Z</dcterms:modified>
</cp:coreProperties>
</file>