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4"/>
  </bookViews>
  <sheets>
    <sheet name="saob.xarj." sheetId="1" r:id="rId1"/>
    <sheet name="saqvabe" sheetId="2" r:id="rId2"/>
    <sheet name="saqvqbis dem.da mon." sheetId="8" r:id="rId3"/>
    <sheet name="Tbotras" sheetId="5" r:id="rId4"/>
    <sheet name="saq.elm." sheetId="6" r:id="rId5"/>
  </sheets>
  <externalReferences>
    <externalReference r:id="rId6"/>
  </externalReferences>
  <definedNames>
    <definedName name="_xlnm.Print_Area" localSheetId="0">saob.xarj.!$A$1:$I$27</definedName>
    <definedName name="_xlnm.Print_Area" localSheetId="2">'saqvqbis dem.da mon.'!$A$1:$M$138</definedName>
    <definedName name="_xlnm.Print_Area" localSheetId="3">Tbotras!$A$1:$M$90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8" l="1"/>
  <c r="F49" i="8"/>
  <c r="F48" i="8"/>
  <c r="F47" i="8"/>
  <c r="F118" i="8"/>
  <c r="A90" i="8"/>
  <c r="A91" i="8" s="1"/>
  <c r="A93" i="8" s="1"/>
  <c r="A94" i="8" s="1"/>
  <c r="A96" i="8" s="1"/>
  <c r="A98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2" i="8" s="1"/>
  <c r="A113" i="8" s="1"/>
  <c r="A114" i="8" s="1"/>
  <c r="A115" i="8" s="1"/>
  <c r="A116" i="8" s="1"/>
  <c r="A117" i="8" s="1"/>
  <c r="A118" i="8" s="1"/>
  <c r="A119" i="8" s="1"/>
  <c r="F87" i="8"/>
  <c r="F86" i="8"/>
  <c r="F85" i="8"/>
  <c r="F84" i="8"/>
  <c r="F82" i="8"/>
  <c r="F81" i="8"/>
  <c r="F80" i="8"/>
  <c r="F79" i="8"/>
  <c r="F77" i="8"/>
  <c r="F76" i="8"/>
  <c r="F75" i="8"/>
  <c r="F74" i="8"/>
  <c r="F60" i="8"/>
  <c r="F59" i="8"/>
  <c r="F58" i="8"/>
  <c r="F57" i="8"/>
  <c r="F55" i="8"/>
  <c r="F54" i="8"/>
  <c r="F53" i="8"/>
  <c r="F52" i="8"/>
  <c r="F45" i="8"/>
  <c r="F44" i="8"/>
  <c r="F43" i="8"/>
  <c r="F42" i="8"/>
  <c r="F40" i="8"/>
  <c r="F39" i="8"/>
  <c r="F38" i="8"/>
  <c r="F37" i="8"/>
  <c r="F36" i="8"/>
  <c r="F22" i="8"/>
  <c r="F21" i="8"/>
  <c r="F17" i="8"/>
  <c r="F16" i="8"/>
  <c r="C13" i="8"/>
  <c r="D13" i="8" s="1"/>
  <c r="E13" i="8" s="1"/>
  <c r="F13" i="8" s="1"/>
  <c r="G13" i="8" s="1"/>
  <c r="H13" i="8" s="1"/>
  <c r="I13" i="8" s="1"/>
  <c r="J13" i="8" s="1"/>
  <c r="K13" i="8" s="1"/>
  <c r="L13" i="8" s="1"/>
  <c r="M13" i="8" s="1"/>
  <c r="B13" i="8"/>
  <c r="I15" i="1"/>
  <c r="F35" i="6"/>
  <c r="F32" i="6" s="1"/>
  <c r="F34" i="6" s="1"/>
  <c r="F55" i="6"/>
  <c r="F54" i="6"/>
  <c r="F53" i="6"/>
  <c r="F52" i="6"/>
  <c r="F50" i="6"/>
  <c r="F47" i="6"/>
  <c r="F45" i="6"/>
  <c r="F44" i="6"/>
  <c r="F43" i="6"/>
  <c r="F42" i="6"/>
  <c r="F40" i="6"/>
  <c r="F39" i="6"/>
  <c r="F38" i="6"/>
  <c r="F31" i="6"/>
  <c r="F29" i="6"/>
  <c r="F27" i="6"/>
  <c r="F23" i="6"/>
  <c r="F24" i="6" s="1"/>
  <c r="F18" i="6"/>
  <c r="F22" i="6" s="1"/>
  <c r="F17" i="6"/>
  <c r="F16" i="6"/>
  <c r="F15" i="6"/>
  <c r="I14" i="1"/>
  <c r="F49" i="5"/>
  <c r="F50" i="5"/>
  <c r="F38" i="5"/>
  <c r="F43" i="5" s="1"/>
  <c r="F33" i="5"/>
  <c r="F37" i="5" s="1"/>
  <c r="F19" i="5"/>
  <c r="F16" i="5"/>
  <c r="F17" i="5" s="1"/>
  <c r="F18" i="5"/>
  <c r="F14" i="5"/>
  <c r="F15" i="5" s="1"/>
  <c r="F69" i="5"/>
  <c r="F68" i="5"/>
  <c r="F67" i="5"/>
  <c r="F63" i="5"/>
  <c r="F60" i="5"/>
  <c r="F59" i="5"/>
  <c r="F58" i="5"/>
  <c r="F57" i="5"/>
  <c r="F55" i="5"/>
  <c r="F54" i="5"/>
  <c r="F53" i="5"/>
  <c r="F52" i="5"/>
  <c r="F40" i="5"/>
  <c r="F39" i="5"/>
  <c r="C13" i="5"/>
  <c r="D13" i="5" s="1"/>
  <c r="E13" i="5" s="1"/>
  <c r="F13" i="5" s="1"/>
  <c r="G13" i="5" s="1"/>
  <c r="H13" i="5" s="1"/>
  <c r="I13" i="5" s="1"/>
  <c r="J13" i="5" s="1"/>
  <c r="K13" i="5" s="1"/>
  <c r="L13" i="5" s="1"/>
  <c r="M13" i="5" s="1"/>
  <c r="B13" i="5"/>
  <c r="F155" i="2"/>
  <c r="F156" i="2" s="1"/>
  <c r="F126" i="2"/>
  <c r="F127" i="2" s="1"/>
  <c r="F115" i="2"/>
  <c r="F118" i="2" s="1"/>
  <c r="F99" i="2"/>
  <c r="F101" i="2" s="1"/>
  <c r="F93" i="2"/>
  <c r="F83" i="2"/>
  <c r="F66" i="2"/>
  <c r="F65" i="2"/>
  <c r="F61" i="2"/>
  <c r="F64" i="2" s="1"/>
  <c r="F11" i="2"/>
  <c r="F14" i="2" s="1"/>
  <c r="F9" i="2"/>
  <c r="F32" i="2"/>
  <c r="F39" i="2" s="1"/>
  <c r="F27" i="2"/>
  <c r="F28" i="2" s="1"/>
  <c r="F56" i="2"/>
  <c r="F58" i="2" s="1"/>
  <c r="F53" i="2"/>
  <c r="F46" i="2"/>
  <c r="F40" i="2"/>
  <c r="F163" i="2"/>
  <c r="F169" i="2" s="1"/>
  <c r="F152" i="2"/>
  <c r="F151" i="2"/>
  <c r="F150" i="2"/>
  <c r="F149" i="2"/>
  <c r="F148" i="2"/>
  <c r="F147" i="2"/>
  <c r="E143" i="2"/>
  <c r="E142" i="2"/>
  <c r="E140" i="2"/>
  <c r="E137" i="2"/>
  <c r="E129" i="2"/>
  <c r="E125" i="2"/>
  <c r="E103" i="2"/>
  <c r="E102" i="2"/>
  <c r="E101" i="2"/>
  <c r="F90" i="2"/>
  <c r="F89" i="2"/>
  <c r="F92" i="2" s="1"/>
  <c r="E88" i="2"/>
  <c r="E87" i="2"/>
  <c r="E85" i="2"/>
  <c r="F82" i="2"/>
  <c r="E81" i="2"/>
  <c r="F75" i="2"/>
  <c r="F74" i="2"/>
  <c r="F80" i="2" s="1"/>
  <c r="F72" i="2"/>
  <c r="F70" i="2"/>
  <c r="F69" i="2"/>
  <c r="E67" i="2"/>
  <c r="E54" i="2"/>
  <c r="E51" i="2"/>
  <c r="F55" i="2"/>
  <c r="F42" i="2"/>
  <c r="F45" i="2"/>
  <c r="E38" i="2"/>
  <c r="F36" i="2"/>
  <c r="F38" i="2"/>
  <c r="F31" i="2"/>
  <c r="F23" i="2"/>
  <c r="F22" i="2" s="1"/>
  <c r="E21" i="2"/>
  <c r="F20" i="2"/>
  <c r="F17" i="2"/>
  <c r="F16" i="2"/>
  <c r="F24" i="2" s="1"/>
  <c r="E14" i="2"/>
  <c r="F88" i="8" l="1"/>
  <c r="F19" i="6"/>
  <c r="F33" i="6"/>
  <c r="F36" i="6"/>
  <c r="F48" i="5"/>
  <c r="F44" i="5"/>
  <c r="F45" i="5"/>
  <c r="F47" i="5"/>
  <c r="F46" i="5"/>
  <c r="F41" i="5"/>
  <c r="F42" i="5"/>
  <c r="F34" i="5"/>
  <c r="F35" i="5"/>
  <c r="F36" i="5"/>
  <c r="F64" i="5"/>
  <c r="F62" i="5"/>
  <c r="F20" i="5"/>
  <c r="F65" i="5"/>
  <c r="F100" i="2"/>
  <c r="F62" i="2"/>
  <c r="F30" i="2"/>
  <c r="F60" i="2"/>
  <c r="F52" i="2"/>
  <c r="F54" i="2"/>
  <c r="F34" i="2"/>
  <c r="F29" i="2"/>
  <c r="F12" i="2"/>
  <c r="F25" i="2"/>
  <c r="F26" i="2" s="1"/>
  <c r="F10" i="2"/>
  <c r="F88" i="2"/>
  <c r="F96" i="2"/>
  <c r="F98" i="2"/>
  <c r="F94" i="2"/>
  <c r="F95" i="2"/>
  <c r="F97" i="2"/>
  <c r="F134" i="2"/>
  <c r="F35" i="2"/>
  <c r="F43" i="2"/>
  <c r="F51" i="2"/>
  <c r="F59" i="2"/>
  <c r="F67" i="2"/>
  <c r="F91" i="2"/>
  <c r="F102" i="2"/>
  <c r="F104" i="2"/>
  <c r="F116" i="2"/>
  <c r="F130" i="2"/>
  <c r="F159" i="2"/>
  <c r="F132" i="2"/>
  <c r="F15" i="2"/>
  <c r="F18" i="2"/>
  <c r="F33" i="2"/>
  <c r="F41" i="2"/>
  <c r="F49" i="2"/>
  <c r="F73" i="2"/>
  <c r="F76" i="2"/>
  <c r="F110" i="2"/>
  <c r="F128" i="2"/>
  <c r="F157" i="2"/>
  <c r="F13" i="2"/>
  <c r="F47" i="2"/>
  <c r="F57" i="2"/>
  <c r="F71" i="2"/>
  <c r="F81" i="2"/>
  <c r="F154" i="2"/>
  <c r="F162" i="2"/>
  <c r="F165" i="2"/>
  <c r="F21" i="2"/>
  <c r="F44" i="2"/>
  <c r="F63" i="2"/>
  <c r="F68" i="2"/>
  <c r="F117" i="2"/>
  <c r="F131" i="2"/>
  <c r="F133" i="2"/>
  <c r="F168" i="2"/>
  <c r="F161" i="2"/>
  <c r="F19" i="2"/>
  <c r="F50" i="2"/>
  <c r="F77" i="2"/>
  <c r="F158" i="2"/>
  <c r="F160" i="2"/>
  <c r="F129" i="2"/>
  <c r="F166" i="2"/>
  <c r="F48" i="2"/>
  <c r="F164" i="2"/>
  <c r="F89" i="8" l="1"/>
  <c r="F119" i="8"/>
  <c r="F90" i="8"/>
  <c r="F103" i="2"/>
  <c r="F109" i="2"/>
  <c r="F106" i="2"/>
  <c r="F108" i="2"/>
  <c r="F105" i="2"/>
  <c r="F107" i="2"/>
  <c r="F37" i="2"/>
  <c r="F112" i="2"/>
  <c r="F120" i="2"/>
  <c r="F114" i="2"/>
  <c r="F111" i="2"/>
  <c r="F113" i="2"/>
  <c r="F85" i="2"/>
  <c r="F87" i="2"/>
  <c r="F86" i="2"/>
  <c r="F84" i="2"/>
  <c r="J9" i="6" l="1"/>
  <c r="D14" i="1"/>
  <c r="J9" i="5"/>
  <c r="F124" i="2"/>
  <c r="F121" i="2"/>
  <c r="F123" i="2"/>
  <c r="F135" i="2"/>
  <c r="F125" i="2"/>
  <c r="F122" i="2"/>
  <c r="F139" i="2" l="1"/>
  <c r="F141" i="2"/>
  <c r="F137" i="2"/>
  <c r="F136" i="2"/>
  <c r="F138" i="2"/>
  <c r="F140" i="2"/>
  <c r="J7" i="6" l="1"/>
  <c r="E15" i="1"/>
  <c r="J7" i="5"/>
  <c r="E14" i="1"/>
  <c r="J9" i="8"/>
  <c r="I13" i="1"/>
  <c r="F144" i="2"/>
  <c r="F143" i="2"/>
  <c r="F145" i="2"/>
  <c r="F142" i="2"/>
  <c r="J7" i="8" l="1"/>
  <c r="E13" i="1"/>
  <c r="J5" i="2"/>
  <c r="I12" i="1"/>
  <c r="J4" i="2" l="1"/>
  <c r="D12" i="1"/>
  <c r="G16" i="1" l="1"/>
  <c r="F16" i="1"/>
  <c r="H14" i="1" l="1"/>
  <c r="H13" i="1"/>
  <c r="I16" i="1" l="1"/>
  <c r="H15" i="1"/>
  <c r="E16" i="1"/>
  <c r="H7" i="1" l="1"/>
  <c r="D16" i="1" l="1"/>
  <c r="H12" i="1"/>
  <c r="H16" i="1" s="1"/>
  <c r="H17" i="1" s="1"/>
  <c r="H18" i="1" s="1"/>
  <c r="H19" i="1" l="1"/>
  <c r="H20" i="1" s="1"/>
  <c r="H5" i="1" l="1"/>
</calcChain>
</file>

<file path=xl/sharedStrings.xml><?xml version="1.0" encoding="utf-8"?>
<sst xmlns="http://schemas.openxmlformats.org/spreadsheetml/2006/main" count="1100" uniqueCount="376">
  <si>
    <t xml:space="preserve">saobieqto xarjTaRrcxva </t>
  </si>
  <si>
    <t>saxarjTaRricxvo Rirebuleba</t>
  </si>
  <si>
    <t xml:space="preserve"> lari</t>
  </si>
  <si>
    <t>saxarjTaRricxvo xelfasi</t>
  </si>
  <si>
    <t>#</t>
  </si>
  <si>
    <t>saxarjTaRricxvo  gaangariSebis nomeri</t>
  </si>
  <si>
    <t>samuSaos da danaxarjebis dasaxeleba</t>
  </si>
  <si>
    <t>saxarjTaRricxvo Rirebuleba -- lari</t>
  </si>
  <si>
    <t>xelfasi</t>
  </si>
  <si>
    <t>samSeneblo  samuSaoebi</t>
  </si>
  <si>
    <t>samontaJo samuSaoebi</t>
  </si>
  <si>
    <t>maT Soris danadgarebi</t>
  </si>
  <si>
    <t>sxvadasxva xarjebi</t>
  </si>
  <si>
    <t>sul</t>
  </si>
  <si>
    <t>l/r xarjTaRri-cxva #1/1</t>
  </si>
  <si>
    <t>saqvabe samSeneblo samuSaoebi da Tbotrasa</t>
  </si>
  <si>
    <t>l/r xarjTaRri-cxva #1/2</t>
  </si>
  <si>
    <t>l/r xarjTaRri-cxva #1/4</t>
  </si>
  <si>
    <t>Tbotrasa</t>
  </si>
  <si>
    <t>l/r xarjTaRri-cxva #1/5</t>
  </si>
  <si>
    <t>saqvabis eleqtromomarageba</t>
  </si>
  <si>
    <t>j a m i:</t>
  </si>
  <si>
    <t>rezervi gauTvaliswinebel  xarjebze - %</t>
  </si>
  <si>
    <t>jami</t>
  </si>
  <si>
    <t>damatebiTi Rirebulebis gadasaxadi %</t>
  </si>
  <si>
    <t xml:space="preserve">sul krebsiTi saxarjTaRricxvo Rirebuleba </t>
  </si>
  <si>
    <t xml:space="preserve"> lokalur-resursuli xarjTaRricxva  #-1-1                                                                                                                                                                                                       </t>
  </si>
  <si>
    <t>saqvabe</t>
  </si>
  <si>
    <t>Sromis gadasaxadi</t>
  </si>
  <si>
    <t>safuZveli</t>
  </si>
  <si>
    <t>samuSaos CamonaTvali</t>
  </si>
  <si>
    <t>ganz. erT</t>
  </si>
  <si>
    <t>raodenoba</t>
  </si>
  <si>
    <t>m a s a l a</t>
  </si>
  <si>
    <t>transporti da meqanizmebi</t>
  </si>
  <si>
    <t>Gjami</t>
  </si>
  <si>
    <t>ganz. erTeulze</t>
  </si>
  <si>
    <t>saproeqto monacemze</t>
  </si>
  <si>
    <t>erT. fasi</t>
  </si>
  <si>
    <t>1</t>
  </si>
  <si>
    <t>sabazro</t>
  </si>
  <si>
    <t xml:space="preserve">Sromis danaxarjebi </t>
  </si>
  <si>
    <t>kac/sT</t>
  </si>
  <si>
    <t>manq/sT</t>
  </si>
  <si>
    <t>2</t>
  </si>
  <si>
    <t>manqanebi</t>
  </si>
  <si>
    <t>manq.sT</t>
  </si>
  <si>
    <t>3</t>
  </si>
  <si>
    <t>RorRis safuZvlis mowyoba saZirkvlis qveS 10 sm</t>
  </si>
  <si>
    <t>kac.sT</t>
  </si>
  <si>
    <t>RorRi</t>
  </si>
  <si>
    <t>sxva masala</t>
  </si>
  <si>
    <t>lari</t>
  </si>
  <si>
    <t>4</t>
  </si>
  <si>
    <t>sxva manqana</t>
  </si>
  <si>
    <t>yalibis fari</t>
  </si>
  <si>
    <t>m2</t>
  </si>
  <si>
    <t>xis ficari 3x.40mm da meti</t>
  </si>
  <si>
    <t>kg</t>
  </si>
  <si>
    <t>armatura a-1 (xamuTi ) d-6</t>
  </si>
  <si>
    <t>proeqtiT</t>
  </si>
  <si>
    <t>armatura a-III d-12</t>
  </si>
  <si>
    <t>eleqtrodi</t>
  </si>
  <si>
    <t>6</t>
  </si>
  <si>
    <t xml:space="preserve"> iatakis safuZvelis mowyoba RorRiT sisqiT 10 sm </t>
  </si>
  <si>
    <t xml:space="preserve"> SromiTi danaxarji </t>
  </si>
  <si>
    <t xml:space="preserve"> manqanebi </t>
  </si>
  <si>
    <t xml:space="preserve"> sxva masala</t>
  </si>
  <si>
    <t xml:space="preserve"> SromiTi danaxarji</t>
  </si>
  <si>
    <t>armatura a-III  d-8</t>
  </si>
  <si>
    <t>8</t>
  </si>
  <si>
    <t>9</t>
  </si>
  <si>
    <t xml:space="preserve">kedlebis mowyoba betonis mcire sakedle blokebiT kedlis sisqiT 20 sm </t>
  </si>
  <si>
    <t>kub.m</t>
  </si>
  <si>
    <t>srf</t>
  </si>
  <si>
    <t xml:space="preserve"> manqanebi</t>
  </si>
  <si>
    <t xml:space="preserve"> duRabi wyobis</t>
  </si>
  <si>
    <t xml:space="preserve"> wvrili sakedle bloki 19*19*38</t>
  </si>
  <si>
    <t>cali</t>
  </si>
  <si>
    <t xml:space="preserve"> sxvadasxva masalebi</t>
  </si>
  <si>
    <t xml:space="preserve">kedlebis Tavze rkinabetonis sartyelis mowyoba  </t>
  </si>
  <si>
    <t xml:space="preserve">manqanebi </t>
  </si>
  <si>
    <t xml:space="preserve"> misasvleli bilikis da Semonakirwlis safuZvelis mowyoba RorRiT sisqiT 10 sm </t>
  </si>
  <si>
    <t>monoliTuri rkinabetonis misasvleli bilikis da Semonakirwlis mowyoba monolituri rkinabetoniT</t>
  </si>
  <si>
    <t xml:space="preserve"> minapaketiT Seminuli metaloplastmasis fanjris Casma </t>
  </si>
  <si>
    <t>SromiTi resursebi</t>
  </si>
  <si>
    <t xml:space="preserve"> minapaketiT Seminuli metaloplastmasis fanjara (nawili evrogaRebiT)</t>
  </si>
  <si>
    <t>sxvadasxva masalebi</t>
  </si>
  <si>
    <t>14</t>
  </si>
  <si>
    <t xml:space="preserve">liTonis cxauriani karis montaJi da Rirebuleba </t>
  </si>
  <si>
    <t>liTonis  kari</t>
  </si>
  <si>
    <t xml:space="preserve">saRebavi </t>
  </si>
  <si>
    <t>gamxsneli</t>
  </si>
  <si>
    <t>15</t>
  </si>
  <si>
    <t>gare da Sida kedlebis Selesva cementis xsnariT</t>
  </si>
  <si>
    <t>xsnaris tumbo 1m3/sT</t>
  </si>
  <si>
    <t>16</t>
  </si>
  <si>
    <t>kar-fanjrebis ferdoebis SebaTqaSeba qviSa-cementis xsnariT</t>
  </si>
  <si>
    <t>grZ.m</t>
  </si>
  <si>
    <t>duRabi mosapirkeTebeli</t>
  </si>
  <si>
    <t>17</t>
  </si>
  <si>
    <t>g/m</t>
  </si>
  <si>
    <t xml:space="preserve">saRebavi wyalemulsiuri </t>
  </si>
  <si>
    <t>safiTxni</t>
  </si>
  <si>
    <t>18</t>
  </si>
  <si>
    <t>cementis moWimvis mowyoba sisqiT 40mm</t>
  </si>
  <si>
    <t>Sromis danaxarjebi 0,188+0,0034X4=</t>
  </si>
  <si>
    <t>sxvadasxva manqanebi normiT 0,0095+0,0023X4=</t>
  </si>
  <si>
    <t>cementis xsnari m150 0,0204+0,0051X4=</t>
  </si>
  <si>
    <t>sxvadasxva masala normiT</t>
  </si>
  <si>
    <t>19</t>
  </si>
  <si>
    <t>keramogranitis iatakis mowyoba webocementze</t>
  </si>
  <si>
    <t>keramogranitis filebi</t>
  </si>
  <si>
    <t>webocementi</t>
  </si>
  <si>
    <t>20</t>
  </si>
  <si>
    <t>SekiduliEWeris mowyoba TabaSirmuyaoTi, nestgamZle (liTonis karkasze)</t>
  </si>
  <si>
    <t>nestgamZle TabaSirmuyaos filebi liTonis karkasiT</t>
  </si>
  <si>
    <t>kv.m</t>
  </si>
  <si>
    <t>21</t>
  </si>
  <si>
    <t>Weris damuSaveba fiTxiT da SeRebva wyalemulsiuri saRebaviT orjer</t>
  </si>
  <si>
    <t>saRebavi wyalemulsiuri</t>
  </si>
  <si>
    <t>22</t>
  </si>
  <si>
    <t xml:space="preserve">saxuravebis xis sanivnive sistemis elementebis mowyoba </t>
  </si>
  <si>
    <t>toli</t>
  </si>
  <si>
    <t>glinula armatura</t>
  </si>
  <si>
    <t>lursmani</t>
  </si>
  <si>
    <t>23</t>
  </si>
  <si>
    <t>saxuravebis burulis qveS molartyvis mowyoba (ficari 150*30 mm)</t>
  </si>
  <si>
    <t>24</t>
  </si>
  <si>
    <t xml:space="preserve">Sekiduli tipis galvanizirebuli feradi Tunuqis wyalsadinari Rarebis mowyoba </t>
  </si>
  <si>
    <t>galvanizirebuli feradi Tunuqis wyalsadinari Rari</t>
  </si>
  <si>
    <t>grm</t>
  </si>
  <si>
    <t xml:space="preserve">ERaris damWeri </t>
  </si>
  <si>
    <t>Surupi</t>
  </si>
  <si>
    <t>silikoni</t>
  </si>
  <si>
    <t>tub</t>
  </si>
  <si>
    <t xml:space="preserve">saxuravis  burulis mowyoba  profilirebuli galvanizirebuli feradi liTonis furclebiT sisqiT aranakleb 0,5 mm-sa, </t>
  </si>
  <si>
    <t>liTonis profilirebuli galvanizirebuli feradi furclebi sisqiT aranakleb 0,5 mm.</t>
  </si>
  <si>
    <t>brtyeli galvanizirebuli feradi furclebi sisqiT aranakleb 0,5 mm.</t>
  </si>
  <si>
    <t>tona</t>
  </si>
  <si>
    <t>naWedi</t>
  </si>
  <si>
    <t>sWvali</t>
  </si>
  <si>
    <t>Ugalvanizirebuli feradi Tunuqis wyalsawreti milebis dayeneba sarinebis gamoyenebiT</t>
  </si>
  <si>
    <t xml:space="preserve"> galvanizirebuli feradi Tunuqis wyalsawreti  mili da sarinebi</t>
  </si>
  <si>
    <t>muxli</t>
  </si>
  <si>
    <t xml:space="preserve"> samagri detalebi</t>
  </si>
  <si>
    <t>lokalur-resursuli uwyisis jami</t>
  </si>
  <si>
    <t xml:space="preserve"> SromiTi resursi</t>
  </si>
  <si>
    <t>ტრანსპორტი და manqanა-მექანიზმები</t>
  </si>
  <si>
    <t>materialuri resursebi</t>
  </si>
  <si>
    <t>j a m i</t>
  </si>
  <si>
    <t>samSeneblo masalebis transportirebis Rirebuleba obieqtamde, masalebis Rirebulebis   %</t>
  </si>
  <si>
    <t xml:space="preserve"> jami</t>
  </si>
  <si>
    <t>zedanadebi xarjebi %</t>
  </si>
  <si>
    <t>gegmiuri dagroveba %</t>
  </si>
  <si>
    <t>sul xarjTaRricxviT</t>
  </si>
  <si>
    <t>maT Soris SromiTi resursi</t>
  </si>
  <si>
    <t xml:space="preserve"> lokalur-resursuli xarjTaRricxva  #-1-2                                                                                                                                                                                                       </t>
  </si>
  <si>
    <t xml:space="preserve"> saqvabis mowyobiloba</t>
  </si>
  <si>
    <t>kompl</t>
  </si>
  <si>
    <t xml:space="preserve">sxva manqana </t>
  </si>
  <si>
    <t>sakvamuri</t>
  </si>
  <si>
    <t>komp</t>
  </si>
  <si>
    <t>Sromis danaxarjebi</t>
  </si>
  <si>
    <t>lokaluri uwyisis jami:</t>
  </si>
  <si>
    <t>1. SromiTi resursebi</t>
  </si>
  <si>
    <t>2. samSeneblo manqanebi</t>
  </si>
  <si>
    <t>3. Mmaterialuri resursebi</t>
  </si>
  <si>
    <t>samSeneblo resursebis mixedviT pirdapiri danaxarjebis jami</t>
  </si>
  <si>
    <t>16-12-1</t>
  </si>
  <si>
    <t>damxmare da sainstalacio masalebi (haergamS. vantusi, manometri, qvab.damc.sarqv ..)</t>
  </si>
  <si>
    <t>sul Tavi  II</t>
  </si>
  <si>
    <t>manqaneba</t>
  </si>
  <si>
    <t>c</t>
  </si>
  <si>
    <t xml:space="preserve">sxva manqana  </t>
  </si>
  <si>
    <t>plastmasis fasonuri nawilebi</t>
  </si>
  <si>
    <t xml:space="preserve"> lokalur-resursuli xarjTaRricxva  #-1-4                                                                                                                                                                                                       </t>
  </si>
  <si>
    <t xml:space="preserve"> Tbotrasis mowyobiloba</t>
  </si>
  <si>
    <t>SromiTi danaxarjebi</t>
  </si>
  <si>
    <t>qviSa</t>
  </si>
  <si>
    <t>kub.m.</t>
  </si>
  <si>
    <t>sul Tavi  I</t>
  </si>
  <si>
    <t xml:space="preserve">SromiTi resursebi </t>
  </si>
  <si>
    <t xml:space="preserve">sxva masalebi </t>
  </si>
  <si>
    <t>d-20 mm milze da fasonur nawilebze kauCukis Tboizolaciis mowyoba</t>
  </si>
  <si>
    <t xml:space="preserve"> d-20 mm milis kauCukis Tboizolaciaa</t>
  </si>
  <si>
    <t>d-20 mm wylis filtris montaJi</t>
  </si>
  <si>
    <t>komp.</t>
  </si>
  <si>
    <t>d-20 mm wylis filtri</t>
  </si>
  <si>
    <t>manometris (0-10 bari) dayeneba</t>
  </si>
  <si>
    <t>manometri 0-10 bari</t>
  </si>
  <si>
    <t>sn da w  IV-2-82 t-3 cx.22-27-1</t>
  </si>
  <si>
    <t>wyalsadenis CarTva arsebul qselSi</t>
  </si>
  <si>
    <t>wert.</t>
  </si>
  <si>
    <t>Stuceri; caluRi, „mjdomara“</t>
  </si>
  <si>
    <t xml:space="preserve"> lokalur-resursuli xarjTaRricxva  #-1-5                                                                                                                                                                                                       </t>
  </si>
  <si>
    <t xml:space="preserve"> saqvabis eleqtromomarageba</t>
  </si>
  <si>
    <t>NN</t>
  </si>
  <si>
    <t>gafas.     N</t>
  </si>
  <si>
    <t>samuSao</t>
  </si>
  <si>
    <t>ganz.</t>
  </si>
  <si>
    <t>masala</t>
  </si>
  <si>
    <t xml:space="preserve">manqana-meqanizmebi </t>
  </si>
  <si>
    <t>normativiT erTeulze</t>
  </si>
  <si>
    <t xml:space="preserve">gamanawilebeli fari </t>
  </si>
  <si>
    <t xml:space="preserve">avtomaturi amomrTveli 16a-32a  </t>
  </si>
  <si>
    <t>amomrTveli 16a erT polusa</t>
  </si>
  <si>
    <t xml:space="preserve">led sanaTebi </t>
  </si>
  <si>
    <t>სანათი LED 18w</t>
  </si>
  <si>
    <t>saStefselo rozeti erTbudiani damiwebis kontaqtiT</t>
  </si>
  <si>
    <t>saStefselo rozeti orpolusiani mesame damamiwebeli kontaqtiT</t>
  </si>
  <si>
    <t>CamrTveli erTklaviSiani</t>
  </si>
  <si>
    <t>m</t>
  </si>
  <si>
    <t xml:space="preserve">spilenZis ZarRviani kabelebi   </t>
  </si>
  <si>
    <t>damcavi mili kabelebisTvis</t>
  </si>
  <si>
    <t>zednadebi xarjebi xelfasidan %</t>
  </si>
  <si>
    <t>saqvabis mowyobilobis demontaJi da montaJi</t>
  </si>
  <si>
    <t xml:space="preserve">xis ficari 3x.40mm </t>
  </si>
  <si>
    <t>monolituri r/betonis iatakis mowyoba sisqiT 10 sm</t>
  </si>
  <si>
    <t>saxuravis burulis qveS daTbunebis mowyoba 10.0 sm sisqis folgiani minabambiT antiseptirebuli xis Zelakebis  gamoyenebiT</t>
  </si>
  <si>
    <t>ormxrivfolgiani minabamba sisqiT 10.0 sm</t>
  </si>
  <si>
    <t>ficari, Zelaki wiwovani</t>
  </si>
  <si>
    <t>10-11 misadagebiT</t>
  </si>
  <si>
    <t>11-20-3 misadagebiT</t>
  </si>
  <si>
    <t>'11-8-1
 11-8-2 misadagebiT</t>
  </si>
  <si>
    <t>15-168-3 misadagebiT</t>
  </si>
  <si>
    <t>15-52-3 misadagebiT</t>
  </si>
  <si>
    <t>9-5-1 misadagebiT</t>
  </si>
  <si>
    <t>.9-5-4 misadagebiT</t>
  </si>
  <si>
    <t>6-1-17 misadagebiT</t>
  </si>
  <si>
    <t>.11-1-6 misadagebiT</t>
  </si>
  <si>
    <t xml:space="preserve">
6-15-9  misadagebiT</t>
  </si>
  <si>
    <t>.8-15-1 misadagebiT</t>
  </si>
  <si>
    <t xml:space="preserve"> 11-1-6 misadagebiT</t>
  </si>
  <si>
    <t>11-1-6 misadagebiT</t>
  </si>
  <si>
    <t>5</t>
  </si>
  <si>
    <t>11</t>
  </si>
  <si>
    <t>13</t>
  </si>
  <si>
    <t>10-36-7- misadagebiT</t>
  </si>
  <si>
    <t>.12-8-4 misadagebiT</t>
  </si>
  <si>
    <t>.12-6-1 misadagebiT</t>
  </si>
  <si>
    <t xml:space="preserve">samSeneblo masalebis transportirebis Rirebuleba obieqtamde, masalebis Rirebulebis   </t>
  </si>
  <si>
    <t xml:space="preserve">zedanadebi xarjebi </t>
  </si>
  <si>
    <t>gegmiuri dagroveba</t>
  </si>
  <si>
    <t>.16-6-2 misadagebiT</t>
  </si>
  <si>
    <t>10-37-3 10-38-3 misadagebiT</t>
  </si>
  <si>
    <t>kombinirebuli xsnari</t>
  </si>
  <si>
    <t xml:space="preserve"> xis molartyvis cecxldacva da  antiseptireba</t>
  </si>
  <si>
    <t>18-2-6</t>
  </si>
  <si>
    <t>18-8-1</t>
  </si>
  <si>
    <t>18-6-1</t>
  </si>
  <si>
    <t>zednadebi xarjebi % SromiTi resursebidan</t>
  </si>
  <si>
    <t>16-24-5</t>
  </si>
  <si>
    <t>sul Tavi  I-demontaJi</t>
  </si>
  <si>
    <t>I-demontaJis samuSaoebi</t>
  </si>
  <si>
    <t xml:space="preserve">membranuli safarToebeli avzi </t>
  </si>
  <si>
    <t>sul Tavi  III</t>
  </si>
  <si>
    <t xml:space="preserve">lokalur-resursuli uwyisis jami </t>
  </si>
  <si>
    <t>sul Tavi II</t>
  </si>
  <si>
    <t>gruntis ukuCayra xeliT</t>
  </si>
  <si>
    <t>sul xarjTaRricxviT Tavi-I</t>
  </si>
  <si>
    <t>goris municipalitetis  sofel niqozis skolamdeli dawesebulebis gaTbobis proeqti</t>
  </si>
  <si>
    <t>amomrTveli 25a or polusa</t>
  </si>
  <si>
    <t xml:space="preserve">polipropilenis  mili d=20mm </t>
  </si>
  <si>
    <t xml:space="preserve">40mm quro </t>
  </si>
  <si>
    <t>40mm muxli 90°</t>
  </si>
  <si>
    <t xml:space="preserve"> sakedle qvabi</t>
  </si>
  <si>
    <t>18-3-1  misadagebiT</t>
  </si>
  <si>
    <t xml:space="preserve">eleqtro wylis gamacxelebeli 80 litriani </t>
  </si>
  <si>
    <t>eleqtro wylis gamacxelebeli 80 litriani</t>
  </si>
  <si>
    <t xml:space="preserve"> sxvadasxva masala</t>
  </si>
  <si>
    <t>saketi</t>
  </si>
  <si>
    <t>petlebi</t>
  </si>
  <si>
    <t>sakedle qvabis demontaJi</t>
  </si>
  <si>
    <t>sakedle qvabi</t>
  </si>
  <si>
    <t xml:space="preserve">
1-78-3  misadagebiT</t>
  </si>
  <si>
    <t xml:space="preserve"> III kategoriis gruntis damuSaveba qvabulSi(TxrilSi) xeliT</t>
  </si>
  <si>
    <r>
      <t>m</t>
    </r>
    <r>
      <rPr>
        <b/>
        <vertAlign val="superscript"/>
        <sz val="9"/>
        <rFont val="AcadNusx"/>
      </rPr>
      <t>3</t>
    </r>
  </si>
  <si>
    <r>
      <t>m</t>
    </r>
    <r>
      <rPr>
        <vertAlign val="superscript"/>
        <sz val="9"/>
        <rFont val="AcadNusx"/>
      </rPr>
      <t>3</t>
    </r>
  </si>
  <si>
    <t>6-1-22 misadagebiT</t>
  </si>
  <si>
    <t>monoliTuri rkinabetonis lenturi saZirkvlis  mowyoba m250 betonisagan</t>
  </si>
  <si>
    <r>
      <t>betoni</t>
    </r>
    <r>
      <rPr>
        <sz val="9"/>
        <rFont val="Arial"/>
        <family val="2"/>
        <charset val="204"/>
      </rPr>
      <t xml:space="preserve"> B-15 </t>
    </r>
    <r>
      <rPr>
        <sz val="9"/>
        <rFont val="AcadNusx"/>
      </rPr>
      <t/>
    </r>
  </si>
  <si>
    <r>
      <t>m</t>
    </r>
    <r>
      <rPr>
        <vertAlign val="superscript"/>
        <sz val="9"/>
        <rFont val="AcadNusx"/>
      </rPr>
      <t>2</t>
    </r>
  </si>
  <si>
    <t>1-81-3</t>
  </si>
  <si>
    <t>gruntis ukuCayra xeliT da zedmeti gruntis adgilze mosworeba</t>
  </si>
  <si>
    <r>
      <t xml:space="preserve">betoni </t>
    </r>
    <r>
      <rPr>
        <sz val="9"/>
        <rFont val="Arial"/>
        <family val="2"/>
        <charset val="204"/>
      </rPr>
      <t>B</t>
    </r>
    <r>
      <rPr>
        <sz val="9"/>
        <rFont val="AcadNusx"/>
      </rPr>
      <t>15</t>
    </r>
  </si>
  <si>
    <t>7</t>
  </si>
  <si>
    <r>
      <t>betoni</t>
    </r>
    <r>
      <rPr>
        <sz val="9"/>
        <rFont val="Arial"/>
        <family val="2"/>
        <charset val="204"/>
      </rPr>
      <t xml:space="preserve"> B-15 </t>
    </r>
  </si>
  <si>
    <r>
      <t>m</t>
    </r>
    <r>
      <rPr>
        <b/>
        <vertAlign val="superscript"/>
        <sz val="9"/>
        <rFont val="AcadNusx"/>
      </rPr>
      <t>2</t>
    </r>
  </si>
  <si>
    <t>koml</t>
  </si>
  <si>
    <t>12</t>
  </si>
  <si>
    <t>15-55-9 misadagebiT</t>
  </si>
  <si>
    <t xml:space="preserve">cementis xsnari </t>
  </si>
  <si>
    <t>Sida da gare kedlebis da ferdilebis SeRebva wyalemulsiuri saRebaviT orjer</t>
  </si>
  <si>
    <t xml:space="preserve">
34-59-7 34-61-14 misadagebiT</t>
  </si>
  <si>
    <t xml:space="preserve">
12-9-1 misadagebiT</t>
  </si>
  <si>
    <t>antiseftikuri xis Zelakebi</t>
  </si>
  <si>
    <t>'15-168-8 misadagebiT</t>
  </si>
  <si>
    <t>pasta antiseptikuri</t>
  </si>
  <si>
    <t>ficari wiwvovani</t>
  </si>
  <si>
    <t xml:space="preserve"> lursmani burulis</t>
  </si>
  <si>
    <t>25</t>
  </si>
  <si>
    <t xml:space="preserve"> 23-1-1   misadagebiT</t>
  </si>
  <si>
    <t>milis qveS safuZvelis mowyoba  qviSiT</t>
  </si>
  <si>
    <t xml:space="preserve"> cx.1-81-3 misadagebiT</t>
  </si>
  <si>
    <t>22-8-6  misadagebiT</t>
  </si>
  <si>
    <t xml:space="preserve">gaTbobis trasis qselisaTvis d-150 mm. sn-4 gofrirebuli milis Cadeba arxSi </t>
  </si>
  <si>
    <t xml:space="preserve"> gofrirebuli plastmasis mili d-150 mm sn-4 fasonuri nawilebiT</t>
  </si>
  <si>
    <t>16-24-4  misadagebiT</t>
  </si>
  <si>
    <t>polipropilenis  mili d=40*mm PN20</t>
  </si>
  <si>
    <t>polipropilenis  mili d=40 mm PN20</t>
  </si>
  <si>
    <t>22-16-1-s misad</t>
  </si>
  <si>
    <t>d-42 mm milze da fasonur nawilebze kauCukis Tboizolaciis mowyoba</t>
  </si>
  <si>
    <t xml:space="preserve"> d-42 mm milis kauCukis Tboizolaciaa</t>
  </si>
  <si>
    <t>16-24  misadagebiT</t>
  </si>
  <si>
    <t>16-24-2  misadagebiT</t>
  </si>
  <si>
    <t>polipropilenis  mili d=20mm PN20</t>
  </si>
  <si>
    <t>polipropilenis aluminiT armirebuli mili d=20*3.4mm PN20</t>
  </si>
  <si>
    <t>18-14-1  misadagebiT</t>
  </si>
  <si>
    <t>18-15-4  misadagebiT</t>
  </si>
  <si>
    <t>21-27-1 misadagebiT</t>
  </si>
  <si>
    <t>21-24-2 misadagebiT</t>
  </si>
  <si>
    <t>21-26-6 misadagebiT</t>
  </si>
  <si>
    <r>
      <t xml:space="preserve">სანათი LED 12w </t>
    </r>
    <r>
      <rPr>
        <sz val="9"/>
        <rFont val="AcadNusx"/>
      </rPr>
      <t>gare ganaTebisTvis</t>
    </r>
  </si>
  <si>
    <t>21-27-7 misadagebiT</t>
  </si>
  <si>
    <t>stabilizatori</t>
  </si>
  <si>
    <t>21-3-8 misadagebiT</t>
  </si>
  <si>
    <t>16-6-1 misadagebiT</t>
  </si>
  <si>
    <r>
      <t xml:space="preserve">PVC გოფრირებული მილი </t>
    </r>
    <r>
      <rPr>
        <b/>
        <sz val="9"/>
        <rFont val="Calibri"/>
        <family val="2"/>
        <charset val="204"/>
      </rPr>
      <t>Ø20მმ აქსესუარებით</t>
    </r>
  </si>
  <si>
    <r>
      <t xml:space="preserve">PVC გოფრირებული მილი </t>
    </r>
    <r>
      <rPr>
        <sz val="9"/>
        <rFont val="Calibri"/>
        <family val="2"/>
      </rPr>
      <t xml:space="preserve">Ø20მმ </t>
    </r>
  </si>
  <si>
    <t>21-3-1 misadagebiT</t>
  </si>
  <si>
    <t>erTi oTaxi</t>
  </si>
  <si>
    <r>
      <t>კაბელი NYY 3x2.5mm</t>
    </r>
    <r>
      <rPr>
        <sz val="9"/>
        <rFont val="Calibri"/>
        <family val="2"/>
      </rPr>
      <t>²</t>
    </r>
  </si>
  <si>
    <r>
      <t>კაბელი NYY 3x1.5mm</t>
    </r>
    <r>
      <rPr>
        <sz val="9"/>
        <rFont val="Calibri"/>
        <family val="2"/>
      </rPr>
      <t>²</t>
    </r>
  </si>
  <si>
    <t>gamanawilebeli fari 12 adgiliani</t>
  </si>
  <si>
    <t>demontirebuli gamouyenebadi masalebis gatana</t>
  </si>
  <si>
    <t xml:space="preserve"> sakedle qvabis montaJi</t>
  </si>
  <si>
    <t xml:space="preserve"> sacirkulacio tumbo N  </t>
  </si>
  <si>
    <r>
      <t xml:space="preserve"> tumbo </t>
    </r>
    <r>
      <rPr>
        <sz val="9"/>
        <rFont val="Arial"/>
        <family val="2"/>
        <charset val="204"/>
      </rPr>
      <t>PM</t>
    </r>
    <r>
      <rPr>
        <sz val="9"/>
        <rFont val="AcadNusx"/>
      </rPr>
      <t>-45</t>
    </r>
  </si>
  <si>
    <t>safarToebeli avzi V-30-l</t>
  </si>
  <si>
    <t>III wyalsadeni</t>
  </si>
  <si>
    <r>
      <t xml:space="preserve">polipropilenis mili d=40 mm </t>
    </r>
    <r>
      <rPr>
        <b/>
        <sz val="9"/>
        <rFont val="Arial"/>
        <family val="2"/>
        <charset val="204"/>
      </rPr>
      <t>PN</t>
    </r>
    <r>
      <rPr>
        <b/>
        <sz val="9"/>
        <rFont val="AcadNusx"/>
      </rPr>
      <t>20</t>
    </r>
  </si>
  <si>
    <r>
      <t xml:space="preserve">polipropilenis  mili d=40 mm </t>
    </r>
    <r>
      <rPr>
        <sz val="9"/>
        <rFont val="Arial"/>
        <family val="2"/>
        <charset val="204"/>
      </rPr>
      <t>PN</t>
    </r>
    <r>
      <rPr>
        <sz val="9"/>
        <rFont val="AcadNusx"/>
      </rPr>
      <t>20</t>
    </r>
  </si>
  <si>
    <r>
      <t xml:space="preserve">polipropilenis  mili d=20mm </t>
    </r>
    <r>
      <rPr>
        <b/>
        <sz val="9"/>
        <rFont val="Arial"/>
        <family val="2"/>
        <charset val="204"/>
      </rPr>
      <t>PN</t>
    </r>
    <r>
      <rPr>
        <b/>
        <sz val="9"/>
        <rFont val="AcadNusx"/>
      </rPr>
      <t>20</t>
    </r>
  </si>
  <si>
    <r>
      <t xml:space="preserve">polipropilenis mili d=20mm </t>
    </r>
    <r>
      <rPr>
        <sz val="9"/>
        <rFont val="Arial"/>
        <family val="2"/>
        <charset val="204"/>
      </rPr>
      <t>PN</t>
    </r>
    <r>
      <rPr>
        <sz val="9"/>
        <rFont val="AcadNusx"/>
      </rPr>
      <t>20</t>
    </r>
  </si>
  <si>
    <t>vintili burTuliani 40 mm</t>
  </si>
  <si>
    <t>vintili burTuliani 20 mm</t>
  </si>
  <si>
    <t>amerikanka 40 mm S/x</t>
  </si>
  <si>
    <t>calmxrivi xraxni 40 mm</t>
  </si>
  <si>
    <t>quro 40 g/x</t>
  </si>
  <si>
    <t>samkafi 40/32/40</t>
  </si>
  <si>
    <t>TiTberis vintili burTuliani 1/2 S/x g/x pepela</t>
  </si>
  <si>
    <t>tiTferis samkafi 1/2 SxSx</t>
  </si>
  <si>
    <t>samkafi 20/20/20</t>
  </si>
  <si>
    <t>mufta 20 mm</t>
  </si>
  <si>
    <r>
      <t>quro Caxsnadi qanCiT g/x</t>
    </r>
    <r>
      <rPr>
        <sz val="9"/>
        <rFont val="Arial"/>
        <family val="2"/>
        <charset val="204"/>
      </rPr>
      <t xml:space="preserve"> PPR Q20 mm1/2 Vesbo</t>
    </r>
  </si>
  <si>
    <t>TiTberis ukusarqveli11/4 (zambariani)</t>
  </si>
  <si>
    <t>TiTberis ventili burTuliani 3/4 g/x</t>
  </si>
  <si>
    <t>muxli 20/90</t>
  </si>
  <si>
    <r>
      <t>quro Caxsnadi qanCiT g/x</t>
    </r>
    <r>
      <rPr>
        <sz val="9"/>
        <rFont val="Arial"/>
        <family val="2"/>
        <charset val="204"/>
      </rPr>
      <t xml:space="preserve"> PPR Q40 mm11/4 Vesbo</t>
    </r>
  </si>
  <si>
    <t>avtomaturi haergamSvebi1/2</t>
  </si>
  <si>
    <t>avtomaturi Semavsebelii1/2</t>
  </si>
  <si>
    <t>TiTberis vintili burTuliani 1/2 S/x</t>
  </si>
  <si>
    <t xml:space="preserve">TiTberis damagrZelebeli 1/2-40 </t>
  </si>
  <si>
    <t>calmxrivi xraxni 20 mm</t>
  </si>
  <si>
    <r>
      <t>dacavi ventili (6</t>
    </r>
    <r>
      <rPr>
        <sz val="9"/>
        <rFont val="Arial"/>
        <family val="2"/>
        <charset val="204"/>
      </rPr>
      <t>BAR</t>
    </r>
    <r>
      <rPr>
        <sz val="9"/>
        <rFont val="AcadNusx"/>
      </rPr>
      <t>)</t>
    </r>
  </si>
  <si>
    <t>quro 20 S/x</t>
  </si>
  <si>
    <r>
      <t xml:space="preserve">filtri Sida xraxniT 20 mm </t>
    </r>
    <r>
      <rPr>
        <sz val="9"/>
        <rFont val="Arial"/>
        <family val="2"/>
        <charset val="204"/>
      </rPr>
      <t>PPR</t>
    </r>
  </si>
  <si>
    <t>manometri</t>
  </si>
  <si>
    <t xml:space="preserve">eleqtro wylis gamacxelebeli 150 litriani </t>
  </si>
  <si>
    <t>eleqtro wylis gamacxelebeli 150 litriani</t>
  </si>
  <si>
    <t>vintili burTuliani 32 mm</t>
  </si>
  <si>
    <t>amerikanka 32 mm S/x</t>
  </si>
  <si>
    <t>calmxrivi xraxni 32 mm</t>
  </si>
  <si>
    <t>quro 32 g/x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</si>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</sst>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0.0"/>
    <numFmt numFmtId="166" formatCode="#,##0.000;[Red]#,##0.000"/>
    <numFmt numFmtId="167" formatCode="0.0000"/>
    <numFmt numFmtId="168" formatCode="0.000"/>
    <numFmt numFmtId="169" formatCode="0.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cadNusx"/>
    </font>
    <font>
      <sz val="10"/>
      <name val="Arial"/>
      <family val="2"/>
    </font>
    <font>
      <sz val="10"/>
      <name val="AcadNusx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AcadNusx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9"/>
      <name val="AcadNusx"/>
    </font>
    <font>
      <sz val="9"/>
      <name val="Arial"/>
      <family val="2"/>
      <charset val="204"/>
    </font>
    <font>
      <sz val="11"/>
      <name val="Calibri"/>
      <family val="2"/>
      <scheme val="minor"/>
    </font>
    <font>
      <b/>
      <vertAlign val="superscript"/>
      <sz val="9"/>
      <name val="AcadNusx"/>
    </font>
    <font>
      <vertAlign val="superscript"/>
      <sz val="9"/>
      <name val="AcadNusx"/>
    </font>
    <font>
      <b/>
      <sz val="9"/>
      <name val="LitNusx"/>
    </font>
    <font>
      <sz val="9"/>
      <name val="LitNusx"/>
    </font>
    <font>
      <i/>
      <sz val="9"/>
      <name val="AcadNusx"/>
    </font>
    <font>
      <sz val="9"/>
      <name val="Arial"/>
      <family val="2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</font>
    <font>
      <b/>
      <i/>
      <sz val="9"/>
      <name val="AcadNusx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3" fillId="0" borderId="0"/>
  </cellStyleXfs>
  <cellXfs count="305">
    <xf numFmtId="0" fontId="0" fillId="0" borderId="0" xfId="0"/>
    <xf numFmtId="0" fontId="2" fillId="0" borderId="0" xfId="0" applyFont="1" applyBorder="1" applyAlignment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/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2" fontId="4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2" fontId="2" fillId="0" borderId="3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2" fontId="4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10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quotePrefix="1" applyFont="1" applyFill="1" applyBorder="1" applyAlignment="1" applyProtection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 applyProtection="1">
      <alignment horizontal="center" vertical="center" wrapText="1"/>
    </xf>
    <xf numFmtId="167" fontId="7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 wrapText="1"/>
    </xf>
    <xf numFmtId="2" fontId="17" fillId="0" borderId="1" xfId="3" applyNumberFormat="1" applyFont="1" applyFill="1" applyBorder="1" applyAlignment="1">
      <alignment horizontal="center" vertical="center" wrapText="1"/>
    </xf>
    <xf numFmtId="168" fontId="7" fillId="0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67" fontId="7" fillId="0" borderId="1" xfId="3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14" fontId="7" fillId="0" borderId="1" xfId="6" applyNumberFormat="1" applyFont="1" applyFill="1" applyBorder="1" applyAlignment="1">
      <alignment horizontal="center" vertical="center" wrapText="1"/>
    </xf>
    <xf numFmtId="2" fontId="7" fillId="0" borderId="1" xfId="3" quotePrefix="1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 applyProtection="1">
      <alignment vertical="center" wrapText="1"/>
    </xf>
    <xf numFmtId="0" fontId="7" fillId="0" borderId="1" xfId="5" applyNumberFormat="1" applyFont="1" applyFill="1" applyBorder="1" applyAlignment="1" applyProtection="1">
      <alignment horizontal="center" vertical="center" wrapText="1"/>
    </xf>
    <xf numFmtId="168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5" quotePrefix="1" applyFont="1" applyFill="1" applyBorder="1" applyAlignment="1" applyProtection="1">
      <alignment horizontal="center" vertical="center" wrapText="1"/>
    </xf>
    <xf numFmtId="0" fontId="7" fillId="0" borderId="1" xfId="5" applyFont="1" applyFill="1" applyBorder="1" applyAlignment="1" applyProtection="1">
      <alignment vertical="center" wrapText="1"/>
    </xf>
    <xf numFmtId="0" fontId="19" fillId="0" borderId="1" xfId="5" quotePrefix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5" applyFont="1" applyFill="1" applyBorder="1" applyAlignment="1" applyProtection="1">
      <alignment horizontal="left" vertical="center" wrapText="1"/>
    </xf>
    <xf numFmtId="2" fontId="7" fillId="0" borderId="1" xfId="5" applyNumberFormat="1" applyFont="1" applyFill="1" applyBorder="1" applyAlignment="1" applyProtection="1">
      <alignment horizontal="center" vertical="center" wrapText="1"/>
    </xf>
    <xf numFmtId="2" fontId="10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quotePrefix="1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 applyProtection="1">
      <alignment horizontal="center" vertical="center" wrapText="1"/>
    </xf>
    <xf numFmtId="0" fontId="7" fillId="0" borderId="1" xfId="5" applyFont="1" applyFill="1" applyBorder="1" applyAlignment="1" applyProtection="1">
      <alignment horizontal="left" vertical="center" wrapText="1"/>
    </xf>
    <xf numFmtId="168" fontId="7" fillId="0" borderId="1" xfId="5" applyNumberFormat="1" applyFont="1" applyFill="1" applyBorder="1" applyAlignment="1" applyProtection="1">
      <alignment horizontal="center" vertical="center" wrapText="1"/>
    </xf>
    <xf numFmtId="0" fontId="20" fillId="0" borderId="1" xfId="5" quotePrefix="1" applyFont="1" applyFill="1" applyBorder="1" applyAlignment="1" applyProtection="1">
      <alignment horizontal="center" vertical="center" wrapText="1"/>
    </xf>
    <xf numFmtId="167" fontId="7" fillId="0" borderId="1" xfId="5" applyNumberFormat="1" applyFont="1" applyFill="1" applyBorder="1" applyAlignment="1" applyProtection="1">
      <alignment horizontal="center" vertical="center" wrapText="1"/>
    </xf>
    <xf numFmtId="0" fontId="10" fillId="0" borderId="1" xfId="5" applyFont="1" applyFill="1" applyBorder="1" applyAlignment="1" applyProtection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10" fillId="0" borderId="1" xfId="7" applyNumberFormat="1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2" fontId="10" fillId="0" borderId="1" xfId="7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49" fontId="7" fillId="0" borderId="1" xfId="7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 wrapText="1"/>
    </xf>
    <xf numFmtId="2" fontId="7" fillId="0" borderId="1" xfId="7" applyNumberFormat="1" applyFont="1" applyFill="1" applyBorder="1" applyAlignment="1">
      <alignment horizontal="center" vertical="center"/>
    </xf>
    <xf numFmtId="49" fontId="7" fillId="0" borderId="1" xfId="7" applyNumberFormat="1" applyFont="1" applyFill="1" applyBorder="1" applyAlignment="1">
      <alignment horizontal="center" vertical="center"/>
    </xf>
    <xf numFmtId="169" fontId="7" fillId="0" borderId="1" xfId="7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67" fontId="7" fillId="0" borderId="1" xfId="7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1" xfId="0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2" fontId="26" fillId="0" borderId="1" xfId="1" applyNumberFormat="1" applyFont="1" applyFill="1" applyBorder="1" applyAlignment="1" applyProtection="1">
      <alignment horizontal="center" vertical="center" wrapText="1"/>
    </xf>
    <xf numFmtId="2" fontId="7" fillId="0" borderId="1" xfId="1" applyNumberFormat="1" applyFont="1" applyFill="1" applyBorder="1" applyAlignment="1" applyProtection="1">
      <alignment horizontal="center" vertical="center"/>
    </xf>
    <xf numFmtId="2" fontId="7" fillId="0" borderId="1" xfId="1" applyNumberFormat="1" applyFont="1" applyFill="1" applyBorder="1" applyAlignment="1" applyProtection="1">
      <alignment horizontal="center" vertical="center" wrapText="1" shrinkToFi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2" fontId="7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168" fontId="11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wrapText="1"/>
    </xf>
    <xf numFmtId="0" fontId="18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10" fillId="0" borderId="1" xfId="5" applyFont="1" applyFill="1" applyBorder="1" applyAlignment="1" applyProtection="1">
      <alignment horizontal="center" vertical="center"/>
    </xf>
    <xf numFmtId="0" fontId="8" fillId="0" borderId="0" xfId="0" applyFont="1" applyFill="1"/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1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wrapText="1"/>
    </xf>
    <xf numFmtId="0" fontId="10" fillId="0" borderId="1" xfId="10" applyFont="1" applyFill="1" applyBorder="1" applyAlignment="1">
      <alignment horizontal="left" vertical="center" wrapText="1"/>
    </xf>
    <xf numFmtId="0" fontId="10" fillId="0" borderId="1" xfId="10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2" fontId="10" fillId="0" borderId="1" xfId="10" applyNumberFormat="1" applyFont="1" applyFill="1" applyBorder="1" applyAlignment="1">
      <alignment horizontal="center" vertical="center" wrapText="1"/>
    </xf>
    <xf numFmtId="0" fontId="7" fillId="0" borderId="1" xfId="10" quotePrefix="1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vertical="center" wrapText="1"/>
    </xf>
    <xf numFmtId="0" fontId="7" fillId="0" borderId="1" xfId="10" applyFont="1" applyFill="1" applyBorder="1" applyAlignment="1">
      <alignment horizontal="center" vertical="center" wrapText="1"/>
    </xf>
    <xf numFmtId="2" fontId="7" fillId="0" borderId="1" xfId="10" applyNumberFormat="1" applyFont="1" applyFill="1" applyBorder="1" applyAlignment="1">
      <alignment horizontal="center" vertical="center" wrapText="1"/>
    </xf>
    <xf numFmtId="165" fontId="7" fillId="0" borderId="1" xfId="1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 shrinkToFit="1"/>
    </xf>
    <xf numFmtId="0" fontId="10" fillId="0" borderId="5" xfId="10" applyFont="1" applyFill="1" applyBorder="1" applyAlignment="1">
      <alignment horizontal="center" wrapText="1"/>
    </xf>
    <xf numFmtId="0" fontId="10" fillId="0" borderId="5" xfId="11" applyFont="1" applyFill="1" applyBorder="1" applyAlignment="1">
      <alignment horizontal="left" vertical="center" wrapText="1"/>
    </xf>
    <xf numFmtId="0" fontId="7" fillId="0" borderId="6" xfId="10" applyFont="1" applyFill="1" applyBorder="1" applyAlignment="1">
      <alignment horizontal="center" vertical="center" wrapText="1"/>
    </xf>
    <xf numFmtId="1" fontId="10" fillId="0" borderId="6" xfId="10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 applyProtection="1">
      <alignment horizontal="center" vertical="center" wrapText="1"/>
    </xf>
    <xf numFmtId="165" fontId="7" fillId="0" borderId="6" xfId="10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 applyProtection="1">
      <alignment horizontal="center" vertical="center" wrapText="1" shrinkToFit="1"/>
    </xf>
    <xf numFmtId="0" fontId="10" fillId="0" borderId="1" xfId="11" applyFont="1" applyFill="1" applyBorder="1" applyAlignment="1">
      <alignment horizontal="center" vertical="center"/>
    </xf>
    <xf numFmtId="1" fontId="7" fillId="0" borderId="1" xfId="10" applyNumberFormat="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vertical="center" wrapText="1"/>
    </xf>
    <xf numFmtId="0" fontId="10" fillId="0" borderId="1" xfId="5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wrapText="1"/>
    </xf>
    <xf numFmtId="165" fontId="10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21" fillId="0" borderId="1" xfId="0" quotePrefix="1" applyNumberFormat="1" applyFont="1" applyFill="1" applyBorder="1" applyAlignment="1">
      <alignment horizontal="left" vertical="center" wrapText="1"/>
    </xf>
    <xf numFmtId="9" fontId="7" fillId="0" borderId="1" xfId="2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horizont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top" wrapText="1"/>
    </xf>
    <xf numFmtId="165" fontId="10" fillId="0" borderId="1" xfId="1" applyNumberFormat="1" applyFont="1" applyFill="1" applyBorder="1" applyAlignment="1">
      <alignment horizontal="center" vertical="top" wrapText="1"/>
    </xf>
    <xf numFmtId="0" fontId="19" fillId="0" borderId="1" xfId="0" quotePrefix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168" fontId="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center" wrapText="1"/>
    </xf>
    <xf numFmtId="0" fontId="7" fillId="0" borderId="1" xfId="5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165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10" fillId="0" borderId="0" xfId="1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</cellXfs>
  <cellStyles count="12">
    <cellStyle name="Comma" xfId="1" builtinId="3"/>
    <cellStyle name="Normal" xfId="0" builtinId="0"/>
    <cellStyle name="Normal 2" xfId="10"/>
    <cellStyle name="Normal 3" xfId="9"/>
    <cellStyle name="Normal 3 2" xfId="5"/>
    <cellStyle name="Normal_2-1-1" xfId="4"/>
    <cellStyle name="Normal_Sheet1" xfId="8"/>
    <cellStyle name="Normal_stadion-1" xfId="3"/>
    <cellStyle name="Percent" xfId="2" builtinId="5"/>
    <cellStyle name="Обычный 2 2" xfId="6"/>
    <cellStyle name="Обычный 3" xfId="7"/>
    <cellStyle name="Обычный 4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86;&#1074;&#1072;&#1103;%20&#1087;&#1072;&#1087;&#1082;&#1072;-mereti%20-kor\&#4334;&#4304;&#4320;&#4335;&#4311;&#4304;&#4326;&#4320;&#4312;&#4330;&#4334;&#4309;&#4304;+&#4306;&#4320;&#4304;&#4324;&#4312;&#4313;&#4312;-12-mere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c.uwy."/>
      <sheetName val="saobieqto"/>
      <sheetName val="KOR-XARJ"/>
      <sheetName val="Лист15"/>
      <sheetName val="Лист12"/>
      <sheetName val="FORMA 2-1"/>
      <sheetName val="Лист14"/>
      <sheetName val="demontaJi"/>
      <sheetName val="kor.dem."/>
      <sheetName val="SAQVABE-1"/>
      <sheetName val="kor.saqv"/>
      <sheetName val="Лист1"/>
      <sheetName val="Лист7"/>
      <sheetName val="saqvabis mowyobiloba"/>
      <sheetName val="saq.mow.kor.xarj."/>
      <sheetName val="Лист13"/>
      <sheetName val="Лист2"/>
      <sheetName val="Лист6"/>
      <sheetName val="gaTboba"/>
      <sheetName val="kor.gaTboba."/>
      <sheetName val="Лист11"/>
      <sheetName val="Лист4"/>
      <sheetName val="Tbotrasa"/>
      <sheetName val="kor.Tbotrasa"/>
      <sheetName val="Лист5"/>
      <sheetName val="el.momarageba"/>
      <sheetName val="kor.el.momarag."/>
      <sheetName val="Лист8"/>
      <sheetName val="გრაფიკი"/>
    </sheetNames>
    <sheetDataSet>
      <sheetData sheetId="0" refreshError="1">
        <row r="11">
          <cell r="D11">
            <v>10</v>
          </cell>
        </row>
        <row r="83">
          <cell r="D83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H16" sqref="H16"/>
    </sheetView>
  </sheetViews>
  <sheetFormatPr defaultColWidth="9.140625" defaultRowHeight="12.75" x14ac:dyDescent="0.2"/>
  <cols>
    <col min="1" max="1" width="4.42578125" style="56" customWidth="1"/>
    <col min="2" max="2" width="35.42578125" style="208" customWidth="1"/>
    <col min="3" max="3" width="29.140625" style="56" customWidth="1"/>
    <col min="4" max="9" width="8.85546875" style="56" customWidth="1"/>
    <col min="10" max="16384" width="9.140625" style="56"/>
  </cols>
  <sheetData>
    <row r="1" spans="1:14" ht="13.5" x14ac:dyDescent="0.25">
      <c r="A1" s="286" t="s">
        <v>0</v>
      </c>
      <c r="B1" s="286"/>
      <c r="C1" s="286"/>
      <c r="D1" s="286"/>
      <c r="E1" s="286"/>
      <c r="F1" s="286"/>
      <c r="G1" s="286"/>
      <c r="H1" s="286"/>
      <c r="I1" s="286"/>
    </row>
    <row r="2" spans="1:14" ht="13.5" x14ac:dyDescent="0.25">
      <c r="A2" s="46"/>
      <c r="B2" s="205"/>
      <c r="C2" s="46"/>
      <c r="D2" s="46"/>
      <c r="E2" s="46"/>
      <c r="F2" s="46"/>
      <c r="G2" s="46"/>
      <c r="H2" s="46"/>
      <c r="I2" s="46"/>
    </row>
    <row r="3" spans="1:14" ht="13.5" x14ac:dyDescent="0.25">
      <c r="A3" s="286" t="s">
        <v>261</v>
      </c>
      <c r="B3" s="286"/>
      <c r="C3" s="286"/>
      <c r="D3" s="286"/>
      <c r="E3" s="286"/>
      <c r="F3" s="286"/>
      <c r="G3" s="286"/>
      <c r="H3" s="286"/>
      <c r="I3" s="286"/>
      <c r="J3" s="45"/>
      <c r="K3" s="45"/>
      <c r="L3" s="45"/>
      <c r="M3" s="45"/>
    </row>
    <row r="4" spans="1:14" ht="13.5" x14ac:dyDescent="0.2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ht="13.5" x14ac:dyDescent="0.25">
      <c r="A5" s="57"/>
      <c r="B5" s="206"/>
      <c r="C5" s="1"/>
      <c r="D5" s="1" t="s">
        <v>1</v>
      </c>
      <c r="E5" s="1"/>
      <c r="F5" s="1"/>
      <c r="G5" s="1"/>
      <c r="H5" s="2">
        <f>H20</f>
        <v>0</v>
      </c>
      <c r="I5" s="1" t="s">
        <v>2</v>
      </c>
    </row>
    <row r="6" spans="1:14" ht="13.5" x14ac:dyDescent="0.25">
      <c r="A6" s="57"/>
      <c r="B6" s="206"/>
      <c r="C6" s="1"/>
      <c r="D6" s="1"/>
      <c r="E6" s="1"/>
      <c r="F6" s="1"/>
      <c r="G6" s="1"/>
      <c r="H6" s="3"/>
      <c r="I6" s="1"/>
    </row>
    <row r="7" spans="1:14" ht="13.5" x14ac:dyDescent="0.25">
      <c r="A7" s="57"/>
      <c r="B7" s="206"/>
      <c r="C7" s="1"/>
      <c r="D7" s="1" t="s">
        <v>3</v>
      </c>
      <c r="E7" s="1"/>
      <c r="F7" s="1"/>
      <c r="G7" s="1"/>
      <c r="H7" s="2">
        <f>I16</f>
        <v>0</v>
      </c>
      <c r="I7" s="1" t="s">
        <v>2</v>
      </c>
    </row>
    <row r="9" spans="1:14" ht="13.5" x14ac:dyDescent="0.2">
      <c r="A9" s="288" t="s">
        <v>4</v>
      </c>
      <c r="B9" s="288" t="s">
        <v>5</v>
      </c>
      <c r="C9" s="288" t="s">
        <v>6</v>
      </c>
      <c r="D9" s="288" t="s">
        <v>7</v>
      </c>
      <c r="E9" s="288"/>
      <c r="F9" s="288"/>
      <c r="G9" s="288"/>
      <c r="H9" s="288"/>
      <c r="I9" s="288" t="s">
        <v>8</v>
      </c>
    </row>
    <row r="10" spans="1:14" ht="54" x14ac:dyDescent="0.2">
      <c r="A10" s="288"/>
      <c r="B10" s="288"/>
      <c r="C10" s="288"/>
      <c r="D10" s="47" t="s">
        <v>9</v>
      </c>
      <c r="E10" s="47" t="s">
        <v>10</v>
      </c>
      <c r="F10" s="47" t="s">
        <v>11</v>
      </c>
      <c r="G10" s="47" t="s">
        <v>12</v>
      </c>
      <c r="H10" s="47" t="s">
        <v>13</v>
      </c>
      <c r="I10" s="289"/>
    </row>
    <row r="11" spans="1:14" ht="13.5" x14ac:dyDescent="0.2">
      <c r="A11" s="47">
        <v>1</v>
      </c>
      <c r="B11" s="194">
        <v>2</v>
      </c>
      <c r="C11" s="47">
        <v>3</v>
      </c>
      <c r="D11" s="47">
        <v>4</v>
      </c>
      <c r="E11" s="47"/>
      <c r="F11" s="47">
        <v>5</v>
      </c>
      <c r="G11" s="47">
        <v>6</v>
      </c>
      <c r="H11" s="47">
        <v>7</v>
      </c>
      <c r="I11" s="47">
        <v>8</v>
      </c>
    </row>
    <row r="12" spans="1:14" ht="27" x14ac:dyDescent="0.2">
      <c r="A12" s="47">
        <v>1</v>
      </c>
      <c r="B12" s="4" t="s">
        <v>14</v>
      </c>
      <c r="C12" s="4" t="s">
        <v>15</v>
      </c>
      <c r="D12" s="5">
        <f>saqvabe!M180</f>
        <v>0</v>
      </c>
      <c r="E12" s="5"/>
      <c r="F12" s="5"/>
      <c r="G12" s="5"/>
      <c r="H12" s="44">
        <f>D12+E12+F12+G12</f>
        <v>0</v>
      </c>
      <c r="I12" s="44">
        <f>saqvabe!M181</f>
        <v>0</v>
      </c>
    </row>
    <row r="13" spans="1:14" ht="27" x14ac:dyDescent="0.2">
      <c r="A13" s="47">
        <v>2</v>
      </c>
      <c r="B13" s="4" t="s">
        <v>16</v>
      </c>
      <c r="C13" s="4" t="s">
        <v>216</v>
      </c>
      <c r="D13" s="31"/>
      <c r="E13" s="31">
        <f>'saqvqbis dem.da mon.'!M131</f>
        <v>0</v>
      </c>
      <c r="F13" s="31"/>
      <c r="G13" s="31"/>
      <c r="H13" s="50">
        <f>D13+E13+G13</f>
        <v>0</v>
      </c>
      <c r="I13" s="50">
        <f>'saqvqbis dem.da mon.'!M132</f>
        <v>0</v>
      </c>
    </row>
    <row r="14" spans="1:14" ht="13.5" x14ac:dyDescent="0.2">
      <c r="A14" s="47">
        <v>4</v>
      </c>
      <c r="B14" s="4" t="s">
        <v>17</v>
      </c>
      <c r="C14" s="4" t="s">
        <v>18</v>
      </c>
      <c r="D14" s="5">
        <f>Tbotras!M31</f>
        <v>0</v>
      </c>
      <c r="E14" s="5">
        <f>Tbotras!M80</f>
        <v>0</v>
      </c>
      <c r="F14" s="5"/>
      <c r="G14" s="5"/>
      <c r="H14" s="44">
        <f t="shared" ref="H14:H15" si="0">D14+E14+F14+G14</f>
        <v>0</v>
      </c>
      <c r="I14" s="44">
        <f>Tbotras!M83</f>
        <v>0</v>
      </c>
    </row>
    <row r="15" spans="1:14" ht="13.5" x14ac:dyDescent="0.2">
      <c r="A15" s="47">
        <v>5</v>
      </c>
      <c r="B15" s="4" t="s">
        <v>19</v>
      </c>
      <c r="C15" s="4" t="s">
        <v>20</v>
      </c>
      <c r="D15" s="31"/>
      <c r="E15" s="31">
        <f>saq.elm.!M66</f>
        <v>0</v>
      </c>
      <c r="F15" s="31"/>
      <c r="G15" s="31"/>
      <c r="H15" s="50">
        <f t="shared" si="0"/>
        <v>0</v>
      </c>
      <c r="I15" s="50">
        <f>saq.elm.!M67</f>
        <v>0</v>
      </c>
      <c r="J15" s="6"/>
      <c r="K15" s="6"/>
      <c r="L15" s="6"/>
      <c r="M15" s="6"/>
      <c r="N15" s="6"/>
    </row>
    <row r="16" spans="1:14" ht="13.5" x14ac:dyDescent="0.2">
      <c r="A16" s="48"/>
      <c r="B16" s="7"/>
      <c r="C16" s="48" t="s">
        <v>21</v>
      </c>
      <c r="D16" s="44">
        <f t="shared" ref="D16:I16" si="1">SUM(D12:D15)</f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</row>
    <row r="17" spans="1:9" ht="27" x14ac:dyDescent="0.25">
      <c r="A17" s="8"/>
      <c r="B17" s="9" t="s">
        <v>22</v>
      </c>
      <c r="C17" s="10">
        <v>0.03</v>
      </c>
      <c r="D17" s="58"/>
      <c r="E17" s="58"/>
      <c r="F17" s="58"/>
      <c r="G17" s="58"/>
      <c r="H17" s="54">
        <f>H16*C17</f>
        <v>0</v>
      </c>
      <c r="I17" s="58"/>
    </row>
    <row r="18" spans="1:9" ht="13.5" x14ac:dyDescent="0.25">
      <c r="A18" s="8"/>
      <c r="B18" s="11" t="s">
        <v>23</v>
      </c>
      <c r="C18" s="12"/>
      <c r="D18" s="58"/>
      <c r="E18" s="58"/>
      <c r="F18" s="58"/>
      <c r="G18" s="58"/>
      <c r="H18" s="59">
        <f>SUM(H16:H17)</f>
        <v>0</v>
      </c>
      <c r="I18" s="58"/>
    </row>
    <row r="19" spans="1:9" ht="25.5" customHeight="1" x14ac:dyDescent="0.25">
      <c r="A19" s="8"/>
      <c r="B19" s="9" t="s">
        <v>24</v>
      </c>
      <c r="C19" s="10">
        <v>0.18</v>
      </c>
      <c r="D19" s="58"/>
      <c r="E19" s="58"/>
      <c r="F19" s="58"/>
      <c r="G19" s="58"/>
      <c r="H19" s="60">
        <f>H18*C19</f>
        <v>0</v>
      </c>
      <c r="I19" s="58"/>
    </row>
    <row r="20" spans="1:9" ht="27" x14ac:dyDescent="0.25">
      <c r="A20" s="8"/>
      <c r="B20" s="9" t="s">
        <v>25</v>
      </c>
      <c r="C20" s="12"/>
      <c r="D20" s="58"/>
      <c r="E20" s="58"/>
      <c r="F20" s="58"/>
      <c r="G20" s="58"/>
      <c r="H20" s="59">
        <f>SUM(H18:H19)</f>
        <v>0</v>
      </c>
      <c r="I20" s="58"/>
    </row>
    <row r="23" spans="1:9" ht="13.5" x14ac:dyDescent="0.2">
      <c r="A23" s="49"/>
      <c r="B23" s="207"/>
      <c r="C23" s="13"/>
      <c r="E23" s="13"/>
      <c r="F23" s="13"/>
      <c r="G23" s="14"/>
    </row>
  </sheetData>
  <mergeCells count="8">
    <mergeCell ref="A1:I1"/>
    <mergeCell ref="A4:N4"/>
    <mergeCell ref="A9:A10"/>
    <mergeCell ref="B9:B10"/>
    <mergeCell ref="C9:C10"/>
    <mergeCell ref="D9:H9"/>
    <mergeCell ref="I9:I10"/>
    <mergeCell ref="A3:I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"/>
  <sheetViews>
    <sheetView topLeftCell="A169" zoomScaleNormal="100" workbookViewId="0">
      <selection activeCell="D179" sqref="D179"/>
    </sheetView>
  </sheetViews>
  <sheetFormatPr defaultColWidth="9.140625" defaultRowHeight="12.75" x14ac:dyDescent="0.25"/>
  <cols>
    <col min="1" max="1" width="3.85546875" style="15" customWidth="1"/>
    <col min="2" max="2" width="12.7109375" style="15" customWidth="1"/>
    <col min="3" max="3" width="44.140625" style="216" customWidth="1"/>
    <col min="4" max="12" width="7.7109375" style="15" customWidth="1"/>
    <col min="13" max="13" width="10.7109375" style="15" customWidth="1"/>
    <col min="14" max="14" width="9.140625" style="15"/>
    <col min="15" max="15" width="10" style="15" bestFit="1" customWidth="1"/>
    <col min="16" max="16384" width="9.140625" style="15"/>
  </cols>
  <sheetData>
    <row r="1" spans="1:16" ht="13.5" x14ac:dyDescent="0.25">
      <c r="A1" s="294" t="s">
        <v>261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6" ht="15" customHeight="1" x14ac:dyDescent="0.25">
      <c r="A2" s="295" t="s">
        <v>26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6" ht="13.9" customHeight="1" x14ac:dyDescent="0.25">
      <c r="A3" s="296" t="s">
        <v>27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16"/>
    </row>
    <row r="4" spans="1:16" ht="15" customHeight="1" x14ac:dyDescent="0.25">
      <c r="A4" s="297"/>
      <c r="B4" s="297"/>
      <c r="C4" s="297"/>
      <c r="D4" s="297"/>
      <c r="E4" s="297" t="s">
        <v>1</v>
      </c>
      <c r="F4" s="297"/>
      <c r="G4" s="297"/>
      <c r="H4" s="297"/>
      <c r="I4" s="297"/>
      <c r="J4" s="292">
        <f>M180</f>
        <v>0</v>
      </c>
      <c r="K4" s="292"/>
      <c r="L4" s="67" t="s">
        <v>2</v>
      </c>
      <c r="M4" s="68"/>
      <c r="N4" s="210"/>
    </row>
    <row r="5" spans="1:16" ht="12.6" customHeight="1" x14ac:dyDescent="0.25">
      <c r="A5" s="69"/>
      <c r="B5" s="69"/>
      <c r="C5" s="69"/>
      <c r="D5" s="69"/>
      <c r="E5" s="69"/>
      <c r="F5" s="291" t="s">
        <v>28</v>
      </c>
      <c r="G5" s="291"/>
      <c r="H5" s="291"/>
      <c r="I5" s="69"/>
      <c r="J5" s="292">
        <f>M181</f>
        <v>0</v>
      </c>
      <c r="K5" s="292"/>
      <c r="L5" s="293" t="s">
        <v>2</v>
      </c>
      <c r="M5" s="293"/>
      <c r="N5" s="210"/>
    </row>
    <row r="6" spans="1:16" ht="35.450000000000003" customHeight="1" x14ac:dyDescent="0.25">
      <c r="A6" s="290" t="s">
        <v>4</v>
      </c>
      <c r="B6" s="290" t="s">
        <v>29</v>
      </c>
      <c r="C6" s="290" t="s">
        <v>30</v>
      </c>
      <c r="D6" s="290" t="s">
        <v>31</v>
      </c>
      <c r="E6" s="290" t="s">
        <v>32</v>
      </c>
      <c r="F6" s="290"/>
      <c r="G6" s="290" t="s">
        <v>33</v>
      </c>
      <c r="H6" s="290"/>
      <c r="I6" s="290" t="s">
        <v>8</v>
      </c>
      <c r="J6" s="290"/>
      <c r="K6" s="290" t="s">
        <v>34</v>
      </c>
      <c r="L6" s="290"/>
      <c r="M6" s="290" t="s">
        <v>35</v>
      </c>
      <c r="N6" s="210"/>
      <c r="O6" s="210"/>
      <c r="P6" s="210"/>
    </row>
    <row r="7" spans="1:16" ht="51" x14ac:dyDescent="0.25">
      <c r="A7" s="290" t="s">
        <v>4</v>
      </c>
      <c r="B7" s="290"/>
      <c r="C7" s="290" t="s">
        <v>30</v>
      </c>
      <c r="D7" s="290" t="s">
        <v>31</v>
      </c>
      <c r="E7" s="195" t="s">
        <v>36</v>
      </c>
      <c r="F7" s="195" t="s">
        <v>37</v>
      </c>
      <c r="G7" s="195" t="s">
        <v>38</v>
      </c>
      <c r="H7" s="195" t="s">
        <v>35</v>
      </c>
      <c r="I7" s="195" t="s">
        <v>38</v>
      </c>
      <c r="J7" s="195" t="s">
        <v>35</v>
      </c>
      <c r="K7" s="195" t="s">
        <v>38</v>
      </c>
      <c r="L7" s="195" t="s">
        <v>35</v>
      </c>
      <c r="M7" s="290" t="s">
        <v>35</v>
      </c>
      <c r="N7" s="210"/>
      <c r="O7" s="210"/>
      <c r="P7" s="210"/>
    </row>
    <row r="8" spans="1:16" ht="15" x14ac:dyDescent="0.25">
      <c r="A8" s="195">
        <v>1</v>
      </c>
      <c r="B8" s="195">
        <v>2</v>
      </c>
      <c r="C8" s="195">
        <v>3</v>
      </c>
      <c r="D8" s="195">
        <v>4</v>
      </c>
      <c r="E8" s="195">
        <v>5</v>
      </c>
      <c r="F8" s="195">
        <v>6</v>
      </c>
      <c r="G8" s="195">
        <v>7</v>
      </c>
      <c r="H8" s="195">
        <v>8</v>
      </c>
      <c r="I8" s="195">
        <v>9</v>
      </c>
      <c r="J8" s="195">
        <v>10</v>
      </c>
      <c r="K8" s="195">
        <v>11</v>
      </c>
      <c r="L8" s="195">
        <v>12</v>
      </c>
      <c r="M8" s="195">
        <v>13</v>
      </c>
      <c r="N8" s="210"/>
      <c r="O8" s="210"/>
      <c r="P8" s="210"/>
    </row>
    <row r="9" spans="1:16" ht="51" x14ac:dyDescent="0.25">
      <c r="A9" s="70" t="s">
        <v>39</v>
      </c>
      <c r="B9" s="71" t="s">
        <v>275</v>
      </c>
      <c r="C9" s="72" t="s">
        <v>276</v>
      </c>
      <c r="D9" s="73" t="s">
        <v>277</v>
      </c>
      <c r="E9" s="74"/>
      <c r="F9" s="74">
        <f>(2.6*2+2.9*2)*0.4*0.6+(4.4*2+4.5*2)*1*0.2+20*1.3*0.2</f>
        <v>11.400000000000002</v>
      </c>
      <c r="G9" s="75"/>
      <c r="H9" s="75"/>
      <c r="I9" s="75"/>
      <c r="J9" s="75"/>
      <c r="K9" s="75"/>
      <c r="L9" s="75"/>
      <c r="M9" s="74"/>
      <c r="N9" s="210"/>
      <c r="O9" s="210"/>
      <c r="P9" s="210"/>
    </row>
    <row r="10" spans="1:16" ht="15" x14ac:dyDescent="0.25">
      <c r="A10" s="70"/>
      <c r="B10" s="76"/>
      <c r="C10" s="77" t="s">
        <v>41</v>
      </c>
      <c r="D10" s="77" t="s">
        <v>42</v>
      </c>
      <c r="E10" s="75">
        <v>2.78</v>
      </c>
      <c r="F10" s="75">
        <f>E10*F9</f>
        <v>31.692000000000004</v>
      </c>
      <c r="G10" s="75"/>
      <c r="H10" s="75"/>
      <c r="I10" s="78"/>
      <c r="J10" s="79"/>
      <c r="K10" s="75"/>
      <c r="L10" s="75"/>
      <c r="M10" s="79"/>
      <c r="N10" s="210"/>
      <c r="O10" s="210"/>
      <c r="P10" s="210"/>
    </row>
    <row r="11" spans="1:16" ht="38.25" x14ac:dyDescent="0.25">
      <c r="A11" s="70" t="s">
        <v>44</v>
      </c>
      <c r="B11" s="80" t="s">
        <v>234</v>
      </c>
      <c r="C11" s="195" t="s">
        <v>48</v>
      </c>
      <c r="D11" s="73" t="s">
        <v>277</v>
      </c>
      <c r="E11" s="81"/>
      <c r="F11" s="74">
        <f>(2.6*2+2.9*2)*0.4*0.2+(4.4*2+4.5*2)*1*0.1+20*1.3*0.1</f>
        <v>5.26</v>
      </c>
      <c r="G11" s="82"/>
      <c r="H11" s="82"/>
      <c r="I11" s="82"/>
      <c r="J11" s="82"/>
      <c r="K11" s="82"/>
      <c r="L11" s="82"/>
      <c r="M11" s="82"/>
      <c r="N11" s="210"/>
      <c r="O11" s="210"/>
      <c r="P11" s="210"/>
    </row>
    <row r="12" spans="1:16" ht="15" x14ac:dyDescent="0.25">
      <c r="A12" s="70"/>
      <c r="B12" s="83"/>
      <c r="C12" s="84" t="s">
        <v>41</v>
      </c>
      <c r="D12" s="77" t="s">
        <v>42</v>
      </c>
      <c r="E12" s="79">
        <v>3.52</v>
      </c>
      <c r="F12" s="79">
        <f>F11*E12</f>
        <v>18.5152</v>
      </c>
      <c r="G12" s="79"/>
      <c r="H12" s="85"/>
      <c r="I12" s="78"/>
      <c r="J12" s="79"/>
      <c r="K12" s="79"/>
      <c r="L12" s="79"/>
      <c r="M12" s="79"/>
      <c r="N12" s="210"/>
      <c r="O12" s="210"/>
      <c r="P12" s="210"/>
    </row>
    <row r="13" spans="1:16" ht="15" x14ac:dyDescent="0.25">
      <c r="A13" s="70"/>
      <c r="B13" s="83"/>
      <c r="C13" s="84" t="s">
        <v>45</v>
      </c>
      <c r="D13" s="84" t="s">
        <v>46</v>
      </c>
      <c r="E13" s="79">
        <v>1.06</v>
      </c>
      <c r="F13" s="79">
        <f>F11*E13</f>
        <v>5.5755999999999997</v>
      </c>
      <c r="G13" s="79"/>
      <c r="H13" s="85"/>
      <c r="I13" s="79"/>
      <c r="J13" s="79"/>
      <c r="K13" s="79"/>
      <c r="L13" s="79"/>
      <c r="M13" s="79"/>
      <c r="N13" s="210"/>
      <c r="O13" s="210"/>
      <c r="P13" s="210"/>
    </row>
    <row r="14" spans="1:16" ht="15" x14ac:dyDescent="0.25">
      <c r="A14" s="70"/>
      <c r="B14" s="83"/>
      <c r="C14" s="90" t="s">
        <v>50</v>
      </c>
      <c r="D14" s="77" t="s">
        <v>278</v>
      </c>
      <c r="E14" s="82">
        <f>0.18+0.09+0.97</f>
        <v>1.24</v>
      </c>
      <c r="F14" s="82">
        <f>F11*E14</f>
        <v>6.5223999999999993</v>
      </c>
      <c r="G14" s="152"/>
      <c r="H14" s="82"/>
      <c r="I14" s="82"/>
      <c r="J14" s="82"/>
      <c r="K14" s="82"/>
      <c r="L14" s="82"/>
      <c r="M14" s="79"/>
      <c r="N14" s="210"/>
      <c r="O14" s="210"/>
      <c r="P14" s="210"/>
    </row>
    <row r="15" spans="1:16" ht="15" x14ac:dyDescent="0.25">
      <c r="A15" s="70"/>
      <c r="B15" s="83"/>
      <c r="C15" s="86" t="s">
        <v>51</v>
      </c>
      <c r="D15" s="86" t="s">
        <v>52</v>
      </c>
      <c r="E15" s="87">
        <v>0.02</v>
      </c>
      <c r="F15" s="82">
        <f>F11*E15</f>
        <v>0.1052</v>
      </c>
      <c r="G15" s="82"/>
      <c r="H15" s="82"/>
      <c r="I15" s="82"/>
      <c r="J15" s="82"/>
      <c r="K15" s="82"/>
      <c r="L15" s="82"/>
      <c r="M15" s="79"/>
      <c r="N15" s="210"/>
      <c r="O15" s="210"/>
      <c r="P15" s="210"/>
    </row>
    <row r="16" spans="1:16" ht="38.25" x14ac:dyDescent="0.25">
      <c r="A16" s="70" t="s">
        <v>47</v>
      </c>
      <c r="B16" s="80" t="s">
        <v>279</v>
      </c>
      <c r="C16" s="105" t="s">
        <v>280</v>
      </c>
      <c r="D16" s="73" t="s">
        <v>277</v>
      </c>
      <c r="E16" s="87"/>
      <c r="F16" s="74">
        <f>(2.6*2+2.9*2)*0.4*0.4</f>
        <v>1.7600000000000002</v>
      </c>
      <c r="G16" s="78"/>
      <c r="H16" s="78"/>
      <c r="I16" s="78"/>
      <c r="J16" s="78"/>
      <c r="K16" s="78"/>
      <c r="L16" s="78"/>
      <c r="M16" s="78"/>
      <c r="N16" s="210"/>
      <c r="O16" s="210"/>
      <c r="P16" s="210"/>
    </row>
    <row r="17" spans="1:16" ht="15" x14ac:dyDescent="0.25">
      <c r="A17" s="70"/>
      <c r="B17" s="88" t="s">
        <v>40</v>
      </c>
      <c r="C17" s="86" t="s">
        <v>41</v>
      </c>
      <c r="D17" s="77" t="s">
        <v>278</v>
      </c>
      <c r="E17" s="87">
        <v>1</v>
      </c>
      <c r="F17" s="78">
        <f>F16*E17</f>
        <v>1.7600000000000002</v>
      </c>
      <c r="G17" s="78"/>
      <c r="H17" s="78"/>
      <c r="I17" s="78"/>
      <c r="J17" s="89"/>
      <c r="K17" s="78"/>
      <c r="L17" s="78"/>
      <c r="M17" s="89"/>
      <c r="N17" s="210"/>
      <c r="O17" s="210"/>
      <c r="P17" s="210"/>
    </row>
    <row r="18" spans="1:16" ht="15" x14ac:dyDescent="0.25">
      <c r="A18" s="70"/>
      <c r="B18" s="88"/>
      <c r="C18" s="86" t="s">
        <v>54</v>
      </c>
      <c r="D18" s="86" t="s">
        <v>52</v>
      </c>
      <c r="E18" s="87">
        <v>0.92</v>
      </c>
      <c r="F18" s="78">
        <f>F16*E18</f>
        <v>1.6192000000000002</v>
      </c>
      <c r="G18" s="78"/>
      <c r="H18" s="78"/>
      <c r="I18" s="78"/>
      <c r="J18" s="78"/>
      <c r="K18" s="79"/>
      <c r="L18" s="89"/>
      <c r="M18" s="89"/>
      <c r="N18" s="210"/>
      <c r="O18" s="210"/>
      <c r="P18" s="210"/>
    </row>
    <row r="19" spans="1:16" ht="15" x14ac:dyDescent="0.25">
      <c r="A19" s="70"/>
      <c r="B19" s="88"/>
      <c r="C19" s="90" t="s">
        <v>281</v>
      </c>
      <c r="D19" s="77" t="s">
        <v>278</v>
      </c>
      <c r="E19" s="91">
        <v>1.0149999999999999</v>
      </c>
      <c r="F19" s="78">
        <f>F16*E19</f>
        <v>1.7864</v>
      </c>
      <c r="G19" s="78"/>
      <c r="H19" s="89"/>
      <c r="I19" s="78"/>
      <c r="J19" s="78"/>
      <c r="K19" s="78"/>
      <c r="L19" s="78"/>
      <c r="M19" s="89"/>
      <c r="N19" s="210"/>
      <c r="O19" s="210"/>
      <c r="P19" s="210"/>
    </row>
    <row r="20" spans="1:16" ht="15" x14ac:dyDescent="0.25">
      <c r="A20" s="70"/>
      <c r="B20" s="88"/>
      <c r="C20" s="77" t="s">
        <v>55</v>
      </c>
      <c r="D20" s="86" t="s">
        <v>282</v>
      </c>
      <c r="E20" s="92">
        <v>0.70299999999999996</v>
      </c>
      <c r="F20" s="78">
        <f>F16*E20</f>
        <v>1.2372800000000002</v>
      </c>
      <c r="G20" s="78"/>
      <c r="H20" s="89"/>
      <c r="I20" s="78"/>
      <c r="J20" s="78"/>
      <c r="K20" s="78"/>
      <c r="L20" s="78"/>
      <c r="M20" s="89"/>
      <c r="N20" s="210"/>
      <c r="O20" s="210"/>
      <c r="P20" s="210"/>
    </row>
    <row r="21" spans="1:16" ht="15" x14ac:dyDescent="0.25">
      <c r="A21" s="70"/>
      <c r="B21" s="88"/>
      <c r="C21" s="86" t="s">
        <v>57</v>
      </c>
      <c r="D21" s="77" t="s">
        <v>278</v>
      </c>
      <c r="E21" s="92">
        <f>1.14/100</f>
        <v>1.1399999999999999E-2</v>
      </c>
      <c r="F21" s="78">
        <f>F16*E21</f>
        <v>2.0064000000000002E-2</v>
      </c>
      <c r="G21" s="78"/>
      <c r="H21" s="89"/>
      <c r="I21" s="78"/>
      <c r="J21" s="78"/>
      <c r="K21" s="78"/>
      <c r="L21" s="78"/>
      <c r="M21" s="89"/>
      <c r="N21" s="210"/>
      <c r="O21" s="210"/>
      <c r="P21" s="210"/>
    </row>
    <row r="22" spans="1:16" ht="25.5" x14ac:dyDescent="0.25">
      <c r="A22" s="70"/>
      <c r="B22" s="88"/>
      <c r="C22" s="86" t="s">
        <v>59</v>
      </c>
      <c r="D22" s="86" t="s">
        <v>58</v>
      </c>
      <c r="E22" s="87" t="s">
        <v>60</v>
      </c>
      <c r="F22" s="75">
        <f>F23*0.25</f>
        <v>12.46</v>
      </c>
      <c r="G22" s="209"/>
      <c r="H22" s="89"/>
      <c r="I22" s="78"/>
      <c r="J22" s="78"/>
      <c r="K22" s="78"/>
      <c r="L22" s="78"/>
      <c r="M22" s="89"/>
      <c r="N22" s="210"/>
      <c r="O22" s="210"/>
      <c r="P22" s="210"/>
    </row>
    <row r="23" spans="1:16" ht="25.5" x14ac:dyDescent="0.25">
      <c r="A23" s="70"/>
      <c r="B23" s="88"/>
      <c r="C23" s="86" t="s">
        <v>61</v>
      </c>
      <c r="D23" s="86" t="s">
        <v>58</v>
      </c>
      <c r="E23" s="87" t="s">
        <v>60</v>
      </c>
      <c r="F23" s="75">
        <f>(4*2*4+3*2*4)*0.89</f>
        <v>49.84</v>
      </c>
      <c r="G23" s="209"/>
      <c r="H23" s="89"/>
      <c r="I23" s="78"/>
      <c r="J23" s="78"/>
      <c r="K23" s="78"/>
      <c r="L23" s="78"/>
      <c r="M23" s="89"/>
      <c r="N23" s="210"/>
      <c r="O23" s="210"/>
      <c r="P23" s="210"/>
    </row>
    <row r="24" spans="1:16" ht="15" x14ac:dyDescent="0.25">
      <c r="A24" s="70"/>
      <c r="B24" s="88"/>
      <c r="C24" s="86" t="s">
        <v>51</v>
      </c>
      <c r="D24" s="86" t="s">
        <v>52</v>
      </c>
      <c r="E24" s="87">
        <v>0.6</v>
      </c>
      <c r="F24" s="78">
        <f>F16*E24</f>
        <v>1.056</v>
      </c>
      <c r="G24" s="78"/>
      <c r="H24" s="89"/>
      <c r="I24" s="78"/>
      <c r="J24" s="78"/>
      <c r="K24" s="78"/>
      <c r="L24" s="78"/>
      <c r="M24" s="89"/>
      <c r="N24" s="210"/>
      <c r="O24" s="210"/>
      <c r="P24" s="210"/>
    </row>
    <row r="25" spans="1:16" ht="24" x14ac:dyDescent="0.25">
      <c r="A25" s="70"/>
      <c r="B25" s="93" t="s">
        <v>283</v>
      </c>
      <c r="C25" s="94" t="s">
        <v>284</v>
      </c>
      <c r="D25" s="73" t="s">
        <v>277</v>
      </c>
      <c r="E25" s="95"/>
      <c r="F25" s="96">
        <f>F9-F11-F16</f>
        <v>4.3800000000000026</v>
      </c>
      <c r="G25" s="78"/>
      <c r="H25" s="89"/>
      <c r="I25" s="78"/>
      <c r="J25" s="78"/>
      <c r="K25" s="78"/>
      <c r="L25" s="78"/>
      <c r="M25" s="89"/>
      <c r="N25" s="210"/>
      <c r="O25" s="210"/>
      <c r="P25" s="210"/>
    </row>
    <row r="26" spans="1:16" ht="15" x14ac:dyDescent="0.25">
      <c r="A26" s="70"/>
      <c r="B26" s="97" t="s">
        <v>74</v>
      </c>
      <c r="C26" s="98" t="s">
        <v>65</v>
      </c>
      <c r="D26" s="98" t="s">
        <v>49</v>
      </c>
      <c r="E26" s="98">
        <v>1.21</v>
      </c>
      <c r="F26" s="99">
        <f>F25*E26</f>
        <v>5.299800000000003</v>
      </c>
      <c r="G26" s="78"/>
      <c r="H26" s="89"/>
      <c r="I26" s="78"/>
      <c r="J26" s="89"/>
      <c r="K26" s="78"/>
      <c r="L26" s="78"/>
      <c r="M26" s="89"/>
      <c r="N26" s="210"/>
      <c r="O26" s="210"/>
      <c r="P26" s="210"/>
    </row>
    <row r="27" spans="1:16" ht="38.25" x14ac:dyDescent="0.25">
      <c r="A27" s="70" t="s">
        <v>53</v>
      </c>
      <c r="B27" s="195" t="s">
        <v>233</v>
      </c>
      <c r="C27" s="195" t="s">
        <v>64</v>
      </c>
      <c r="D27" s="73" t="s">
        <v>277</v>
      </c>
      <c r="E27" s="85"/>
      <c r="F27" s="85">
        <f>2.9*2.7*0.1</f>
        <v>0.78300000000000003</v>
      </c>
      <c r="G27" s="85"/>
      <c r="H27" s="79"/>
      <c r="I27" s="85"/>
      <c r="J27" s="79"/>
      <c r="K27" s="79"/>
      <c r="L27" s="79"/>
      <c r="M27" s="85"/>
      <c r="N27" s="210"/>
      <c r="O27" s="210"/>
      <c r="P27" s="210"/>
    </row>
    <row r="28" spans="1:16" ht="15" x14ac:dyDescent="0.25">
      <c r="A28" s="70"/>
      <c r="B28" s="90"/>
      <c r="C28" s="90" t="s">
        <v>65</v>
      </c>
      <c r="D28" s="90" t="s">
        <v>42</v>
      </c>
      <c r="E28" s="79">
        <v>3.52</v>
      </c>
      <c r="F28" s="79">
        <f>E28*F27</f>
        <v>2.7561599999999999</v>
      </c>
      <c r="G28" s="79"/>
      <c r="H28" s="79"/>
      <c r="I28" s="78"/>
      <c r="J28" s="79"/>
      <c r="K28" s="79"/>
      <c r="L28" s="79"/>
      <c r="M28" s="79"/>
      <c r="N28" s="210"/>
      <c r="O28" s="210"/>
      <c r="P28" s="210"/>
    </row>
    <row r="29" spans="1:16" ht="15" x14ac:dyDescent="0.25">
      <c r="A29" s="70"/>
      <c r="B29" s="90"/>
      <c r="C29" s="90" t="s">
        <v>66</v>
      </c>
      <c r="D29" s="90" t="s">
        <v>52</v>
      </c>
      <c r="E29" s="79">
        <v>1.06</v>
      </c>
      <c r="F29" s="79">
        <f>E29*F27</f>
        <v>0.82998000000000005</v>
      </c>
      <c r="G29" s="79"/>
      <c r="H29" s="79"/>
      <c r="I29" s="79"/>
      <c r="J29" s="79"/>
      <c r="K29" s="79"/>
      <c r="L29" s="79"/>
      <c r="M29" s="79"/>
      <c r="N29" s="210"/>
      <c r="O29" s="210"/>
      <c r="P29" s="210"/>
    </row>
    <row r="30" spans="1:16" ht="15" x14ac:dyDescent="0.25">
      <c r="A30" s="70"/>
      <c r="B30" s="90"/>
      <c r="C30" s="90" t="s">
        <v>50</v>
      </c>
      <c r="D30" s="77" t="s">
        <v>278</v>
      </c>
      <c r="E30" s="79">
        <v>1.24</v>
      </c>
      <c r="F30" s="79">
        <f>E30*F27</f>
        <v>0.97092000000000001</v>
      </c>
      <c r="G30" s="82"/>
      <c r="H30" s="79"/>
      <c r="I30" s="79"/>
      <c r="J30" s="79"/>
      <c r="K30" s="79"/>
      <c r="L30" s="79"/>
      <c r="M30" s="79"/>
      <c r="N30" s="210"/>
      <c r="O30" s="210"/>
      <c r="P30" s="210"/>
    </row>
    <row r="31" spans="1:16" ht="15" x14ac:dyDescent="0.25">
      <c r="A31" s="70"/>
      <c r="B31" s="90"/>
      <c r="C31" s="90" t="s">
        <v>67</v>
      </c>
      <c r="D31" s="90" t="s">
        <v>52</v>
      </c>
      <c r="E31" s="79">
        <v>0.02</v>
      </c>
      <c r="F31" s="79">
        <f>E31*F27</f>
        <v>1.566E-2</v>
      </c>
      <c r="G31" s="79"/>
      <c r="H31" s="79"/>
      <c r="I31" s="79"/>
      <c r="J31" s="79"/>
      <c r="K31" s="79"/>
      <c r="L31" s="79"/>
      <c r="M31" s="79"/>
      <c r="N31" s="210"/>
      <c r="O31" s="210"/>
      <c r="P31" s="210"/>
    </row>
    <row r="32" spans="1:16" ht="38.25" x14ac:dyDescent="0.25">
      <c r="A32" s="70" t="s">
        <v>235</v>
      </c>
      <c r="B32" s="80" t="s">
        <v>229</v>
      </c>
      <c r="C32" s="195" t="s">
        <v>218</v>
      </c>
      <c r="D32" s="73" t="s">
        <v>277</v>
      </c>
      <c r="E32" s="85"/>
      <c r="F32" s="85">
        <f>2.9*2.7*0.1</f>
        <v>0.78300000000000003</v>
      </c>
      <c r="G32" s="85"/>
      <c r="H32" s="79"/>
      <c r="I32" s="79"/>
      <c r="J32" s="79"/>
      <c r="K32" s="79"/>
      <c r="L32" s="79"/>
      <c r="M32" s="85"/>
      <c r="N32" s="210"/>
      <c r="O32" s="210"/>
      <c r="P32" s="210"/>
    </row>
    <row r="33" spans="1:16" ht="15" x14ac:dyDescent="0.25">
      <c r="A33" s="70"/>
      <c r="B33" s="88" t="s">
        <v>40</v>
      </c>
      <c r="C33" s="90" t="s">
        <v>68</v>
      </c>
      <c r="D33" s="77" t="s">
        <v>278</v>
      </c>
      <c r="E33" s="79">
        <v>1</v>
      </c>
      <c r="F33" s="79">
        <f>E33*F32</f>
        <v>0.78300000000000003</v>
      </c>
      <c r="G33" s="79"/>
      <c r="H33" s="79"/>
      <c r="I33" s="78"/>
      <c r="J33" s="79"/>
      <c r="K33" s="79"/>
      <c r="L33" s="79"/>
      <c r="M33" s="79"/>
      <c r="N33" s="210"/>
      <c r="O33" s="210"/>
      <c r="P33" s="210"/>
    </row>
    <row r="34" spans="1:16" ht="15" x14ac:dyDescent="0.25">
      <c r="A34" s="70"/>
      <c r="B34" s="90"/>
      <c r="C34" s="86" t="s">
        <v>54</v>
      </c>
      <c r="D34" s="86" t="s">
        <v>52</v>
      </c>
      <c r="E34" s="87">
        <v>1.01</v>
      </c>
      <c r="F34" s="78">
        <f>F32*E34</f>
        <v>0.79083000000000003</v>
      </c>
      <c r="G34" s="78"/>
      <c r="H34" s="78"/>
      <c r="I34" s="78"/>
      <c r="J34" s="78"/>
      <c r="K34" s="79"/>
      <c r="L34" s="89"/>
      <c r="M34" s="89"/>
      <c r="N34" s="210"/>
      <c r="O34" s="210"/>
      <c r="P34" s="210"/>
    </row>
    <row r="35" spans="1:16" ht="15" x14ac:dyDescent="0.25">
      <c r="A35" s="70"/>
      <c r="B35" s="90"/>
      <c r="C35" s="90" t="s">
        <v>285</v>
      </c>
      <c r="D35" s="77" t="s">
        <v>278</v>
      </c>
      <c r="E35" s="79">
        <v>1.02</v>
      </c>
      <c r="F35" s="79">
        <f>F32*E35</f>
        <v>0.79866000000000004</v>
      </c>
      <c r="G35" s="79"/>
      <c r="H35" s="79"/>
      <c r="I35" s="79"/>
      <c r="J35" s="79"/>
      <c r="K35" s="79"/>
      <c r="L35" s="79"/>
      <c r="M35" s="79"/>
      <c r="N35" s="210"/>
      <c r="O35" s="210"/>
      <c r="P35" s="210"/>
    </row>
    <row r="36" spans="1:16" ht="25.5" x14ac:dyDescent="0.25">
      <c r="A36" s="70"/>
      <c r="B36" s="90"/>
      <c r="C36" s="86" t="s">
        <v>69</v>
      </c>
      <c r="D36" s="86" t="s">
        <v>58</v>
      </c>
      <c r="E36" s="87" t="s">
        <v>60</v>
      </c>
      <c r="F36" s="79">
        <f>2.9/0.15*2*2*0.389</f>
        <v>30.082666666666665</v>
      </c>
      <c r="G36" s="191"/>
      <c r="H36" s="79"/>
      <c r="I36" s="79"/>
      <c r="J36" s="79"/>
      <c r="K36" s="79"/>
      <c r="L36" s="79"/>
      <c r="M36" s="79"/>
      <c r="N36" s="210"/>
      <c r="O36" s="210"/>
      <c r="P36" s="210"/>
    </row>
    <row r="37" spans="1:16" ht="15" x14ac:dyDescent="0.25">
      <c r="A37" s="70"/>
      <c r="B37" s="90"/>
      <c r="C37" s="86" t="s">
        <v>217</v>
      </c>
      <c r="D37" s="86" t="s">
        <v>282</v>
      </c>
      <c r="E37" s="92">
        <v>0.14000000000000001</v>
      </c>
      <c r="F37" s="78">
        <f>F33*E37</f>
        <v>0.10962000000000001</v>
      </c>
      <c r="G37" s="78"/>
      <c r="H37" s="89"/>
      <c r="I37" s="78"/>
      <c r="J37" s="78"/>
      <c r="K37" s="78"/>
      <c r="L37" s="78"/>
      <c r="M37" s="89"/>
      <c r="N37" s="210"/>
      <c r="O37" s="210"/>
      <c r="P37" s="210"/>
    </row>
    <row r="38" spans="1:16" ht="15" x14ac:dyDescent="0.25">
      <c r="A38" s="70"/>
      <c r="B38" s="90"/>
      <c r="C38" s="86" t="s">
        <v>57</v>
      </c>
      <c r="D38" s="77" t="s">
        <v>278</v>
      </c>
      <c r="E38" s="92">
        <f>0.17/100</f>
        <v>1.7000000000000001E-3</v>
      </c>
      <c r="F38" s="100">
        <f>F32*E38</f>
        <v>1.3311000000000002E-3</v>
      </c>
      <c r="G38" s="78"/>
      <c r="H38" s="89"/>
      <c r="I38" s="78"/>
      <c r="J38" s="78"/>
      <c r="K38" s="78"/>
      <c r="L38" s="78"/>
      <c r="M38" s="89"/>
      <c r="N38" s="210"/>
      <c r="O38" s="210"/>
      <c r="P38" s="210"/>
    </row>
    <row r="39" spans="1:16" ht="15" x14ac:dyDescent="0.25">
      <c r="A39" s="70"/>
      <c r="B39" s="90"/>
      <c r="C39" s="90" t="s">
        <v>67</v>
      </c>
      <c r="D39" s="90" t="s">
        <v>52</v>
      </c>
      <c r="E39" s="79">
        <v>0.22</v>
      </c>
      <c r="F39" s="79">
        <f>E39*F32</f>
        <v>0.17226</v>
      </c>
      <c r="G39" s="79"/>
      <c r="H39" s="79"/>
      <c r="I39" s="79"/>
      <c r="J39" s="79"/>
      <c r="K39" s="79"/>
      <c r="L39" s="79"/>
      <c r="M39" s="79"/>
      <c r="N39" s="210"/>
      <c r="O39" s="210"/>
      <c r="P39" s="210"/>
    </row>
    <row r="40" spans="1:16" ht="38.25" x14ac:dyDescent="0.25">
      <c r="A40" s="70" t="s">
        <v>63</v>
      </c>
      <c r="B40" s="70" t="s">
        <v>232</v>
      </c>
      <c r="C40" s="195" t="s">
        <v>72</v>
      </c>
      <c r="D40" s="73" t="s">
        <v>277</v>
      </c>
      <c r="E40" s="85"/>
      <c r="F40" s="74">
        <f>((2.7*2+3.1*2)*2.4*0.2-0.6*0.4*2*0.2-0.9*2.1*0.2)</f>
        <v>5.0940000000000012</v>
      </c>
      <c r="G40" s="78"/>
      <c r="H40" s="75"/>
      <c r="I40" s="75"/>
      <c r="J40" s="75"/>
      <c r="K40" s="75"/>
      <c r="L40" s="75"/>
      <c r="M40" s="75"/>
      <c r="N40" s="210"/>
      <c r="O40" s="210"/>
      <c r="P40" s="210"/>
    </row>
    <row r="41" spans="1:16" ht="15" x14ac:dyDescent="0.25">
      <c r="A41" s="70"/>
      <c r="B41" s="88" t="s">
        <v>40</v>
      </c>
      <c r="C41" s="90" t="s">
        <v>68</v>
      </c>
      <c r="D41" s="77" t="s">
        <v>278</v>
      </c>
      <c r="E41" s="79">
        <v>1</v>
      </c>
      <c r="F41" s="79">
        <f>E41*F40</f>
        <v>5.0940000000000012</v>
      </c>
      <c r="G41" s="78"/>
      <c r="H41" s="75"/>
      <c r="I41" s="75"/>
      <c r="J41" s="75"/>
      <c r="K41" s="75"/>
      <c r="L41" s="75"/>
      <c r="M41" s="75"/>
      <c r="N41" s="210"/>
      <c r="O41" s="210"/>
      <c r="P41" s="210"/>
    </row>
    <row r="42" spans="1:16" ht="15" x14ac:dyDescent="0.25">
      <c r="A42" s="70"/>
      <c r="B42" s="90"/>
      <c r="C42" s="90" t="s">
        <v>75</v>
      </c>
      <c r="D42" s="90" t="s">
        <v>52</v>
      </c>
      <c r="E42" s="79">
        <v>0.92</v>
      </c>
      <c r="F42" s="79">
        <f>E42*F40</f>
        <v>4.6864800000000013</v>
      </c>
      <c r="G42" s="78"/>
      <c r="H42" s="75"/>
      <c r="I42" s="75"/>
      <c r="J42" s="75"/>
      <c r="K42" s="75"/>
      <c r="L42" s="75"/>
      <c r="M42" s="75"/>
      <c r="N42" s="210"/>
      <c r="O42" s="210"/>
      <c r="P42" s="210"/>
    </row>
    <row r="43" spans="1:16" ht="15" x14ac:dyDescent="0.25">
      <c r="A43" s="70"/>
      <c r="B43" s="101"/>
      <c r="C43" s="90" t="s">
        <v>76</v>
      </c>
      <c r="D43" s="73" t="s">
        <v>277</v>
      </c>
      <c r="E43" s="79">
        <v>0.11</v>
      </c>
      <c r="F43" s="79">
        <f>E43*F40</f>
        <v>0.56034000000000017</v>
      </c>
      <c r="G43" s="78"/>
      <c r="H43" s="75"/>
      <c r="I43" s="75"/>
      <c r="J43" s="75"/>
      <c r="K43" s="75"/>
      <c r="L43" s="75"/>
      <c r="M43" s="75"/>
      <c r="N43" s="210"/>
      <c r="O43" s="210"/>
      <c r="P43" s="210"/>
    </row>
    <row r="44" spans="1:16" ht="15" x14ac:dyDescent="0.25">
      <c r="A44" s="70"/>
      <c r="B44" s="101"/>
      <c r="C44" s="90" t="s">
        <v>77</v>
      </c>
      <c r="D44" s="90" t="s">
        <v>78</v>
      </c>
      <c r="E44" s="79">
        <v>65.349999999999994</v>
      </c>
      <c r="F44" s="102">
        <f>F40*E44</f>
        <v>332.89290000000005</v>
      </c>
      <c r="G44" s="100"/>
      <c r="H44" s="75"/>
      <c r="I44" s="75"/>
      <c r="J44" s="75"/>
      <c r="K44" s="75"/>
      <c r="L44" s="75"/>
      <c r="M44" s="75"/>
      <c r="N44" s="210"/>
      <c r="O44" s="210"/>
      <c r="P44" s="210"/>
    </row>
    <row r="45" spans="1:16" ht="15" x14ac:dyDescent="0.25">
      <c r="A45" s="70"/>
      <c r="B45" s="90"/>
      <c r="C45" s="90" t="s">
        <v>79</v>
      </c>
      <c r="D45" s="90" t="s">
        <v>52</v>
      </c>
      <c r="E45" s="79">
        <v>0.16</v>
      </c>
      <c r="F45" s="79">
        <f>E45*F40</f>
        <v>0.81504000000000021</v>
      </c>
      <c r="G45" s="78"/>
      <c r="H45" s="75"/>
      <c r="I45" s="75"/>
      <c r="J45" s="75"/>
      <c r="K45" s="75"/>
      <c r="L45" s="75"/>
      <c r="M45" s="75"/>
      <c r="N45" s="210"/>
      <c r="O45" s="210"/>
      <c r="P45" s="210"/>
    </row>
    <row r="46" spans="1:16" ht="51" x14ac:dyDescent="0.25">
      <c r="A46" s="70" t="s">
        <v>286</v>
      </c>
      <c r="B46" s="71" t="s">
        <v>231</v>
      </c>
      <c r="C46" s="72" t="s">
        <v>80</v>
      </c>
      <c r="D46" s="73" t="s">
        <v>277</v>
      </c>
      <c r="E46" s="74"/>
      <c r="F46" s="74">
        <f>(2.9*2+2.7*2)*0.2*0.2</f>
        <v>0.44799999999999995</v>
      </c>
      <c r="G46" s="75"/>
      <c r="H46" s="103"/>
      <c r="I46" s="75"/>
      <c r="J46" s="75"/>
      <c r="K46" s="75"/>
      <c r="L46" s="75"/>
      <c r="M46" s="75"/>
      <c r="N46" s="210"/>
      <c r="O46" s="210"/>
      <c r="P46" s="210"/>
    </row>
    <row r="47" spans="1:16" ht="15" x14ac:dyDescent="0.25">
      <c r="A47" s="70"/>
      <c r="B47" s="88" t="s">
        <v>40</v>
      </c>
      <c r="C47" s="77" t="s">
        <v>41</v>
      </c>
      <c r="D47" s="77" t="s">
        <v>278</v>
      </c>
      <c r="E47" s="75">
        <v>1</v>
      </c>
      <c r="F47" s="75">
        <f>E47*F46</f>
        <v>0.44799999999999995</v>
      </c>
      <c r="G47" s="75"/>
      <c r="H47" s="75"/>
      <c r="I47" s="78"/>
      <c r="J47" s="75"/>
      <c r="K47" s="75"/>
      <c r="L47" s="75"/>
      <c r="M47" s="75"/>
      <c r="N47" s="210"/>
      <c r="O47" s="210"/>
      <c r="P47" s="210"/>
    </row>
    <row r="48" spans="1:16" ht="15" x14ac:dyDescent="0.25">
      <c r="A48" s="70"/>
      <c r="B48" s="77"/>
      <c r="C48" s="77" t="s">
        <v>81</v>
      </c>
      <c r="D48" s="77" t="s">
        <v>52</v>
      </c>
      <c r="E48" s="75">
        <v>1.06</v>
      </c>
      <c r="F48" s="75">
        <f>E48*F46</f>
        <v>0.47487999999999997</v>
      </c>
      <c r="G48" s="75"/>
      <c r="H48" s="75"/>
      <c r="I48" s="75"/>
      <c r="J48" s="75"/>
      <c r="K48" s="79"/>
      <c r="L48" s="75"/>
      <c r="M48" s="75"/>
      <c r="N48" s="210"/>
      <c r="O48" s="210"/>
      <c r="P48" s="210"/>
    </row>
    <row r="49" spans="1:16" ht="15" x14ac:dyDescent="0.25">
      <c r="A49" s="70"/>
      <c r="B49" s="76"/>
      <c r="C49" s="90" t="s">
        <v>287</v>
      </c>
      <c r="D49" s="73" t="s">
        <v>277</v>
      </c>
      <c r="E49" s="104">
        <v>1.0149999999999999</v>
      </c>
      <c r="F49" s="75">
        <f>F46*E49</f>
        <v>0.4547199999999999</v>
      </c>
      <c r="G49" s="78"/>
      <c r="H49" s="75"/>
      <c r="I49" s="75"/>
      <c r="J49" s="75"/>
      <c r="K49" s="75"/>
      <c r="L49" s="75"/>
      <c r="M49" s="75"/>
      <c r="N49" s="210"/>
      <c r="O49" s="210"/>
      <c r="P49" s="210"/>
    </row>
    <row r="50" spans="1:16" ht="15" x14ac:dyDescent="0.25">
      <c r="A50" s="70"/>
      <c r="B50" s="76"/>
      <c r="C50" s="77" t="s">
        <v>55</v>
      </c>
      <c r="D50" s="105" t="s">
        <v>288</v>
      </c>
      <c r="E50" s="75">
        <v>1.4</v>
      </c>
      <c r="F50" s="75">
        <f>E50*F46</f>
        <v>0.62719999999999987</v>
      </c>
      <c r="G50" s="78"/>
      <c r="H50" s="75"/>
      <c r="I50" s="75"/>
      <c r="J50" s="75"/>
      <c r="K50" s="75"/>
      <c r="L50" s="75"/>
      <c r="M50" s="75"/>
      <c r="N50" s="210"/>
      <c r="O50" s="210"/>
      <c r="P50" s="210"/>
    </row>
    <row r="51" spans="1:16" ht="15" x14ac:dyDescent="0.25">
      <c r="A51" s="70"/>
      <c r="B51" s="76"/>
      <c r="C51" s="86" t="s">
        <v>57</v>
      </c>
      <c r="D51" s="73" t="s">
        <v>277</v>
      </c>
      <c r="E51" s="92">
        <f>1.45/100</f>
        <v>1.4499999999999999E-2</v>
      </c>
      <c r="F51" s="106">
        <f>F46*E51</f>
        <v>6.4959999999999992E-3</v>
      </c>
      <c r="G51" s="78"/>
      <c r="H51" s="75"/>
      <c r="I51" s="75"/>
      <c r="J51" s="75"/>
      <c r="K51" s="75"/>
      <c r="L51" s="75"/>
      <c r="M51" s="75"/>
      <c r="N51" s="210"/>
      <c r="O51" s="210"/>
      <c r="P51" s="210"/>
    </row>
    <row r="52" spans="1:16" ht="25.5" x14ac:dyDescent="0.25">
      <c r="A52" s="70"/>
      <c r="B52" s="77"/>
      <c r="C52" s="86" t="s">
        <v>59</v>
      </c>
      <c r="D52" s="77" t="s">
        <v>58</v>
      </c>
      <c r="E52" s="87" t="s">
        <v>60</v>
      </c>
      <c r="F52" s="75">
        <f>F53*0.25</f>
        <v>10.68</v>
      </c>
      <c r="G52" s="209"/>
      <c r="H52" s="79"/>
      <c r="I52" s="82"/>
      <c r="J52" s="82"/>
      <c r="K52" s="82"/>
      <c r="L52" s="82"/>
      <c r="M52" s="79"/>
      <c r="N52" s="210"/>
      <c r="O52" s="210"/>
      <c r="P52" s="210"/>
    </row>
    <row r="53" spans="1:16" ht="25.5" x14ac:dyDescent="0.25">
      <c r="A53" s="70"/>
      <c r="B53" s="77"/>
      <c r="C53" s="86" t="s">
        <v>61</v>
      </c>
      <c r="D53" s="77" t="s">
        <v>58</v>
      </c>
      <c r="E53" s="87" t="s">
        <v>60</v>
      </c>
      <c r="F53" s="75">
        <f>(2.9*2+3.1*2)*4*0.89</f>
        <v>42.72</v>
      </c>
      <c r="G53" s="209"/>
      <c r="H53" s="79"/>
      <c r="I53" s="82"/>
      <c r="J53" s="82"/>
      <c r="K53" s="82"/>
      <c r="L53" s="82"/>
      <c r="M53" s="79"/>
      <c r="N53" s="210"/>
      <c r="O53" s="210"/>
      <c r="P53" s="210"/>
    </row>
    <row r="54" spans="1:16" ht="15" x14ac:dyDescent="0.25">
      <c r="A54" s="70"/>
      <c r="B54" s="76"/>
      <c r="C54" s="77" t="s">
        <v>62</v>
      </c>
      <c r="D54" s="77" t="s">
        <v>58</v>
      </c>
      <c r="E54" s="75">
        <f>0.25/100*1000</f>
        <v>2.5</v>
      </c>
      <c r="F54" s="75">
        <f>E54*F46</f>
        <v>1.1199999999999999</v>
      </c>
      <c r="G54" s="78"/>
      <c r="H54" s="75"/>
      <c r="I54" s="75"/>
      <c r="J54" s="75"/>
      <c r="K54" s="75"/>
      <c r="L54" s="75"/>
      <c r="M54" s="75"/>
      <c r="N54" s="210"/>
      <c r="O54" s="210"/>
      <c r="P54" s="210"/>
    </row>
    <row r="55" spans="1:16" ht="15" x14ac:dyDescent="0.25">
      <c r="A55" s="70"/>
      <c r="B55" s="76"/>
      <c r="C55" s="77" t="s">
        <v>51</v>
      </c>
      <c r="D55" s="77" t="s">
        <v>52</v>
      </c>
      <c r="E55" s="75">
        <v>0.74</v>
      </c>
      <c r="F55" s="75">
        <f>E55*F46</f>
        <v>0.33151999999999998</v>
      </c>
      <c r="G55" s="75"/>
      <c r="H55" s="75"/>
      <c r="I55" s="75"/>
      <c r="J55" s="75"/>
      <c r="K55" s="75"/>
      <c r="L55" s="75"/>
      <c r="M55" s="75"/>
      <c r="N55" s="210"/>
      <c r="O55" s="210"/>
      <c r="P55" s="210"/>
    </row>
    <row r="56" spans="1:16" ht="38.25" x14ac:dyDescent="0.25">
      <c r="A56" s="70" t="s">
        <v>70</v>
      </c>
      <c r="B56" s="195" t="s">
        <v>230</v>
      </c>
      <c r="C56" s="195" t="s">
        <v>82</v>
      </c>
      <c r="D56" s="73" t="s">
        <v>277</v>
      </c>
      <c r="E56" s="85"/>
      <c r="F56" s="74">
        <f>(4.4*2+4.5*2)*1*0.1+20*1.3*0.1</f>
        <v>4.3800000000000008</v>
      </c>
      <c r="G56" s="85"/>
      <c r="H56" s="79"/>
      <c r="I56" s="85"/>
      <c r="J56" s="79"/>
      <c r="K56" s="79"/>
      <c r="L56" s="79"/>
      <c r="M56" s="85"/>
      <c r="N56" s="210"/>
      <c r="O56" s="210"/>
      <c r="P56" s="210"/>
    </row>
    <row r="57" spans="1:16" ht="15" x14ac:dyDescent="0.25">
      <c r="A57" s="70"/>
      <c r="B57" s="90"/>
      <c r="C57" s="90" t="s">
        <v>65</v>
      </c>
      <c r="D57" s="90" t="s">
        <v>42</v>
      </c>
      <c r="E57" s="79">
        <v>3.52</v>
      </c>
      <c r="F57" s="79">
        <f>E57*F56</f>
        <v>15.417600000000002</v>
      </c>
      <c r="G57" s="79"/>
      <c r="H57" s="79"/>
      <c r="I57" s="78"/>
      <c r="J57" s="79"/>
      <c r="K57" s="79"/>
      <c r="L57" s="79"/>
      <c r="M57" s="79"/>
      <c r="N57" s="210"/>
      <c r="O57" s="210"/>
      <c r="P57" s="210"/>
    </row>
    <row r="58" spans="1:16" ht="15" x14ac:dyDescent="0.25">
      <c r="A58" s="70"/>
      <c r="B58" s="90"/>
      <c r="C58" s="90" t="s">
        <v>66</v>
      </c>
      <c r="D58" s="90" t="s">
        <v>52</v>
      </c>
      <c r="E58" s="79">
        <v>1.06</v>
      </c>
      <c r="F58" s="79">
        <f>E58*F56</f>
        <v>4.6428000000000011</v>
      </c>
      <c r="G58" s="79"/>
      <c r="H58" s="79"/>
      <c r="I58" s="79"/>
      <c r="J58" s="79"/>
      <c r="K58" s="79"/>
      <c r="L58" s="79"/>
      <c r="M58" s="79"/>
      <c r="N58" s="210"/>
      <c r="O58" s="210"/>
      <c r="P58" s="210"/>
    </row>
    <row r="59" spans="1:16" ht="15" x14ac:dyDescent="0.25">
      <c r="A59" s="70"/>
      <c r="B59" s="90"/>
      <c r="C59" s="90" t="s">
        <v>50</v>
      </c>
      <c r="D59" s="73" t="s">
        <v>277</v>
      </c>
      <c r="E59" s="79">
        <v>1.24</v>
      </c>
      <c r="F59" s="79">
        <f>E59*F56</f>
        <v>5.4312000000000014</v>
      </c>
      <c r="G59" s="82"/>
      <c r="H59" s="79"/>
      <c r="I59" s="79"/>
      <c r="J59" s="79"/>
      <c r="K59" s="79"/>
      <c r="L59" s="79"/>
      <c r="M59" s="79"/>
      <c r="N59" s="210"/>
      <c r="O59" s="210"/>
      <c r="P59" s="210"/>
    </row>
    <row r="60" spans="1:16" ht="15" x14ac:dyDescent="0.25">
      <c r="A60" s="70"/>
      <c r="B60" s="90"/>
      <c r="C60" s="90" t="s">
        <v>67</v>
      </c>
      <c r="D60" s="90" t="s">
        <v>52</v>
      </c>
      <c r="E60" s="79">
        <v>0.02</v>
      </c>
      <c r="F60" s="79">
        <f>E60*F56</f>
        <v>8.7600000000000011E-2</v>
      </c>
      <c r="G60" s="79"/>
      <c r="H60" s="79"/>
      <c r="I60" s="79"/>
      <c r="J60" s="79"/>
      <c r="K60" s="79"/>
      <c r="L60" s="79"/>
      <c r="M60" s="79"/>
      <c r="N60" s="210"/>
      <c r="O60" s="210"/>
      <c r="P60" s="210"/>
    </row>
    <row r="61" spans="1:16" ht="38.25" x14ac:dyDescent="0.25">
      <c r="A61" s="70" t="s">
        <v>71</v>
      </c>
      <c r="B61" s="80" t="s">
        <v>229</v>
      </c>
      <c r="C61" s="105" t="s">
        <v>83</v>
      </c>
      <c r="D61" s="73" t="s">
        <v>277</v>
      </c>
      <c r="E61" s="85"/>
      <c r="F61" s="74">
        <f>(4.4*2+4.5*2)*1*0.1+20*1.3*0.1</f>
        <v>4.3800000000000008</v>
      </c>
      <c r="G61" s="85"/>
      <c r="H61" s="79"/>
      <c r="I61" s="79"/>
      <c r="J61" s="79"/>
      <c r="K61" s="79"/>
      <c r="L61" s="79"/>
      <c r="M61" s="85"/>
      <c r="N61" s="210"/>
      <c r="O61" s="210"/>
      <c r="P61" s="210"/>
    </row>
    <row r="62" spans="1:16" ht="15" x14ac:dyDescent="0.25">
      <c r="A62" s="70"/>
      <c r="B62" s="88" t="s">
        <v>40</v>
      </c>
      <c r="C62" s="90" t="s">
        <v>68</v>
      </c>
      <c r="D62" s="77" t="s">
        <v>278</v>
      </c>
      <c r="E62" s="79">
        <v>1</v>
      </c>
      <c r="F62" s="79">
        <f>E62*F61</f>
        <v>4.3800000000000008</v>
      </c>
      <c r="G62" s="79"/>
      <c r="H62" s="79"/>
      <c r="I62" s="78"/>
      <c r="J62" s="79"/>
      <c r="K62" s="79"/>
      <c r="L62" s="79"/>
      <c r="M62" s="79"/>
      <c r="N62" s="210"/>
      <c r="O62" s="210"/>
      <c r="P62" s="210"/>
    </row>
    <row r="63" spans="1:16" ht="15" x14ac:dyDescent="0.25">
      <c r="A63" s="70"/>
      <c r="B63" s="90"/>
      <c r="C63" s="86" t="s">
        <v>54</v>
      </c>
      <c r="D63" s="86" t="s">
        <v>52</v>
      </c>
      <c r="E63" s="87">
        <v>1.08</v>
      </c>
      <c r="F63" s="78">
        <f>F61*E63</f>
        <v>4.7304000000000013</v>
      </c>
      <c r="G63" s="78"/>
      <c r="H63" s="78"/>
      <c r="I63" s="78"/>
      <c r="J63" s="78"/>
      <c r="K63" s="79"/>
      <c r="L63" s="89"/>
      <c r="M63" s="89"/>
      <c r="N63" s="210"/>
      <c r="O63" s="210"/>
      <c r="P63" s="210"/>
    </row>
    <row r="64" spans="1:16" ht="15" x14ac:dyDescent="0.25">
      <c r="A64" s="70"/>
      <c r="B64" s="90"/>
      <c r="C64" s="90" t="s">
        <v>285</v>
      </c>
      <c r="D64" s="73" t="s">
        <v>277</v>
      </c>
      <c r="E64" s="79">
        <v>1.02</v>
      </c>
      <c r="F64" s="79">
        <f>F61*E64</f>
        <v>4.4676000000000009</v>
      </c>
      <c r="G64" s="79"/>
      <c r="H64" s="79"/>
      <c r="I64" s="79"/>
      <c r="J64" s="79"/>
      <c r="K64" s="79"/>
      <c r="L64" s="79"/>
      <c r="M64" s="79"/>
      <c r="N64" s="210"/>
      <c r="O64" s="210"/>
      <c r="P64" s="210"/>
    </row>
    <row r="65" spans="1:16" ht="25.5" x14ac:dyDescent="0.25">
      <c r="A65" s="70"/>
      <c r="B65" s="90"/>
      <c r="C65" s="86" t="s">
        <v>69</v>
      </c>
      <c r="D65" s="86" t="s">
        <v>58</v>
      </c>
      <c r="E65" s="87" t="s">
        <v>60</v>
      </c>
      <c r="F65" s="107">
        <f>1.3/0.15*9*2+20/0.15*1*2</f>
        <v>422.66666666666674</v>
      </c>
      <c r="G65" s="191"/>
      <c r="H65" s="79"/>
      <c r="I65" s="79"/>
      <c r="J65" s="79"/>
      <c r="K65" s="79"/>
      <c r="L65" s="79"/>
      <c r="M65" s="79"/>
      <c r="N65" s="210"/>
      <c r="O65" s="210"/>
      <c r="P65" s="210"/>
    </row>
    <row r="66" spans="1:16" ht="25.5" x14ac:dyDescent="0.25">
      <c r="A66" s="70"/>
      <c r="B66" s="90"/>
      <c r="C66" s="86" t="s">
        <v>217</v>
      </c>
      <c r="D66" s="105" t="s">
        <v>288</v>
      </c>
      <c r="E66" s="87" t="s">
        <v>60</v>
      </c>
      <c r="F66" s="78">
        <f>18*0.2+20*2*0.2</f>
        <v>11.6</v>
      </c>
      <c r="G66" s="78"/>
      <c r="H66" s="89"/>
      <c r="I66" s="78"/>
      <c r="J66" s="78"/>
      <c r="K66" s="78"/>
      <c r="L66" s="78"/>
      <c r="M66" s="89"/>
      <c r="N66" s="210"/>
      <c r="O66" s="210"/>
      <c r="P66" s="210"/>
    </row>
    <row r="67" spans="1:16" ht="15" x14ac:dyDescent="0.25">
      <c r="A67" s="70"/>
      <c r="B67" s="90"/>
      <c r="C67" s="86" t="s">
        <v>57</v>
      </c>
      <c r="D67" s="73" t="s">
        <v>277</v>
      </c>
      <c r="E67" s="92">
        <f>0.17/100</f>
        <v>1.7000000000000001E-3</v>
      </c>
      <c r="F67" s="100">
        <f>F61*E67</f>
        <v>7.4460000000000021E-3</v>
      </c>
      <c r="G67" s="78"/>
      <c r="H67" s="89"/>
      <c r="I67" s="78"/>
      <c r="J67" s="78"/>
      <c r="K67" s="78"/>
      <c r="L67" s="78"/>
      <c r="M67" s="89"/>
      <c r="N67" s="210"/>
      <c r="O67" s="210"/>
      <c r="P67" s="210"/>
    </row>
    <row r="68" spans="1:16" ht="15" x14ac:dyDescent="0.25">
      <c r="A68" s="70"/>
      <c r="B68" s="90"/>
      <c r="C68" s="90" t="s">
        <v>67</v>
      </c>
      <c r="D68" s="90" t="s">
        <v>52</v>
      </c>
      <c r="E68" s="79">
        <v>0.22</v>
      </c>
      <c r="F68" s="79">
        <f>E68*F61</f>
        <v>0.96360000000000012</v>
      </c>
      <c r="G68" s="79"/>
      <c r="H68" s="79"/>
      <c r="I68" s="79"/>
      <c r="J68" s="79"/>
      <c r="K68" s="79"/>
      <c r="L68" s="79"/>
      <c r="M68" s="79"/>
      <c r="N68" s="210"/>
      <c r="O68" s="210"/>
      <c r="P68" s="210"/>
    </row>
    <row r="69" spans="1:16" ht="38.25" x14ac:dyDescent="0.25">
      <c r="A69" s="108">
        <v>10</v>
      </c>
      <c r="B69" s="70" t="s">
        <v>228</v>
      </c>
      <c r="C69" s="109" t="s">
        <v>84</v>
      </c>
      <c r="D69" s="105" t="s">
        <v>288</v>
      </c>
      <c r="E69" s="108"/>
      <c r="F69" s="81">
        <f>0.5*0.6*2</f>
        <v>0.6</v>
      </c>
      <c r="G69" s="82"/>
      <c r="H69" s="82"/>
      <c r="I69" s="82"/>
      <c r="J69" s="82"/>
      <c r="K69" s="82"/>
      <c r="L69" s="82"/>
      <c r="M69" s="82"/>
      <c r="N69" s="210"/>
      <c r="O69" s="210"/>
      <c r="P69" s="210"/>
    </row>
    <row r="70" spans="1:16" ht="15" x14ac:dyDescent="0.25">
      <c r="A70" s="110"/>
      <c r="B70" s="111"/>
      <c r="C70" s="111" t="s">
        <v>85</v>
      </c>
      <c r="D70" s="111" t="s">
        <v>42</v>
      </c>
      <c r="E70" s="111">
        <v>1.1200000000000001</v>
      </c>
      <c r="F70" s="78">
        <f>F69*E70</f>
        <v>0.67200000000000004</v>
      </c>
      <c r="G70" s="78"/>
      <c r="H70" s="78"/>
      <c r="I70" s="78"/>
      <c r="J70" s="75"/>
      <c r="K70" s="78"/>
      <c r="L70" s="75"/>
      <c r="M70" s="75"/>
      <c r="N70" s="210"/>
      <c r="O70" s="210"/>
      <c r="P70" s="210"/>
    </row>
    <row r="71" spans="1:16" ht="15" x14ac:dyDescent="0.25">
      <c r="A71" s="110"/>
      <c r="B71" s="111"/>
      <c r="C71" s="111" t="s">
        <v>45</v>
      </c>
      <c r="D71" s="111" t="s">
        <v>52</v>
      </c>
      <c r="E71" s="111">
        <v>0.52800000000000002</v>
      </c>
      <c r="F71" s="78">
        <f>F69*E71</f>
        <v>0.31680000000000003</v>
      </c>
      <c r="G71" s="78"/>
      <c r="H71" s="78"/>
      <c r="I71" s="78"/>
      <c r="J71" s="78"/>
      <c r="K71" s="79"/>
      <c r="L71" s="75"/>
      <c r="M71" s="75"/>
      <c r="N71" s="210"/>
      <c r="O71" s="210"/>
      <c r="P71" s="210"/>
    </row>
    <row r="72" spans="1:16" ht="25.5" x14ac:dyDescent="0.25">
      <c r="A72" s="110"/>
      <c r="B72" s="112"/>
      <c r="C72" s="111" t="s">
        <v>86</v>
      </c>
      <c r="D72" s="105" t="s">
        <v>288</v>
      </c>
      <c r="E72" s="111">
        <v>1</v>
      </c>
      <c r="F72" s="78">
        <f>F69*E72</f>
        <v>0.6</v>
      </c>
      <c r="G72" s="113"/>
      <c r="H72" s="75"/>
      <c r="I72" s="78"/>
      <c r="J72" s="78"/>
      <c r="K72" s="78"/>
      <c r="L72" s="78"/>
      <c r="M72" s="75"/>
      <c r="N72" s="210"/>
      <c r="O72" s="210"/>
      <c r="P72" s="210"/>
    </row>
    <row r="73" spans="1:16" ht="15" x14ac:dyDescent="0.25">
      <c r="A73" s="110"/>
      <c r="B73" s="111"/>
      <c r="C73" s="111" t="s">
        <v>87</v>
      </c>
      <c r="D73" s="111" t="s">
        <v>52</v>
      </c>
      <c r="E73" s="111">
        <v>5.3999999999999999E-2</v>
      </c>
      <c r="F73" s="78">
        <f>F69*E73</f>
        <v>3.2399999999999998E-2</v>
      </c>
      <c r="G73" s="113"/>
      <c r="H73" s="75"/>
      <c r="I73" s="78"/>
      <c r="J73" s="78"/>
      <c r="K73" s="78"/>
      <c r="L73" s="78"/>
      <c r="M73" s="75"/>
      <c r="N73" s="210"/>
      <c r="O73" s="210"/>
      <c r="P73" s="210"/>
    </row>
    <row r="74" spans="1:16" ht="38.25" x14ac:dyDescent="0.25">
      <c r="A74" s="70" t="s">
        <v>236</v>
      </c>
      <c r="B74" s="70" t="s">
        <v>227</v>
      </c>
      <c r="C74" s="114" t="s">
        <v>89</v>
      </c>
      <c r="D74" s="105" t="s">
        <v>288</v>
      </c>
      <c r="E74" s="115"/>
      <c r="F74" s="116">
        <f>2.1*0.9</f>
        <v>1.8900000000000001</v>
      </c>
      <c r="G74" s="113"/>
      <c r="H74" s="75"/>
      <c r="I74" s="78"/>
      <c r="J74" s="78"/>
      <c r="K74" s="78"/>
      <c r="L74" s="78"/>
      <c r="M74" s="75"/>
      <c r="N74" s="210"/>
      <c r="O74" s="210"/>
      <c r="P74" s="210"/>
    </row>
    <row r="75" spans="1:16" ht="15" x14ac:dyDescent="0.25">
      <c r="A75" s="70"/>
      <c r="B75" s="117" t="s">
        <v>40</v>
      </c>
      <c r="C75" s="118" t="s">
        <v>41</v>
      </c>
      <c r="D75" s="105" t="s">
        <v>288</v>
      </c>
      <c r="E75" s="115">
        <v>1</v>
      </c>
      <c r="F75" s="100">
        <f>F74*E75</f>
        <v>1.8900000000000001</v>
      </c>
      <c r="G75" s="113"/>
      <c r="H75" s="75"/>
      <c r="I75" s="78"/>
      <c r="J75" s="75"/>
      <c r="K75" s="78"/>
      <c r="L75" s="78"/>
      <c r="M75" s="75"/>
      <c r="N75" s="210"/>
      <c r="O75" s="210"/>
      <c r="P75" s="210"/>
    </row>
    <row r="76" spans="1:16" ht="15" x14ac:dyDescent="0.25">
      <c r="A76" s="70"/>
      <c r="B76" s="119"/>
      <c r="C76" s="118" t="s">
        <v>54</v>
      </c>
      <c r="D76" s="86" t="s">
        <v>52</v>
      </c>
      <c r="E76" s="115">
        <v>0.51600000000000001</v>
      </c>
      <c r="F76" s="100">
        <f>F74*E76</f>
        <v>0.97524000000000011</v>
      </c>
      <c r="G76" s="113"/>
      <c r="H76" s="75"/>
      <c r="I76" s="78"/>
      <c r="J76" s="78"/>
      <c r="K76" s="78"/>
      <c r="L76" s="75"/>
      <c r="M76" s="75"/>
      <c r="N76" s="210"/>
      <c r="O76" s="210"/>
      <c r="P76" s="210"/>
    </row>
    <row r="77" spans="1:16" ht="15" x14ac:dyDescent="0.25">
      <c r="A77" s="70"/>
      <c r="B77" s="119"/>
      <c r="C77" s="118" t="s">
        <v>90</v>
      </c>
      <c r="D77" s="105" t="s">
        <v>288</v>
      </c>
      <c r="E77" s="115">
        <v>1</v>
      </c>
      <c r="F77" s="100">
        <f>F74*E77</f>
        <v>1.8900000000000001</v>
      </c>
      <c r="G77" s="113"/>
      <c r="H77" s="75"/>
      <c r="I77" s="78"/>
      <c r="J77" s="78"/>
      <c r="K77" s="78"/>
      <c r="L77" s="78"/>
      <c r="M77" s="75"/>
      <c r="N77" s="210"/>
      <c r="O77" s="210"/>
      <c r="P77" s="210"/>
    </row>
    <row r="78" spans="1:16" ht="25.5" x14ac:dyDescent="0.25">
      <c r="A78" s="70"/>
      <c r="B78" s="119"/>
      <c r="C78" s="118" t="s">
        <v>271</v>
      </c>
      <c r="D78" s="105" t="s">
        <v>289</v>
      </c>
      <c r="E78" s="115" t="s">
        <v>60</v>
      </c>
      <c r="F78" s="100">
        <v>1</v>
      </c>
      <c r="G78" s="113"/>
      <c r="H78" s="75"/>
      <c r="I78" s="78"/>
      <c r="J78" s="78"/>
      <c r="K78" s="78"/>
      <c r="L78" s="78"/>
      <c r="M78" s="75"/>
      <c r="N78" s="210"/>
      <c r="O78" s="210"/>
      <c r="P78" s="210"/>
    </row>
    <row r="79" spans="1:16" ht="25.5" x14ac:dyDescent="0.25">
      <c r="A79" s="70"/>
      <c r="B79" s="119"/>
      <c r="C79" s="118" t="s">
        <v>272</v>
      </c>
      <c r="D79" s="105" t="s">
        <v>78</v>
      </c>
      <c r="E79" s="115" t="s">
        <v>60</v>
      </c>
      <c r="F79" s="100">
        <v>2</v>
      </c>
      <c r="G79" s="113"/>
      <c r="H79" s="75"/>
      <c r="I79" s="78"/>
      <c r="J79" s="78"/>
      <c r="K79" s="78"/>
      <c r="L79" s="78"/>
      <c r="M79" s="75"/>
      <c r="N79" s="210"/>
      <c r="O79" s="210"/>
      <c r="P79" s="210"/>
    </row>
    <row r="80" spans="1:16" ht="15" x14ac:dyDescent="0.25">
      <c r="A80" s="70"/>
      <c r="B80" s="119"/>
      <c r="C80" s="120" t="s">
        <v>91</v>
      </c>
      <c r="D80" s="90" t="s">
        <v>58</v>
      </c>
      <c r="E80" s="115">
        <v>1.05</v>
      </c>
      <c r="F80" s="100">
        <f>F74*E80</f>
        <v>1.9845000000000002</v>
      </c>
      <c r="G80" s="113"/>
      <c r="H80" s="75"/>
      <c r="I80" s="78"/>
      <c r="J80" s="78"/>
      <c r="K80" s="78"/>
      <c r="L80" s="78"/>
      <c r="M80" s="75"/>
      <c r="N80" s="210"/>
      <c r="O80" s="210"/>
      <c r="P80" s="210"/>
    </row>
    <row r="81" spans="1:16" ht="15" x14ac:dyDescent="0.25">
      <c r="A81" s="70"/>
      <c r="B81" s="119"/>
      <c r="C81" s="120" t="s">
        <v>92</v>
      </c>
      <c r="D81" s="90" t="s">
        <v>58</v>
      </c>
      <c r="E81" s="115">
        <f>E80/2</f>
        <v>0.52500000000000002</v>
      </c>
      <c r="F81" s="100">
        <f>F74*E81</f>
        <v>0.99225000000000008</v>
      </c>
      <c r="G81" s="113"/>
      <c r="H81" s="75"/>
      <c r="I81" s="78"/>
      <c r="J81" s="78"/>
      <c r="K81" s="78"/>
      <c r="L81" s="78"/>
      <c r="M81" s="75"/>
      <c r="N81" s="210"/>
      <c r="O81" s="210"/>
      <c r="P81" s="210"/>
    </row>
    <row r="82" spans="1:16" ht="15" x14ac:dyDescent="0.25">
      <c r="A82" s="70"/>
      <c r="B82" s="119"/>
      <c r="C82" s="118" t="s">
        <v>51</v>
      </c>
      <c r="D82" s="86" t="s">
        <v>52</v>
      </c>
      <c r="E82" s="115">
        <v>5.3999999999999999E-2</v>
      </c>
      <c r="F82" s="100">
        <f>F74*E82</f>
        <v>0.10206000000000001</v>
      </c>
      <c r="G82" s="113"/>
      <c r="H82" s="75"/>
      <c r="I82" s="78"/>
      <c r="J82" s="78"/>
      <c r="K82" s="78"/>
      <c r="L82" s="78"/>
      <c r="M82" s="75"/>
      <c r="N82" s="210"/>
      <c r="O82" s="210"/>
      <c r="P82" s="210"/>
    </row>
    <row r="83" spans="1:16" ht="38.25" x14ac:dyDescent="0.25">
      <c r="A83" s="70" t="s">
        <v>290</v>
      </c>
      <c r="B83" s="70" t="s">
        <v>291</v>
      </c>
      <c r="C83" s="121" t="s">
        <v>94</v>
      </c>
      <c r="D83" s="105" t="s">
        <v>288</v>
      </c>
      <c r="E83" s="122"/>
      <c r="F83" s="123">
        <f>(2.9*2+3.1*2)*2.4+(2*2+2.5*2)*2.3-F69*2-F74</f>
        <v>46.41</v>
      </c>
      <c r="G83" s="79"/>
      <c r="H83" s="85"/>
      <c r="I83" s="79"/>
      <c r="J83" s="79"/>
      <c r="K83" s="79"/>
      <c r="L83" s="79"/>
      <c r="M83" s="79"/>
      <c r="N83" s="210"/>
      <c r="O83" s="210"/>
      <c r="P83" s="210"/>
    </row>
    <row r="84" spans="1:16" ht="15" x14ac:dyDescent="0.25">
      <c r="A84" s="70"/>
      <c r="B84" s="88" t="s">
        <v>40</v>
      </c>
      <c r="C84" s="124" t="s">
        <v>41</v>
      </c>
      <c r="D84" s="86" t="s">
        <v>282</v>
      </c>
      <c r="E84" s="87">
        <v>1</v>
      </c>
      <c r="F84" s="78">
        <f>F83*E84</f>
        <v>46.41</v>
      </c>
      <c r="G84" s="79"/>
      <c r="H84" s="85"/>
      <c r="I84" s="79"/>
      <c r="J84" s="75"/>
      <c r="K84" s="79"/>
      <c r="L84" s="79"/>
      <c r="M84" s="75"/>
      <c r="N84" s="210"/>
      <c r="O84" s="210"/>
      <c r="P84" s="210"/>
    </row>
    <row r="85" spans="1:16" ht="15" x14ac:dyDescent="0.25">
      <c r="A85" s="70"/>
      <c r="B85" s="125"/>
      <c r="C85" s="124" t="s">
        <v>95</v>
      </c>
      <c r="D85" s="86" t="s">
        <v>43</v>
      </c>
      <c r="E85" s="91">
        <f>4.1/100</f>
        <v>4.0999999999999995E-2</v>
      </c>
      <c r="F85" s="78">
        <f>F83*E85</f>
        <v>1.9028099999999997</v>
      </c>
      <c r="G85" s="79"/>
      <c r="H85" s="85"/>
      <c r="I85" s="79"/>
      <c r="J85" s="79"/>
      <c r="K85" s="79"/>
      <c r="L85" s="75"/>
      <c r="M85" s="75"/>
      <c r="N85" s="210"/>
      <c r="O85" s="210"/>
      <c r="P85" s="210"/>
    </row>
    <row r="86" spans="1:16" ht="15" x14ac:dyDescent="0.25">
      <c r="A86" s="70"/>
      <c r="B86" s="125"/>
      <c r="C86" s="124" t="s">
        <v>54</v>
      </c>
      <c r="D86" s="86" t="s">
        <v>52</v>
      </c>
      <c r="E86" s="91">
        <v>2.7E-2</v>
      </c>
      <c r="F86" s="78">
        <f>F83*E86</f>
        <v>1.2530699999999999</v>
      </c>
      <c r="G86" s="79"/>
      <c r="H86" s="85"/>
      <c r="I86" s="79"/>
      <c r="J86" s="79"/>
      <c r="K86" s="79"/>
      <c r="L86" s="75"/>
      <c r="M86" s="75"/>
      <c r="N86" s="210"/>
      <c r="O86" s="210"/>
      <c r="P86" s="210"/>
    </row>
    <row r="87" spans="1:16" ht="15" x14ac:dyDescent="0.25">
      <c r="A87" s="70"/>
      <c r="B87" s="125"/>
      <c r="C87" s="124" t="s">
        <v>292</v>
      </c>
      <c r="D87" s="73" t="s">
        <v>277</v>
      </c>
      <c r="E87" s="92">
        <f>2.12/100</f>
        <v>2.12E-2</v>
      </c>
      <c r="F87" s="78">
        <f>F83*E87</f>
        <v>0.98389199999999988</v>
      </c>
      <c r="G87" s="79"/>
      <c r="H87" s="75"/>
      <c r="I87" s="79"/>
      <c r="J87" s="79"/>
      <c r="K87" s="79"/>
      <c r="L87" s="79"/>
      <c r="M87" s="75"/>
      <c r="N87" s="210"/>
      <c r="O87" s="210"/>
      <c r="P87" s="210"/>
    </row>
    <row r="88" spans="1:16" ht="15" x14ac:dyDescent="0.25">
      <c r="A88" s="70"/>
      <c r="B88" s="125"/>
      <c r="C88" s="118" t="s">
        <v>51</v>
      </c>
      <c r="D88" s="86" t="s">
        <v>52</v>
      </c>
      <c r="E88" s="115">
        <f>0.3/100</f>
        <v>3.0000000000000001E-3</v>
      </c>
      <c r="F88" s="100">
        <f>F80*E88</f>
        <v>5.9535000000000005E-3</v>
      </c>
      <c r="G88" s="113"/>
      <c r="H88" s="75"/>
      <c r="I88" s="78"/>
      <c r="J88" s="78"/>
      <c r="K88" s="78"/>
      <c r="L88" s="78"/>
      <c r="M88" s="75"/>
      <c r="N88" s="210"/>
      <c r="O88" s="210"/>
      <c r="P88" s="210"/>
    </row>
    <row r="89" spans="1:16" ht="38.25" x14ac:dyDescent="0.25">
      <c r="A89" s="70" t="s">
        <v>237</v>
      </c>
      <c r="B89" s="70" t="s">
        <v>226</v>
      </c>
      <c r="C89" s="195" t="s">
        <v>97</v>
      </c>
      <c r="D89" s="126" t="s">
        <v>98</v>
      </c>
      <c r="E89" s="81"/>
      <c r="F89" s="81">
        <f>(2.1*4+0.9*2+0.5*4+0.6*4)</f>
        <v>14.600000000000001</v>
      </c>
      <c r="G89" s="75"/>
      <c r="H89" s="75"/>
      <c r="I89" s="78"/>
      <c r="J89" s="78"/>
      <c r="K89" s="78"/>
      <c r="L89" s="78"/>
      <c r="M89" s="75"/>
      <c r="N89" s="210"/>
      <c r="O89" s="210"/>
      <c r="P89" s="210"/>
    </row>
    <row r="90" spans="1:16" ht="15" x14ac:dyDescent="0.25">
      <c r="A90" s="70"/>
      <c r="B90" s="88" t="s">
        <v>40</v>
      </c>
      <c r="C90" s="90" t="s">
        <v>65</v>
      </c>
      <c r="D90" s="126" t="s">
        <v>98</v>
      </c>
      <c r="E90" s="82">
        <v>1</v>
      </c>
      <c r="F90" s="82">
        <f>F89*E90</f>
        <v>14.600000000000001</v>
      </c>
      <c r="G90" s="75"/>
      <c r="H90" s="75"/>
      <c r="I90" s="78"/>
      <c r="J90" s="75"/>
      <c r="K90" s="78"/>
      <c r="L90" s="78"/>
      <c r="M90" s="75"/>
      <c r="N90" s="210"/>
      <c r="O90" s="210"/>
      <c r="P90" s="210"/>
    </row>
    <row r="91" spans="1:16" ht="15" x14ac:dyDescent="0.25">
      <c r="A91" s="70"/>
      <c r="B91" s="101"/>
      <c r="C91" s="90" t="s">
        <v>81</v>
      </c>
      <c r="D91" s="83" t="s">
        <v>52</v>
      </c>
      <c r="E91" s="127">
        <v>1.0999999999999999E-2</v>
      </c>
      <c r="F91" s="82">
        <f>E91*F89</f>
        <v>0.16059999999999999</v>
      </c>
      <c r="G91" s="75"/>
      <c r="H91" s="75"/>
      <c r="I91" s="78"/>
      <c r="J91" s="78"/>
      <c r="K91" s="78"/>
      <c r="L91" s="75"/>
      <c r="M91" s="75"/>
      <c r="N91" s="210"/>
      <c r="O91" s="210"/>
      <c r="P91" s="210"/>
    </row>
    <row r="92" spans="1:16" ht="15" x14ac:dyDescent="0.25">
      <c r="A92" s="70"/>
      <c r="B92" s="101"/>
      <c r="C92" s="90" t="s">
        <v>99</v>
      </c>
      <c r="D92" s="73" t="s">
        <v>277</v>
      </c>
      <c r="E92" s="128">
        <v>6.7000000000000002E-3</v>
      </c>
      <c r="F92" s="82">
        <f>E92*F89</f>
        <v>9.7820000000000018E-2</v>
      </c>
      <c r="G92" s="75"/>
      <c r="H92" s="75"/>
      <c r="I92" s="78"/>
      <c r="J92" s="78"/>
      <c r="K92" s="78"/>
      <c r="L92" s="75"/>
      <c r="M92" s="75"/>
      <c r="N92" s="210"/>
      <c r="O92" s="210"/>
      <c r="P92" s="210"/>
    </row>
    <row r="93" spans="1:16" ht="38.25" x14ac:dyDescent="0.25">
      <c r="A93" s="70" t="s">
        <v>88</v>
      </c>
      <c r="B93" s="80" t="s">
        <v>225</v>
      </c>
      <c r="C93" s="121" t="s">
        <v>293</v>
      </c>
      <c r="D93" s="105" t="s">
        <v>288</v>
      </c>
      <c r="E93" s="122"/>
      <c r="F93" s="123">
        <f>(2.9*2+3.1*2)*2.4+(2*2+2.5*2)*2.3-F69*2-F74*2+F89*0.1</f>
        <v>45.98</v>
      </c>
      <c r="G93" s="79"/>
      <c r="H93" s="75"/>
      <c r="I93" s="79"/>
      <c r="J93" s="79"/>
      <c r="K93" s="79"/>
      <c r="L93" s="79"/>
      <c r="M93" s="75"/>
      <c r="N93" s="210"/>
      <c r="O93" s="210"/>
      <c r="P93" s="210"/>
    </row>
    <row r="94" spans="1:16" ht="15" x14ac:dyDescent="0.25">
      <c r="A94" s="70"/>
      <c r="B94" s="88"/>
      <c r="C94" s="124" t="s">
        <v>41</v>
      </c>
      <c r="D94" s="129" t="s">
        <v>42</v>
      </c>
      <c r="E94" s="91">
        <v>0.65800000000000003</v>
      </c>
      <c r="F94" s="78">
        <f>F93*E94</f>
        <v>30.254839999999998</v>
      </c>
      <c r="G94" s="79"/>
      <c r="H94" s="75"/>
      <c r="I94" s="79"/>
      <c r="J94" s="75"/>
      <c r="K94" s="79"/>
      <c r="L94" s="79"/>
      <c r="M94" s="75"/>
      <c r="N94" s="210"/>
      <c r="O94" s="210"/>
      <c r="P94" s="210"/>
    </row>
    <row r="95" spans="1:16" ht="15" x14ac:dyDescent="0.25">
      <c r="A95" s="70"/>
      <c r="B95" s="88"/>
      <c r="C95" s="130" t="s">
        <v>54</v>
      </c>
      <c r="D95" s="86" t="s">
        <v>52</v>
      </c>
      <c r="E95" s="122">
        <v>8.9999999999999993E-3</v>
      </c>
      <c r="F95" s="78">
        <f>F93*E95</f>
        <v>0.41381999999999997</v>
      </c>
      <c r="G95" s="79"/>
      <c r="H95" s="75"/>
      <c r="I95" s="79"/>
      <c r="J95" s="79"/>
      <c r="K95" s="79"/>
      <c r="L95" s="75"/>
      <c r="M95" s="75"/>
      <c r="N95" s="210"/>
      <c r="O95" s="210"/>
      <c r="P95" s="210"/>
    </row>
    <row r="96" spans="1:16" ht="15" x14ac:dyDescent="0.25">
      <c r="A96" s="70"/>
      <c r="B96" s="88"/>
      <c r="C96" s="130" t="s">
        <v>102</v>
      </c>
      <c r="D96" s="129" t="s">
        <v>58</v>
      </c>
      <c r="E96" s="122">
        <v>0.63</v>
      </c>
      <c r="F96" s="78">
        <f>F93*E96</f>
        <v>28.967399999999998</v>
      </c>
      <c r="G96" s="79"/>
      <c r="H96" s="75"/>
      <c r="I96" s="79"/>
      <c r="J96" s="79"/>
      <c r="K96" s="79"/>
      <c r="L96" s="79"/>
      <c r="M96" s="75"/>
      <c r="N96" s="210"/>
      <c r="O96" s="210"/>
      <c r="P96" s="210"/>
    </row>
    <row r="97" spans="1:16" ht="15" x14ac:dyDescent="0.25">
      <c r="A97" s="70"/>
      <c r="B97" s="88"/>
      <c r="C97" s="130" t="s">
        <v>103</v>
      </c>
      <c r="D97" s="129" t="s">
        <v>58</v>
      </c>
      <c r="E97" s="131">
        <v>0.79</v>
      </c>
      <c r="F97" s="78">
        <f>F93*E97</f>
        <v>36.324199999999998</v>
      </c>
      <c r="G97" s="79"/>
      <c r="H97" s="75"/>
      <c r="I97" s="79"/>
      <c r="J97" s="79"/>
      <c r="K97" s="79"/>
      <c r="L97" s="79"/>
      <c r="M97" s="75"/>
      <c r="N97" s="210"/>
      <c r="O97" s="210"/>
      <c r="P97" s="210"/>
    </row>
    <row r="98" spans="1:16" ht="15" x14ac:dyDescent="0.25">
      <c r="A98" s="70"/>
      <c r="B98" s="88"/>
      <c r="C98" s="130" t="s">
        <v>51</v>
      </c>
      <c r="D98" s="86" t="s">
        <v>52</v>
      </c>
      <c r="E98" s="122">
        <v>7.0000000000000001E-3</v>
      </c>
      <c r="F98" s="78">
        <f>F93*E98</f>
        <v>0.32185999999999998</v>
      </c>
      <c r="G98" s="79"/>
      <c r="H98" s="75"/>
      <c r="I98" s="79"/>
      <c r="J98" s="79"/>
      <c r="K98" s="79"/>
      <c r="L98" s="79"/>
      <c r="M98" s="75"/>
      <c r="N98" s="210"/>
      <c r="O98" s="210"/>
      <c r="P98" s="210"/>
    </row>
    <row r="99" spans="1:16" ht="51" x14ac:dyDescent="0.25">
      <c r="A99" s="70" t="s">
        <v>93</v>
      </c>
      <c r="B99" s="117" t="s">
        <v>224</v>
      </c>
      <c r="C99" s="114" t="s">
        <v>105</v>
      </c>
      <c r="D99" s="105" t="s">
        <v>288</v>
      </c>
      <c r="E99" s="122"/>
      <c r="F99" s="123">
        <f>2.5*2.7</f>
        <v>6.75</v>
      </c>
      <c r="G99" s="78"/>
      <c r="H99" s="78"/>
      <c r="I99" s="78"/>
      <c r="J99" s="78"/>
      <c r="K99" s="78"/>
      <c r="L99" s="78"/>
      <c r="M99" s="78"/>
      <c r="N99" s="210"/>
      <c r="O99" s="210"/>
      <c r="P99" s="210"/>
    </row>
    <row r="100" spans="1:16" ht="15" x14ac:dyDescent="0.25">
      <c r="A100" s="70"/>
      <c r="B100" s="88" t="s">
        <v>40</v>
      </c>
      <c r="C100" s="118" t="s">
        <v>106</v>
      </c>
      <c r="D100" s="86" t="s">
        <v>282</v>
      </c>
      <c r="E100" s="131">
        <v>1</v>
      </c>
      <c r="F100" s="100">
        <f>F99*E100</f>
        <v>6.75</v>
      </c>
      <c r="G100" s="78"/>
      <c r="H100" s="78"/>
      <c r="I100" s="78"/>
      <c r="J100" s="78"/>
      <c r="K100" s="78"/>
      <c r="L100" s="78"/>
      <c r="M100" s="78"/>
      <c r="N100" s="210"/>
      <c r="O100" s="210"/>
      <c r="P100" s="210"/>
    </row>
    <row r="101" spans="1:16" ht="15" x14ac:dyDescent="0.25">
      <c r="A101" s="70"/>
      <c r="B101" s="132"/>
      <c r="C101" s="118" t="s">
        <v>107</v>
      </c>
      <c r="D101" s="86" t="s">
        <v>52</v>
      </c>
      <c r="E101" s="133">
        <f>(0.95+0.23*4)/100</f>
        <v>1.8700000000000001E-2</v>
      </c>
      <c r="F101" s="100">
        <f>F99*E101</f>
        <v>0.126225</v>
      </c>
      <c r="G101" s="78"/>
      <c r="H101" s="78"/>
      <c r="I101" s="78"/>
      <c r="J101" s="78"/>
      <c r="K101" s="78"/>
      <c r="L101" s="78"/>
      <c r="M101" s="78"/>
      <c r="N101" s="210"/>
      <c r="O101" s="210"/>
      <c r="P101" s="210"/>
    </row>
    <row r="102" spans="1:16" ht="15" x14ac:dyDescent="0.25">
      <c r="A102" s="70"/>
      <c r="B102" s="132"/>
      <c r="C102" s="118" t="s">
        <v>108</v>
      </c>
      <c r="D102" s="73" t="s">
        <v>277</v>
      </c>
      <c r="E102" s="133">
        <f>(2.04+0.51*4)/100</f>
        <v>4.0800000000000003E-2</v>
      </c>
      <c r="F102" s="78">
        <f>F99*E102</f>
        <v>0.27540000000000003</v>
      </c>
      <c r="G102" s="78"/>
      <c r="H102" s="78"/>
      <c r="I102" s="78"/>
      <c r="J102" s="78"/>
      <c r="K102" s="78"/>
      <c r="L102" s="78"/>
      <c r="M102" s="78"/>
      <c r="N102" s="210"/>
      <c r="O102" s="210"/>
      <c r="P102" s="210"/>
    </row>
    <row r="103" spans="1:16" ht="15" x14ac:dyDescent="0.25">
      <c r="A103" s="70"/>
      <c r="B103" s="132"/>
      <c r="C103" s="130" t="s">
        <v>51</v>
      </c>
      <c r="D103" s="86" t="s">
        <v>52</v>
      </c>
      <c r="E103" s="122">
        <f>6.36/100</f>
        <v>6.3600000000000004E-2</v>
      </c>
      <c r="F103" s="78">
        <f>F98*E103</f>
        <v>2.0470295999999999E-2</v>
      </c>
      <c r="G103" s="79"/>
      <c r="H103" s="75"/>
      <c r="I103" s="79"/>
      <c r="J103" s="79"/>
      <c r="K103" s="79"/>
      <c r="L103" s="79"/>
      <c r="M103" s="75"/>
      <c r="N103" s="210"/>
      <c r="O103" s="210"/>
      <c r="P103" s="210"/>
    </row>
    <row r="104" spans="1:16" ht="38.25" x14ac:dyDescent="0.25">
      <c r="A104" s="70" t="s">
        <v>96</v>
      </c>
      <c r="B104" s="117" t="s">
        <v>223</v>
      </c>
      <c r="C104" s="134" t="s">
        <v>111</v>
      </c>
      <c r="D104" s="105" t="s">
        <v>288</v>
      </c>
      <c r="E104" s="122"/>
      <c r="F104" s="123">
        <f>F99</f>
        <v>6.75</v>
      </c>
      <c r="G104" s="78"/>
      <c r="H104" s="78"/>
      <c r="I104" s="78"/>
      <c r="J104" s="78"/>
      <c r="K104" s="78"/>
      <c r="L104" s="78"/>
      <c r="M104" s="78"/>
      <c r="N104" s="210"/>
      <c r="O104" s="210"/>
      <c r="P104" s="210"/>
    </row>
    <row r="105" spans="1:16" ht="15" x14ac:dyDescent="0.25">
      <c r="A105" s="70"/>
      <c r="B105" s="88" t="s">
        <v>40</v>
      </c>
      <c r="C105" s="118" t="s">
        <v>41</v>
      </c>
      <c r="D105" s="129" t="s">
        <v>42</v>
      </c>
      <c r="E105" s="122">
        <v>1.08</v>
      </c>
      <c r="F105" s="78">
        <f>F104*E105</f>
        <v>7.2900000000000009</v>
      </c>
      <c r="G105" s="78"/>
      <c r="H105" s="78"/>
      <c r="I105" s="78"/>
      <c r="J105" s="78"/>
      <c r="K105" s="78"/>
      <c r="L105" s="78"/>
      <c r="M105" s="78"/>
      <c r="N105" s="210"/>
      <c r="O105" s="210"/>
      <c r="P105" s="210"/>
    </row>
    <row r="106" spans="1:16" ht="15" x14ac:dyDescent="0.25">
      <c r="A106" s="70"/>
      <c r="B106" s="119"/>
      <c r="C106" s="118" t="s">
        <v>54</v>
      </c>
      <c r="D106" s="86" t="s">
        <v>52</v>
      </c>
      <c r="E106" s="133">
        <v>4.5199999999999997E-2</v>
      </c>
      <c r="F106" s="78">
        <f>F104*E106</f>
        <v>0.30509999999999998</v>
      </c>
      <c r="G106" s="78"/>
      <c r="H106" s="78"/>
      <c r="I106" s="78"/>
      <c r="J106" s="78"/>
      <c r="K106" s="78"/>
      <c r="L106" s="78"/>
      <c r="M106" s="78"/>
      <c r="N106" s="210"/>
      <c r="O106" s="210"/>
      <c r="P106" s="210"/>
    </row>
    <row r="107" spans="1:16" ht="15" x14ac:dyDescent="0.25">
      <c r="A107" s="70"/>
      <c r="B107" s="119"/>
      <c r="C107" s="118" t="s">
        <v>112</v>
      </c>
      <c r="D107" s="105" t="s">
        <v>288</v>
      </c>
      <c r="E107" s="122">
        <v>1.02</v>
      </c>
      <c r="F107" s="78">
        <f>F104*E107</f>
        <v>6.8849999999999998</v>
      </c>
      <c r="G107" s="78"/>
      <c r="H107" s="78"/>
      <c r="I107" s="78"/>
      <c r="J107" s="78"/>
      <c r="K107" s="78"/>
      <c r="L107" s="78"/>
      <c r="M107" s="78"/>
      <c r="N107" s="210"/>
      <c r="O107" s="210"/>
      <c r="P107" s="210"/>
    </row>
    <row r="108" spans="1:16" ht="15" x14ac:dyDescent="0.25">
      <c r="A108" s="70"/>
      <c r="B108" s="119"/>
      <c r="C108" s="118" t="s">
        <v>113</v>
      </c>
      <c r="D108" s="129" t="s">
        <v>58</v>
      </c>
      <c r="E108" s="122">
        <v>8</v>
      </c>
      <c r="F108" s="78">
        <f>F104*E108</f>
        <v>54</v>
      </c>
      <c r="G108" s="78"/>
      <c r="H108" s="78"/>
      <c r="I108" s="78"/>
      <c r="J108" s="78"/>
      <c r="K108" s="78"/>
      <c r="L108" s="78"/>
      <c r="M108" s="78"/>
      <c r="N108" s="210"/>
      <c r="O108" s="210"/>
      <c r="P108" s="210"/>
    </row>
    <row r="109" spans="1:16" ht="15" x14ac:dyDescent="0.25">
      <c r="A109" s="70"/>
      <c r="B109" s="119"/>
      <c r="C109" s="118" t="s">
        <v>109</v>
      </c>
      <c r="D109" s="86" t="s">
        <v>52</v>
      </c>
      <c r="E109" s="133">
        <v>4.6600000000000003E-2</v>
      </c>
      <c r="F109" s="78">
        <f>F104*E109</f>
        <v>0.31455</v>
      </c>
      <c r="G109" s="78"/>
      <c r="H109" s="78"/>
      <c r="I109" s="78"/>
      <c r="J109" s="78"/>
      <c r="K109" s="78"/>
      <c r="L109" s="78"/>
      <c r="M109" s="78"/>
      <c r="N109" s="210"/>
      <c r="O109" s="210"/>
      <c r="P109" s="210"/>
    </row>
    <row r="110" spans="1:16" ht="63.75" x14ac:dyDescent="0.25">
      <c r="A110" s="70" t="s">
        <v>100</v>
      </c>
      <c r="B110" s="117" t="s">
        <v>294</v>
      </c>
      <c r="C110" s="114" t="s">
        <v>115</v>
      </c>
      <c r="D110" s="105" t="s">
        <v>288</v>
      </c>
      <c r="E110" s="122"/>
      <c r="F110" s="123">
        <f>F99</f>
        <v>6.75</v>
      </c>
      <c r="G110" s="78"/>
      <c r="H110" s="78"/>
      <c r="I110" s="78"/>
      <c r="J110" s="78"/>
      <c r="K110" s="78"/>
      <c r="L110" s="78"/>
      <c r="M110" s="78"/>
      <c r="N110" s="210"/>
      <c r="O110" s="210"/>
      <c r="P110" s="210"/>
    </row>
    <row r="111" spans="1:16" ht="15" x14ac:dyDescent="0.25">
      <c r="A111" s="70"/>
      <c r="B111" s="117" t="s">
        <v>40</v>
      </c>
      <c r="C111" s="118" t="s">
        <v>41</v>
      </c>
      <c r="D111" s="105" t="s">
        <v>288</v>
      </c>
      <c r="E111" s="122">
        <v>3.88</v>
      </c>
      <c r="F111" s="78">
        <f>F110*E111</f>
        <v>26.189999999999998</v>
      </c>
      <c r="G111" s="78"/>
      <c r="H111" s="78"/>
      <c r="I111" s="78"/>
      <c r="J111" s="78"/>
      <c r="K111" s="78"/>
      <c r="L111" s="78"/>
      <c r="M111" s="78"/>
      <c r="N111" s="210"/>
      <c r="O111" s="210"/>
      <c r="P111" s="210"/>
    </row>
    <row r="112" spans="1:16" ht="15" x14ac:dyDescent="0.25">
      <c r="A112" s="70"/>
      <c r="B112" s="132"/>
      <c r="C112" s="118" t="s">
        <v>54</v>
      </c>
      <c r="D112" s="86" t="s">
        <v>52</v>
      </c>
      <c r="E112" s="133">
        <v>5.4399999999999997E-2</v>
      </c>
      <c r="F112" s="78">
        <f>F110*E112</f>
        <v>0.36719999999999997</v>
      </c>
      <c r="G112" s="78"/>
      <c r="H112" s="78"/>
      <c r="I112" s="78"/>
      <c r="J112" s="78"/>
      <c r="K112" s="78"/>
      <c r="L112" s="78"/>
      <c r="M112" s="78"/>
      <c r="N112" s="210"/>
      <c r="O112" s="210"/>
      <c r="P112" s="210"/>
    </row>
    <row r="113" spans="1:16" ht="25.5" x14ac:dyDescent="0.25">
      <c r="A113" s="70"/>
      <c r="B113" s="132"/>
      <c r="C113" s="118" t="s">
        <v>116</v>
      </c>
      <c r="D113" s="105" t="s">
        <v>288</v>
      </c>
      <c r="E113" s="122">
        <v>1.05</v>
      </c>
      <c r="F113" s="78">
        <f>F110*E113</f>
        <v>7.0875000000000004</v>
      </c>
      <c r="G113" s="78"/>
      <c r="H113" s="78"/>
      <c r="I113" s="78"/>
      <c r="J113" s="78"/>
      <c r="K113" s="78"/>
      <c r="L113" s="78"/>
      <c r="M113" s="78"/>
      <c r="N113" s="210"/>
      <c r="O113" s="210"/>
      <c r="P113" s="210"/>
    </row>
    <row r="114" spans="1:16" ht="15" x14ac:dyDescent="0.25">
      <c r="A114" s="70"/>
      <c r="B114" s="132"/>
      <c r="C114" s="118" t="s">
        <v>51</v>
      </c>
      <c r="D114" s="86" t="s">
        <v>52</v>
      </c>
      <c r="E114" s="122">
        <v>0.441</v>
      </c>
      <c r="F114" s="78">
        <f>F110*E114</f>
        <v>2.97675</v>
      </c>
      <c r="G114" s="78"/>
      <c r="H114" s="78"/>
      <c r="I114" s="78"/>
      <c r="J114" s="78"/>
      <c r="K114" s="78"/>
      <c r="L114" s="78"/>
      <c r="M114" s="78"/>
      <c r="N114" s="210"/>
      <c r="O114" s="210"/>
      <c r="P114" s="210"/>
    </row>
    <row r="115" spans="1:16" ht="51" x14ac:dyDescent="0.25">
      <c r="A115" s="70" t="s">
        <v>104</v>
      </c>
      <c r="B115" s="117" t="s">
        <v>295</v>
      </c>
      <c r="C115" s="195" t="s">
        <v>219</v>
      </c>
      <c r="D115" s="105" t="s">
        <v>288</v>
      </c>
      <c r="E115" s="85"/>
      <c r="F115" s="85">
        <f>2.5*2.7</f>
        <v>6.75</v>
      </c>
      <c r="G115" s="82"/>
      <c r="H115" s="82"/>
      <c r="I115" s="82"/>
      <c r="J115" s="82"/>
      <c r="K115" s="82"/>
      <c r="L115" s="82"/>
      <c r="M115" s="81"/>
      <c r="N115" s="210"/>
      <c r="O115" s="210"/>
      <c r="P115" s="210"/>
    </row>
    <row r="116" spans="1:16" ht="15" x14ac:dyDescent="0.25">
      <c r="A116" s="70"/>
      <c r="B116" s="101"/>
      <c r="C116" s="90" t="s">
        <v>65</v>
      </c>
      <c r="D116" s="90" t="s">
        <v>49</v>
      </c>
      <c r="E116" s="135">
        <v>0.42499999999999999</v>
      </c>
      <c r="F116" s="79">
        <f>E116*F115</f>
        <v>2.8687499999999999</v>
      </c>
      <c r="G116" s="82"/>
      <c r="H116" s="82"/>
      <c r="I116" s="82"/>
      <c r="J116" s="75"/>
      <c r="K116" s="82"/>
      <c r="L116" s="82"/>
      <c r="M116" s="81"/>
      <c r="N116" s="210"/>
      <c r="O116" s="210"/>
      <c r="P116" s="210"/>
    </row>
    <row r="117" spans="1:16" ht="15" x14ac:dyDescent="0.25">
      <c r="A117" s="70"/>
      <c r="B117" s="101"/>
      <c r="C117" s="90" t="s">
        <v>66</v>
      </c>
      <c r="D117" s="90" t="s">
        <v>52</v>
      </c>
      <c r="E117" s="79">
        <v>2.0799999999999999E-2</v>
      </c>
      <c r="F117" s="79">
        <f>F115*E117</f>
        <v>0.1404</v>
      </c>
      <c r="G117" s="82"/>
      <c r="H117" s="82"/>
      <c r="I117" s="82"/>
      <c r="J117" s="211"/>
      <c r="K117" s="82"/>
      <c r="L117" s="75"/>
      <c r="M117" s="81"/>
      <c r="N117" s="210"/>
      <c r="O117" s="210"/>
      <c r="P117" s="210"/>
    </row>
    <row r="118" spans="1:16" ht="15" x14ac:dyDescent="0.25">
      <c r="A118" s="70"/>
      <c r="B118" s="101"/>
      <c r="C118" s="90" t="s">
        <v>220</v>
      </c>
      <c r="D118" s="90" t="s">
        <v>117</v>
      </c>
      <c r="E118" s="79">
        <v>2.06</v>
      </c>
      <c r="F118" s="79">
        <f>F115*E118</f>
        <v>13.905000000000001</v>
      </c>
      <c r="G118" s="82"/>
      <c r="H118" s="75"/>
      <c r="I118" s="82"/>
      <c r="J118" s="82"/>
      <c r="K118" s="82"/>
      <c r="L118" s="82"/>
      <c r="M118" s="81"/>
      <c r="N118" s="210"/>
      <c r="O118" s="210"/>
      <c r="P118" s="210"/>
    </row>
    <row r="119" spans="1:16" ht="25.5" x14ac:dyDescent="0.25">
      <c r="A119" s="70"/>
      <c r="B119" s="70" t="s">
        <v>40</v>
      </c>
      <c r="C119" s="90" t="s">
        <v>296</v>
      </c>
      <c r="D119" s="86" t="s">
        <v>278</v>
      </c>
      <c r="E119" s="79" t="s">
        <v>60</v>
      </c>
      <c r="F119" s="135">
        <v>3.0000000000000001E-3</v>
      </c>
      <c r="G119" s="78"/>
      <c r="H119" s="75"/>
      <c r="I119" s="82"/>
      <c r="J119" s="82"/>
      <c r="K119" s="82"/>
      <c r="L119" s="82"/>
      <c r="M119" s="81"/>
      <c r="N119" s="210"/>
      <c r="O119" s="210"/>
      <c r="P119" s="210"/>
    </row>
    <row r="120" spans="1:16" ht="38.25" x14ac:dyDescent="0.25">
      <c r="A120" s="70" t="s">
        <v>110</v>
      </c>
      <c r="B120" s="117" t="s">
        <v>297</v>
      </c>
      <c r="C120" s="114" t="s">
        <v>119</v>
      </c>
      <c r="D120" s="105" t="s">
        <v>288</v>
      </c>
      <c r="E120" s="122"/>
      <c r="F120" s="123">
        <f>F110</f>
        <v>6.75</v>
      </c>
      <c r="G120" s="78"/>
      <c r="H120" s="78"/>
      <c r="I120" s="78"/>
      <c r="J120" s="78"/>
      <c r="K120" s="78"/>
      <c r="L120" s="78"/>
      <c r="M120" s="78"/>
      <c r="N120" s="210"/>
      <c r="O120" s="210"/>
      <c r="P120" s="210"/>
    </row>
    <row r="121" spans="1:16" ht="15" x14ac:dyDescent="0.25">
      <c r="A121" s="70"/>
      <c r="B121" s="132"/>
      <c r="C121" s="136" t="s">
        <v>41</v>
      </c>
      <c r="D121" s="86" t="s">
        <v>42</v>
      </c>
      <c r="E121" s="87">
        <v>0.85599999999999998</v>
      </c>
      <c r="F121" s="78">
        <f>F120*E121</f>
        <v>5.7779999999999996</v>
      </c>
      <c r="G121" s="78"/>
      <c r="H121" s="78"/>
      <c r="I121" s="78"/>
      <c r="J121" s="78"/>
      <c r="K121" s="78"/>
      <c r="L121" s="78"/>
      <c r="M121" s="78"/>
      <c r="N121" s="210"/>
      <c r="O121" s="210"/>
      <c r="P121" s="210"/>
    </row>
    <row r="122" spans="1:16" ht="15" x14ac:dyDescent="0.25">
      <c r="A122" s="70"/>
      <c r="B122" s="132"/>
      <c r="C122" s="118" t="s">
        <v>54</v>
      </c>
      <c r="D122" s="86" t="s">
        <v>52</v>
      </c>
      <c r="E122" s="131">
        <v>1.2E-2</v>
      </c>
      <c r="F122" s="78">
        <f>F120*E122</f>
        <v>8.1000000000000003E-2</v>
      </c>
      <c r="G122" s="78"/>
      <c r="H122" s="78"/>
      <c r="I122" s="78"/>
      <c r="J122" s="78"/>
      <c r="K122" s="78"/>
      <c r="L122" s="78"/>
      <c r="M122" s="78"/>
      <c r="N122" s="210"/>
      <c r="O122" s="210"/>
      <c r="P122" s="210"/>
    </row>
    <row r="123" spans="1:16" ht="15" x14ac:dyDescent="0.25">
      <c r="A123" s="70"/>
      <c r="B123" s="132"/>
      <c r="C123" s="118" t="s">
        <v>120</v>
      </c>
      <c r="D123" s="129" t="s">
        <v>58</v>
      </c>
      <c r="E123" s="122">
        <v>0.63</v>
      </c>
      <c r="F123" s="78">
        <f>F120*E123</f>
        <v>4.2525000000000004</v>
      </c>
      <c r="G123" s="78"/>
      <c r="H123" s="78"/>
      <c r="I123" s="78"/>
      <c r="J123" s="78"/>
      <c r="K123" s="78"/>
      <c r="L123" s="78"/>
      <c r="M123" s="78"/>
      <c r="N123" s="210"/>
      <c r="O123" s="210"/>
      <c r="P123" s="210"/>
    </row>
    <row r="124" spans="1:16" ht="15" x14ac:dyDescent="0.25">
      <c r="A124" s="70"/>
      <c r="B124" s="132"/>
      <c r="C124" s="118" t="s">
        <v>103</v>
      </c>
      <c r="D124" s="129" t="s">
        <v>58</v>
      </c>
      <c r="E124" s="122">
        <v>0.92</v>
      </c>
      <c r="F124" s="78">
        <f>F120*E124</f>
        <v>6.21</v>
      </c>
      <c r="G124" s="78"/>
      <c r="H124" s="78"/>
      <c r="I124" s="78"/>
      <c r="J124" s="78"/>
      <c r="K124" s="78"/>
      <c r="L124" s="78"/>
      <c r="M124" s="78"/>
      <c r="N124" s="210"/>
      <c r="O124" s="210"/>
      <c r="P124" s="210"/>
    </row>
    <row r="125" spans="1:16" ht="15" x14ac:dyDescent="0.25">
      <c r="A125" s="70"/>
      <c r="B125" s="132"/>
      <c r="C125" s="118" t="s">
        <v>51</v>
      </c>
      <c r="D125" s="86" t="s">
        <v>52</v>
      </c>
      <c r="E125" s="131">
        <f>1.8/100</f>
        <v>1.8000000000000002E-2</v>
      </c>
      <c r="F125" s="78">
        <f>F120*E125</f>
        <v>0.12150000000000001</v>
      </c>
      <c r="G125" s="78"/>
      <c r="H125" s="78"/>
      <c r="I125" s="78"/>
      <c r="J125" s="78"/>
      <c r="K125" s="78"/>
      <c r="L125" s="78"/>
      <c r="M125" s="78"/>
      <c r="N125" s="210"/>
      <c r="O125" s="210"/>
      <c r="P125" s="210"/>
    </row>
    <row r="126" spans="1:16" ht="38.25" x14ac:dyDescent="0.25">
      <c r="A126" s="70" t="s">
        <v>114</v>
      </c>
      <c r="B126" s="70" t="s">
        <v>222</v>
      </c>
      <c r="C126" s="195" t="s">
        <v>122</v>
      </c>
      <c r="D126" s="73" t="s">
        <v>277</v>
      </c>
      <c r="E126" s="81"/>
      <c r="F126" s="81">
        <f>3.2*2*3*0.105*0.08</f>
        <v>0.16128000000000001</v>
      </c>
      <c r="G126" s="82"/>
      <c r="H126" s="82"/>
      <c r="I126" s="82"/>
      <c r="J126" s="82"/>
      <c r="K126" s="82"/>
      <c r="L126" s="82"/>
      <c r="M126" s="82"/>
      <c r="N126" s="210"/>
      <c r="O126" s="210"/>
      <c r="P126" s="210"/>
    </row>
    <row r="127" spans="1:16" ht="15" x14ac:dyDescent="0.25">
      <c r="A127" s="70"/>
      <c r="B127" s="137"/>
      <c r="C127" s="90" t="s">
        <v>65</v>
      </c>
      <c r="D127" s="83" t="s">
        <v>49</v>
      </c>
      <c r="E127" s="82">
        <v>23.8</v>
      </c>
      <c r="F127" s="82">
        <f>E127*F126</f>
        <v>3.8384640000000001</v>
      </c>
      <c r="G127" s="82"/>
      <c r="H127" s="82"/>
      <c r="I127" s="82"/>
      <c r="J127" s="75"/>
      <c r="K127" s="82"/>
      <c r="L127" s="82"/>
      <c r="M127" s="82"/>
      <c r="N127" s="210"/>
      <c r="O127" s="210"/>
      <c r="P127" s="210"/>
    </row>
    <row r="128" spans="1:16" ht="15" x14ac:dyDescent="0.25">
      <c r="A128" s="70"/>
      <c r="B128" s="137"/>
      <c r="C128" s="90" t="s">
        <v>66</v>
      </c>
      <c r="D128" s="83" t="s">
        <v>52</v>
      </c>
      <c r="E128" s="82">
        <v>2.1</v>
      </c>
      <c r="F128" s="82">
        <f>E128*F126</f>
        <v>0.33868800000000004</v>
      </c>
      <c r="G128" s="82"/>
      <c r="H128" s="82"/>
      <c r="I128" s="82"/>
      <c r="J128" s="82"/>
      <c r="K128" s="82"/>
      <c r="L128" s="75"/>
      <c r="M128" s="82"/>
      <c r="N128" s="210"/>
      <c r="O128" s="210"/>
      <c r="P128" s="210"/>
    </row>
    <row r="129" spans="1:16" ht="15" x14ac:dyDescent="0.25">
      <c r="A129" s="70"/>
      <c r="B129" s="137"/>
      <c r="C129" s="90" t="s">
        <v>221</v>
      </c>
      <c r="D129" s="73" t="s">
        <v>277</v>
      </c>
      <c r="E129" s="82">
        <f>0.83+0.06+0.16</f>
        <v>1.0499999999999998</v>
      </c>
      <c r="F129" s="127">
        <f>F126*E129</f>
        <v>0.16934399999999997</v>
      </c>
      <c r="G129" s="75"/>
      <c r="H129" s="75"/>
      <c r="I129" s="82"/>
      <c r="J129" s="82"/>
      <c r="K129" s="82"/>
      <c r="L129" s="82"/>
      <c r="M129" s="82"/>
      <c r="N129" s="210"/>
      <c r="O129" s="210"/>
      <c r="P129" s="210"/>
    </row>
    <row r="130" spans="1:16" ht="15" x14ac:dyDescent="0.25">
      <c r="A130" s="70"/>
      <c r="B130" s="137"/>
      <c r="C130" s="90" t="s">
        <v>123</v>
      </c>
      <c r="D130" s="105" t="s">
        <v>288</v>
      </c>
      <c r="E130" s="82">
        <v>3.38</v>
      </c>
      <c r="F130" s="82">
        <f>E130*F126</f>
        <v>0.54512640000000001</v>
      </c>
      <c r="G130" s="75"/>
      <c r="H130" s="75"/>
      <c r="I130" s="82"/>
      <c r="J130" s="82"/>
      <c r="K130" s="82"/>
      <c r="L130" s="82"/>
      <c r="M130" s="82"/>
      <c r="N130" s="210"/>
      <c r="O130" s="210"/>
      <c r="P130" s="210"/>
    </row>
    <row r="131" spans="1:16" ht="15" x14ac:dyDescent="0.25">
      <c r="A131" s="70"/>
      <c r="B131" s="137"/>
      <c r="C131" s="90" t="s">
        <v>298</v>
      </c>
      <c r="D131" s="105" t="s">
        <v>58</v>
      </c>
      <c r="E131" s="82">
        <v>1.95</v>
      </c>
      <c r="F131" s="82">
        <f>F126*E131</f>
        <v>0.314496</v>
      </c>
      <c r="G131" s="75"/>
      <c r="H131" s="75"/>
      <c r="I131" s="82"/>
      <c r="J131" s="82"/>
      <c r="K131" s="82"/>
      <c r="L131" s="82"/>
      <c r="M131" s="82"/>
      <c r="N131" s="210"/>
      <c r="O131" s="210"/>
      <c r="P131" s="210"/>
    </row>
    <row r="132" spans="1:16" ht="15" x14ac:dyDescent="0.25">
      <c r="A132" s="70"/>
      <c r="B132" s="137"/>
      <c r="C132" s="90" t="s">
        <v>124</v>
      </c>
      <c r="D132" s="83" t="s">
        <v>58</v>
      </c>
      <c r="E132" s="82">
        <v>4.38</v>
      </c>
      <c r="F132" s="82">
        <f>E132*F126</f>
        <v>0.70640639999999999</v>
      </c>
      <c r="G132" s="78"/>
      <c r="H132" s="75"/>
      <c r="I132" s="82"/>
      <c r="J132" s="82"/>
      <c r="K132" s="82"/>
      <c r="L132" s="82"/>
      <c r="M132" s="82"/>
      <c r="N132" s="210"/>
      <c r="O132" s="210"/>
      <c r="P132" s="210"/>
    </row>
    <row r="133" spans="1:16" ht="15" x14ac:dyDescent="0.25">
      <c r="A133" s="70"/>
      <c r="B133" s="137"/>
      <c r="C133" s="90" t="s">
        <v>125</v>
      </c>
      <c r="D133" s="83" t="s">
        <v>58</v>
      </c>
      <c r="E133" s="82">
        <v>7.2</v>
      </c>
      <c r="F133" s="82">
        <f>F126*E133</f>
        <v>1.161216</v>
      </c>
      <c r="G133" s="75"/>
      <c r="H133" s="75"/>
      <c r="I133" s="82"/>
      <c r="J133" s="82"/>
      <c r="K133" s="82"/>
      <c r="L133" s="82"/>
      <c r="M133" s="82"/>
      <c r="N133" s="210"/>
      <c r="O133" s="210"/>
      <c r="P133" s="210"/>
    </row>
    <row r="134" spans="1:16" ht="15" x14ac:dyDescent="0.25">
      <c r="A134" s="70"/>
      <c r="B134" s="90"/>
      <c r="C134" s="90" t="s">
        <v>79</v>
      </c>
      <c r="D134" s="83" t="s">
        <v>52</v>
      </c>
      <c r="E134" s="82">
        <v>3.44</v>
      </c>
      <c r="F134" s="82">
        <f>E134*F126</f>
        <v>0.55480320000000005</v>
      </c>
      <c r="G134" s="75"/>
      <c r="H134" s="75"/>
      <c r="I134" s="82"/>
      <c r="J134" s="82"/>
      <c r="K134" s="82"/>
      <c r="L134" s="82"/>
      <c r="M134" s="82"/>
      <c r="N134" s="210"/>
      <c r="O134" s="210"/>
      <c r="P134" s="210"/>
    </row>
    <row r="135" spans="1:16" ht="38.25" x14ac:dyDescent="0.25">
      <c r="A135" s="70" t="s">
        <v>118</v>
      </c>
      <c r="B135" s="70" t="s">
        <v>238</v>
      </c>
      <c r="C135" s="195" t="s">
        <v>127</v>
      </c>
      <c r="D135" s="105" t="s">
        <v>288</v>
      </c>
      <c r="E135" s="81"/>
      <c r="F135" s="123">
        <f>F120*1.1</f>
        <v>7.4250000000000007</v>
      </c>
      <c r="G135" s="82"/>
      <c r="H135" s="82"/>
      <c r="I135" s="82"/>
      <c r="J135" s="82"/>
      <c r="K135" s="82"/>
      <c r="L135" s="82"/>
      <c r="M135" s="82"/>
      <c r="N135" s="210"/>
      <c r="O135" s="210"/>
      <c r="P135" s="210"/>
    </row>
    <row r="136" spans="1:16" ht="15" x14ac:dyDescent="0.25">
      <c r="A136" s="70"/>
      <c r="B136" s="137"/>
      <c r="C136" s="90" t="s">
        <v>65</v>
      </c>
      <c r="D136" s="83" t="s">
        <v>49</v>
      </c>
      <c r="E136" s="82">
        <v>0.28399999999999997</v>
      </c>
      <c r="F136" s="82">
        <f>E136*F135</f>
        <v>2.1086999999999998</v>
      </c>
      <c r="G136" s="82"/>
      <c r="H136" s="82"/>
      <c r="I136" s="82"/>
      <c r="J136" s="75"/>
      <c r="K136" s="82"/>
      <c r="L136" s="82"/>
      <c r="M136" s="82"/>
      <c r="N136" s="210"/>
      <c r="O136" s="210"/>
      <c r="P136" s="210"/>
    </row>
    <row r="137" spans="1:16" ht="15" x14ac:dyDescent="0.25">
      <c r="A137" s="70"/>
      <c r="B137" s="137"/>
      <c r="C137" s="90" t="s">
        <v>66</v>
      </c>
      <c r="D137" s="83" t="s">
        <v>52</v>
      </c>
      <c r="E137" s="128">
        <f>2.31/100</f>
        <v>2.3099999999999999E-2</v>
      </c>
      <c r="F137" s="82">
        <f>E137*F135</f>
        <v>0.17151750000000002</v>
      </c>
      <c r="G137" s="82"/>
      <c r="H137" s="82"/>
      <c r="I137" s="82"/>
      <c r="J137" s="82"/>
      <c r="K137" s="82"/>
      <c r="L137" s="75"/>
      <c r="M137" s="82"/>
      <c r="N137" s="210"/>
      <c r="O137" s="210"/>
      <c r="P137" s="210"/>
    </row>
    <row r="138" spans="1:16" ht="15" x14ac:dyDescent="0.25">
      <c r="A138" s="70"/>
      <c r="B138" s="137"/>
      <c r="C138" s="90" t="s">
        <v>299</v>
      </c>
      <c r="D138" s="73" t="s">
        <v>277</v>
      </c>
      <c r="E138" s="127">
        <v>1.7000000000000001E-2</v>
      </c>
      <c r="F138" s="82">
        <f>E138*F135</f>
        <v>0.12622500000000003</v>
      </c>
      <c r="G138" s="75"/>
      <c r="H138" s="75"/>
      <c r="I138" s="82"/>
      <c r="J138" s="82"/>
      <c r="K138" s="82"/>
      <c r="L138" s="82"/>
      <c r="M138" s="82"/>
      <c r="N138" s="210"/>
      <c r="O138" s="210"/>
      <c r="P138" s="210"/>
    </row>
    <row r="139" spans="1:16" ht="15" x14ac:dyDescent="0.25">
      <c r="A139" s="70"/>
      <c r="B139" s="137"/>
      <c r="C139" s="90" t="s">
        <v>125</v>
      </c>
      <c r="D139" s="83" t="s">
        <v>58</v>
      </c>
      <c r="E139" s="127">
        <v>7.9000000000000001E-2</v>
      </c>
      <c r="F139" s="82">
        <f>F135*E139</f>
        <v>0.58657500000000007</v>
      </c>
      <c r="G139" s="82"/>
      <c r="H139" s="75"/>
      <c r="I139" s="82"/>
      <c r="J139" s="82"/>
      <c r="K139" s="82"/>
      <c r="L139" s="82"/>
      <c r="M139" s="82"/>
      <c r="N139" s="210"/>
      <c r="O139" s="210"/>
      <c r="P139" s="210"/>
    </row>
    <row r="140" spans="1:16" ht="15" x14ac:dyDescent="0.25">
      <c r="A140" s="70"/>
      <c r="B140" s="90"/>
      <c r="C140" s="90" t="s">
        <v>79</v>
      </c>
      <c r="D140" s="83" t="s">
        <v>52</v>
      </c>
      <c r="E140" s="128">
        <f>5.23/100</f>
        <v>5.2300000000000006E-2</v>
      </c>
      <c r="F140" s="82">
        <f>E140*F135</f>
        <v>0.3883275000000001</v>
      </c>
      <c r="G140" s="82"/>
      <c r="H140" s="75"/>
      <c r="I140" s="82"/>
      <c r="J140" s="82"/>
      <c r="K140" s="82"/>
      <c r="L140" s="82"/>
      <c r="M140" s="82"/>
      <c r="N140" s="210"/>
      <c r="O140" s="210"/>
      <c r="P140" s="210"/>
    </row>
    <row r="141" spans="1:16" ht="51" x14ac:dyDescent="0.25">
      <c r="A141" s="70" t="s">
        <v>121</v>
      </c>
      <c r="B141" s="195" t="s">
        <v>245</v>
      </c>
      <c r="C141" s="195" t="s">
        <v>247</v>
      </c>
      <c r="D141" s="105" t="s">
        <v>288</v>
      </c>
      <c r="E141" s="85"/>
      <c r="F141" s="85">
        <f>0.24*5*10+F135*2</f>
        <v>26.85</v>
      </c>
      <c r="G141" s="82"/>
      <c r="H141" s="82"/>
      <c r="I141" s="82"/>
      <c r="J141" s="82"/>
      <c r="K141" s="82"/>
      <c r="L141" s="82"/>
      <c r="M141" s="82"/>
      <c r="N141" s="210"/>
      <c r="O141" s="210"/>
      <c r="P141" s="210"/>
    </row>
    <row r="142" spans="1:16" ht="15" x14ac:dyDescent="0.25">
      <c r="A142" s="70"/>
      <c r="B142" s="101"/>
      <c r="C142" s="90" t="s">
        <v>68</v>
      </c>
      <c r="D142" s="90" t="s">
        <v>49</v>
      </c>
      <c r="E142" s="135">
        <f>3.03/100+4.24/100</f>
        <v>7.2700000000000001E-2</v>
      </c>
      <c r="F142" s="79">
        <f>E142*F141</f>
        <v>1.9519950000000001</v>
      </c>
      <c r="G142" s="82"/>
      <c r="H142" s="82"/>
      <c r="I142" s="82"/>
      <c r="J142" s="75"/>
      <c r="K142" s="82"/>
      <c r="L142" s="82"/>
      <c r="M142" s="82"/>
      <c r="N142" s="210"/>
      <c r="O142" s="210"/>
      <c r="P142" s="210"/>
    </row>
    <row r="143" spans="1:16" ht="15" x14ac:dyDescent="0.25">
      <c r="A143" s="70"/>
      <c r="B143" s="101"/>
      <c r="C143" s="90" t="s">
        <v>66</v>
      </c>
      <c r="D143" s="90" t="s">
        <v>52</v>
      </c>
      <c r="E143" s="138">
        <f>0.41/100+0.21/100</f>
        <v>6.1999999999999989E-3</v>
      </c>
      <c r="F143" s="79">
        <f>F141*E143</f>
        <v>0.16646999999999998</v>
      </c>
      <c r="G143" s="82"/>
      <c r="H143" s="82"/>
      <c r="I143" s="82"/>
      <c r="J143" s="82"/>
      <c r="K143" s="82"/>
      <c r="L143" s="75"/>
      <c r="M143" s="82"/>
      <c r="N143" s="210"/>
      <c r="O143" s="210"/>
      <c r="P143" s="210"/>
    </row>
    <row r="144" spans="1:16" ht="15" x14ac:dyDescent="0.25">
      <c r="A144" s="70"/>
      <c r="B144" s="101"/>
      <c r="C144" s="90" t="s">
        <v>246</v>
      </c>
      <c r="D144" s="90" t="s">
        <v>58</v>
      </c>
      <c r="E144" s="79">
        <v>0.32400000000000001</v>
      </c>
      <c r="F144" s="79">
        <f>F141*E144</f>
        <v>8.6994000000000007</v>
      </c>
      <c r="G144" s="82"/>
      <c r="H144" s="75"/>
      <c r="I144" s="82"/>
      <c r="J144" s="82"/>
      <c r="K144" s="82"/>
      <c r="L144" s="82"/>
      <c r="M144" s="82"/>
      <c r="N144" s="210"/>
      <c r="O144" s="210"/>
      <c r="P144" s="210"/>
    </row>
    <row r="145" spans="1:16" ht="15" x14ac:dyDescent="0.25">
      <c r="A145" s="70"/>
      <c r="B145" s="90"/>
      <c r="C145" s="90" t="s">
        <v>67</v>
      </c>
      <c r="D145" s="90" t="s">
        <v>52</v>
      </c>
      <c r="E145" s="138">
        <v>4.0000000000000002E-4</v>
      </c>
      <c r="F145" s="79">
        <f>F141*E145</f>
        <v>1.0740000000000001E-2</v>
      </c>
      <c r="G145" s="82"/>
      <c r="H145" s="75"/>
      <c r="I145" s="82"/>
      <c r="J145" s="82"/>
      <c r="K145" s="82"/>
      <c r="L145" s="82"/>
      <c r="M145" s="82"/>
      <c r="N145" s="210"/>
      <c r="O145" s="210"/>
      <c r="P145" s="210"/>
    </row>
    <row r="146" spans="1:16" ht="38.25" x14ac:dyDescent="0.25">
      <c r="A146" s="70" t="s">
        <v>126</v>
      </c>
      <c r="B146" s="195" t="s">
        <v>239</v>
      </c>
      <c r="C146" s="195" t="s">
        <v>129</v>
      </c>
      <c r="D146" s="195" t="s">
        <v>98</v>
      </c>
      <c r="E146" s="85"/>
      <c r="F146" s="85">
        <v>2.9</v>
      </c>
      <c r="G146" s="82"/>
      <c r="H146" s="82"/>
      <c r="I146" s="82"/>
      <c r="J146" s="82"/>
      <c r="K146" s="82"/>
      <c r="L146" s="82"/>
      <c r="M146" s="82"/>
      <c r="N146" s="210"/>
      <c r="O146" s="210"/>
      <c r="P146" s="210"/>
    </row>
    <row r="147" spans="1:16" ht="15" x14ac:dyDescent="0.25">
      <c r="A147" s="70"/>
      <c r="B147" s="101"/>
      <c r="C147" s="90" t="s">
        <v>68</v>
      </c>
      <c r="D147" s="90" t="s">
        <v>49</v>
      </c>
      <c r="E147" s="135">
        <v>0.28599999999999998</v>
      </c>
      <c r="F147" s="79">
        <f>E147*F146</f>
        <v>0.82939999999999992</v>
      </c>
      <c r="G147" s="82"/>
      <c r="H147" s="82"/>
      <c r="I147" s="82"/>
      <c r="J147" s="75"/>
      <c r="K147" s="82"/>
      <c r="L147" s="82"/>
      <c r="M147" s="82"/>
      <c r="N147" s="210"/>
      <c r="O147" s="210"/>
      <c r="P147" s="210"/>
    </row>
    <row r="148" spans="1:16" ht="15" x14ac:dyDescent="0.25">
      <c r="A148" s="70"/>
      <c r="B148" s="101"/>
      <c r="C148" s="90" t="s">
        <v>66</v>
      </c>
      <c r="D148" s="90" t="s">
        <v>52</v>
      </c>
      <c r="E148" s="79">
        <v>4.5999999999999999E-2</v>
      </c>
      <c r="F148" s="79">
        <f>E148*F146</f>
        <v>0.13339999999999999</v>
      </c>
      <c r="G148" s="82"/>
      <c r="H148" s="82"/>
      <c r="I148" s="82"/>
      <c r="J148" s="82"/>
      <c r="K148" s="82"/>
      <c r="L148" s="75"/>
      <c r="M148" s="82"/>
      <c r="N148" s="210"/>
      <c r="O148" s="210"/>
      <c r="P148" s="210"/>
    </row>
    <row r="149" spans="1:16" ht="25.5" x14ac:dyDescent="0.25">
      <c r="A149" s="70"/>
      <c r="B149" s="137"/>
      <c r="C149" s="90" t="s">
        <v>130</v>
      </c>
      <c r="D149" s="90" t="s">
        <v>131</v>
      </c>
      <c r="E149" s="79">
        <v>1.05</v>
      </c>
      <c r="F149" s="79">
        <f>E149*F146</f>
        <v>3.0449999999999999</v>
      </c>
      <c r="G149" s="82"/>
      <c r="H149" s="75"/>
      <c r="I149" s="82"/>
      <c r="J149" s="82"/>
      <c r="K149" s="82"/>
      <c r="L149" s="82"/>
      <c r="M149" s="82"/>
      <c r="N149" s="210"/>
      <c r="O149" s="210"/>
      <c r="P149" s="210"/>
    </row>
    <row r="150" spans="1:16" ht="25.5" x14ac:dyDescent="0.25">
      <c r="A150" s="70"/>
      <c r="B150" s="137" t="s">
        <v>40</v>
      </c>
      <c r="C150" s="90" t="s">
        <v>132</v>
      </c>
      <c r="D150" s="90" t="s">
        <v>78</v>
      </c>
      <c r="E150" s="79" t="s">
        <v>60</v>
      </c>
      <c r="F150" s="139">
        <f>3*2</f>
        <v>6</v>
      </c>
      <c r="G150" s="82"/>
      <c r="H150" s="75"/>
      <c r="I150" s="82"/>
      <c r="J150" s="82"/>
      <c r="K150" s="82"/>
      <c r="L150" s="82"/>
      <c r="M150" s="82"/>
      <c r="N150" s="210"/>
      <c r="O150" s="210"/>
      <c r="P150" s="210"/>
    </row>
    <row r="151" spans="1:16" ht="15" x14ac:dyDescent="0.25">
      <c r="A151" s="70"/>
      <c r="B151" s="137" t="s">
        <v>40</v>
      </c>
      <c r="C151" s="90" t="s">
        <v>300</v>
      </c>
      <c r="D151" s="90" t="s">
        <v>58</v>
      </c>
      <c r="E151" s="79">
        <v>7.5999999999999998E-2</v>
      </c>
      <c r="F151" s="79">
        <f>E151*F146</f>
        <v>0.22039999999999998</v>
      </c>
      <c r="G151" s="82"/>
      <c r="H151" s="75"/>
      <c r="I151" s="82"/>
      <c r="J151" s="82"/>
      <c r="K151" s="82"/>
      <c r="L151" s="82"/>
      <c r="M151" s="82"/>
      <c r="N151" s="210"/>
      <c r="O151" s="210"/>
      <c r="P151" s="210"/>
    </row>
    <row r="152" spans="1:16" ht="15" x14ac:dyDescent="0.25">
      <c r="A152" s="70"/>
      <c r="B152" s="137" t="s">
        <v>40</v>
      </c>
      <c r="C152" s="90" t="s">
        <v>133</v>
      </c>
      <c r="D152" s="90" t="s">
        <v>78</v>
      </c>
      <c r="E152" s="139">
        <v>6</v>
      </c>
      <c r="F152" s="139">
        <f>F146*E152</f>
        <v>17.399999999999999</v>
      </c>
      <c r="G152" s="82"/>
      <c r="H152" s="75"/>
      <c r="I152" s="82"/>
      <c r="J152" s="82"/>
      <c r="K152" s="82"/>
      <c r="L152" s="82"/>
      <c r="M152" s="82"/>
      <c r="N152" s="210"/>
      <c r="O152" s="210"/>
      <c r="P152" s="210"/>
    </row>
    <row r="153" spans="1:16" ht="25.5" x14ac:dyDescent="0.25">
      <c r="A153" s="70"/>
      <c r="B153" s="137" t="s">
        <v>40</v>
      </c>
      <c r="C153" s="90" t="s">
        <v>134</v>
      </c>
      <c r="D153" s="90" t="s">
        <v>135</v>
      </c>
      <c r="E153" s="79" t="s">
        <v>60</v>
      </c>
      <c r="F153" s="79">
        <v>0.5</v>
      </c>
      <c r="G153" s="82"/>
      <c r="H153" s="75"/>
      <c r="I153" s="82"/>
      <c r="J153" s="82"/>
      <c r="K153" s="82"/>
      <c r="L153" s="82"/>
      <c r="M153" s="82"/>
      <c r="N153" s="210"/>
      <c r="O153" s="210"/>
      <c r="P153" s="210"/>
    </row>
    <row r="154" spans="1:16" ht="15" x14ac:dyDescent="0.25">
      <c r="A154" s="70"/>
      <c r="B154" s="137"/>
      <c r="C154" s="90" t="s">
        <v>67</v>
      </c>
      <c r="D154" s="90" t="s">
        <v>52</v>
      </c>
      <c r="E154" s="79">
        <v>0.04</v>
      </c>
      <c r="F154" s="79">
        <f>F149*E154</f>
        <v>0.12180000000000001</v>
      </c>
      <c r="G154" s="82"/>
      <c r="H154" s="75"/>
      <c r="I154" s="82"/>
      <c r="J154" s="82"/>
      <c r="K154" s="82"/>
      <c r="L154" s="82"/>
      <c r="M154" s="82"/>
      <c r="N154" s="210"/>
      <c r="O154" s="210"/>
      <c r="P154" s="210"/>
    </row>
    <row r="155" spans="1:16" ht="51" x14ac:dyDescent="0.25">
      <c r="A155" s="70" t="s">
        <v>128</v>
      </c>
      <c r="B155" s="140" t="s">
        <v>240</v>
      </c>
      <c r="C155" s="141" t="s">
        <v>136</v>
      </c>
      <c r="D155" s="105" t="s">
        <v>288</v>
      </c>
      <c r="E155" s="142"/>
      <c r="F155" s="143">
        <f>3.1*2.7</f>
        <v>8.370000000000001</v>
      </c>
      <c r="G155" s="82"/>
      <c r="H155" s="82"/>
      <c r="I155" s="82"/>
      <c r="J155" s="82"/>
      <c r="K155" s="82"/>
      <c r="L155" s="82"/>
      <c r="M155" s="82"/>
      <c r="N155" s="210"/>
      <c r="O155" s="210"/>
      <c r="P155" s="210"/>
    </row>
    <row r="156" spans="1:16" ht="15" x14ac:dyDescent="0.25">
      <c r="A156" s="70"/>
      <c r="B156" s="144"/>
      <c r="C156" s="146" t="s">
        <v>65</v>
      </c>
      <c r="D156" s="146" t="s">
        <v>49</v>
      </c>
      <c r="E156" s="147">
        <v>0.439</v>
      </c>
      <c r="F156" s="147">
        <f>E156*F155</f>
        <v>3.6744300000000005</v>
      </c>
      <c r="G156" s="82"/>
      <c r="H156" s="82"/>
      <c r="I156" s="82"/>
      <c r="J156" s="75"/>
      <c r="K156" s="82"/>
      <c r="L156" s="82"/>
      <c r="M156" s="82"/>
      <c r="N156" s="210"/>
      <c r="O156" s="210"/>
      <c r="P156" s="210"/>
    </row>
    <row r="157" spans="1:16" ht="15" x14ac:dyDescent="0.25">
      <c r="A157" s="70"/>
      <c r="B157" s="144"/>
      <c r="C157" s="146" t="s">
        <v>66</v>
      </c>
      <c r="D157" s="146" t="s">
        <v>52</v>
      </c>
      <c r="E157" s="147">
        <v>3.5000000000000003E-2</v>
      </c>
      <c r="F157" s="147">
        <f>F155*E157</f>
        <v>0.29295000000000004</v>
      </c>
      <c r="G157" s="82"/>
      <c r="H157" s="82"/>
      <c r="I157" s="82"/>
      <c r="J157" s="82"/>
      <c r="K157" s="82"/>
      <c r="L157" s="75"/>
      <c r="M157" s="82"/>
      <c r="N157" s="210"/>
      <c r="O157" s="210"/>
      <c r="P157" s="210"/>
    </row>
    <row r="158" spans="1:16" ht="25.5" x14ac:dyDescent="0.25">
      <c r="A158" s="70"/>
      <c r="B158" s="148"/>
      <c r="C158" s="146" t="s">
        <v>137</v>
      </c>
      <c r="D158" s="105" t="s">
        <v>288</v>
      </c>
      <c r="E158" s="147">
        <v>1.02</v>
      </c>
      <c r="F158" s="147">
        <f>F155*E158</f>
        <v>8.5374000000000017</v>
      </c>
      <c r="G158" s="82"/>
      <c r="H158" s="75"/>
      <c r="I158" s="82"/>
      <c r="J158" s="82"/>
      <c r="K158" s="82"/>
      <c r="L158" s="82"/>
      <c r="M158" s="82"/>
      <c r="N158" s="210"/>
      <c r="O158" s="210"/>
      <c r="P158" s="210"/>
    </row>
    <row r="159" spans="1:16" ht="25.5" x14ac:dyDescent="0.25">
      <c r="A159" s="70"/>
      <c r="B159" s="148"/>
      <c r="C159" s="146" t="s">
        <v>138</v>
      </c>
      <c r="D159" s="146" t="s">
        <v>139</v>
      </c>
      <c r="E159" s="149">
        <v>2.9999999999999997E-4</v>
      </c>
      <c r="F159" s="158">
        <f>E159*F155</f>
        <v>2.5110000000000002E-3</v>
      </c>
      <c r="G159" s="82"/>
      <c r="H159" s="75"/>
      <c r="I159" s="82"/>
      <c r="J159" s="82"/>
      <c r="K159" s="82"/>
      <c r="L159" s="82"/>
      <c r="M159" s="82"/>
      <c r="N159" s="210"/>
      <c r="O159" s="210"/>
      <c r="P159" s="210"/>
    </row>
    <row r="160" spans="1:16" ht="15" x14ac:dyDescent="0.25">
      <c r="A160" s="70"/>
      <c r="B160" s="148"/>
      <c r="C160" s="146" t="s">
        <v>140</v>
      </c>
      <c r="D160" s="145" t="s">
        <v>58</v>
      </c>
      <c r="E160" s="147">
        <v>0.15</v>
      </c>
      <c r="F160" s="147">
        <f>E160*F155</f>
        <v>1.2555000000000001</v>
      </c>
      <c r="G160" s="82"/>
      <c r="H160" s="75"/>
      <c r="I160" s="82"/>
      <c r="J160" s="82"/>
      <c r="K160" s="82"/>
      <c r="L160" s="82"/>
      <c r="M160" s="82"/>
      <c r="N160" s="210"/>
      <c r="O160" s="210"/>
      <c r="P160" s="210"/>
    </row>
    <row r="161" spans="1:16" ht="15" x14ac:dyDescent="0.25">
      <c r="A161" s="70"/>
      <c r="B161" s="148"/>
      <c r="C161" s="146" t="s">
        <v>141</v>
      </c>
      <c r="D161" s="145" t="s">
        <v>78</v>
      </c>
      <c r="E161" s="147">
        <v>8</v>
      </c>
      <c r="F161" s="147">
        <f>E161*F155</f>
        <v>66.960000000000008</v>
      </c>
      <c r="G161" s="82"/>
      <c r="H161" s="75"/>
      <c r="I161" s="82"/>
      <c r="J161" s="82"/>
      <c r="K161" s="82"/>
      <c r="L161" s="82"/>
      <c r="M161" s="82"/>
      <c r="N161" s="210"/>
      <c r="O161" s="210"/>
      <c r="P161" s="210"/>
    </row>
    <row r="162" spans="1:16" ht="15" x14ac:dyDescent="0.25">
      <c r="A162" s="70"/>
      <c r="B162" s="144"/>
      <c r="C162" s="146" t="s">
        <v>79</v>
      </c>
      <c r="D162" s="146" t="s">
        <v>52</v>
      </c>
      <c r="E162" s="147">
        <v>8.1600000000000006E-2</v>
      </c>
      <c r="F162" s="147">
        <f>E162*F155</f>
        <v>0.68299200000000015</v>
      </c>
      <c r="G162" s="82"/>
      <c r="H162" s="75"/>
      <c r="I162" s="82"/>
      <c r="J162" s="82"/>
      <c r="K162" s="82"/>
      <c r="L162" s="82"/>
      <c r="M162" s="82"/>
      <c r="N162" s="210"/>
      <c r="O162" s="210"/>
      <c r="P162" s="210"/>
    </row>
    <row r="163" spans="1:16" ht="38.25" x14ac:dyDescent="0.25">
      <c r="A163" s="70" t="s">
        <v>301</v>
      </c>
      <c r="B163" s="195" t="s">
        <v>244</v>
      </c>
      <c r="C163" s="195" t="s">
        <v>142</v>
      </c>
      <c r="D163" s="195" t="s">
        <v>98</v>
      </c>
      <c r="E163" s="85"/>
      <c r="F163" s="85">
        <f>2.4</f>
        <v>2.4</v>
      </c>
      <c r="G163" s="82"/>
      <c r="H163" s="82"/>
      <c r="I163" s="82"/>
      <c r="J163" s="82"/>
      <c r="K163" s="82"/>
      <c r="L163" s="82"/>
      <c r="M163" s="82"/>
      <c r="N163" s="210"/>
      <c r="O163" s="210"/>
      <c r="P163" s="210"/>
    </row>
    <row r="164" spans="1:16" ht="15" x14ac:dyDescent="0.25">
      <c r="A164" s="70"/>
      <c r="B164" s="101"/>
      <c r="C164" s="90" t="s">
        <v>65</v>
      </c>
      <c r="D164" s="90" t="s">
        <v>49</v>
      </c>
      <c r="E164" s="79">
        <v>0.58299999999999996</v>
      </c>
      <c r="F164" s="79">
        <f>E164*F163</f>
        <v>1.3991999999999998</v>
      </c>
      <c r="G164" s="82"/>
      <c r="H164" s="82"/>
      <c r="I164" s="82"/>
      <c r="J164" s="75"/>
      <c r="K164" s="82"/>
      <c r="L164" s="82"/>
      <c r="M164" s="82"/>
      <c r="N164" s="210"/>
      <c r="O164" s="210"/>
      <c r="P164" s="210"/>
    </row>
    <row r="165" spans="1:16" ht="15" x14ac:dyDescent="0.25">
      <c r="A165" s="70"/>
      <c r="B165" s="101"/>
      <c r="C165" s="90" t="s">
        <v>75</v>
      </c>
      <c r="D165" s="90" t="s">
        <v>52</v>
      </c>
      <c r="E165" s="138">
        <v>4.5999999999999999E-3</v>
      </c>
      <c r="F165" s="79">
        <f>E165*F163</f>
        <v>1.1039999999999999E-2</v>
      </c>
      <c r="G165" s="82"/>
      <c r="H165" s="82"/>
      <c r="I165" s="82"/>
      <c r="J165" s="82"/>
      <c r="K165" s="82"/>
      <c r="L165" s="75"/>
      <c r="M165" s="82"/>
      <c r="N165" s="210"/>
      <c r="O165" s="210"/>
      <c r="P165" s="210"/>
    </row>
    <row r="166" spans="1:16" ht="25.5" x14ac:dyDescent="0.25">
      <c r="A166" s="70"/>
      <c r="B166" s="137"/>
      <c r="C166" s="90" t="s">
        <v>143</v>
      </c>
      <c r="D166" s="90" t="s">
        <v>131</v>
      </c>
      <c r="E166" s="79">
        <v>1.02</v>
      </c>
      <c r="F166" s="79">
        <f>E166*F163</f>
        <v>2.448</v>
      </c>
      <c r="G166" s="82"/>
      <c r="H166" s="75"/>
      <c r="I166" s="82"/>
      <c r="J166" s="82"/>
      <c r="K166" s="82"/>
      <c r="L166" s="82"/>
      <c r="M166" s="82"/>
      <c r="N166" s="210"/>
      <c r="O166" s="210"/>
      <c r="P166" s="210"/>
    </row>
    <row r="167" spans="1:16" ht="25.5" x14ac:dyDescent="0.25">
      <c r="A167" s="70"/>
      <c r="B167" s="137"/>
      <c r="C167" s="90" t="s">
        <v>144</v>
      </c>
      <c r="D167" s="90" t="s">
        <v>78</v>
      </c>
      <c r="E167" s="79" t="s">
        <v>60</v>
      </c>
      <c r="F167" s="79">
        <v>1</v>
      </c>
      <c r="G167" s="82"/>
      <c r="H167" s="75"/>
      <c r="I167" s="82"/>
      <c r="J167" s="82"/>
      <c r="K167" s="82"/>
      <c r="L167" s="82"/>
      <c r="M167" s="82"/>
      <c r="N167" s="210"/>
      <c r="O167" s="210"/>
      <c r="P167" s="210"/>
    </row>
    <row r="168" spans="1:16" ht="15" x14ac:dyDescent="0.25">
      <c r="A168" s="70"/>
      <c r="B168" s="148"/>
      <c r="C168" s="90" t="s">
        <v>145</v>
      </c>
      <c r="D168" s="90" t="s">
        <v>58</v>
      </c>
      <c r="E168" s="135">
        <v>0.23499999999999999</v>
      </c>
      <c r="F168" s="79">
        <f>F163*E168</f>
        <v>0.56399999999999995</v>
      </c>
      <c r="G168" s="82"/>
      <c r="H168" s="75"/>
      <c r="I168" s="82"/>
      <c r="J168" s="82"/>
      <c r="K168" s="82"/>
      <c r="L168" s="82"/>
      <c r="M168" s="82"/>
      <c r="N168" s="210"/>
      <c r="O168" s="210"/>
      <c r="P168" s="210"/>
    </row>
    <row r="169" spans="1:16" ht="15" x14ac:dyDescent="0.25">
      <c r="A169" s="70"/>
      <c r="B169" s="90"/>
      <c r="C169" s="90" t="s">
        <v>67</v>
      </c>
      <c r="D169" s="90" t="s">
        <v>52</v>
      </c>
      <c r="E169" s="135">
        <v>0.20800000000000002</v>
      </c>
      <c r="F169" s="79">
        <f>F163*E169</f>
        <v>0.49920000000000003</v>
      </c>
      <c r="G169" s="82"/>
      <c r="H169" s="75"/>
      <c r="I169" s="82"/>
      <c r="J169" s="82"/>
      <c r="K169" s="82"/>
      <c r="L169" s="82"/>
      <c r="M169" s="82"/>
      <c r="N169" s="210"/>
      <c r="O169" s="210"/>
      <c r="P169" s="210"/>
    </row>
    <row r="170" spans="1:16" ht="15" x14ac:dyDescent="0.25">
      <c r="A170" s="70"/>
      <c r="B170" s="101"/>
      <c r="C170" s="195" t="s">
        <v>146</v>
      </c>
      <c r="D170" s="90"/>
      <c r="E170" s="79"/>
      <c r="F170" s="79"/>
      <c r="G170" s="82"/>
      <c r="H170" s="74"/>
      <c r="I170" s="123"/>
      <c r="J170" s="74"/>
      <c r="K170" s="123"/>
      <c r="L170" s="74"/>
      <c r="M170" s="74"/>
      <c r="N170" s="210"/>
      <c r="O170" s="210"/>
      <c r="P170" s="210"/>
    </row>
    <row r="171" spans="1:16" ht="15" x14ac:dyDescent="0.25">
      <c r="A171" s="70"/>
      <c r="B171" s="101"/>
      <c r="C171" s="90" t="s">
        <v>147</v>
      </c>
      <c r="D171" s="90" t="s">
        <v>52</v>
      </c>
      <c r="E171" s="79"/>
      <c r="F171" s="150"/>
      <c r="G171" s="150"/>
      <c r="H171" s="150"/>
      <c r="I171" s="150"/>
      <c r="J171" s="151"/>
      <c r="K171" s="150"/>
      <c r="L171" s="150"/>
      <c r="M171" s="85"/>
      <c r="N171" s="210"/>
      <c r="O171" s="210"/>
      <c r="P171" s="210"/>
    </row>
    <row r="172" spans="1:16" ht="15" x14ac:dyDescent="0.25">
      <c r="A172" s="70"/>
      <c r="B172" s="101"/>
      <c r="C172" s="90" t="s">
        <v>148</v>
      </c>
      <c r="D172" s="90" t="s">
        <v>52</v>
      </c>
      <c r="E172" s="79"/>
      <c r="F172" s="150"/>
      <c r="G172" s="150"/>
      <c r="H172" s="150"/>
      <c r="I172" s="150"/>
      <c r="J172" s="150"/>
      <c r="K172" s="150"/>
      <c r="L172" s="151"/>
      <c r="M172" s="85"/>
      <c r="N172" s="210"/>
      <c r="O172" s="210"/>
      <c r="P172" s="210"/>
    </row>
    <row r="173" spans="1:16" ht="15" x14ac:dyDescent="0.25">
      <c r="A173" s="70"/>
      <c r="B173" s="101"/>
      <c r="C173" s="90" t="s">
        <v>149</v>
      </c>
      <c r="D173" s="90" t="s">
        <v>52</v>
      </c>
      <c r="E173" s="79"/>
      <c r="F173" s="150"/>
      <c r="G173" s="150"/>
      <c r="H173" s="151"/>
      <c r="I173" s="150"/>
      <c r="J173" s="150"/>
      <c r="K173" s="150"/>
      <c r="L173" s="150"/>
      <c r="M173" s="85"/>
      <c r="N173" s="210"/>
      <c r="O173" s="210"/>
      <c r="P173" s="210"/>
    </row>
    <row r="174" spans="1:16" ht="15" x14ac:dyDescent="0.25">
      <c r="A174" s="70"/>
      <c r="B174" s="101"/>
      <c r="C174" s="90" t="s">
        <v>150</v>
      </c>
      <c r="D174" s="90" t="s">
        <v>52</v>
      </c>
      <c r="E174" s="79"/>
      <c r="F174" s="150"/>
      <c r="G174" s="150"/>
      <c r="H174" s="152"/>
      <c r="I174" s="152"/>
      <c r="J174" s="152"/>
      <c r="K174" s="152"/>
      <c r="L174" s="152"/>
      <c r="M174" s="85"/>
      <c r="N174" s="210"/>
      <c r="O174" s="210"/>
      <c r="P174" s="210"/>
    </row>
    <row r="175" spans="1:16" ht="38.25" x14ac:dyDescent="0.25">
      <c r="A175" s="70"/>
      <c r="B175" s="101"/>
      <c r="C175" s="90" t="s">
        <v>241</v>
      </c>
      <c r="D175" s="90"/>
      <c r="E175" s="153"/>
      <c r="F175" s="150"/>
      <c r="G175" s="150"/>
      <c r="H175" s="152"/>
      <c r="I175" s="152"/>
      <c r="J175" s="152"/>
      <c r="K175" s="152"/>
      <c r="L175" s="152"/>
      <c r="M175" s="79"/>
      <c r="N175" s="210"/>
      <c r="O175" s="210"/>
      <c r="P175" s="210"/>
    </row>
    <row r="176" spans="1:16" ht="15" x14ac:dyDescent="0.25">
      <c r="A176" s="70"/>
      <c r="B176" s="101"/>
      <c r="C176" s="90" t="s">
        <v>152</v>
      </c>
      <c r="D176" s="90"/>
      <c r="E176" s="79"/>
      <c r="F176" s="150"/>
      <c r="G176" s="150"/>
      <c r="H176" s="152"/>
      <c r="I176" s="152"/>
      <c r="J176" s="152"/>
      <c r="K176" s="152"/>
      <c r="L176" s="152"/>
      <c r="M176" s="85"/>
      <c r="N176" s="210"/>
      <c r="O176" s="210"/>
      <c r="P176" s="210"/>
    </row>
    <row r="177" spans="1:16" ht="15" x14ac:dyDescent="0.25">
      <c r="A177" s="70"/>
      <c r="B177" s="101"/>
      <c r="C177" s="90" t="s">
        <v>242</v>
      </c>
      <c r="D177" s="90" t="s">
        <v>375</v>
      </c>
      <c r="E177" s="153"/>
      <c r="F177" s="150"/>
      <c r="G177" s="150"/>
      <c r="H177" s="152"/>
      <c r="I177" s="152"/>
      <c r="J177" s="152"/>
      <c r="K177" s="152"/>
      <c r="L177" s="152"/>
      <c r="M177" s="79"/>
      <c r="N177" s="210"/>
      <c r="O177" s="210"/>
      <c r="P177" s="210"/>
    </row>
    <row r="178" spans="1:16" ht="15" x14ac:dyDescent="0.25">
      <c r="A178" s="70"/>
      <c r="B178" s="101"/>
      <c r="C178" s="90" t="s">
        <v>23</v>
      </c>
      <c r="D178" s="90" t="s">
        <v>52</v>
      </c>
      <c r="E178" s="79"/>
      <c r="F178" s="150"/>
      <c r="G178" s="150"/>
      <c r="H178" s="152"/>
      <c r="I178" s="152"/>
      <c r="J178" s="152"/>
      <c r="K178" s="152"/>
      <c r="L178" s="152"/>
      <c r="M178" s="85"/>
      <c r="N178" s="210"/>
      <c r="O178" s="210"/>
      <c r="P178" s="210"/>
    </row>
    <row r="179" spans="1:16" ht="15" x14ac:dyDescent="0.25">
      <c r="A179" s="70"/>
      <c r="B179" s="101"/>
      <c r="C179" s="90" t="s">
        <v>243</v>
      </c>
      <c r="D179" s="90" t="s">
        <v>375</v>
      </c>
      <c r="E179" s="153"/>
      <c r="F179" s="150"/>
      <c r="G179" s="150"/>
      <c r="H179" s="152"/>
      <c r="I179" s="152"/>
      <c r="J179" s="152"/>
      <c r="K179" s="152"/>
      <c r="L179" s="152"/>
      <c r="M179" s="79"/>
      <c r="N179" s="210"/>
      <c r="O179" s="210"/>
      <c r="P179" s="210"/>
    </row>
    <row r="180" spans="1:16" ht="15" x14ac:dyDescent="0.25">
      <c r="A180" s="70"/>
      <c r="B180" s="101"/>
      <c r="C180" s="195" t="s">
        <v>155</v>
      </c>
      <c r="D180" s="195" t="s">
        <v>52</v>
      </c>
      <c r="E180" s="79"/>
      <c r="F180" s="150"/>
      <c r="G180" s="150"/>
      <c r="H180" s="152"/>
      <c r="I180" s="152"/>
      <c r="J180" s="152"/>
      <c r="K180" s="152"/>
      <c r="L180" s="152"/>
      <c r="M180" s="85"/>
      <c r="N180" s="210"/>
    </row>
    <row r="181" spans="1:16" ht="15" x14ac:dyDescent="0.25">
      <c r="A181" s="154"/>
      <c r="B181" s="195"/>
      <c r="C181" s="90" t="s">
        <v>156</v>
      </c>
      <c r="D181" s="90"/>
      <c r="E181" s="90"/>
      <c r="F181" s="150"/>
      <c r="G181" s="150"/>
      <c r="H181" s="150"/>
      <c r="I181" s="152"/>
      <c r="J181" s="152"/>
      <c r="K181" s="152"/>
      <c r="L181" s="152"/>
      <c r="M181" s="81"/>
      <c r="N181" s="210"/>
    </row>
    <row r="182" spans="1:16" ht="15" x14ac:dyDescent="0.25">
      <c r="A182" s="211"/>
      <c r="B182" s="211"/>
      <c r="C182" s="212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0"/>
    </row>
    <row r="183" spans="1:16" ht="15" x14ac:dyDescent="0.25">
      <c r="A183" s="211"/>
      <c r="B183" s="211"/>
      <c r="C183" s="212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0"/>
    </row>
    <row r="184" spans="1:16" ht="15" x14ac:dyDescent="0.25">
      <c r="A184" s="211"/>
      <c r="B184" s="211"/>
      <c r="C184" s="212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0"/>
    </row>
    <row r="185" spans="1:16" ht="15" x14ac:dyDescent="0.25">
      <c r="A185" s="155"/>
      <c r="B185" s="155"/>
      <c r="C185" s="213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210"/>
    </row>
    <row r="186" spans="1:16" ht="15" x14ac:dyDescent="0.25">
      <c r="A186" s="156"/>
      <c r="B186" s="156"/>
      <c r="C186" s="69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210"/>
    </row>
    <row r="187" spans="1:16" ht="15" x14ac:dyDescent="0.25">
      <c r="A187" s="157"/>
      <c r="B187" s="157"/>
      <c r="C187" s="214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210"/>
    </row>
    <row r="188" spans="1:16" ht="15" x14ac:dyDescent="0.25">
      <c r="A188" s="157"/>
      <c r="B188" s="157"/>
      <c r="C188" s="212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0"/>
    </row>
    <row r="189" spans="1:16" ht="15" x14ac:dyDescent="0.25">
      <c r="A189" s="155"/>
      <c r="B189" s="155"/>
      <c r="C189" s="212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0"/>
    </row>
    <row r="190" spans="1:16" ht="15" x14ac:dyDescent="0.25">
      <c r="A190" s="155"/>
      <c r="B190" s="155"/>
      <c r="C190" s="213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210"/>
    </row>
    <row r="191" spans="1:16" ht="15" x14ac:dyDescent="0.25">
      <c r="A191" s="210"/>
      <c r="B191" s="210"/>
      <c r="C191" s="215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</row>
    <row r="192" spans="1:16" s="27" customFormat="1" ht="15" x14ac:dyDescent="0.25">
      <c r="A192" s="210"/>
      <c r="B192" s="210"/>
      <c r="C192" s="215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</row>
    <row r="193" spans="1:14" s="27" customFormat="1" ht="15" x14ac:dyDescent="0.25">
      <c r="A193" s="210"/>
      <c r="B193" s="210"/>
      <c r="C193" s="215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</row>
    <row r="194" spans="1:14" s="27" customFormat="1" ht="15" x14ac:dyDescent="0.25">
      <c r="A194" s="210"/>
      <c r="B194" s="210"/>
      <c r="C194" s="215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</row>
    <row r="195" spans="1:14" ht="15" x14ac:dyDescent="0.25">
      <c r="A195" s="210"/>
      <c r="B195" s="210"/>
      <c r="C195" s="215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</row>
    <row r="196" spans="1:14" ht="15" x14ac:dyDescent="0.25">
      <c r="A196" s="210"/>
      <c r="B196" s="210"/>
      <c r="C196" s="215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</row>
    <row r="197" spans="1:14" ht="15" x14ac:dyDescent="0.25">
      <c r="A197" s="210"/>
      <c r="B197" s="210"/>
      <c r="C197" s="215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</row>
  </sheetData>
  <mergeCells count="18">
    <mergeCell ref="A1:M1"/>
    <mergeCell ref="A2:M2"/>
    <mergeCell ref="A3:L3"/>
    <mergeCell ref="A4:D4"/>
    <mergeCell ref="E4:I4"/>
    <mergeCell ref="J4:K4"/>
    <mergeCell ref="A6:A7"/>
    <mergeCell ref="B6:B7"/>
    <mergeCell ref="C6:C7"/>
    <mergeCell ref="D6:D7"/>
    <mergeCell ref="E6:F6"/>
    <mergeCell ref="K6:L6"/>
    <mergeCell ref="M6:M7"/>
    <mergeCell ref="F5:H5"/>
    <mergeCell ref="J5:K5"/>
    <mergeCell ref="L5:M5"/>
    <mergeCell ref="G6:H6"/>
    <mergeCell ref="I6:J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topLeftCell="A7" zoomScaleNormal="100" workbookViewId="0">
      <selection activeCell="D129" sqref="D129"/>
    </sheetView>
  </sheetViews>
  <sheetFormatPr defaultColWidth="9.140625" defaultRowHeight="12.75" x14ac:dyDescent="0.2"/>
  <cols>
    <col min="1" max="1" width="3" style="218" bestFit="1" customWidth="1"/>
    <col min="2" max="2" width="11.42578125" style="218" customWidth="1"/>
    <col min="3" max="3" width="60.140625" style="225" customWidth="1"/>
    <col min="4" max="4" width="7" style="218" customWidth="1"/>
    <col min="5" max="5" width="8.42578125" style="218" customWidth="1"/>
    <col min="6" max="12" width="7" style="218" customWidth="1"/>
    <col min="13" max="13" width="8.42578125" style="218" bestFit="1" customWidth="1"/>
    <col min="14" max="14" width="7.42578125" style="218" bestFit="1" customWidth="1"/>
    <col min="15" max="15" width="8.42578125" style="218" bestFit="1" customWidth="1"/>
    <col min="16" max="16" width="38.42578125" style="218" customWidth="1"/>
    <col min="17" max="16384" width="9.140625" style="218"/>
  </cols>
  <sheetData>
    <row r="1" spans="1:13" ht="13.5" x14ac:dyDescent="0.25">
      <c r="A1" s="294" t="s">
        <v>261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6.6" customHeight="1" x14ac:dyDescent="0.2"/>
    <row r="3" spans="1:13" ht="13.5" x14ac:dyDescent="0.2">
      <c r="A3" s="61"/>
      <c r="B3" s="298" t="s">
        <v>157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3.6" customHeight="1" x14ac:dyDescent="0.2">
      <c r="A4" s="61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16.149999999999999" customHeight="1" x14ac:dyDescent="0.2">
      <c r="A5" s="62"/>
      <c r="B5" s="296" t="s">
        <v>158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</row>
    <row r="6" spans="1:13" ht="6.6" customHeight="1" x14ac:dyDescent="0.2">
      <c r="A6" s="61"/>
      <c r="B6" s="63"/>
      <c r="C6" s="63"/>
      <c r="D6" s="198"/>
      <c r="E6" s="198"/>
      <c r="F6" s="198"/>
      <c r="G6" s="198"/>
      <c r="H6" s="198"/>
      <c r="I6" s="198"/>
      <c r="J6" s="198"/>
      <c r="K6" s="198"/>
      <c r="L6" s="63"/>
      <c r="M6" s="63"/>
    </row>
    <row r="7" spans="1:13" ht="16.149999999999999" customHeight="1" x14ac:dyDescent="0.2">
      <c r="A7" s="297"/>
      <c r="B7" s="297"/>
      <c r="C7" s="297"/>
      <c r="D7" s="297"/>
      <c r="E7" s="297" t="s">
        <v>1</v>
      </c>
      <c r="F7" s="297"/>
      <c r="G7" s="297"/>
      <c r="H7" s="297"/>
      <c r="I7" s="297"/>
      <c r="J7" s="299">
        <f>M131</f>
        <v>0</v>
      </c>
      <c r="K7" s="299"/>
      <c r="L7" s="199" t="s">
        <v>2</v>
      </c>
      <c r="M7" s="68"/>
    </row>
    <row r="8" spans="1:13" ht="6.6" customHeight="1" x14ac:dyDescent="0.2">
      <c r="A8" s="170"/>
      <c r="B8" s="199"/>
      <c r="C8" s="199"/>
      <c r="D8" s="199"/>
      <c r="E8" s="199"/>
      <c r="F8" s="199"/>
      <c r="G8" s="199"/>
      <c r="H8" s="199"/>
      <c r="I8" s="199"/>
      <c r="J8" s="201"/>
      <c r="K8" s="201"/>
      <c r="L8" s="68"/>
      <c r="M8" s="68"/>
    </row>
    <row r="9" spans="1:13" ht="16.149999999999999" customHeight="1" x14ac:dyDescent="0.2">
      <c r="A9" s="170"/>
      <c r="B9" s="165"/>
      <c r="C9" s="165"/>
      <c r="D9" s="165"/>
      <c r="E9" s="165"/>
      <c r="F9" s="291" t="s">
        <v>28</v>
      </c>
      <c r="G9" s="291"/>
      <c r="H9" s="291"/>
      <c r="I9" s="291"/>
      <c r="J9" s="299">
        <f>M132</f>
        <v>0</v>
      </c>
      <c r="K9" s="299"/>
      <c r="L9" s="293" t="s">
        <v>2</v>
      </c>
      <c r="M9" s="293"/>
    </row>
    <row r="10" spans="1:13" ht="5.45" customHeight="1" x14ac:dyDescent="0.2">
      <c r="A10" s="170"/>
      <c r="B10" s="170"/>
      <c r="C10" s="171"/>
      <c r="D10" s="170"/>
      <c r="E10" s="170"/>
      <c r="F10" s="170"/>
      <c r="G10" s="170"/>
      <c r="H10" s="170"/>
      <c r="I10" s="170"/>
      <c r="J10" s="170"/>
      <c r="K10" s="170"/>
      <c r="L10" s="170"/>
      <c r="M10" s="170"/>
    </row>
    <row r="11" spans="1:13" ht="40.15" customHeight="1" x14ac:dyDescent="0.2">
      <c r="A11" s="290" t="s">
        <v>4</v>
      </c>
      <c r="B11" s="290" t="s">
        <v>29</v>
      </c>
      <c r="C11" s="290" t="s">
        <v>30</v>
      </c>
      <c r="D11" s="290" t="s">
        <v>31</v>
      </c>
      <c r="E11" s="290" t="s">
        <v>32</v>
      </c>
      <c r="F11" s="290"/>
      <c r="G11" s="290" t="s">
        <v>33</v>
      </c>
      <c r="H11" s="290"/>
      <c r="I11" s="290" t="s">
        <v>8</v>
      </c>
      <c r="J11" s="290"/>
      <c r="K11" s="290" t="s">
        <v>34</v>
      </c>
      <c r="L11" s="290"/>
      <c r="M11" s="290" t="s">
        <v>35</v>
      </c>
    </row>
    <row r="12" spans="1:13" ht="51" x14ac:dyDescent="0.2">
      <c r="A12" s="290" t="s">
        <v>4</v>
      </c>
      <c r="B12" s="290"/>
      <c r="C12" s="290" t="s">
        <v>30</v>
      </c>
      <c r="D12" s="290" t="s">
        <v>31</v>
      </c>
      <c r="E12" s="195" t="s">
        <v>36</v>
      </c>
      <c r="F12" s="195" t="s">
        <v>37</v>
      </c>
      <c r="G12" s="195" t="s">
        <v>38</v>
      </c>
      <c r="H12" s="195" t="s">
        <v>35</v>
      </c>
      <c r="I12" s="195" t="s">
        <v>38</v>
      </c>
      <c r="J12" s="195" t="s">
        <v>35</v>
      </c>
      <c r="K12" s="195" t="s">
        <v>38</v>
      </c>
      <c r="L12" s="195" t="s">
        <v>35</v>
      </c>
      <c r="M12" s="290" t="s">
        <v>35</v>
      </c>
    </row>
    <row r="13" spans="1:13" x14ac:dyDescent="0.2">
      <c r="A13" s="195">
        <v>1</v>
      </c>
      <c r="B13" s="195">
        <f>A13+1</f>
        <v>2</v>
      </c>
      <c r="C13" s="195">
        <f t="shared" ref="C13:M13" si="0">B13+1</f>
        <v>3</v>
      </c>
      <c r="D13" s="195">
        <f t="shared" si="0"/>
        <v>4</v>
      </c>
      <c r="E13" s="195">
        <f t="shared" si="0"/>
        <v>5</v>
      </c>
      <c r="F13" s="195">
        <f t="shared" si="0"/>
        <v>6</v>
      </c>
      <c r="G13" s="195">
        <f t="shared" si="0"/>
        <v>7</v>
      </c>
      <c r="H13" s="195">
        <f t="shared" si="0"/>
        <v>8</v>
      </c>
      <c r="I13" s="195">
        <f t="shared" si="0"/>
        <v>9</v>
      </c>
      <c r="J13" s="195">
        <f t="shared" si="0"/>
        <v>10</v>
      </c>
      <c r="K13" s="195">
        <f t="shared" si="0"/>
        <v>11</v>
      </c>
      <c r="L13" s="195">
        <f t="shared" si="0"/>
        <v>12</v>
      </c>
      <c r="M13" s="195">
        <f t="shared" si="0"/>
        <v>13</v>
      </c>
    </row>
    <row r="14" spans="1:13" x14ac:dyDescent="0.2">
      <c r="A14" s="195"/>
      <c r="B14" s="195"/>
      <c r="C14" s="195" t="s">
        <v>254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5"/>
    </row>
    <row r="15" spans="1:13" ht="25.5" x14ac:dyDescent="0.2">
      <c r="A15" s="195"/>
      <c r="B15" s="195" t="s">
        <v>40</v>
      </c>
      <c r="C15" s="172" t="s">
        <v>273</v>
      </c>
      <c r="D15" s="134" t="s">
        <v>159</v>
      </c>
      <c r="E15" s="105"/>
      <c r="F15" s="123">
        <v>2</v>
      </c>
      <c r="G15" s="123"/>
      <c r="H15" s="123"/>
      <c r="I15" s="123"/>
      <c r="J15" s="173"/>
      <c r="K15" s="123"/>
      <c r="L15" s="123"/>
      <c r="M15" s="123"/>
    </row>
    <row r="16" spans="1:13" ht="25.5" x14ac:dyDescent="0.2">
      <c r="A16" s="195"/>
      <c r="B16" s="195"/>
      <c r="C16" s="136" t="s">
        <v>41</v>
      </c>
      <c r="D16" s="134" t="s">
        <v>159</v>
      </c>
      <c r="E16" s="86">
        <v>1</v>
      </c>
      <c r="F16" s="78">
        <f>F15*E16</f>
        <v>2</v>
      </c>
      <c r="G16" s="78"/>
      <c r="H16" s="78"/>
      <c r="I16" s="174"/>
      <c r="J16" s="175"/>
      <c r="K16" s="78"/>
      <c r="L16" s="78"/>
      <c r="M16" s="78"/>
    </row>
    <row r="17" spans="1:13" x14ac:dyDescent="0.2">
      <c r="A17" s="195"/>
      <c r="B17" s="195"/>
      <c r="C17" s="136" t="s">
        <v>160</v>
      </c>
      <c r="D17" s="86" t="s">
        <v>52</v>
      </c>
      <c r="E17" s="86">
        <v>14.7</v>
      </c>
      <c r="F17" s="78">
        <f>F15*E17</f>
        <v>29.4</v>
      </c>
      <c r="G17" s="78"/>
      <c r="H17" s="78"/>
      <c r="I17" s="78"/>
      <c r="J17" s="175"/>
      <c r="K17" s="78"/>
      <c r="L17" s="78"/>
      <c r="M17" s="78"/>
    </row>
    <row r="18" spans="1:13" ht="25.5" x14ac:dyDescent="0.2">
      <c r="A18" s="195"/>
      <c r="B18" s="195"/>
      <c r="C18" s="136" t="s">
        <v>266</v>
      </c>
      <c r="D18" s="129" t="s">
        <v>159</v>
      </c>
      <c r="E18" s="176" t="s">
        <v>60</v>
      </c>
      <c r="F18" s="78">
        <v>1</v>
      </c>
      <c r="G18" s="78"/>
      <c r="H18" s="78"/>
      <c r="I18" s="78"/>
      <c r="J18" s="175"/>
      <c r="K18" s="78"/>
      <c r="L18" s="78"/>
      <c r="M18" s="78"/>
    </row>
    <row r="19" spans="1:13" x14ac:dyDescent="0.2">
      <c r="A19" s="195"/>
      <c r="B19" s="195"/>
      <c r="C19" s="136" t="s">
        <v>161</v>
      </c>
      <c r="D19" s="129" t="s">
        <v>78</v>
      </c>
      <c r="E19" s="86">
        <v>1</v>
      </c>
      <c r="F19" s="78">
        <v>1</v>
      </c>
      <c r="G19" s="78"/>
      <c r="H19" s="78"/>
      <c r="I19" s="78"/>
      <c r="J19" s="175"/>
      <c r="K19" s="78"/>
      <c r="L19" s="78"/>
      <c r="M19" s="78"/>
    </row>
    <row r="20" spans="1:13" ht="25.5" x14ac:dyDescent="0.2">
      <c r="A20" s="195"/>
      <c r="B20" s="195" t="s">
        <v>40</v>
      </c>
      <c r="C20" s="177" t="s">
        <v>170</v>
      </c>
      <c r="D20" s="126" t="s">
        <v>187</v>
      </c>
      <c r="E20" s="90"/>
      <c r="F20" s="85">
        <v>2</v>
      </c>
      <c r="G20" s="89"/>
      <c r="H20" s="89"/>
      <c r="I20" s="89"/>
      <c r="J20" s="89"/>
      <c r="K20" s="89"/>
      <c r="L20" s="89"/>
      <c r="M20" s="89"/>
    </row>
    <row r="21" spans="1:13" x14ac:dyDescent="0.2">
      <c r="A21" s="195"/>
      <c r="B21" s="70"/>
      <c r="C21" s="136" t="s">
        <v>41</v>
      </c>
      <c r="D21" s="126" t="s">
        <v>187</v>
      </c>
      <c r="E21" s="90">
        <v>1</v>
      </c>
      <c r="F21" s="79">
        <f>F20*E21</f>
        <v>2</v>
      </c>
      <c r="G21" s="89"/>
      <c r="H21" s="78"/>
      <c r="I21" s="89"/>
      <c r="J21" s="175"/>
      <c r="K21" s="89"/>
      <c r="L21" s="78"/>
      <c r="M21" s="78"/>
    </row>
    <row r="22" spans="1:13" x14ac:dyDescent="0.2">
      <c r="A22" s="195"/>
      <c r="B22" s="90"/>
      <c r="C22" s="136" t="s">
        <v>54</v>
      </c>
      <c r="D22" s="86" t="s">
        <v>52</v>
      </c>
      <c r="E22" s="90">
        <v>2.2999999999999998</v>
      </c>
      <c r="F22" s="79">
        <f>F20*E22</f>
        <v>4.5999999999999996</v>
      </c>
      <c r="G22" s="89"/>
      <c r="H22" s="78"/>
      <c r="I22" s="89"/>
      <c r="J22" s="175"/>
      <c r="K22" s="89"/>
      <c r="L22" s="78"/>
      <c r="M22" s="78"/>
    </row>
    <row r="23" spans="1:13" ht="25.5" x14ac:dyDescent="0.2">
      <c r="A23" s="195"/>
      <c r="B23" s="90" t="s">
        <v>40</v>
      </c>
      <c r="C23" s="136" t="s">
        <v>335</v>
      </c>
      <c r="D23" s="86" t="s">
        <v>52</v>
      </c>
      <c r="E23" s="90" t="s">
        <v>60</v>
      </c>
      <c r="F23" s="79">
        <v>2</v>
      </c>
      <c r="G23" s="89"/>
      <c r="H23" s="78"/>
      <c r="I23" s="89"/>
      <c r="J23" s="175"/>
      <c r="K23" s="89"/>
      <c r="L23" s="78"/>
      <c r="M23" s="78"/>
    </row>
    <row r="24" spans="1:13" x14ac:dyDescent="0.2">
      <c r="A24" s="195"/>
      <c r="B24" s="195"/>
      <c r="C24" s="195" t="s">
        <v>146</v>
      </c>
      <c r="D24" s="195"/>
      <c r="E24" s="195"/>
      <c r="F24" s="85"/>
      <c r="G24" s="178"/>
      <c r="H24" s="178"/>
      <c r="I24" s="178"/>
      <c r="J24" s="178"/>
      <c r="K24" s="178"/>
      <c r="L24" s="178"/>
      <c r="M24" s="178"/>
    </row>
    <row r="25" spans="1:13" x14ac:dyDescent="0.2">
      <c r="A25" s="195"/>
      <c r="B25" s="195"/>
      <c r="C25" s="90" t="s">
        <v>147</v>
      </c>
      <c r="D25" s="90" t="s">
        <v>52</v>
      </c>
      <c r="E25" s="79"/>
      <c r="F25" s="79"/>
      <c r="G25" s="79"/>
      <c r="H25" s="79"/>
      <c r="I25" s="79"/>
      <c r="J25" s="179"/>
      <c r="K25" s="79"/>
      <c r="L25" s="79"/>
      <c r="M25" s="85"/>
    </row>
    <row r="26" spans="1:13" x14ac:dyDescent="0.2">
      <c r="A26" s="195"/>
      <c r="B26" s="195"/>
      <c r="C26" s="90" t="s">
        <v>148</v>
      </c>
      <c r="D26" s="90" t="s">
        <v>52</v>
      </c>
      <c r="E26" s="79"/>
      <c r="F26" s="79"/>
      <c r="G26" s="79"/>
      <c r="H26" s="79"/>
      <c r="I26" s="79"/>
      <c r="J26" s="79"/>
      <c r="K26" s="79"/>
      <c r="L26" s="179"/>
      <c r="M26" s="85"/>
    </row>
    <row r="27" spans="1:13" x14ac:dyDescent="0.2">
      <c r="A27" s="195"/>
      <c r="B27" s="195"/>
      <c r="C27" s="90" t="s">
        <v>149</v>
      </c>
      <c r="D27" s="90" t="s">
        <v>52</v>
      </c>
      <c r="E27" s="79"/>
      <c r="F27" s="79"/>
      <c r="G27" s="79"/>
      <c r="H27" s="179"/>
      <c r="I27" s="79"/>
      <c r="J27" s="79"/>
      <c r="K27" s="79"/>
      <c r="L27" s="79"/>
      <c r="M27" s="85"/>
    </row>
    <row r="28" spans="1:13" x14ac:dyDescent="0.2">
      <c r="A28" s="195"/>
      <c r="B28" s="195"/>
      <c r="C28" s="90" t="s">
        <v>150</v>
      </c>
      <c r="D28" s="90" t="s">
        <v>52</v>
      </c>
      <c r="E28" s="79"/>
      <c r="F28" s="79"/>
      <c r="G28" s="79"/>
      <c r="H28" s="82"/>
      <c r="I28" s="82"/>
      <c r="J28" s="82"/>
      <c r="K28" s="82"/>
      <c r="L28" s="82"/>
      <c r="M28" s="85"/>
    </row>
    <row r="29" spans="1:13" ht="25.5" x14ac:dyDescent="0.2">
      <c r="A29" s="195"/>
      <c r="B29" s="195"/>
      <c r="C29" s="90" t="s">
        <v>151</v>
      </c>
      <c r="D29" s="90"/>
      <c r="E29" s="153"/>
      <c r="F29" s="79"/>
      <c r="G29" s="79"/>
      <c r="H29" s="82"/>
      <c r="I29" s="82"/>
      <c r="J29" s="82"/>
      <c r="K29" s="82"/>
      <c r="L29" s="82"/>
      <c r="M29" s="79"/>
    </row>
    <row r="30" spans="1:13" x14ac:dyDescent="0.2">
      <c r="A30" s="195"/>
      <c r="B30" s="195"/>
      <c r="C30" s="90" t="s">
        <v>152</v>
      </c>
      <c r="D30" s="90"/>
      <c r="E30" s="79"/>
      <c r="F30" s="79"/>
      <c r="G30" s="79"/>
      <c r="H30" s="82"/>
      <c r="I30" s="82"/>
      <c r="J30" s="82"/>
      <c r="K30" s="82"/>
      <c r="L30" s="82"/>
      <c r="M30" s="85"/>
    </row>
    <row r="31" spans="1:13" x14ac:dyDescent="0.2">
      <c r="A31" s="195"/>
      <c r="B31" s="195"/>
      <c r="C31" s="90" t="s">
        <v>153</v>
      </c>
      <c r="D31" s="90" t="s">
        <v>375</v>
      </c>
      <c r="E31" s="153"/>
      <c r="F31" s="79"/>
      <c r="G31" s="79"/>
      <c r="H31" s="82"/>
      <c r="I31" s="82"/>
      <c r="J31" s="82"/>
      <c r="K31" s="82"/>
      <c r="L31" s="82"/>
      <c r="M31" s="79"/>
    </row>
    <row r="32" spans="1:13" x14ac:dyDescent="0.2">
      <c r="A32" s="195"/>
      <c r="B32" s="195"/>
      <c r="C32" s="90" t="s">
        <v>23</v>
      </c>
      <c r="D32" s="90" t="s">
        <v>52</v>
      </c>
      <c r="E32" s="79"/>
      <c r="F32" s="79"/>
      <c r="G32" s="79"/>
      <c r="H32" s="82"/>
      <c r="I32" s="82"/>
      <c r="J32" s="82"/>
      <c r="K32" s="82"/>
      <c r="L32" s="82"/>
      <c r="M32" s="85"/>
    </row>
    <row r="33" spans="1:13" x14ac:dyDescent="0.2">
      <c r="A33" s="195"/>
      <c r="B33" s="195"/>
      <c r="C33" s="90" t="s">
        <v>154</v>
      </c>
      <c r="D33" s="90" t="s">
        <v>375</v>
      </c>
      <c r="E33" s="153"/>
      <c r="F33" s="79"/>
      <c r="G33" s="79"/>
      <c r="H33" s="82"/>
      <c r="I33" s="82"/>
      <c r="J33" s="82"/>
      <c r="K33" s="82"/>
      <c r="L33" s="82"/>
      <c r="M33" s="79"/>
    </row>
    <row r="34" spans="1:13" x14ac:dyDescent="0.2">
      <c r="A34" s="195"/>
      <c r="B34" s="195"/>
      <c r="C34" s="195" t="s">
        <v>253</v>
      </c>
      <c r="D34" s="195" t="s">
        <v>52</v>
      </c>
      <c r="E34" s="79"/>
      <c r="F34" s="79"/>
      <c r="G34" s="79"/>
      <c r="H34" s="82"/>
      <c r="I34" s="82"/>
      <c r="J34" s="82"/>
      <c r="K34" s="82"/>
      <c r="L34" s="82"/>
      <c r="M34" s="85"/>
    </row>
    <row r="35" spans="1:13" ht="25.5" x14ac:dyDescent="0.2">
      <c r="A35" s="83">
        <v>1</v>
      </c>
      <c r="B35" s="180" t="s">
        <v>248</v>
      </c>
      <c r="C35" s="172" t="s">
        <v>336</v>
      </c>
      <c r="D35" s="134" t="s">
        <v>159</v>
      </c>
      <c r="E35" s="105"/>
      <c r="F35" s="123">
        <v>2</v>
      </c>
      <c r="G35" s="123"/>
      <c r="H35" s="123"/>
      <c r="I35" s="123"/>
      <c r="J35" s="173"/>
      <c r="K35" s="123"/>
      <c r="L35" s="123"/>
      <c r="M35" s="123"/>
    </row>
    <row r="36" spans="1:13" x14ac:dyDescent="0.2">
      <c r="A36" s="154"/>
      <c r="B36" s="181"/>
      <c r="C36" s="136" t="s">
        <v>41</v>
      </c>
      <c r="D36" s="129" t="s">
        <v>42</v>
      </c>
      <c r="E36" s="86">
        <v>38.1</v>
      </c>
      <c r="F36" s="78">
        <f>F35*E36</f>
        <v>76.2</v>
      </c>
      <c r="G36" s="78"/>
      <c r="H36" s="78"/>
      <c r="I36" s="174"/>
      <c r="J36" s="175"/>
      <c r="K36" s="78"/>
      <c r="L36" s="78"/>
      <c r="M36" s="123"/>
    </row>
    <row r="37" spans="1:13" x14ac:dyDescent="0.2">
      <c r="A37" s="154"/>
      <c r="B37" s="181"/>
      <c r="C37" s="136" t="s">
        <v>160</v>
      </c>
      <c r="D37" s="86" t="s">
        <v>52</v>
      </c>
      <c r="E37" s="86">
        <v>4.8</v>
      </c>
      <c r="F37" s="78">
        <f>F35*E37</f>
        <v>9.6</v>
      </c>
      <c r="G37" s="78"/>
      <c r="H37" s="78"/>
      <c r="I37" s="174"/>
      <c r="J37" s="175"/>
      <c r="K37" s="78"/>
      <c r="L37" s="78"/>
      <c r="M37" s="123"/>
    </row>
    <row r="38" spans="1:13" x14ac:dyDescent="0.2">
      <c r="A38" s="154"/>
      <c r="B38" s="181"/>
      <c r="C38" s="136" t="s">
        <v>274</v>
      </c>
      <c r="D38" s="129" t="s">
        <v>159</v>
      </c>
      <c r="E38" s="86">
        <v>1</v>
      </c>
      <c r="F38" s="78">
        <f>F35*E38</f>
        <v>2</v>
      </c>
      <c r="G38" s="78"/>
      <c r="H38" s="78"/>
      <c r="I38" s="174"/>
      <c r="J38" s="175"/>
      <c r="K38" s="78"/>
      <c r="L38" s="78"/>
      <c r="M38" s="123"/>
    </row>
    <row r="39" spans="1:13" x14ac:dyDescent="0.2">
      <c r="A39" s="154"/>
      <c r="B39" s="181"/>
      <c r="C39" s="136" t="s">
        <v>161</v>
      </c>
      <c r="D39" s="129"/>
      <c r="E39" s="86">
        <v>1</v>
      </c>
      <c r="F39" s="78">
        <f>F35*E39</f>
        <v>2</v>
      </c>
      <c r="G39" s="78"/>
      <c r="H39" s="78"/>
      <c r="I39" s="174"/>
      <c r="J39" s="175"/>
      <c r="K39" s="78"/>
      <c r="L39" s="78"/>
      <c r="M39" s="123"/>
    </row>
    <row r="40" spans="1:13" x14ac:dyDescent="0.2">
      <c r="A40" s="154"/>
      <c r="B40" s="181"/>
      <c r="C40" s="120" t="s">
        <v>51</v>
      </c>
      <c r="D40" s="90" t="s">
        <v>52</v>
      </c>
      <c r="E40" s="90">
        <v>3.96</v>
      </c>
      <c r="F40" s="79">
        <f>F35*E40</f>
        <v>7.92</v>
      </c>
      <c r="G40" s="89"/>
      <c r="H40" s="78"/>
      <c r="I40" s="174"/>
      <c r="J40" s="175"/>
      <c r="K40" s="78"/>
      <c r="L40" s="78"/>
      <c r="M40" s="123"/>
    </row>
    <row r="41" spans="1:13" ht="38.25" x14ac:dyDescent="0.2">
      <c r="A41" s="154"/>
      <c r="B41" s="180" t="s">
        <v>267</v>
      </c>
      <c r="C41" s="219" t="s">
        <v>268</v>
      </c>
      <c r="D41" s="90"/>
      <c r="E41" s="195" t="s">
        <v>187</v>
      </c>
      <c r="F41" s="220">
        <v>1</v>
      </c>
      <c r="G41" s="82"/>
      <c r="H41" s="191"/>
      <c r="I41" s="221"/>
      <c r="J41" s="221"/>
      <c r="K41" s="191"/>
      <c r="L41" s="191"/>
      <c r="M41" s="79"/>
    </row>
    <row r="42" spans="1:13" x14ac:dyDescent="0.2">
      <c r="A42" s="154"/>
      <c r="B42" s="83"/>
      <c r="C42" s="90" t="s">
        <v>65</v>
      </c>
      <c r="D42" s="90" t="s">
        <v>42</v>
      </c>
      <c r="E42" s="79">
        <v>8.75</v>
      </c>
      <c r="F42" s="191">
        <f>F41*E42</f>
        <v>8.75</v>
      </c>
      <c r="G42" s="221"/>
      <c r="H42" s="222"/>
      <c r="I42" s="79"/>
      <c r="J42" s="191"/>
      <c r="K42" s="221"/>
      <c r="L42" s="221"/>
      <c r="M42" s="79"/>
    </row>
    <row r="43" spans="1:13" x14ac:dyDescent="0.2">
      <c r="A43" s="154"/>
      <c r="B43" s="83"/>
      <c r="C43" s="90" t="s">
        <v>66</v>
      </c>
      <c r="D43" s="90" t="s">
        <v>52</v>
      </c>
      <c r="E43" s="79">
        <v>0.45</v>
      </c>
      <c r="F43" s="191">
        <f>F41*E43</f>
        <v>0.45</v>
      </c>
      <c r="G43" s="221"/>
      <c r="H43" s="222"/>
      <c r="I43" s="221"/>
      <c r="J43" s="221"/>
      <c r="K43" s="191"/>
      <c r="L43" s="191"/>
      <c r="M43" s="79"/>
    </row>
    <row r="44" spans="1:13" x14ac:dyDescent="0.2">
      <c r="A44" s="154"/>
      <c r="B44" s="83"/>
      <c r="C44" s="90" t="s">
        <v>269</v>
      </c>
      <c r="D44" s="90" t="s">
        <v>187</v>
      </c>
      <c r="E44" s="82">
        <v>1</v>
      </c>
      <c r="F44" s="223">
        <f>F41*E44</f>
        <v>1</v>
      </c>
      <c r="G44" s="82"/>
      <c r="H44" s="191"/>
      <c r="I44" s="221"/>
      <c r="J44" s="221"/>
      <c r="K44" s="191"/>
      <c r="L44" s="191"/>
      <c r="M44" s="79"/>
    </row>
    <row r="45" spans="1:13" x14ac:dyDescent="0.2">
      <c r="A45" s="154"/>
      <c r="B45" s="83"/>
      <c r="C45" s="90" t="s">
        <v>270</v>
      </c>
      <c r="D45" s="90" t="s">
        <v>52</v>
      </c>
      <c r="E45" s="82">
        <v>1.64</v>
      </c>
      <c r="F45" s="82">
        <f>F41*E45</f>
        <v>1.64</v>
      </c>
      <c r="G45" s="82"/>
      <c r="H45" s="191"/>
      <c r="I45" s="224"/>
      <c r="J45" s="224"/>
      <c r="K45" s="82"/>
      <c r="L45" s="82"/>
      <c r="M45" s="79"/>
    </row>
    <row r="46" spans="1:13" ht="38.25" x14ac:dyDescent="0.2">
      <c r="A46" s="154"/>
      <c r="B46" s="180" t="s">
        <v>267</v>
      </c>
      <c r="C46" s="219" t="s">
        <v>369</v>
      </c>
      <c r="D46" s="90"/>
      <c r="E46" s="195" t="s">
        <v>187</v>
      </c>
      <c r="F46" s="220">
        <v>1</v>
      </c>
      <c r="G46" s="82"/>
      <c r="H46" s="191"/>
      <c r="I46" s="221"/>
      <c r="J46" s="221"/>
      <c r="K46" s="191"/>
      <c r="L46" s="191"/>
      <c r="M46" s="79"/>
    </row>
    <row r="47" spans="1:13" x14ac:dyDescent="0.2">
      <c r="A47" s="154"/>
      <c r="B47" s="83"/>
      <c r="C47" s="90" t="s">
        <v>65</v>
      </c>
      <c r="D47" s="90" t="s">
        <v>42</v>
      </c>
      <c r="E47" s="79">
        <v>8.75</v>
      </c>
      <c r="F47" s="191">
        <f>F46*E47</f>
        <v>8.75</v>
      </c>
      <c r="G47" s="221"/>
      <c r="H47" s="222"/>
      <c r="I47" s="79"/>
      <c r="J47" s="191"/>
      <c r="K47" s="221"/>
      <c r="L47" s="221"/>
      <c r="M47" s="79"/>
    </row>
    <row r="48" spans="1:13" x14ac:dyDescent="0.2">
      <c r="A48" s="154"/>
      <c r="B48" s="83"/>
      <c r="C48" s="90" t="s">
        <v>66</v>
      </c>
      <c r="D48" s="90" t="s">
        <v>52</v>
      </c>
      <c r="E48" s="79">
        <v>0.45</v>
      </c>
      <c r="F48" s="191">
        <f>F46*E48</f>
        <v>0.45</v>
      </c>
      <c r="G48" s="221"/>
      <c r="H48" s="222"/>
      <c r="I48" s="221"/>
      <c r="J48" s="221"/>
      <c r="K48" s="191"/>
      <c r="L48" s="191"/>
      <c r="M48" s="79"/>
    </row>
    <row r="49" spans="1:13" x14ac:dyDescent="0.2">
      <c r="A49" s="154"/>
      <c r="B49" s="83"/>
      <c r="C49" s="90" t="s">
        <v>370</v>
      </c>
      <c r="D49" s="90" t="s">
        <v>187</v>
      </c>
      <c r="E49" s="82">
        <v>1</v>
      </c>
      <c r="F49" s="223">
        <f>F46*E49</f>
        <v>1</v>
      </c>
      <c r="G49" s="82"/>
      <c r="H49" s="191"/>
      <c r="I49" s="221"/>
      <c r="J49" s="221"/>
      <c r="K49" s="191"/>
      <c r="L49" s="191"/>
      <c r="M49" s="79"/>
    </row>
    <row r="50" spans="1:13" x14ac:dyDescent="0.2">
      <c r="A50" s="154"/>
      <c r="B50" s="83"/>
      <c r="C50" s="90" t="s">
        <v>270</v>
      </c>
      <c r="D50" s="90" t="s">
        <v>52</v>
      </c>
      <c r="E50" s="82">
        <v>1.64</v>
      </c>
      <c r="F50" s="82">
        <f>F46*E50</f>
        <v>1.64</v>
      </c>
      <c r="G50" s="82"/>
      <c r="H50" s="191"/>
      <c r="I50" s="224"/>
      <c r="J50" s="224"/>
      <c r="K50" s="82"/>
      <c r="L50" s="82"/>
      <c r="M50" s="79"/>
    </row>
    <row r="51" spans="1:13" x14ac:dyDescent="0.2">
      <c r="A51" s="126">
        <v>2</v>
      </c>
      <c r="B51" s="182" t="s">
        <v>249</v>
      </c>
      <c r="C51" s="183" t="s">
        <v>337</v>
      </c>
      <c r="D51" s="195" t="s">
        <v>162</v>
      </c>
      <c r="E51" s="126"/>
      <c r="F51" s="184">
        <v>2</v>
      </c>
      <c r="G51" s="185"/>
      <c r="H51" s="78"/>
      <c r="I51" s="185"/>
      <c r="J51" s="175"/>
      <c r="K51" s="178"/>
      <c r="L51" s="78"/>
      <c r="M51" s="78"/>
    </row>
    <row r="52" spans="1:13" x14ac:dyDescent="0.2">
      <c r="A52" s="126"/>
      <c r="B52" s="101"/>
      <c r="C52" s="120" t="s">
        <v>163</v>
      </c>
      <c r="D52" s="90" t="s">
        <v>42</v>
      </c>
      <c r="E52" s="90">
        <v>13.3</v>
      </c>
      <c r="F52" s="79">
        <f>F51*E52</f>
        <v>26.6</v>
      </c>
      <c r="G52" s="89"/>
      <c r="H52" s="78"/>
      <c r="I52" s="174"/>
      <c r="J52" s="175"/>
      <c r="K52" s="78"/>
      <c r="L52" s="78"/>
      <c r="M52" s="123"/>
    </row>
    <row r="53" spans="1:13" x14ac:dyDescent="0.2">
      <c r="A53" s="126"/>
      <c r="B53" s="186"/>
      <c r="C53" s="120" t="s">
        <v>160</v>
      </c>
      <c r="D53" s="90" t="s">
        <v>52</v>
      </c>
      <c r="E53" s="90">
        <v>0.39</v>
      </c>
      <c r="F53" s="79">
        <f>F51*E53</f>
        <v>0.78</v>
      </c>
      <c r="G53" s="89"/>
      <c r="H53" s="78"/>
      <c r="I53" s="174"/>
      <c r="J53" s="175"/>
      <c r="K53" s="78"/>
      <c r="L53" s="78"/>
      <c r="M53" s="123"/>
    </row>
    <row r="54" spans="1:13" x14ac:dyDescent="0.2">
      <c r="A54" s="126"/>
      <c r="B54" s="186"/>
      <c r="C54" s="120" t="s">
        <v>338</v>
      </c>
      <c r="D54" s="90" t="s">
        <v>162</v>
      </c>
      <c r="E54" s="90">
        <v>1</v>
      </c>
      <c r="F54" s="139">
        <f>F51*E54</f>
        <v>2</v>
      </c>
      <c r="G54" s="89"/>
      <c r="H54" s="78"/>
      <c r="I54" s="174"/>
      <c r="J54" s="175"/>
      <c r="K54" s="78"/>
      <c r="L54" s="78"/>
      <c r="M54" s="123"/>
    </row>
    <row r="55" spans="1:13" x14ac:dyDescent="0.2">
      <c r="A55" s="126"/>
      <c r="B55" s="186"/>
      <c r="C55" s="120" t="s">
        <v>51</v>
      </c>
      <c r="D55" s="90" t="s">
        <v>52</v>
      </c>
      <c r="E55" s="90">
        <v>1.58</v>
      </c>
      <c r="F55" s="79">
        <f>F51*E55</f>
        <v>3.16</v>
      </c>
      <c r="G55" s="89"/>
      <c r="H55" s="78"/>
      <c r="I55" s="174"/>
      <c r="J55" s="175"/>
      <c r="K55" s="78"/>
      <c r="L55" s="78"/>
      <c r="M55" s="123"/>
    </row>
    <row r="56" spans="1:13" x14ac:dyDescent="0.2">
      <c r="A56" s="126">
        <v>3</v>
      </c>
      <c r="B56" s="180" t="s">
        <v>250</v>
      </c>
      <c r="C56" s="172" t="s">
        <v>255</v>
      </c>
      <c r="D56" s="105" t="s">
        <v>78</v>
      </c>
      <c r="E56" s="105"/>
      <c r="F56" s="123">
        <v>2</v>
      </c>
      <c r="G56" s="123"/>
      <c r="H56" s="78"/>
      <c r="I56" s="123"/>
      <c r="J56" s="175"/>
      <c r="K56" s="123"/>
      <c r="L56" s="78"/>
      <c r="M56" s="78"/>
    </row>
    <row r="57" spans="1:13" x14ac:dyDescent="0.2">
      <c r="A57" s="154"/>
      <c r="B57" s="181"/>
      <c r="C57" s="136" t="s">
        <v>41</v>
      </c>
      <c r="D57" s="86" t="s">
        <v>42</v>
      </c>
      <c r="E57" s="86">
        <v>3.8</v>
      </c>
      <c r="F57" s="78">
        <f>F56*E57</f>
        <v>7.6</v>
      </c>
      <c r="G57" s="78"/>
      <c r="H57" s="78"/>
      <c r="I57" s="174"/>
      <c r="J57" s="175"/>
      <c r="K57" s="78"/>
      <c r="L57" s="78"/>
      <c r="M57" s="123"/>
    </row>
    <row r="58" spans="1:13" x14ac:dyDescent="0.2">
      <c r="A58" s="154"/>
      <c r="B58" s="181"/>
      <c r="C58" s="136" t="s">
        <v>54</v>
      </c>
      <c r="D58" s="86" t="s">
        <v>52</v>
      </c>
      <c r="E58" s="86">
        <v>0.22</v>
      </c>
      <c r="F58" s="78">
        <f>F56*E58</f>
        <v>0.44</v>
      </c>
      <c r="G58" s="78"/>
      <c r="H58" s="78"/>
      <c r="I58" s="174"/>
      <c r="J58" s="175"/>
      <c r="K58" s="78"/>
      <c r="L58" s="78"/>
      <c r="M58" s="123"/>
    </row>
    <row r="59" spans="1:13" x14ac:dyDescent="0.2">
      <c r="A59" s="154"/>
      <c r="B59" s="181"/>
      <c r="C59" s="124" t="s">
        <v>339</v>
      </c>
      <c r="D59" s="86" t="s">
        <v>78</v>
      </c>
      <c r="E59" s="86">
        <v>1</v>
      </c>
      <c r="F59" s="78">
        <f>F56*E59</f>
        <v>2</v>
      </c>
      <c r="G59" s="78"/>
      <c r="H59" s="78"/>
      <c r="I59" s="174"/>
      <c r="J59" s="175"/>
      <c r="K59" s="78"/>
      <c r="L59" s="78"/>
      <c r="M59" s="123"/>
    </row>
    <row r="60" spans="1:13" x14ac:dyDescent="0.2">
      <c r="A60" s="154"/>
      <c r="B60" s="181"/>
      <c r="C60" s="136" t="s">
        <v>51</v>
      </c>
      <c r="D60" s="86" t="s">
        <v>52</v>
      </c>
      <c r="E60" s="86">
        <v>0.22</v>
      </c>
      <c r="F60" s="78">
        <f>F56*E60</f>
        <v>0.44</v>
      </c>
      <c r="G60" s="78"/>
      <c r="H60" s="78"/>
      <c r="I60" s="174"/>
      <c r="J60" s="175"/>
      <c r="K60" s="78"/>
      <c r="L60" s="78"/>
      <c r="M60" s="123"/>
    </row>
    <row r="61" spans="1:13" x14ac:dyDescent="0.2">
      <c r="A61" s="187"/>
      <c r="B61" s="180"/>
      <c r="C61" s="195" t="s">
        <v>164</v>
      </c>
      <c r="D61" s="105"/>
      <c r="E61" s="105"/>
      <c r="F61" s="123"/>
      <c r="G61" s="123"/>
      <c r="H61" s="123"/>
      <c r="I61" s="123"/>
      <c r="J61" s="123"/>
      <c r="K61" s="123"/>
      <c r="L61" s="123"/>
      <c r="M61" s="123"/>
    </row>
    <row r="62" spans="1:13" x14ac:dyDescent="0.2">
      <c r="A62" s="154"/>
      <c r="B62" s="181"/>
      <c r="C62" s="90" t="s">
        <v>165</v>
      </c>
      <c r="D62" s="90" t="s">
        <v>52</v>
      </c>
      <c r="E62" s="79"/>
      <c r="F62" s="79"/>
      <c r="G62" s="79"/>
      <c r="H62" s="82"/>
      <c r="I62" s="82"/>
      <c r="J62" s="188"/>
      <c r="K62" s="82"/>
      <c r="L62" s="82"/>
      <c r="M62" s="123"/>
    </row>
    <row r="63" spans="1:13" x14ac:dyDescent="0.2">
      <c r="A63" s="154"/>
      <c r="B63" s="181"/>
      <c r="C63" s="90" t="s">
        <v>166</v>
      </c>
      <c r="D63" s="90" t="s">
        <v>52</v>
      </c>
      <c r="E63" s="79"/>
      <c r="F63" s="79"/>
      <c r="G63" s="79"/>
      <c r="H63" s="82"/>
      <c r="I63" s="82"/>
      <c r="J63" s="82"/>
      <c r="K63" s="82"/>
      <c r="L63" s="188"/>
      <c r="M63" s="123"/>
    </row>
    <row r="64" spans="1:13" x14ac:dyDescent="0.2">
      <c r="A64" s="154"/>
      <c r="B64" s="181"/>
      <c r="C64" s="90" t="s">
        <v>167</v>
      </c>
      <c r="D64" s="90" t="s">
        <v>52</v>
      </c>
      <c r="E64" s="79"/>
      <c r="F64" s="79"/>
      <c r="G64" s="79"/>
      <c r="H64" s="188"/>
      <c r="I64" s="82"/>
      <c r="J64" s="82"/>
      <c r="K64" s="82"/>
      <c r="L64" s="82"/>
      <c r="M64" s="123"/>
    </row>
    <row r="65" spans="1:13" x14ac:dyDescent="0.2">
      <c r="A65" s="154"/>
      <c r="B65" s="181"/>
      <c r="C65" s="90" t="s">
        <v>168</v>
      </c>
      <c r="D65" s="90" t="s">
        <v>52</v>
      </c>
      <c r="E65" s="79"/>
      <c r="F65" s="79"/>
      <c r="G65" s="79"/>
      <c r="H65" s="82"/>
      <c r="I65" s="82"/>
      <c r="J65" s="82"/>
      <c r="K65" s="82"/>
      <c r="L65" s="82"/>
      <c r="M65" s="85"/>
    </row>
    <row r="66" spans="1:13" ht="25.5" x14ac:dyDescent="0.2">
      <c r="A66" s="154"/>
      <c r="B66" s="181"/>
      <c r="C66" s="90" t="s">
        <v>151</v>
      </c>
      <c r="D66" s="90"/>
      <c r="E66" s="153"/>
      <c r="F66" s="79"/>
      <c r="G66" s="79"/>
      <c r="H66" s="82"/>
      <c r="I66" s="82"/>
      <c r="J66" s="82"/>
      <c r="K66" s="82"/>
      <c r="L66" s="82"/>
      <c r="M66" s="79"/>
    </row>
    <row r="67" spans="1:13" x14ac:dyDescent="0.2">
      <c r="A67" s="154"/>
      <c r="B67" s="181"/>
      <c r="C67" s="90" t="s">
        <v>152</v>
      </c>
      <c r="D67" s="90"/>
      <c r="E67" s="79"/>
      <c r="F67" s="79"/>
      <c r="G67" s="79"/>
      <c r="H67" s="82"/>
      <c r="I67" s="82"/>
      <c r="J67" s="82"/>
      <c r="K67" s="82"/>
      <c r="L67" s="82"/>
      <c r="M67" s="85"/>
    </row>
    <row r="68" spans="1:13" x14ac:dyDescent="0.2">
      <c r="A68" s="154"/>
      <c r="B68" s="181"/>
      <c r="C68" s="90" t="s">
        <v>251</v>
      </c>
      <c r="D68" s="90" t="s">
        <v>375</v>
      </c>
      <c r="E68" s="153"/>
      <c r="F68" s="79"/>
      <c r="G68" s="79"/>
      <c r="H68" s="82"/>
      <c r="I68" s="82"/>
      <c r="J68" s="82"/>
      <c r="K68" s="82"/>
      <c r="L68" s="82"/>
      <c r="M68" s="79"/>
    </row>
    <row r="69" spans="1:13" x14ac:dyDescent="0.2">
      <c r="A69" s="154"/>
      <c r="B69" s="181"/>
      <c r="C69" s="90" t="s">
        <v>23</v>
      </c>
      <c r="D69" s="90" t="s">
        <v>52</v>
      </c>
      <c r="E69" s="79"/>
      <c r="F69" s="79"/>
      <c r="G69" s="79"/>
      <c r="H69" s="82"/>
      <c r="I69" s="82"/>
      <c r="J69" s="82"/>
      <c r="K69" s="82"/>
      <c r="L69" s="82"/>
      <c r="M69" s="85"/>
    </row>
    <row r="70" spans="1:13" x14ac:dyDescent="0.2">
      <c r="A70" s="154"/>
      <c r="B70" s="181"/>
      <c r="C70" s="90" t="s">
        <v>154</v>
      </c>
      <c r="D70" s="90" t="s">
        <v>375</v>
      </c>
      <c r="E70" s="153"/>
      <c r="F70" s="79"/>
      <c r="G70" s="79"/>
      <c r="H70" s="82"/>
      <c r="I70" s="82"/>
      <c r="J70" s="82"/>
      <c r="K70" s="82"/>
      <c r="L70" s="82"/>
      <c r="M70" s="79"/>
    </row>
    <row r="71" spans="1:13" x14ac:dyDescent="0.2">
      <c r="A71" s="154"/>
      <c r="B71" s="181"/>
      <c r="C71" s="195" t="s">
        <v>258</v>
      </c>
      <c r="D71" s="90" t="s">
        <v>52</v>
      </c>
      <c r="E71" s="79"/>
      <c r="F71" s="79"/>
      <c r="G71" s="79"/>
      <c r="H71" s="82"/>
      <c r="I71" s="82"/>
      <c r="J71" s="82"/>
      <c r="K71" s="82"/>
      <c r="L71" s="82"/>
      <c r="M71" s="85"/>
    </row>
    <row r="72" spans="1:13" x14ac:dyDescent="0.2">
      <c r="A72" s="154"/>
      <c r="B72" s="181"/>
      <c r="C72" s="195" t="s">
        <v>340</v>
      </c>
      <c r="D72" s="90"/>
      <c r="E72" s="79"/>
      <c r="F72" s="79"/>
      <c r="G72" s="79"/>
      <c r="H72" s="82"/>
      <c r="I72" s="82"/>
      <c r="J72" s="82"/>
      <c r="K72" s="82"/>
      <c r="L72" s="82"/>
      <c r="M72" s="85"/>
    </row>
    <row r="73" spans="1:13" ht="38.25" x14ac:dyDescent="0.2">
      <c r="A73" s="154"/>
      <c r="B73" s="70" t="s">
        <v>191</v>
      </c>
      <c r="C73" s="195" t="s">
        <v>192</v>
      </c>
      <c r="D73" s="126" t="s">
        <v>193</v>
      </c>
      <c r="E73" s="189"/>
      <c r="F73" s="190">
        <v>2</v>
      </c>
      <c r="G73" s="191"/>
      <c r="H73" s="191"/>
      <c r="I73" s="191"/>
      <c r="J73" s="191"/>
      <c r="K73" s="191"/>
      <c r="L73" s="191"/>
      <c r="M73" s="191"/>
    </row>
    <row r="74" spans="1:13" x14ac:dyDescent="0.2">
      <c r="A74" s="154"/>
      <c r="B74" s="101" t="s">
        <v>74</v>
      </c>
      <c r="C74" s="90" t="s">
        <v>65</v>
      </c>
      <c r="D74" s="83" t="s">
        <v>49</v>
      </c>
      <c r="E74" s="192">
        <v>1.24</v>
      </c>
      <c r="F74" s="191">
        <f>F73*E74</f>
        <v>2.48</v>
      </c>
      <c r="G74" s="191"/>
      <c r="H74" s="191"/>
      <c r="I74" s="191"/>
      <c r="J74" s="89"/>
      <c r="K74" s="191"/>
      <c r="L74" s="191"/>
      <c r="M74" s="85"/>
    </row>
    <row r="75" spans="1:13" x14ac:dyDescent="0.2">
      <c r="A75" s="154"/>
      <c r="B75" s="101" t="s">
        <v>74</v>
      </c>
      <c r="C75" s="90" t="s">
        <v>81</v>
      </c>
      <c r="D75" s="83" t="s">
        <v>52</v>
      </c>
      <c r="E75" s="192">
        <v>0.26</v>
      </c>
      <c r="F75" s="191">
        <f>F73*E75</f>
        <v>0.52</v>
      </c>
      <c r="G75" s="191"/>
      <c r="H75" s="191"/>
      <c r="I75" s="191"/>
      <c r="J75" s="191"/>
      <c r="K75" s="191"/>
      <c r="L75" s="89"/>
      <c r="M75" s="85"/>
    </row>
    <row r="76" spans="1:13" x14ac:dyDescent="0.2">
      <c r="A76" s="154"/>
      <c r="B76" s="90" t="s">
        <v>40</v>
      </c>
      <c r="C76" s="90" t="s">
        <v>194</v>
      </c>
      <c r="D76" s="83" t="s">
        <v>187</v>
      </c>
      <c r="E76" s="192">
        <v>1</v>
      </c>
      <c r="F76" s="191">
        <f>F73*E76</f>
        <v>2</v>
      </c>
      <c r="G76" s="191"/>
      <c r="H76" s="89"/>
      <c r="I76" s="191"/>
      <c r="J76" s="191"/>
      <c r="K76" s="191"/>
      <c r="L76" s="191"/>
      <c r="M76" s="85"/>
    </row>
    <row r="77" spans="1:13" x14ac:dyDescent="0.2">
      <c r="A77" s="154"/>
      <c r="B77" s="101" t="s">
        <v>74</v>
      </c>
      <c r="C77" s="90" t="s">
        <v>87</v>
      </c>
      <c r="D77" s="83" t="s">
        <v>52</v>
      </c>
      <c r="E77" s="192">
        <v>0.14000000000000001</v>
      </c>
      <c r="F77" s="191">
        <f>F73*E77</f>
        <v>0.28000000000000003</v>
      </c>
      <c r="G77" s="191"/>
      <c r="H77" s="89"/>
      <c r="I77" s="191"/>
      <c r="J77" s="191"/>
      <c r="K77" s="191"/>
      <c r="L77" s="191"/>
      <c r="M77" s="85"/>
    </row>
    <row r="78" spans="1:13" x14ac:dyDescent="0.2">
      <c r="A78" s="154"/>
      <c r="B78" s="70" t="s">
        <v>252</v>
      </c>
      <c r="C78" s="195" t="s">
        <v>341</v>
      </c>
      <c r="D78" s="195" t="s">
        <v>98</v>
      </c>
      <c r="E78" s="126"/>
      <c r="F78" s="85">
        <v>8</v>
      </c>
      <c r="G78" s="178"/>
      <c r="H78" s="89"/>
      <c r="I78" s="178"/>
      <c r="J78" s="89"/>
      <c r="K78" s="178"/>
      <c r="L78" s="89"/>
      <c r="M78" s="82"/>
    </row>
    <row r="79" spans="1:13" x14ac:dyDescent="0.2">
      <c r="A79" s="154"/>
      <c r="B79" s="101"/>
      <c r="C79" s="90" t="s">
        <v>41</v>
      </c>
      <c r="D79" s="90" t="s">
        <v>42</v>
      </c>
      <c r="E79" s="83">
        <v>1.35</v>
      </c>
      <c r="F79" s="79">
        <f>F78*E79</f>
        <v>10.8</v>
      </c>
      <c r="G79" s="89"/>
      <c r="H79" s="89"/>
      <c r="I79" s="89"/>
      <c r="J79" s="89"/>
      <c r="K79" s="89"/>
      <c r="L79" s="89"/>
      <c r="M79" s="178"/>
    </row>
    <row r="80" spans="1:13" x14ac:dyDescent="0.2">
      <c r="A80" s="154"/>
      <c r="B80" s="186"/>
      <c r="C80" s="90" t="s">
        <v>174</v>
      </c>
      <c r="D80" s="90" t="s">
        <v>52</v>
      </c>
      <c r="E80" s="83">
        <v>3.1399999999999997E-2</v>
      </c>
      <c r="F80" s="79">
        <f>F78*E80</f>
        <v>0.25119999999999998</v>
      </c>
      <c r="G80" s="89"/>
      <c r="H80" s="89"/>
      <c r="I80" s="89"/>
      <c r="J80" s="89"/>
      <c r="K80" s="89"/>
      <c r="L80" s="89"/>
      <c r="M80" s="178"/>
    </row>
    <row r="81" spans="1:13" x14ac:dyDescent="0.2">
      <c r="A81" s="154"/>
      <c r="B81" s="186"/>
      <c r="C81" s="90" t="s">
        <v>342</v>
      </c>
      <c r="D81" s="90" t="s">
        <v>98</v>
      </c>
      <c r="E81" s="83">
        <v>0.94599999999999995</v>
      </c>
      <c r="F81" s="79">
        <f>F78*E81</f>
        <v>7.5679999999999996</v>
      </c>
      <c r="G81" s="89"/>
      <c r="H81" s="89"/>
      <c r="I81" s="89"/>
      <c r="J81" s="89"/>
      <c r="K81" s="89"/>
      <c r="L81" s="89"/>
      <c r="M81" s="178"/>
    </row>
    <row r="82" spans="1:13" x14ac:dyDescent="0.2">
      <c r="A82" s="154"/>
      <c r="B82" s="186"/>
      <c r="C82" s="90" t="s">
        <v>51</v>
      </c>
      <c r="D82" s="90" t="s">
        <v>52</v>
      </c>
      <c r="E82" s="83">
        <v>6.5199999999999994E-2</v>
      </c>
      <c r="F82" s="79">
        <f>F78*E82</f>
        <v>0.52159999999999995</v>
      </c>
      <c r="G82" s="89"/>
      <c r="H82" s="89"/>
      <c r="I82" s="89"/>
      <c r="J82" s="89"/>
      <c r="K82" s="89"/>
      <c r="L82" s="89"/>
      <c r="M82" s="178"/>
    </row>
    <row r="83" spans="1:13" x14ac:dyDescent="0.2">
      <c r="A83" s="154"/>
      <c r="B83" s="70" t="s">
        <v>252</v>
      </c>
      <c r="C83" s="195" t="s">
        <v>343</v>
      </c>
      <c r="D83" s="195" t="s">
        <v>98</v>
      </c>
      <c r="E83" s="126"/>
      <c r="F83" s="85">
        <v>16</v>
      </c>
      <c r="G83" s="89"/>
      <c r="H83" s="78"/>
      <c r="I83" s="89"/>
      <c r="J83" s="175"/>
      <c r="K83" s="89"/>
      <c r="L83" s="78"/>
      <c r="M83" s="78"/>
    </row>
    <row r="84" spans="1:13" x14ac:dyDescent="0.2">
      <c r="A84" s="154"/>
      <c r="B84" s="101"/>
      <c r="C84" s="90" t="s">
        <v>41</v>
      </c>
      <c r="D84" s="90" t="s">
        <v>42</v>
      </c>
      <c r="E84" s="83">
        <v>1.35</v>
      </c>
      <c r="F84" s="79">
        <f>F83*E84</f>
        <v>21.6</v>
      </c>
      <c r="G84" s="89"/>
      <c r="H84" s="89"/>
      <c r="I84" s="89"/>
      <c r="J84" s="89"/>
      <c r="K84" s="89"/>
      <c r="L84" s="89"/>
      <c r="M84" s="178"/>
    </row>
    <row r="85" spans="1:13" x14ac:dyDescent="0.2">
      <c r="A85" s="154"/>
      <c r="B85" s="186"/>
      <c r="C85" s="90" t="s">
        <v>174</v>
      </c>
      <c r="D85" s="90" t="s">
        <v>52</v>
      </c>
      <c r="E85" s="83">
        <v>3.1399999999999997E-2</v>
      </c>
      <c r="F85" s="79">
        <f>F83*E85</f>
        <v>0.50239999999999996</v>
      </c>
      <c r="G85" s="89"/>
      <c r="H85" s="89"/>
      <c r="I85" s="89"/>
      <c r="J85" s="89"/>
      <c r="K85" s="89"/>
      <c r="L85" s="89"/>
      <c r="M85" s="178"/>
    </row>
    <row r="86" spans="1:13" x14ac:dyDescent="0.2">
      <c r="A86" s="154"/>
      <c r="B86" s="186"/>
      <c r="C86" s="90" t="s">
        <v>344</v>
      </c>
      <c r="D86" s="90" t="s">
        <v>98</v>
      </c>
      <c r="E86" s="83">
        <v>0.94599999999999995</v>
      </c>
      <c r="F86" s="79">
        <f>F83*E86</f>
        <v>15.135999999999999</v>
      </c>
      <c r="G86" s="89"/>
      <c r="H86" s="89"/>
      <c r="I86" s="89"/>
      <c r="J86" s="89"/>
      <c r="K86" s="89"/>
      <c r="L86" s="89"/>
      <c r="M86" s="178"/>
    </row>
    <row r="87" spans="1:13" x14ac:dyDescent="0.2">
      <c r="A87" s="154"/>
      <c r="B87" s="186"/>
      <c r="C87" s="90" t="s">
        <v>51</v>
      </c>
      <c r="D87" s="90" t="s">
        <v>52</v>
      </c>
      <c r="E87" s="83">
        <v>6.5199999999999994E-2</v>
      </c>
      <c r="F87" s="79">
        <f>F83*E87</f>
        <v>1.0431999999999999</v>
      </c>
      <c r="G87" s="89"/>
      <c r="H87" s="89"/>
      <c r="I87" s="89"/>
      <c r="J87" s="89"/>
      <c r="K87" s="89"/>
      <c r="L87" s="89"/>
      <c r="M87" s="178"/>
    </row>
    <row r="88" spans="1:13" ht="25.5" x14ac:dyDescent="0.2">
      <c r="A88" s="126">
        <v>1</v>
      </c>
      <c r="B88" s="70" t="s">
        <v>169</v>
      </c>
      <c r="C88" s="177" t="s">
        <v>170</v>
      </c>
      <c r="D88" s="105" t="s">
        <v>78</v>
      </c>
      <c r="E88" s="105"/>
      <c r="F88" s="139">
        <f>SUM(F91:F118)</f>
        <v>138</v>
      </c>
      <c r="G88" s="123"/>
      <c r="H88" s="78"/>
      <c r="I88" s="123"/>
      <c r="J88" s="175"/>
      <c r="K88" s="123"/>
      <c r="L88" s="78"/>
      <c r="M88" s="78"/>
    </row>
    <row r="89" spans="1:13" x14ac:dyDescent="0.2">
      <c r="A89" s="83">
        <v>1</v>
      </c>
      <c r="B89" s="101"/>
      <c r="C89" s="136" t="s">
        <v>41</v>
      </c>
      <c r="D89" s="86" t="s">
        <v>42</v>
      </c>
      <c r="E89" s="90">
        <v>1.51</v>
      </c>
      <c r="F89" s="79">
        <f>F88*E89</f>
        <v>208.38</v>
      </c>
      <c r="G89" s="89"/>
      <c r="H89" s="78"/>
      <c r="I89" s="89"/>
      <c r="J89" s="175"/>
      <c r="K89" s="89"/>
      <c r="L89" s="78"/>
      <c r="M89" s="78"/>
    </row>
    <row r="90" spans="1:13" x14ac:dyDescent="0.2">
      <c r="A90" s="83">
        <f t="shared" ref="A90:A119" si="1">A89+1</f>
        <v>2</v>
      </c>
      <c r="B90" s="186"/>
      <c r="C90" s="136" t="s">
        <v>54</v>
      </c>
      <c r="D90" s="86" t="s">
        <v>52</v>
      </c>
      <c r="E90" s="90">
        <v>0.13</v>
      </c>
      <c r="F90" s="79">
        <f>F88*E90</f>
        <v>17.940000000000001</v>
      </c>
      <c r="G90" s="89"/>
      <c r="H90" s="78"/>
      <c r="I90" s="89"/>
      <c r="J90" s="175"/>
      <c r="K90" s="89"/>
      <c r="L90" s="78"/>
      <c r="M90" s="78"/>
    </row>
    <row r="91" spans="1:13" ht="25.5" x14ac:dyDescent="0.2">
      <c r="A91" s="83">
        <f t="shared" si="1"/>
        <v>3</v>
      </c>
      <c r="B91" s="186"/>
      <c r="C91" s="136" t="s">
        <v>345</v>
      </c>
      <c r="D91" s="86" t="s">
        <v>78</v>
      </c>
      <c r="E91" s="86" t="s">
        <v>60</v>
      </c>
      <c r="F91" s="139">
        <v>2</v>
      </c>
      <c r="G91" s="79"/>
      <c r="H91" s="78"/>
      <c r="I91" s="89"/>
      <c r="J91" s="175"/>
      <c r="K91" s="89"/>
      <c r="L91" s="78"/>
      <c r="M91" s="78"/>
    </row>
    <row r="92" spans="1:13" ht="25.5" x14ac:dyDescent="0.2">
      <c r="A92" s="83"/>
      <c r="B92" s="186"/>
      <c r="C92" s="136" t="s">
        <v>371</v>
      </c>
      <c r="D92" s="86" t="s">
        <v>78</v>
      </c>
      <c r="E92" s="86" t="s">
        <v>60</v>
      </c>
      <c r="F92" s="139">
        <v>2</v>
      </c>
      <c r="G92" s="79"/>
      <c r="H92" s="78"/>
      <c r="I92" s="89"/>
      <c r="J92" s="175"/>
      <c r="K92" s="89"/>
      <c r="L92" s="78"/>
      <c r="M92" s="78"/>
    </row>
    <row r="93" spans="1:13" ht="25.5" x14ac:dyDescent="0.2">
      <c r="A93" s="83">
        <f>A91+1</f>
        <v>4</v>
      </c>
      <c r="B93" s="186"/>
      <c r="C93" s="136" t="s">
        <v>346</v>
      </c>
      <c r="D93" s="86" t="s">
        <v>78</v>
      </c>
      <c r="E93" s="86" t="s">
        <v>60</v>
      </c>
      <c r="F93" s="139">
        <v>2</v>
      </c>
      <c r="G93" s="79"/>
      <c r="H93" s="78"/>
      <c r="I93" s="89"/>
      <c r="J93" s="175"/>
      <c r="K93" s="89"/>
      <c r="L93" s="78"/>
      <c r="M93" s="78"/>
    </row>
    <row r="94" spans="1:13" ht="25.5" x14ac:dyDescent="0.2">
      <c r="A94" s="83">
        <f t="shared" si="1"/>
        <v>5</v>
      </c>
      <c r="B94" s="186"/>
      <c r="C94" s="136" t="s">
        <v>347</v>
      </c>
      <c r="D94" s="86" t="s">
        <v>78</v>
      </c>
      <c r="E94" s="86" t="s">
        <v>60</v>
      </c>
      <c r="F94" s="193">
        <v>2</v>
      </c>
      <c r="G94" s="89"/>
      <c r="H94" s="78"/>
      <c r="I94" s="78"/>
      <c r="J94" s="175"/>
      <c r="K94" s="78"/>
      <c r="L94" s="78"/>
      <c r="M94" s="78"/>
    </row>
    <row r="95" spans="1:13" ht="25.5" x14ac:dyDescent="0.2">
      <c r="A95" s="83"/>
      <c r="B95" s="186"/>
      <c r="C95" s="136" t="s">
        <v>372</v>
      </c>
      <c r="D95" s="86" t="s">
        <v>78</v>
      </c>
      <c r="E95" s="86" t="s">
        <v>60</v>
      </c>
      <c r="F95" s="193">
        <v>2</v>
      </c>
      <c r="G95" s="89"/>
      <c r="H95" s="78"/>
      <c r="I95" s="78"/>
      <c r="J95" s="175"/>
      <c r="K95" s="78"/>
      <c r="L95" s="78"/>
      <c r="M95" s="78"/>
    </row>
    <row r="96" spans="1:13" ht="25.5" x14ac:dyDescent="0.2">
      <c r="A96" s="83">
        <f>A94+1</f>
        <v>6</v>
      </c>
      <c r="B96" s="186"/>
      <c r="C96" s="136" t="s">
        <v>348</v>
      </c>
      <c r="D96" s="86" t="s">
        <v>78</v>
      </c>
      <c r="E96" s="86" t="s">
        <v>60</v>
      </c>
      <c r="F96" s="193">
        <v>2</v>
      </c>
      <c r="G96" s="89"/>
      <c r="H96" s="78"/>
      <c r="I96" s="78"/>
      <c r="J96" s="175"/>
      <c r="K96" s="78"/>
      <c r="L96" s="78"/>
      <c r="M96" s="78"/>
    </row>
    <row r="97" spans="1:13" ht="25.5" x14ac:dyDescent="0.2">
      <c r="A97" s="83"/>
      <c r="B97" s="186"/>
      <c r="C97" s="136" t="s">
        <v>373</v>
      </c>
      <c r="D97" s="86" t="s">
        <v>78</v>
      </c>
      <c r="E97" s="86" t="s">
        <v>60</v>
      </c>
      <c r="F97" s="193">
        <v>2</v>
      </c>
      <c r="G97" s="89"/>
      <c r="H97" s="78"/>
      <c r="I97" s="78"/>
      <c r="J97" s="175"/>
      <c r="K97" s="78"/>
      <c r="L97" s="78"/>
      <c r="M97" s="78"/>
    </row>
    <row r="98" spans="1:13" ht="25.5" x14ac:dyDescent="0.2">
      <c r="A98" s="83">
        <f>A96+1</f>
        <v>7</v>
      </c>
      <c r="B98" s="186"/>
      <c r="C98" s="136" t="s">
        <v>349</v>
      </c>
      <c r="D98" s="86" t="s">
        <v>78</v>
      </c>
      <c r="E98" s="86" t="s">
        <v>60</v>
      </c>
      <c r="F98" s="139">
        <v>2</v>
      </c>
      <c r="G98" s="89"/>
      <c r="H98" s="78"/>
      <c r="I98" s="89"/>
      <c r="J98" s="175"/>
      <c r="K98" s="89"/>
      <c r="L98" s="78"/>
      <c r="M98" s="78"/>
    </row>
    <row r="99" spans="1:13" ht="25.5" x14ac:dyDescent="0.2">
      <c r="A99" s="83"/>
      <c r="B99" s="186"/>
      <c r="C99" s="136" t="s">
        <v>374</v>
      </c>
      <c r="D99" s="86" t="s">
        <v>78</v>
      </c>
      <c r="E99" s="86" t="s">
        <v>60</v>
      </c>
      <c r="F99" s="139">
        <v>2</v>
      </c>
      <c r="G99" s="89"/>
      <c r="H99" s="78"/>
      <c r="I99" s="89"/>
      <c r="J99" s="175"/>
      <c r="K99" s="89"/>
      <c r="L99" s="78"/>
      <c r="M99" s="78"/>
    </row>
    <row r="100" spans="1:13" ht="25.5" x14ac:dyDescent="0.2">
      <c r="A100" s="83">
        <f>A98+1</f>
        <v>8</v>
      </c>
      <c r="B100" s="186"/>
      <c r="C100" s="136" t="s">
        <v>350</v>
      </c>
      <c r="D100" s="86" t="s">
        <v>78</v>
      </c>
      <c r="E100" s="86" t="s">
        <v>60</v>
      </c>
      <c r="F100" s="139">
        <v>8</v>
      </c>
      <c r="G100" s="79"/>
      <c r="H100" s="78"/>
      <c r="I100" s="89"/>
      <c r="J100" s="175"/>
      <c r="K100" s="89"/>
      <c r="L100" s="78"/>
      <c r="M100" s="78"/>
    </row>
    <row r="101" spans="1:13" ht="25.5" x14ac:dyDescent="0.2">
      <c r="A101" s="83">
        <f>A100+1</f>
        <v>9</v>
      </c>
      <c r="B101" s="186"/>
      <c r="C101" s="120" t="s">
        <v>351</v>
      </c>
      <c r="D101" s="86" t="s">
        <v>78</v>
      </c>
      <c r="E101" s="86" t="s">
        <v>60</v>
      </c>
      <c r="F101" s="139">
        <v>4</v>
      </c>
      <c r="G101" s="79"/>
      <c r="H101" s="78"/>
      <c r="I101" s="89"/>
      <c r="J101" s="175"/>
      <c r="K101" s="89"/>
      <c r="L101" s="78"/>
      <c r="M101" s="78"/>
    </row>
    <row r="102" spans="1:13" ht="25.5" x14ac:dyDescent="0.2">
      <c r="A102" s="83">
        <f t="shared" si="1"/>
        <v>10</v>
      </c>
      <c r="B102" s="186"/>
      <c r="C102" s="136" t="s">
        <v>352</v>
      </c>
      <c r="D102" s="86" t="s">
        <v>78</v>
      </c>
      <c r="E102" s="86" t="s">
        <v>60</v>
      </c>
      <c r="F102" s="139">
        <v>2</v>
      </c>
      <c r="G102" s="79"/>
      <c r="H102" s="78"/>
      <c r="I102" s="89"/>
      <c r="J102" s="175"/>
      <c r="K102" s="89"/>
      <c r="L102" s="78"/>
      <c r="M102" s="78"/>
    </row>
    <row r="103" spans="1:13" ht="25.5" x14ac:dyDescent="0.2">
      <c r="A103" s="83">
        <f t="shared" si="1"/>
        <v>11</v>
      </c>
      <c r="B103" s="186"/>
      <c r="C103" s="136" t="s">
        <v>353</v>
      </c>
      <c r="D103" s="86" t="s">
        <v>78</v>
      </c>
      <c r="E103" s="86" t="s">
        <v>60</v>
      </c>
      <c r="F103" s="139">
        <v>12</v>
      </c>
      <c r="G103" s="79"/>
      <c r="H103" s="78"/>
      <c r="I103" s="89"/>
      <c r="J103" s="175"/>
      <c r="K103" s="89"/>
      <c r="L103" s="78"/>
      <c r="M103" s="78"/>
    </row>
    <row r="104" spans="1:13" ht="25.5" x14ac:dyDescent="0.2">
      <c r="A104" s="83">
        <f t="shared" si="1"/>
        <v>12</v>
      </c>
      <c r="B104" s="186"/>
      <c r="C104" s="136" t="s">
        <v>354</v>
      </c>
      <c r="D104" s="86" t="s">
        <v>78</v>
      </c>
      <c r="E104" s="86" t="s">
        <v>60</v>
      </c>
      <c r="F104" s="139">
        <v>18</v>
      </c>
      <c r="G104" s="79"/>
      <c r="H104" s="78"/>
      <c r="I104" s="89"/>
      <c r="J104" s="175"/>
      <c r="K104" s="89"/>
      <c r="L104" s="78"/>
      <c r="M104" s="78"/>
    </row>
    <row r="105" spans="1:13" ht="25.5" x14ac:dyDescent="0.2">
      <c r="A105" s="83">
        <f t="shared" si="1"/>
        <v>13</v>
      </c>
      <c r="B105" s="186"/>
      <c r="C105" s="124" t="s">
        <v>355</v>
      </c>
      <c r="D105" s="86" t="s">
        <v>78</v>
      </c>
      <c r="E105" s="86" t="s">
        <v>60</v>
      </c>
      <c r="F105" s="139">
        <v>2</v>
      </c>
      <c r="G105" s="79"/>
      <c r="H105" s="78"/>
      <c r="I105" s="89"/>
      <c r="J105" s="175"/>
      <c r="K105" s="89"/>
      <c r="L105" s="78"/>
      <c r="M105" s="78"/>
    </row>
    <row r="106" spans="1:13" ht="25.5" x14ac:dyDescent="0.2">
      <c r="A106" s="83">
        <f t="shared" si="1"/>
        <v>14</v>
      </c>
      <c r="B106" s="186"/>
      <c r="C106" s="136" t="s">
        <v>356</v>
      </c>
      <c r="D106" s="86" t="s">
        <v>78</v>
      </c>
      <c r="E106" s="86" t="s">
        <v>60</v>
      </c>
      <c r="F106" s="139">
        <v>2</v>
      </c>
      <c r="G106" s="79"/>
      <c r="H106" s="78"/>
      <c r="I106" s="89"/>
      <c r="J106" s="175"/>
      <c r="K106" s="89"/>
      <c r="L106" s="78"/>
      <c r="M106" s="78"/>
    </row>
    <row r="107" spans="1:13" ht="25.5" x14ac:dyDescent="0.2">
      <c r="A107" s="83">
        <f t="shared" si="1"/>
        <v>15</v>
      </c>
      <c r="B107" s="186"/>
      <c r="C107" s="136" t="s">
        <v>357</v>
      </c>
      <c r="D107" s="86" t="s">
        <v>78</v>
      </c>
      <c r="E107" s="86" t="s">
        <v>60</v>
      </c>
      <c r="F107" s="139">
        <v>2</v>
      </c>
      <c r="G107" s="79"/>
      <c r="H107" s="78"/>
      <c r="I107" s="89"/>
      <c r="J107" s="175"/>
      <c r="K107" s="89"/>
      <c r="L107" s="78"/>
      <c r="M107" s="78"/>
    </row>
    <row r="108" spans="1:13" ht="25.5" x14ac:dyDescent="0.2">
      <c r="A108" s="83">
        <f t="shared" si="1"/>
        <v>16</v>
      </c>
      <c r="B108" s="186"/>
      <c r="C108" s="136" t="s">
        <v>358</v>
      </c>
      <c r="D108" s="86" t="s">
        <v>78</v>
      </c>
      <c r="E108" s="86" t="s">
        <v>60</v>
      </c>
      <c r="F108" s="139">
        <v>24</v>
      </c>
      <c r="G108" s="79"/>
      <c r="H108" s="78"/>
      <c r="I108" s="89"/>
      <c r="J108" s="175"/>
      <c r="K108" s="89"/>
      <c r="L108" s="78"/>
      <c r="M108" s="78"/>
    </row>
    <row r="109" spans="1:13" ht="25.5" x14ac:dyDescent="0.2">
      <c r="A109" s="83">
        <f t="shared" si="1"/>
        <v>17</v>
      </c>
      <c r="B109" s="186"/>
      <c r="C109" s="124" t="s">
        <v>359</v>
      </c>
      <c r="D109" s="86" t="s">
        <v>78</v>
      </c>
      <c r="E109" s="86" t="s">
        <v>60</v>
      </c>
      <c r="F109" s="139">
        <v>4</v>
      </c>
      <c r="G109" s="79"/>
      <c r="H109" s="78"/>
      <c r="I109" s="89"/>
      <c r="J109" s="175"/>
      <c r="K109" s="89"/>
      <c r="L109" s="78"/>
      <c r="M109" s="78"/>
    </row>
    <row r="110" spans="1:13" ht="25.5" x14ac:dyDescent="0.2">
      <c r="A110" s="83">
        <f t="shared" si="1"/>
        <v>18</v>
      </c>
      <c r="B110" s="186"/>
      <c r="C110" s="120" t="s">
        <v>360</v>
      </c>
      <c r="D110" s="86" t="s">
        <v>78</v>
      </c>
      <c r="E110" s="86" t="s">
        <v>60</v>
      </c>
      <c r="F110" s="139">
        <v>2</v>
      </c>
      <c r="G110" s="89"/>
      <c r="H110" s="78"/>
      <c r="I110" s="89"/>
      <c r="J110" s="175"/>
      <c r="K110" s="89"/>
      <c r="L110" s="78"/>
      <c r="M110" s="78"/>
    </row>
    <row r="111" spans="1:13" ht="25.5" x14ac:dyDescent="0.2">
      <c r="A111" s="83"/>
      <c r="B111" s="186"/>
      <c r="C111" s="120" t="s">
        <v>361</v>
      </c>
      <c r="D111" s="86" t="s">
        <v>78</v>
      </c>
      <c r="E111" s="86" t="s">
        <v>60</v>
      </c>
      <c r="F111" s="139">
        <v>2</v>
      </c>
      <c r="G111" s="89"/>
      <c r="H111" s="78"/>
      <c r="I111" s="89"/>
      <c r="J111" s="175"/>
      <c r="K111" s="89"/>
      <c r="L111" s="78"/>
      <c r="M111" s="78"/>
    </row>
    <row r="112" spans="1:13" ht="25.5" x14ac:dyDescent="0.2">
      <c r="A112" s="83">
        <f>A110+1</f>
        <v>19</v>
      </c>
      <c r="B112" s="186"/>
      <c r="C112" s="120" t="s">
        <v>362</v>
      </c>
      <c r="D112" s="86" t="s">
        <v>78</v>
      </c>
      <c r="E112" s="86" t="s">
        <v>60</v>
      </c>
      <c r="F112" s="139">
        <v>2</v>
      </c>
      <c r="G112" s="89"/>
      <c r="H112" s="78"/>
      <c r="I112" s="89"/>
      <c r="J112" s="175"/>
      <c r="K112" s="89"/>
      <c r="L112" s="78"/>
      <c r="M112" s="78"/>
    </row>
    <row r="113" spans="1:13" ht="25.5" x14ac:dyDescent="0.2">
      <c r="A113" s="83">
        <f t="shared" si="1"/>
        <v>20</v>
      </c>
      <c r="B113" s="186"/>
      <c r="C113" s="120" t="s">
        <v>363</v>
      </c>
      <c r="D113" s="86" t="s">
        <v>78</v>
      </c>
      <c r="E113" s="86" t="s">
        <v>60</v>
      </c>
      <c r="F113" s="139">
        <v>12</v>
      </c>
      <c r="G113" s="89"/>
      <c r="H113" s="78"/>
      <c r="I113" s="89"/>
      <c r="J113" s="175"/>
      <c r="K113" s="89"/>
      <c r="L113" s="78"/>
      <c r="M113" s="78"/>
    </row>
    <row r="114" spans="1:13" ht="25.5" x14ac:dyDescent="0.2">
      <c r="A114" s="83">
        <f t="shared" si="1"/>
        <v>21</v>
      </c>
      <c r="B114" s="186"/>
      <c r="C114" s="136" t="s">
        <v>364</v>
      </c>
      <c r="D114" s="86" t="s">
        <v>78</v>
      </c>
      <c r="E114" s="86" t="s">
        <v>60</v>
      </c>
      <c r="F114" s="139">
        <v>12</v>
      </c>
      <c r="G114" s="89"/>
      <c r="H114" s="78"/>
      <c r="I114" s="89"/>
      <c r="J114" s="175"/>
      <c r="K114" s="89"/>
      <c r="L114" s="78"/>
      <c r="M114" s="78"/>
    </row>
    <row r="115" spans="1:13" ht="25.5" x14ac:dyDescent="0.2">
      <c r="A115" s="83">
        <f t="shared" si="1"/>
        <v>22</v>
      </c>
      <c r="B115" s="186"/>
      <c r="C115" s="120" t="s">
        <v>365</v>
      </c>
      <c r="D115" s="86" t="s">
        <v>78</v>
      </c>
      <c r="E115" s="86" t="s">
        <v>60</v>
      </c>
      <c r="F115" s="139">
        <v>4</v>
      </c>
      <c r="G115" s="89"/>
      <c r="H115" s="78"/>
      <c r="I115" s="89"/>
      <c r="J115" s="175"/>
      <c r="K115" s="89"/>
      <c r="L115" s="78"/>
      <c r="M115" s="78"/>
    </row>
    <row r="116" spans="1:13" ht="25.5" x14ac:dyDescent="0.2">
      <c r="A116" s="83">
        <f t="shared" si="1"/>
        <v>23</v>
      </c>
      <c r="B116" s="186"/>
      <c r="C116" s="120" t="s">
        <v>366</v>
      </c>
      <c r="D116" s="86" t="s">
        <v>78</v>
      </c>
      <c r="E116" s="86" t="s">
        <v>60</v>
      </c>
      <c r="F116" s="139">
        <v>4</v>
      </c>
      <c r="G116" s="78"/>
      <c r="H116" s="78"/>
      <c r="I116" s="78"/>
      <c r="J116" s="175"/>
      <c r="K116" s="78"/>
      <c r="L116" s="78"/>
      <c r="M116" s="78"/>
    </row>
    <row r="117" spans="1:13" ht="25.5" x14ac:dyDescent="0.2">
      <c r="A117" s="83">
        <f t="shared" si="1"/>
        <v>24</v>
      </c>
      <c r="B117" s="186"/>
      <c r="C117" s="120" t="s">
        <v>367</v>
      </c>
      <c r="D117" s="86" t="s">
        <v>78</v>
      </c>
      <c r="E117" s="86" t="s">
        <v>60</v>
      </c>
      <c r="F117" s="139">
        <v>2</v>
      </c>
      <c r="G117" s="78"/>
      <c r="H117" s="78"/>
      <c r="I117" s="78"/>
      <c r="J117" s="175"/>
      <c r="K117" s="78"/>
      <c r="L117" s="78"/>
      <c r="M117" s="78"/>
    </row>
    <row r="118" spans="1:13" ht="25.5" x14ac:dyDescent="0.2">
      <c r="A118" s="83">
        <f t="shared" si="1"/>
        <v>25</v>
      </c>
      <c r="B118" s="186"/>
      <c r="C118" s="120" t="s">
        <v>368</v>
      </c>
      <c r="D118" s="86" t="s">
        <v>78</v>
      </c>
      <c r="E118" s="86" t="s">
        <v>60</v>
      </c>
      <c r="F118" s="139">
        <f>[1]moc.uwy.!D83</f>
        <v>2</v>
      </c>
      <c r="G118" s="89"/>
      <c r="H118" s="78"/>
      <c r="I118" s="89"/>
      <c r="J118" s="175"/>
      <c r="K118" s="89"/>
      <c r="L118" s="78"/>
      <c r="M118" s="78"/>
    </row>
    <row r="119" spans="1:13" x14ac:dyDescent="0.2">
      <c r="A119" s="83">
        <f t="shared" si="1"/>
        <v>26</v>
      </c>
      <c r="B119" s="186"/>
      <c r="C119" s="120" t="s">
        <v>51</v>
      </c>
      <c r="D119" s="90" t="s">
        <v>52</v>
      </c>
      <c r="E119" s="90">
        <v>7.0000000000000007E-2</v>
      </c>
      <c r="F119" s="139">
        <f>F88*E119</f>
        <v>9.66</v>
      </c>
      <c r="G119" s="89"/>
      <c r="H119" s="78"/>
      <c r="I119" s="89"/>
      <c r="J119" s="175"/>
      <c r="K119" s="89"/>
      <c r="L119" s="78"/>
      <c r="M119" s="78"/>
    </row>
    <row r="120" spans="1:13" x14ac:dyDescent="0.2">
      <c r="A120" s="83"/>
      <c r="B120" s="195"/>
      <c r="C120" s="195" t="s">
        <v>257</v>
      </c>
      <c r="D120" s="195"/>
      <c r="E120" s="195"/>
      <c r="F120" s="85"/>
      <c r="G120" s="178"/>
      <c r="H120" s="178"/>
      <c r="I120" s="178"/>
      <c r="J120" s="178"/>
      <c r="K120" s="178"/>
      <c r="L120" s="178"/>
      <c r="M120" s="178"/>
    </row>
    <row r="121" spans="1:13" x14ac:dyDescent="0.2">
      <c r="A121" s="154"/>
      <c r="B121" s="195"/>
      <c r="C121" s="90" t="s">
        <v>147</v>
      </c>
      <c r="D121" s="90" t="s">
        <v>52</v>
      </c>
      <c r="E121" s="79"/>
      <c r="F121" s="79"/>
      <c r="G121" s="79"/>
      <c r="H121" s="79"/>
      <c r="I121" s="79"/>
      <c r="J121" s="179"/>
      <c r="K121" s="79"/>
      <c r="L121" s="79"/>
      <c r="M121" s="85"/>
    </row>
    <row r="122" spans="1:13" x14ac:dyDescent="0.2">
      <c r="A122" s="154"/>
      <c r="B122" s="195"/>
      <c r="C122" s="90" t="s">
        <v>148</v>
      </c>
      <c r="D122" s="90" t="s">
        <v>52</v>
      </c>
      <c r="E122" s="79"/>
      <c r="F122" s="79"/>
      <c r="G122" s="79"/>
      <c r="H122" s="79"/>
      <c r="I122" s="79"/>
      <c r="J122" s="79"/>
      <c r="K122" s="79"/>
      <c r="L122" s="179"/>
      <c r="M122" s="85"/>
    </row>
    <row r="123" spans="1:13" x14ac:dyDescent="0.2">
      <c r="A123" s="154"/>
      <c r="B123" s="195"/>
      <c r="C123" s="90" t="s">
        <v>149</v>
      </c>
      <c r="D123" s="90" t="s">
        <v>52</v>
      </c>
      <c r="E123" s="79"/>
      <c r="F123" s="79"/>
      <c r="G123" s="79"/>
      <c r="H123" s="179"/>
      <c r="I123" s="79"/>
      <c r="J123" s="79"/>
      <c r="K123" s="79"/>
      <c r="L123" s="79"/>
      <c r="M123" s="85"/>
    </row>
    <row r="124" spans="1:13" ht="18" customHeight="1" x14ac:dyDescent="0.2">
      <c r="A124" s="154"/>
      <c r="B124" s="195"/>
      <c r="C124" s="90" t="s">
        <v>150</v>
      </c>
      <c r="D124" s="90" t="s">
        <v>52</v>
      </c>
      <c r="E124" s="79"/>
      <c r="F124" s="79"/>
      <c r="G124" s="79"/>
      <c r="H124" s="82"/>
      <c r="I124" s="82"/>
      <c r="J124" s="82"/>
      <c r="K124" s="82"/>
      <c r="L124" s="82"/>
      <c r="M124" s="85"/>
    </row>
    <row r="125" spans="1:13" ht="25.5" customHeight="1" x14ac:dyDescent="0.2">
      <c r="A125" s="154"/>
      <c r="B125" s="195"/>
      <c r="C125" s="90" t="s">
        <v>151</v>
      </c>
      <c r="D125" s="90"/>
      <c r="E125" s="153"/>
      <c r="F125" s="79"/>
      <c r="G125" s="79"/>
      <c r="H125" s="82"/>
      <c r="I125" s="82"/>
      <c r="J125" s="82"/>
      <c r="K125" s="82"/>
      <c r="L125" s="82"/>
      <c r="M125" s="79"/>
    </row>
    <row r="126" spans="1:13" ht="13.15" customHeight="1" x14ac:dyDescent="0.2">
      <c r="A126" s="154"/>
      <c r="B126" s="195"/>
      <c r="C126" s="90" t="s">
        <v>152</v>
      </c>
      <c r="D126" s="90"/>
      <c r="E126" s="79"/>
      <c r="F126" s="79"/>
      <c r="G126" s="79"/>
      <c r="H126" s="82"/>
      <c r="I126" s="82"/>
      <c r="J126" s="82"/>
      <c r="K126" s="82"/>
      <c r="L126" s="82"/>
      <c r="M126" s="85"/>
    </row>
    <row r="127" spans="1:13" ht="13.15" customHeight="1" x14ac:dyDescent="0.2">
      <c r="A127" s="154"/>
      <c r="B127" s="195"/>
      <c r="C127" s="90" t="s">
        <v>153</v>
      </c>
      <c r="D127" s="90" t="s">
        <v>375</v>
      </c>
      <c r="E127" s="153"/>
      <c r="F127" s="79"/>
      <c r="G127" s="79"/>
      <c r="H127" s="82"/>
      <c r="I127" s="82"/>
      <c r="J127" s="82"/>
      <c r="K127" s="82"/>
      <c r="L127" s="82"/>
      <c r="M127" s="79"/>
    </row>
    <row r="128" spans="1:13" ht="13.15" customHeight="1" x14ac:dyDescent="0.2">
      <c r="A128" s="154"/>
      <c r="B128" s="195"/>
      <c r="C128" s="90" t="s">
        <v>23</v>
      </c>
      <c r="D128" s="90" t="s">
        <v>52</v>
      </c>
      <c r="E128" s="79"/>
      <c r="F128" s="79"/>
      <c r="G128" s="79"/>
      <c r="H128" s="82"/>
      <c r="I128" s="82"/>
      <c r="J128" s="82"/>
      <c r="K128" s="82"/>
      <c r="L128" s="82"/>
      <c r="M128" s="85"/>
    </row>
    <row r="129" spans="1:13" ht="13.15" customHeight="1" x14ac:dyDescent="0.2">
      <c r="A129" s="154"/>
      <c r="B129" s="195"/>
      <c r="C129" s="90" t="s">
        <v>154</v>
      </c>
      <c r="D129" s="90" t="s">
        <v>375</v>
      </c>
      <c r="E129" s="153"/>
      <c r="F129" s="79"/>
      <c r="G129" s="79"/>
      <c r="H129" s="82"/>
      <c r="I129" s="82"/>
      <c r="J129" s="82"/>
      <c r="K129" s="82"/>
      <c r="L129" s="82"/>
      <c r="M129" s="79"/>
    </row>
    <row r="130" spans="1:13" ht="13.15" customHeight="1" x14ac:dyDescent="0.2">
      <c r="A130" s="154"/>
      <c r="B130" s="195"/>
      <c r="C130" s="195" t="s">
        <v>256</v>
      </c>
      <c r="D130" s="195" t="s">
        <v>52</v>
      </c>
      <c r="E130" s="79"/>
      <c r="F130" s="79"/>
      <c r="G130" s="79"/>
      <c r="H130" s="82"/>
      <c r="I130" s="82"/>
      <c r="J130" s="82"/>
      <c r="K130" s="82"/>
      <c r="L130" s="82"/>
      <c r="M130" s="85"/>
    </row>
    <row r="131" spans="1:13" ht="13.15" customHeight="1" x14ac:dyDescent="0.2">
      <c r="A131" s="154"/>
      <c r="B131" s="195"/>
      <c r="C131" s="195" t="s">
        <v>155</v>
      </c>
      <c r="D131" s="195" t="s">
        <v>52</v>
      </c>
      <c r="E131" s="79"/>
      <c r="F131" s="79"/>
      <c r="G131" s="79"/>
      <c r="H131" s="82"/>
      <c r="I131" s="82"/>
      <c r="J131" s="82"/>
      <c r="K131" s="82"/>
      <c r="L131" s="82"/>
      <c r="M131" s="85"/>
    </row>
    <row r="132" spans="1:13" ht="13.15" customHeight="1" x14ac:dyDescent="0.2">
      <c r="A132" s="154"/>
      <c r="B132" s="195"/>
      <c r="C132" s="90" t="s">
        <v>156</v>
      </c>
      <c r="D132" s="90"/>
      <c r="E132" s="90"/>
      <c r="F132" s="79"/>
      <c r="G132" s="79"/>
      <c r="H132" s="79"/>
      <c r="I132" s="82"/>
      <c r="J132" s="82"/>
      <c r="K132" s="82"/>
      <c r="L132" s="82"/>
      <c r="M132" s="81"/>
    </row>
    <row r="133" spans="1:13" ht="13.15" customHeight="1" x14ac:dyDescent="0.2">
      <c r="A133" s="211"/>
      <c r="B133" s="211"/>
      <c r="C133" s="212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</row>
    <row r="134" spans="1:13" ht="13.15" customHeight="1" x14ac:dyDescent="0.2">
      <c r="A134" s="211"/>
      <c r="B134" s="211"/>
      <c r="C134" s="212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</row>
    <row r="135" spans="1:13" ht="13.15" customHeight="1" x14ac:dyDescent="0.2">
      <c r="A135" s="211"/>
      <c r="B135" s="211"/>
      <c r="C135" s="212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</row>
    <row r="136" spans="1:13" ht="13.15" customHeight="1" x14ac:dyDescent="0.2">
      <c r="A136" s="211"/>
      <c r="B136" s="155"/>
      <c r="C136" s="213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</row>
    <row r="137" spans="1:13" ht="13.15" customHeight="1" x14ac:dyDescent="0.2">
      <c r="A137" s="211"/>
      <c r="B137" s="156"/>
      <c r="C137" s="69"/>
      <c r="D137" s="156"/>
      <c r="E137" s="156"/>
      <c r="F137" s="156"/>
      <c r="G137" s="156"/>
      <c r="H137" s="156"/>
      <c r="I137" s="156"/>
      <c r="J137" s="156"/>
      <c r="K137" s="211"/>
      <c r="L137" s="156"/>
      <c r="M137" s="156"/>
    </row>
    <row r="138" spans="1:13" ht="13.15" customHeight="1" x14ac:dyDescent="0.2">
      <c r="A138" s="211"/>
      <c r="B138" s="157"/>
      <c r="C138" s="214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</row>
    <row r="139" spans="1:13" ht="13.15" customHeight="1" x14ac:dyDescent="0.2">
      <c r="A139" s="211"/>
      <c r="B139" s="157"/>
      <c r="C139" s="212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</row>
    <row r="140" spans="1:13" ht="13.15" customHeight="1" x14ac:dyDescent="0.2">
      <c r="A140" s="211"/>
      <c r="B140" s="155"/>
      <c r="C140" s="212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</row>
    <row r="141" spans="1:13" ht="13.15" customHeight="1" x14ac:dyDescent="0.25">
      <c r="A141" s="210"/>
      <c r="B141" s="210"/>
      <c r="C141" s="215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</row>
    <row r="142" spans="1:13" ht="13.15" customHeight="1" x14ac:dyDescent="0.25">
      <c r="A142" s="210"/>
      <c r="B142" s="210"/>
      <c r="C142" s="215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</row>
    <row r="143" spans="1:13" ht="13.15" customHeight="1" x14ac:dyDescent="0.25">
      <c r="A143" s="210"/>
      <c r="B143" s="210"/>
      <c r="C143" s="215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</row>
    <row r="144" spans="1:13" ht="13.15" customHeight="1" x14ac:dyDescent="0.25">
      <c r="A144" s="210"/>
      <c r="B144" s="210"/>
      <c r="C144" s="215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</row>
    <row r="145" spans="1:13" ht="13.15" customHeight="1" x14ac:dyDescent="0.25">
      <c r="A145" s="210"/>
      <c r="B145" s="210"/>
      <c r="C145" s="215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</row>
    <row r="146" spans="1:13" ht="13.15" customHeight="1" x14ac:dyDescent="0.25">
      <c r="A146" s="210"/>
      <c r="B146" s="210"/>
      <c r="C146" s="215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</row>
    <row r="147" spans="1:13" ht="13.15" customHeight="1" x14ac:dyDescent="0.25">
      <c r="A147" s="210"/>
      <c r="B147" s="210"/>
      <c r="C147" s="215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</row>
    <row r="148" spans="1:13" ht="26.45" customHeight="1" x14ac:dyDescent="0.25">
      <c r="A148" s="210"/>
      <c r="B148" s="210"/>
      <c r="C148" s="215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</row>
    <row r="149" spans="1:13" ht="13.15" customHeight="1" x14ac:dyDescent="0.25">
      <c r="A149" s="210"/>
      <c r="B149" s="210"/>
      <c r="C149" s="215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</row>
    <row r="150" spans="1:13" ht="13.15" customHeight="1" x14ac:dyDescent="0.25">
      <c r="A150" s="210"/>
      <c r="B150" s="210"/>
      <c r="C150" s="215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</row>
    <row r="151" spans="1:13" ht="13.15" customHeight="1" x14ac:dyDescent="0.25">
      <c r="A151" s="210"/>
      <c r="B151" s="210"/>
      <c r="C151" s="215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</row>
    <row r="152" spans="1:13" ht="13.15" customHeight="1" x14ac:dyDescent="0.25">
      <c r="A152" s="210"/>
      <c r="B152" s="210"/>
      <c r="C152" s="215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</row>
    <row r="153" spans="1:13" ht="13.15" customHeight="1" x14ac:dyDescent="0.25">
      <c r="A153" s="210"/>
      <c r="B153" s="210"/>
      <c r="C153" s="215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</row>
    <row r="154" spans="1:13" ht="13.15" customHeight="1" x14ac:dyDescent="0.25">
      <c r="A154" s="210"/>
      <c r="B154" s="210"/>
      <c r="C154" s="215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</row>
    <row r="155" spans="1:13" ht="13.15" customHeight="1" x14ac:dyDescent="0.25">
      <c r="A155" s="210"/>
      <c r="B155" s="210"/>
      <c r="C155" s="215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</row>
    <row r="156" spans="1:13" ht="13.15" customHeight="1" x14ac:dyDescent="0.25">
      <c r="A156" s="210"/>
      <c r="B156" s="210"/>
      <c r="C156" s="215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</row>
    <row r="157" spans="1:13" ht="13.15" customHeight="1" x14ac:dyDescent="0.25">
      <c r="A157" s="210"/>
      <c r="B157" s="210"/>
      <c r="C157" s="215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</row>
    <row r="158" spans="1:13" ht="13.15" customHeight="1" x14ac:dyDescent="0.25">
      <c r="A158" s="210"/>
      <c r="B158" s="210"/>
      <c r="C158" s="215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</row>
    <row r="159" spans="1:13" ht="13.15" customHeight="1" x14ac:dyDescent="0.25">
      <c r="A159" s="210"/>
      <c r="B159" s="210"/>
      <c r="C159" s="215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</row>
    <row r="160" spans="1:13" ht="13.15" customHeight="1" x14ac:dyDescent="0.25">
      <c r="A160" s="210"/>
      <c r="B160" s="210"/>
      <c r="C160" s="215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</row>
    <row r="161" spans="1:13" ht="13.15" customHeight="1" x14ac:dyDescent="0.25">
      <c r="A161" s="210"/>
      <c r="B161" s="210"/>
      <c r="C161" s="215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</row>
    <row r="162" spans="1:13" ht="13.15" customHeight="1" x14ac:dyDescent="0.25">
      <c r="A162" s="210"/>
      <c r="B162" s="210"/>
      <c r="C162" s="215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</row>
    <row r="163" spans="1:13" ht="13.15" customHeight="1" x14ac:dyDescent="0.25">
      <c r="A163" s="210"/>
      <c r="B163" s="210"/>
      <c r="C163" s="215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</row>
    <row r="164" spans="1:13" ht="13.15" customHeight="1" x14ac:dyDescent="0.25">
      <c r="A164" s="210"/>
      <c r="B164" s="210"/>
      <c r="C164" s="215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</row>
    <row r="165" spans="1:13" ht="13.15" customHeight="1" x14ac:dyDescent="0.25">
      <c r="A165" s="210"/>
      <c r="B165" s="210"/>
      <c r="C165" s="215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</row>
    <row r="166" spans="1:13" ht="13.15" customHeight="1" x14ac:dyDescent="0.2"/>
    <row r="167" spans="1:13" ht="13.15" customHeight="1" x14ac:dyDescent="0.2"/>
    <row r="168" spans="1:13" ht="13.15" customHeight="1" x14ac:dyDescent="0.2"/>
    <row r="169" spans="1:13" ht="13.15" customHeight="1" x14ac:dyDescent="0.2"/>
    <row r="170" spans="1:13" ht="13.15" customHeight="1" x14ac:dyDescent="0.2"/>
    <row r="171" spans="1:13" ht="13.15" customHeight="1" x14ac:dyDescent="0.2"/>
    <row r="172" spans="1:13" ht="13.15" customHeight="1" x14ac:dyDescent="0.2"/>
    <row r="173" spans="1:13" ht="13.15" customHeight="1" x14ac:dyDescent="0.2"/>
    <row r="174" spans="1:13" ht="13.15" customHeight="1" x14ac:dyDescent="0.2"/>
    <row r="175" spans="1:13" ht="13.15" customHeight="1" x14ac:dyDescent="0.2"/>
    <row r="176" spans="1:13" ht="13.15" customHeight="1" x14ac:dyDescent="0.2"/>
    <row r="177" ht="13.15" customHeight="1" x14ac:dyDescent="0.2"/>
    <row r="178" ht="13.15" customHeight="1" x14ac:dyDescent="0.2"/>
    <row r="179" ht="13.15" customHeight="1" x14ac:dyDescent="0.2"/>
    <row r="180" ht="13.15" customHeight="1" x14ac:dyDescent="0.2"/>
    <row r="183" ht="13.15" customHeight="1" x14ac:dyDescent="0.2"/>
    <row r="184" ht="13.15" customHeight="1" x14ac:dyDescent="0.2"/>
    <row r="185" ht="13.15" customHeight="1" x14ac:dyDescent="0.2"/>
    <row r="186" ht="13.15" customHeight="1" x14ac:dyDescent="0.2"/>
    <row r="187" ht="13.15" customHeight="1" x14ac:dyDescent="0.2"/>
    <row r="188" ht="13.15" customHeight="1" x14ac:dyDescent="0.2"/>
    <row r="189" ht="13.15" customHeight="1" x14ac:dyDescent="0.2"/>
    <row r="191" ht="17.25" customHeight="1" x14ac:dyDescent="0.2"/>
    <row r="192" ht="24.75" customHeight="1" x14ac:dyDescent="0.2"/>
    <row r="193" ht="24.75" customHeight="1" x14ac:dyDescent="0.2"/>
    <row r="194" ht="24.75" customHeight="1" x14ac:dyDescent="0.2"/>
  </sheetData>
  <mergeCells count="18">
    <mergeCell ref="D11:D12"/>
    <mergeCell ref="I11:J11"/>
    <mergeCell ref="K11:L11"/>
    <mergeCell ref="A7:D7"/>
    <mergeCell ref="M11:M12"/>
    <mergeCell ref="F9:I9"/>
    <mergeCell ref="J9:K9"/>
    <mergeCell ref="E11:F11"/>
    <mergeCell ref="G11:H11"/>
    <mergeCell ref="L9:M9"/>
    <mergeCell ref="A11:A12"/>
    <mergeCell ref="B11:B12"/>
    <mergeCell ref="C11:C12"/>
    <mergeCell ref="A1:M1"/>
    <mergeCell ref="B3:M3"/>
    <mergeCell ref="B5:M5"/>
    <mergeCell ref="E7:I7"/>
    <mergeCell ref="J7:K7"/>
  </mergeCells>
  <pageMargins left="0" right="0" top="0.15748031496062992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8"/>
  <sheetViews>
    <sheetView topLeftCell="A58" zoomScaleNormal="100" workbookViewId="0">
      <selection activeCell="E31" sqref="E31"/>
    </sheetView>
  </sheetViews>
  <sheetFormatPr defaultColWidth="9.140625" defaultRowHeight="12.75" x14ac:dyDescent="0.2"/>
  <cols>
    <col min="1" max="1" width="3.5703125" style="38" customWidth="1"/>
    <col min="2" max="2" width="10.7109375" style="43" customWidth="1"/>
    <col min="3" max="3" width="41.28515625" style="43" customWidth="1"/>
    <col min="4" max="4" width="7.5703125" style="38" customWidth="1"/>
    <col min="5" max="5" width="8.5703125" style="38" customWidth="1"/>
    <col min="6" max="12" width="7.5703125" style="38" customWidth="1"/>
    <col min="13" max="13" width="10.28515625" style="38" customWidth="1"/>
    <col min="14" max="16384" width="9.140625" style="38"/>
  </cols>
  <sheetData>
    <row r="1" spans="1:14" ht="13.5" x14ac:dyDescent="0.25">
      <c r="A1" s="294" t="s">
        <v>261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4" ht="4.9000000000000004" customHeight="1" x14ac:dyDescent="0.25">
      <c r="A2" s="32"/>
      <c r="B2" s="33"/>
      <c r="C2" s="33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13.5" x14ac:dyDescent="0.2">
      <c r="A3" s="298" t="s">
        <v>176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4" ht="4.9000000000000004" customHeight="1" x14ac:dyDescent="0.2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4" ht="13.5" x14ac:dyDescent="0.2">
      <c r="A5" s="303" t="s">
        <v>177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00"/>
    </row>
    <row r="6" spans="1:14" ht="10.15" customHeight="1" x14ac:dyDescent="0.25">
      <c r="A6" s="28"/>
      <c r="B6" s="28"/>
      <c r="C6" s="198"/>
      <c r="D6" s="198"/>
      <c r="E6" s="198"/>
      <c r="F6" s="198"/>
      <c r="G6" s="198"/>
      <c r="H6" s="198"/>
      <c r="I6" s="198"/>
      <c r="J6" s="198"/>
      <c r="K6" s="198"/>
      <c r="L6" s="28"/>
      <c r="M6" s="28"/>
    </row>
    <row r="7" spans="1:14" ht="27" x14ac:dyDescent="0.25">
      <c r="A7" s="297"/>
      <c r="B7" s="297"/>
      <c r="C7" s="297"/>
      <c r="D7" s="297"/>
      <c r="E7" s="295" t="s">
        <v>1</v>
      </c>
      <c r="F7" s="295"/>
      <c r="G7" s="295"/>
      <c r="H7" s="295"/>
      <c r="I7" s="295"/>
      <c r="J7" s="301">
        <f>M82</f>
        <v>0</v>
      </c>
      <c r="K7" s="301"/>
      <c r="L7" s="16" t="s">
        <v>2</v>
      </c>
      <c r="M7" s="16"/>
      <c r="N7" s="159"/>
    </row>
    <row r="8" spans="1:14" ht="8.4499999999999993" customHeight="1" x14ac:dyDescent="0.25">
      <c r="A8" s="197"/>
      <c r="B8" s="197"/>
      <c r="C8" s="197"/>
      <c r="D8" s="197"/>
      <c r="E8" s="197"/>
      <c r="F8" s="197"/>
      <c r="G8" s="197"/>
      <c r="H8" s="197"/>
      <c r="I8" s="197"/>
      <c r="J8" s="203"/>
      <c r="K8" s="203"/>
      <c r="L8" s="16"/>
      <c r="M8" s="16"/>
      <c r="N8" s="159"/>
    </row>
    <row r="9" spans="1:14" ht="13.5" x14ac:dyDescent="0.25">
      <c r="A9" s="29"/>
      <c r="B9" s="29"/>
      <c r="C9" s="29"/>
      <c r="D9" s="29"/>
      <c r="E9" s="29"/>
      <c r="F9" s="296" t="s">
        <v>28</v>
      </c>
      <c r="G9" s="296"/>
      <c r="H9" s="296"/>
      <c r="I9" s="17"/>
      <c r="J9" s="301">
        <f>M83</f>
        <v>0</v>
      </c>
      <c r="K9" s="301"/>
      <c r="L9" s="302" t="s">
        <v>2</v>
      </c>
      <c r="M9" s="302"/>
      <c r="N9" s="159"/>
    </row>
    <row r="10" spans="1:14" ht="8.4499999999999993" customHeight="1" x14ac:dyDescent="0.25">
      <c r="A10" s="19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59"/>
    </row>
    <row r="11" spans="1:14" ht="41.45" customHeight="1" x14ac:dyDescent="0.25">
      <c r="A11" s="300" t="s">
        <v>4</v>
      </c>
      <c r="B11" s="300" t="s">
        <v>29</v>
      </c>
      <c r="C11" s="300" t="s">
        <v>30</v>
      </c>
      <c r="D11" s="300" t="s">
        <v>31</v>
      </c>
      <c r="E11" s="300" t="s">
        <v>32</v>
      </c>
      <c r="F11" s="300"/>
      <c r="G11" s="300" t="s">
        <v>33</v>
      </c>
      <c r="H11" s="300"/>
      <c r="I11" s="300" t="s">
        <v>8</v>
      </c>
      <c r="J11" s="300"/>
      <c r="K11" s="300" t="s">
        <v>34</v>
      </c>
      <c r="L11" s="300"/>
      <c r="M11" s="300" t="s">
        <v>35</v>
      </c>
      <c r="N11" s="159"/>
    </row>
    <row r="12" spans="1:14" ht="54" x14ac:dyDescent="0.25">
      <c r="A12" s="300" t="s">
        <v>4</v>
      </c>
      <c r="B12" s="300"/>
      <c r="C12" s="300" t="s">
        <v>30</v>
      </c>
      <c r="D12" s="300" t="s">
        <v>31</v>
      </c>
      <c r="E12" s="202" t="s">
        <v>36</v>
      </c>
      <c r="F12" s="202" t="s">
        <v>37</v>
      </c>
      <c r="G12" s="202" t="s">
        <v>38</v>
      </c>
      <c r="H12" s="202" t="s">
        <v>35</v>
      </c>
      <c r="I12" s="202" t="s">
        <v>38</v>
      </c>
      <c r="J12" s="202" t="s">
        <v>35</v>
      </c>
      <c r="K12" s="202" t="s">
        <v>38</v>
      </c>
      <c r="L12" s="202" t="s">
        <v>35</v>
      </c>
      <c r="M12" s="300" t="s">
        <v>35</v>
      </c>
      <c r="N12" s="159"/>
    </row>
    <row r="13" spans="1:14" ht="13.5" x14ac:dyDescent="0.25">
      <c r="A13" s="202">
        <v>1</v>
      </c>
      <c r="B13" s="202">
        <f>A13+1</f>
        <v>2</v>
      </c>
      <c r="C13" s="202">
        <f t="shared" ref="C13:M13" si="0">B13+1</f>
        <v>3</v>
      </c>
      <c r="D13" s="202">
        <f t="shared" si="0"/>
        <v>4</v>
      </c>
      <c r="E13" s="202">
        <f t="shared" si="0"/>
        <v>5</v>
      </c>
      <c r="F13" s="202">
        <f t="shared" si="0"/>
        <v>6</v>
      </c>
      <c r="G13" s="202">
        <f t="shared" si="0"/>
        <v>7</v>
      </c>
      <c r="H13" s="202">
        <f t="shared" si="0"/>
        <v>8</v>
      </c>
      <c r="I13" s="202">
        <f t="shared" si="0"/>
        <v>9</v>
      </c>
      <c r="J13" s="202">
        <f t="shared" si="0"/>
        <v>10</v>
      </c>
      <c r="K13" s="202">
        <f t="shared" si="0"/>
        <v>11</v>
      </c>
      <c r="L13" s="202">
        <f t="shared" si="0"/>
        <v>12</v>
      </c>
      <c r="M13" s="202">
        <f t="shared" si="0"/>
        <v>13</v>
      </c>
      <c r="N13" s="159"/>
    </row>
    <row r="14" spans="1:14" ht="51" x14ac:dyDescent="0.25">
      <c r="A14" s="70" t="s">
        <v>39</v>
      </c>
      <c r="B14" s="71" t="s">
        <v>275</v>
      </c>
      <c r="C14" s="72" t="s">
        <v>276</v>
      </c>
      <c r="D14" s="73" t="s">
        <v>277</v>
      </c>
      <c r="E14" s="74"/>
      <c r="F14" s="74">
        <f>20*0.4*0.6</f>
        <v>4.8</v>
      </c>
      <c r="G14" s="75"/>
      <c r="H14" s="75"/>
      <c r="I14" s="75"/>
      <c r="J14" s="75"/>
      <c r="K14" s="75"/>
      <c r="L14" s="75"/>
      <c r="M14" s="74"/>
      <c r="N14" s="159"/>
    </row>
    <row r="15" spans="1:14" ht="13.5" x14ac:dyDescent="0.25">
      <c r="A15" s="70"/>
      <c r="B15" s="76"/>
      <c r="C15" s="77" t="s">
        <v>41</v>
      </c>
      <c r="D15" s="77" t="s">
        <v>42</v>
      </c>
      <c r="E15" s="75">
        <v>2.78</v>
      </c>
      <c r="F15" s="75">
        <f>E15*F14</f>
        <v>13.343999999999999</v>
      </c>
      <c r="G15" s="75"/>
      <c r="H15" s="75"/>
      <c r="I15" s="78"/>
      <c r="J15" s="79"/>
      <c r="K15" s="75"/>
      <c r="L15" s="75"/>
      <c r="M15" s="85"/>
      <c r="N15" s="159"/>
    </row>
    <row r="16" spans="1:14" ht="40.5" x14ac:dyDescent="0.25">
      <c r="A16" s="70" t="s">
        <v>44</v>
      </c>
      <c r="B16" s="202" t="s">
        <v>302</v>
      </c>
      <c r="C16" s="202" t="s">
        <v>303</v>
      </c>
      <c r="D16" s="202" t="s">
        <v>73</v>
      </c>
      <c r="E16" s="202"/>
      <c r="F16" s="74">
        <f>20*0.4*0.2</f>
        <v>1.6</v>
      </c>
      <c r="G16" s="20"/>
      <c r="H16" s="20"/>
      <c r="I16" s="20"/>
      <c r="J16" s="20"/>
      <c r="K16" s="20"/>
      <c r="L16" s="20"/>
      <c r="M16" s="20"/>
      <c r="N16" s="159"/>
    </row>
    <row r="17" spans="1:14" ht="13.5" x14ac:dyDescent="0.25">
      <c r="A17" s="70"/>
      <c r="B17" s="194"/>
      <c r="C17" s="194" t="s">
        <v>178</v>
      </c>
      <c r="D17" s="194" t="s">
        <v>42</v>
      </c>
      <c r="E17" s="194">
        <v>1.8</v>
      </c>
      <c r="F17" s="20">
        <f>F16*E17</f>
        <v>2.8800000000000003</v>
      </c>
      <c r="G17" s="20"/>
      <c r="H17" s="20"/>
      <c r="I17" s="20"/>
      <c r="J17" s="5"/>
      <c r="K17" s="20"/>
      <c r="L17" s="20"/>
      <c r="M17" s="44"/>
      <c r="N17" s="159"/>
    </row>
    <row r="18" spans="1:14" ht="13.5" x14ac:dyDescent="0.25">
      <c r="A18" s="70"/>
      <c r="B18" s="194"/>
      <c r="C18" s="194" t="s">
        <v>179</v>
      </c>
      <c r="D18" s="194" t="s">
        <v>180</v>
      </c>
      <c r="E18" s="194">
        <v>1.1000000000000001</v>
      </c>
      <c r="F18" s="20">
        <f>F16*E18</f>
        <v>1.7600000000000002</v>
      </c>
      <c r="G18" s="20"/>
      <c r="H18" s="20"/>
      <c r="I18" s="20"/>
      <c r="J18" s="20"/>
      <c r="K18" s="20"/>
      <c r="L18" s="20"/>
      <c r="M18" s="44"/>
      <c r="N18" s="159"/>
    </row>
    <row r="19" spans="1:14" ht="40.5" x14ac:dyDescent="0.25">
      <c r="A19" s="70"/>
      <c r="B19" s="18" t="s">
        <v>304</v>
      </c>
      <c r="C19" s="202" t="s">
        <v>259</v>
      </c>
      <c r="D19" s="202" t="s">
        <v>73</v>
      </c>
      <c r="E19" s="160"/>
      <c r="F19" s="25">
        <f>F14-F16</f>
        <v>3.1999999999999997</v>
      </c>
      <c r="G19" s="20"/>
      <c r="H19" s="20"/>
      <c r="I19" s="20"/>
      <c r="J19" s="20"/>
      <c r="K19" s="20"/>
      <c r="L19" s="20"/>
      <c r="M19" s="44"/>
      <c r="N19" s="159"/>
    </row>
    <row r="20" spans="1:14" ht="13.5" x14ac:dyDescent="0.25">
      <c r="A20" s="70"/>
      <c r="B20" s="22"/>
      <c r="C20" s="194" t="s">
        <v>65</v>
      </c>
      <c r="D20" s="194" t="s">
        <v>49</v>
      </c>
      <c r="E20" s="194">
        <v>1.21</v>
      </c>
      <c r="F20" s="5">
        <f>F19*E20</f>
        <v>3.8719999999999994</v>
      </c>
      <c r="G20" s="20"/>
      <c r="H20" s="20"/>
      <c r="I20" s="20"/>
      <c r="J20" s="5"/>
      <c r="K20" s="20"/>
      <c r="L20" s="20"/>
      <c r="M20" s="44"/>
      <c r="N20" s="159"/>
    </row>
    <row r="21" spans="1:14" ht="13.5" x14ac:dyDescent="0.25">
      <c r="A21" s="202"/>
      <c r="B21" s="202"/>
      <c r="C21" s="202" t="s">
        <v>181</v>
      </c>
      <c r="D21" s="202" t="s">
        <v>52</v>
      </c>
      <c r="E21" s="5"/>
      <c r="F21" s="5"/>
      <c r="G21" s="5"/>
      <c r="H21" s="44"/>
      <c r="I21" s="20"/>
      <c r="J21" s="44"/>
      <c r="K21" s="20"/>
      <c r="L21" s="44"/>
      <c r="M21" s="44"/>
      <c r="N21" s="159"/>
    </row>
    <row r="22" spans="1:14" ht="13.5" x14ac:dyDescent="0.25">
      <c r="A22" s="202"/>
      <c r="B22" s="202"/>
      <c r="C22" s="194" t="s">
        <v>147</v>
      </c>
      <c r="D22" s="194" t="s">
        <v>52</v>
      </c>
      <c r="E22" s="5"/>
      <c r="F22" s="5"/>
      <c r="G22" s="5"/>
      <c r="H22" s="5"/>
      <c r="I22" s="5"/>
      <c r="J22" s="41"/>
      <c r="K22" s="5"/>
      <c r="L22" s="5"/>
      <c r="M22" s="44"/>
      <c r="N22" s="159"/>
    </row>
    <row r="23" spans="1:14" ht="13.5" x14ac:dyDescent="0.25">
      <c r="A23" s="202"/>
      <c r="B23" s="202"/>
      <c r="C23" s="194" t="s">
        <v>148</v>
      </c>
      <c r="D23" s="194" t="s">
        <v>52</v>
      </c>
      <c r="E23" s="5"/>
      <c r="F23" s="5"/>
      <c r="G23" s="5"/>
      <c r="H23" s="5"/>
      <c r="I23" s="5"/>
      <c r="J23" s="5"/>
      <c r="K23" s="5"/>
      <c r="L23" s="41"/>
      <c r="M23" s="44"/>
      <c r="N23" s="159"/>
    </row>
    <row r="24" spans="1:14" ht="13.5" x14ac:dyDescent="0.25">
      <c r="A24" s="202"/>
      <c r="B24" s="202"/>
      <c r="C24" s="194" t="s">
        <v>149</v>
      </c>
      <c r="D24" s="194" t="s">
        <v>52</v>
      </c>
      <c r="E24" s="5"/>
      <c r="F24" s="5"/>
      <c r="G24" s="5"/>
      <c r="H24" s="41"/>
      <c r="I24" s="5"/>
      <c r="J24" s="5"/>
      <c r="K24" s="5"/>
      <c r="L24" s="5"/>
      <c r="M24" s="44"/>
      <c r="N24" s="159"/>
    </row>
    <row r="25" spans="1:14" ht="13.15" customHeight="1" x14ac:dyDescent="0.25">
      <c r="A25" s="202"/>
      <c r="B25" s="202"/>
      <c r="C25" s="194" t="s">
        <v>150</v>
      </c>
      <c r="D25" s="194" t="s">
        <v>52</v>
      </c>
      <c r="E25" s="5"/>
      <c r="F25" s="5"/>
      <c r="G25" s="5"/>
      <c r="H25" s="20"/>
      <c r="I25" s="20"/>
      <c r="J25" s="20"/>
      <c r="K25" s="20"/>
      <c r="L25" s="20"/>
      <c r="M25" s="44"/>
      <c r="N25" s="159"/>
    </row>
    <row r="26" spans="1:14" ht="13.15" customHeight="1" x14ac:dyDescent="0.25">
      <c r="A26" s="202"/>
      <c r="B26" s="202"/>
      <c r="C26" s="194" t="s">
        <v>151</v>
      </c>
      <c r="D26" s="194"/>
      <c r="E26" s="26"/>
      <c r="F26" s="5"/>
      <c r="G26" s="5"/>
      <c r="H26" s="20"/>
      <c r="I26" s="20"/>
      <c r="J26" s="20"/>
      <c r="K26" s="20"/>
      <c r="L26" s="20"/>
      <c r="M26" s="5"/>
      <c r="N26" s="159"/>
    </row>
    <row r="27" spans="1:14" ht="13.15" customHeight="1" x14ac:dyDescent="0.25">
      <c r="A27" s="202"/>
      <c r="B27" s="202"/>
      <c r="C27" s="194" t="s">
        <v>152</v>
      </c>
      <c r="D27" s="194"/>
      <c r="E27" s="5"/>
      <c r="F27" s="5"/>
      <c r="G27" s="5"/>
      <c r="H27" s="20"/>
      <c r="I27" s="20"/>
      <c r="J27" s="20"/>
      <c r="K27" s="20"/>
      <c r="L27" s="20"/>
      <c r="M27" s="44"/>
      <c r="N27" s="159"/>
    </row>
    <row r="28" spans="1:14" ht="13.15" customHeight="1" x14ac:dyDescent="0.25">
      <c r="A28" s="202"/>
      <c r="B28" s="202"/>
      <c r="C28" s="194" t="s">
        <v>153</v>
      </c>
      <c r="D28" s="194" t="s">
        <v>375</v>
      </c>
      <c r="E28" s="26"/>
      <c r="F28" s="5"/>
      <c r="G28" s="5"/>
      <c r="H28" s="20"/>
      <c r="I28" s="20"/>
      <c r="J28" s="20"/>
      <c r="K28" s="20"/>
      <c r="L28" s="20"/>
      <c r="M28" s="5"/>
      <c r="N28" s="159"/>
    </row>
    <row r="29" spans="1:14" ht="23.45" customHeight="1" x14ac:dyDescent="0.25">
      <c r="A29" s="202"/>
      <c r="B29" s="202"/>
      <c r="C29" s="194" t="s">
        <v>23</v>
      </c>
      <c r="D29" s="194" t="s">
        <v>52</v>
      </c>
      <c r="E29" s="5"/>
      <c r="F29" s="5"/>
      <c r="G29" s="5"/>
      <c r="H29" s="20"/>
      <c r="I29" s="20"/>
      <c r="J29" s="20"/>
      <c r="K29" s="20"/>
      <c r="L29" s="20"/>
      <c r="M29" s="44"/>
      <c r="N29" s="159"/>
    </row>
    <row r="30" spans="1:14" ht="13.5" x14ac:dyDescent="0.25">
      <c r="A30" s="202"/>
      <c r="B30" s="202"/>
      <c r="C30" s="194" t="s">
        <v>154</v>
      </c>
      <c r="D30" s="194" t="s">
        <v>375</v>
      </c>
      <c r="E30" s="26"/>
      <c r="F30" s="5"/>
      <c r="G30" s="5"/>
      <c r="H30" s="20"/>
      <c r="I30" s="20"/>
      <c r="J30" s="20"/>
      <c r="K30" s="20"/>
      <c r="L30" s="20"/>
      <c r="M30" s="5"/>
      <c r="N30" s="159"/>
    </row>
    <row r="31" spans="1:14" ht="13.5" x14ac:dyDescent="0.25">
      <c r="A31" s="202"/>
      <c r="B31" s="202"/>
      <c r="C31" s="202" t="s">
        <v>260</v>
      </c>
      <c r="D31" s="202" t="s">
        <v>52</v>
      </c>
      <c r="E31" s="5"/>
      <c r="F31" s="5"/>
      <c r="G31" s="5"/>
      <c r="H31" s="20"/>
      <c r="I31" s="20"/>
      <c r="J31" s="20"/>
      <c r="K31" s="20"/>
      <c r="L31" s="20"/>
      <c r="M31" s="44"/>
      <c r="N31" s="159"/>
    </row>
    <row r="32" spans="1:14" ht="13.5" x14ac:dyDescent="0.25">
      <c r="A32" s="202"/>
      <c r="B32" s="202"/>
      <c r="C32" s="194" t="s">
        <v>156</v>
      </c>
      <c r="D32" s="194"/>
      <c r="E32" s="194"/>
      <c r="F32" s="5"/>
      <c r="G32" s="5"/>
      <c r="H32" s="5"/>
      <c r="I32" s="20"/>
      <c r="J32" s="20"/>
      <c r="K32" s="20"/>
      <c r="L32" s="20"/>
      <c r="M32" s="51"/>
      <c r="N32" s="159"/>
    </row>
    <row r="33" spans="1:14" ht="40.5" x14ac:dyDescent="0.25">
      <c r="A33" s="19">
        <v>1</v>
      </c>
      <c r="B33" s="18" t="s">
        <v>305</v>
      </c>
      <c r="C33" s="202" t="s">
        <v>306</v>
      </c>
      <c r="D33" s="202" t="s">
        <v>98</v>
      </c>
      <c r="E33" s="202"/>
      <c r="F33" s="51">
        <f>12+16</f>
        <v>28</v>
      </c>
      <c r="G33" s="20"/>
      <c r="H33" s="20"/>
      <c r="I33" s="20"/>
      <c r="J33" s="20"/>
      <c r="K33" s="20"/>
      <c r="L33" s="20"/>
      <c r="M33" s="44"/>
      <c r="N33" s="159"/>
    </row>
    <row r="34" spans="1:14" ht="13.5" x14ac:dyDescent="0.25">
      <c r="A34" s="19"/>
      <c r="B34" s="22"/>
      <c r="C34" s="194" t="s">
        <v>65</v>
      </c>
      <c r="D34" s="194" t="s">
        <v>49</v>
      </c>
      <c r="E34" s="55">
        <v>0.25</v>
      </c>
      <c r="F34" s="20">
        <f>F33*E34</f>
        <v>7</v>
      </c>
      <c r="G34" s="20"/>
      <c r="H34" s="20"/>
      <c r="I34" s="20"/>
      <c r="J34" s="5"/>
      <c r="K34" s="20"/>
      <c r="L34" s="20"/>
      <c r="M34" s="44"/>
      <c r="N34" s="159"/>
    </row>
    <row r="35" spans="1:14" ht="13.5" x14ac:dyDescent="0.25">
      <c r="A35" s="19"/>
      <c r="B35" s="22"/>
      <c r="C35" s="194" t="s">
        <v>172</v>
      </c>
      <c r="D35" s="194" t="s">
        <v>52</v>
      </c>
      <c r="E35" s="194">
        <v>0.15</v>
      </c>
      <c r="F35" s="5">
        <f>E35*F33</f>
        <v>4.2</v>
      </c>
      <c r="G35" s="39"/>
      <c r="H35" s="39"/>
      <c r="I35" s="39"/>
      <c r="J35" s="39"/>
      <c r="K35" s="39"/>
      <c r="L35" s="5"/>
      <c r="M35" s="44"/>
      <c r="N35" s="159"/>
    </row>
    <row r="36" spans="1:14" ht="27" x14ac:dyDescent="0.25">
      <c r="A36" s="19"/>
      <c r="B36" s="194"/>
      <c r="C36" s="194" t="s">
        <v>307</v>
      </c>
      <c r="D36" s="194" t="s">
        <v>98</v>
      </c>
      <c r="E36" s="194">
        <v>1.01</v>
      </c>
      <c r="F36" s="20">
        <f>F33*E36</f>
        <v>28.28</v>
      </c>
      <c r="G36" s="20"/>
      <c r="H36" s="20"/>
      <c r="I36" s="20"/>
      <c r="J36" s="20"/>
      <c r="K36" s="20"/>
      <c r="L36" s="20"/>
      <c r="M36" s="44"/>
      <c r="N36" s="159"/>
    </row>
    <row r="37" spans="1:14" ht="13.5" x14ac:dyDescent="0.25">
      <c r="A37" s="19"/>
      <c r="B37" s="22"/>
      <c r="C37" s="194" t="s">
        <v>87</v>
      </c>
      <c r="D37" s="194" t="s">
        <v>52</v>
      </c>
      <c r="E37" s="194">
        <v>1.12E-2</v>
      </c>
      <c r="F37" s="20">
        <f>F33*E37</f>
        <v>0.31359999999999999</v>
      </c>
      <c r="G37" s="20"/>
      <c r="H37" s="20"/>
      <c r="I37" s="20"/>
      <c r="J37" s="20"/>
      <c r="K37" s="20"/>
      <c r="L37" s="20"/>
      <c r="M37" s="44"/>
      <c r="N37" s="159"/>
    </row>
    <row r="38" spans="1:14" ht="40.5" x14ac:dyDescent="0.25">
      <c r="A38" s="19">
        <v>2</v>
      </c>
      <c r="B38" s="18" t="s">
        <v>308</v>
      </c>
      <c r="C38" s="202" t="s">
        <v>309</v>
      </c>
      <c r="D38" s="202" t="s">
        <v>98</v>
      </c>
      <c r="E38" s="202"/>
      <c r="F38" s="42">
        <f>12*2+16*2</f>
        <v>56</v>
      </c>
      <c r="G38" s="40"/>
      <c r="H38" s="39"/>
      <c r="I38" s="40"/>
      <c r="J38" s="39"/>
      <c r="K38" s="40"/>
      <c r="L38" s="39"/>
      <c r="M38" s="20"/>
      <c r="N38" s="159"/>
    </row>
    <row r="39" spans="1:14" ht="13.5" x14ac:dyDescent="0.25">
      <c r="A39" s="19"/>
      <c r="B39" s="22"/>
      <c r="C39" s="194" t="s">
        <v>41</v>
      </c>
      <c r="D39" s="194" t="s">
        <v>42</v>
      </c>
      <c r="E39" s="194">
        <v>1.35</v>
      </c>
      <c r="F39" s="5">
        <f>F38*E39</f>
        <v>75.600000000000009</v>
      </c>
      <c r="G39" s="39"/>
      <c r="H39" s="39"/>
      <c r="I39" s="39"/>
      <c r="J39" s="39"/>
      <c r="K39" s="39"/>
      <c r="L39" s="39"/>
      <c r="M39" s="44"/>
      <c r="N39" s="159"/>
    </row>
    <row r="40" spans="1:14" ht="13.5" x14ac:dyDescent="0.25">
      <c r="A40" s="19"/>
      <c r="B40" s="30"/>
      <c r="C40" s="194" t="s">
        <v>174</v>
      </c>
      <c r="D40" s="194" t="s">
        <v>52</v>
      </c>
      <c r="E40" s="194">
        <v>3.1399999999999997E-2</v>
      </c>
      <c r="F40" s="5">
        <f>F38*E40</f>
        <v>1.7584</v>
      </c>
      <c r="G40" s="39"/>
      <c r="H40" s="39"/>
      <c r="I40" s="39"/>
      <c r="J40" s="39"/>
      <c r="K40" s="39"/>
      <c r="L40" s="39"/>
      <c r="M40" s="44"/>
      <c r="N40" s="159"/>
    </row>
    <row r="41" spans="1:14" ht="13.5" x14ac:dyDescent="0.25">
      <c r="A41" s="19"/>
      <c r="B41" s="30"/>
      <c r="C41" s="194" t="s">
        <v>310</v>
      </c>
      <c r="D41" s="194" t="s">
        <v>98</v>
      </c>
      <c r="E41" s="194">
        <v>0.94599999999999995</v>
      </c>
      <c r="F41" s="5">
        <f>F38*E41</f>
        <v>52.975999999999999</v>
      </c>
      <c r="G41" s="39"/>
      <c r="H41" s="39"/>
      <c r="I41" s="39"/>
      <c r="J41" s="39"/>
      <c r="K41" s="39"/>
      <c r="L41" s="39"/>
      <c r="M41" s="44"/>
      <c r="N41" s="159"/>
    </row>
    <row r="42" spans="1:14" ht="13.5" x14ac:dyDescent="0.25">
      <c r="A42" s="19"/>
      <c r="B42" s="30"/>
      <c r="C42" s="194" t="s">
        <v>51</v>
      </c>
      <c r="D42" s="194" t="s">
        <v>52</v>
      </c>
      <c r="E42" s="194">
        <v>6.5199999999999994E-2</v>
      </c>
      <c r="F42" s="5">
        <f>F38*E42</f>
        <v>3.6511999999999998</v>
      </c>
      <c r="G42" s="39"/>
      <c r="H42" s="39"/>
      <c r="I42" s="39"/>
      <c r="J42" s="39"/>
      <c r="K42" s="39"/>
      <c r="L42" s="39"/>
      <c r="M42" s="44"/>
      <c r="N42" s="159"/>
    </row>
    <row r="43" spans="1:14" ht="40.5" x14ac:dyDescent="0.25">
      <c r="A43" s="19">
        <v>3</v>
      </c>
      <c r="B43" s="18" t="s">
        <v>311</v>
      </c>
      <c r="C43" s="18" t="s">
        <v>312</v>
      </c>
      <c r="D43" s="18" t="s">
        <v>101</v>
      </c>
      <c r="E43" s="53"/>
      <c r="F43" s="44">
        <f>F38</f>
        <v>56</v>
      </c>
      <c r="G43" s="20"/>
      <c r="H43" s="20"/>
      <c r="I43" s="20"/>
      <c r="J43" s="20"/>
      <c r="K43" s="20"/>
      <c r="L43" s="20"/>
      <c r="M43" s="44"/>
      <c r="N43" s="159"/>
    </row>
    <row r="44" spans="1:14" ht="13.5" x14ac:dyDescent="0.25">
      <c r="A44" s="19"/>
      <c r="B44" s="22"/>
      <c r="C44" s="22" t="s">
        <v>182</v>
      </c>
      <c r="D44" s="22" t="s">
        <v>49</v>
      </c>
      <c r="E44" s="52">
        <v>8.6099999999999996E-2</v>
      </c>
      <c r="F44" s="5">
        <f>E44*F43</f>
        <v>4.8216000000000001</v>
      </c>
      <c r="G44" s="20"/>
      <c r="H44" s="20"/>
      <c r="I44" s="20"/>
      <c r="J44" s="39"/>
      <c r="K44" s="20"/>
      <c r="L44" s="20"/>
      <c r="M44" s="44"/>
      <c r="N44" s="159"/>
    </row>
    <row r="45" spans="1:14" ht="13.5" x14ac:dyDescent="0.25">
      <c r="A45" s="19"/>
      <c r="B45" s="22"/>
      <c r="C45" s="22" t="s">
        <v>45</v>
      </c>
      <c r="D45" s="194" t="s">
        <v>52</v>
      </c>
      <c r="E45" s="64">
        <v>3.9399999999999998E-2</v>
      </c>
      <c r="F45" s="20">
        <f>F43*E45</f>
        <v>2.2063999999999999</v>
      </c>
      <c r="G45" s="20"/>
      <c r="H45" s="20"/>
      <c r="I45" s="20"/>
      <c r="J45" s="20"/>
      <c r="K45" s="20"/>
      <c r="L45" s="39"/>
      <c r="M45" s="44"/>
      <c r="N45" s="159"/>
    </row>
    <row r="46" spans="1:14" ht="13.5" x14ac:dyDescent="0.25">
      <c r="A46" s="19"/>
      <c r="B46" s="22"/>
      <c r="C46" s="22" t="s">
        <v>313</v>
      </c>
      <c r="D46" s="5" t="s">
        <v>56</v>
      </c>
      <c r="E46" s="5">
        <v>0.22</v>
      </c>
      <c r="F46" s="5">
        <f>E46*F43</f>
        <v>12.32</v>
      </c>
      <c r="G46" s="20"/>
      <c r="H46" s="39"/>
      <c r="I46" s="20"/>
      <c r="J46" s="20"/>
      <c r="K46" s="20"/>
      <c r="L46" s="20"/>
      <c r="M46" s="44"/>
      <c r="N46" s="159"/>
    </row>
    <row r="47" spans="1:14" ht="13.5" x14ac:dyDescent="0.25">
      <c r="A47" s="19"/>
      <c r="B47" s="22"/>
      <c r="C47" s="22" t="s">
        <v>183</v>
      </c>
      <c r="D47" s="22" t="s">
        <v>52</v>
      </c>
      <c r="E47" s="52">
        <v>1.84E-2</v>
      </c>
      <c r="F47" s="5">
        <f>E47*F43</f>
        <v>1.0304</v>
      </c>
      <c r="G47" s="20"/>
      <c r="H47" s="39"/>
      <c r="I47" s="20"/>
      <c r="J47" s="20"/>
      <c r="K47" s="20"/>
      <c r="L47" s="20"/>
      <c r="M47" s="44"/>
      <c r="N47" s="159"/>
    </row>
    <row r="48" spans="1:14" ht="40.5" x14ac:dyDescent="0.25">
      <c r="A48" s="19">
        <v>4</v>
      </c>
      <c r="B48" s="18" t="s">
        <v>314</v>
      </c>
      <c r="C48" s="202" t="s">
        <v>175</v>
      </c>
      <c r="D48" s="194" t="s">
        <v>173</v>
      </c>
      <c r="E48" s="194"/>
      <c r="F48" s="34">
        <f>F49+F50</f>
        <v>36</v>
      </c>
      <c r="G48" s="39"/>
      <c r="H48" s="39"/>
      <c r="I48" s="39"/>
      <c r="J48" s="39"/>
      <c r="K48" s="39"/>
      <c r="L48" s="39"/>
      <c r="M48" s="39"/>
      <c r="N48" s="159"/>
    </row>
    <row r="49" spans="1:16" ht="27" x14ac:dyDescent="0.25">
      <c r="A49" s="19"/>
      <c r="B49" s="22"/>
      <c r="C49" s="194" t="s">
        <v>264</v>
      </c>
      <c r="D49" s="194" t="s">
        <v>173</v>
      </c>
      <c r="E49" s="194" t="s">
        <v>60</v>
      </c>
      <c r="F49" s="24">
        <f>3*4+4*2</f>
        <v>20</v>
      </c>
      <c r="G49" s="39"/>
      <c r="H49" s="39"/>
      <c r="I49" s="39"/>
      <c r="J49" s="39"/>
      <c r="K49" s="39"/>
      <c r="L49" s="39"/>
      <c r="M49" s="40"/>
      <c r="N49" s="159"/>
    </row>
    <row r="50" spans="1:16" ht="27" x14ac:dyDescent="0.25">
      <c r="A50" s="19"/>
      <c r="B50" s="22"/>
      <c r="C50" s="194" t="s">
        <v>265</v>
      </c>
      <c r="D50" s="194" t="s">
        <v>173</v>
      </c>
      <c r="E50" s="194" t="s">
        <v>60</v>
      </c>
      <c r="F50" s="24">
        <f>4*4</f>
        <v>16</v>
      </c>
      <c r="G50" s="20"/>
      <c r="H50" s="39"/>
      <c r="I50" s="20"/>
      <c r="J50" s="20"/>
      <c r="K50" s="20"/>
      <c r="L50" s="20"/>
      <c r="M50" s="40"/>
      <c r="N50" s="159"/>
    </row>
    <row r="51" spans="1:16" ht="40.5" x14ac:dyDescent="0.25">
      <c r="A51" s="19">
        <v>5</v>
      </c>
      <c r="B51" s="18" t="s">
        <v>315</v>
      </c>
      <c r="C51" s="202" t="s">
        <v>316</v>
      </c>
      <c r="D51" s="202" t="s">
        <v>98</v>
      </c>
      <c r="E51" s="202"/>
      <c r="F51" s="44">
        <v>24</v>
      </c>
      <c r="G51" s="40"/>
      <c r="H51" s="39"/>
      <c r="I51" s="40"/>
      <c r="J51" s="39"/>
      <c r="K51" s="40"/>
      <c r="L51" s="39"/>
      <c r="M51" s="39"/>
      <c r="N51" s="159"/>
    </row>
    <row r="52" spans="1:16" ht="13.5" x14ac:dyDescent="0.25">
      <c r="A52" s="19"/>
      <c r="B52" s="22"/>
      <c r="C52" s="194" t="s">
        <v>41</v>
      </c>
      <c r="D52" s="194" t="s">
        <v>42</v>
      </c>
      <c r="E52" s="52">
        <v>1.43</v>
      </c>
      <c r="F52" s="5">
        <f>F51*E52</f>
        <v>34.32</v>
      </c>
      <c r="G52" s="39"/>
      <c r="H52" s="39"/>
      <c r="I52" s="39"/>
      <c r="J52" s="39"/>
      <c r="K52" s="39"/>
      <c r="L52" s="39"/>
      <c r="M52" s="40"/>
      <c r="N52" s="159"/>
    </row>
    <row r="53" spans="1:16" ht="13.5" x14ac:dyDescent="0.25">
      <c r="A53" s="19"/>
      <c r="B53" s="30"/>
      <c r="C53" s="194" t="s">
        <v>174</v>
      </c>
      <c r="D53" s="194" t="s">
        <v>52</v>
      </c>
      <c r="E53" s="64">
        <v>2.5700000000000001E-2</v>
      </c>
      <c r="F53" s="5">
        <f>F51*E53</f>
        <v>0.61680000000000001</v>
      </c>
      <c r="G53" s="39"/>
      <c r="H53" s="39"/>
      <c r="I53" s="39"/>
      <c r="J53" s="39"/>
      <c r="K53" s="39"/>
      <c r="L53" s="39"/>
      <c r="M53" s="40"/>
      <c r="N53" s="159"/>
    </row>
    <row r="54" spans="1:16" ht="27" x14ac:dyDescent="0.25">
      <c r="A54" s="19"/>
      <c r="B54" s="30"/>
      <c r="C54" s="194" t="s">
        <v>317</v>
      </c>
      <c r="D54" s="194" t="s">
        <v>98</v>
      </c>
      <c r="E54" s="194">
        <v>0.92900000000000005</v>
      </c>
      <c r="F54" s="5">
        <f>F51*E54</f>
        <v>22.295999999999999</v>
      </c>
      <c r="G54" s="39"/>
      <c r="H54" s="39"/>
      <c r="I54" s="39"/>
      <c r="J54" s="39"/>
      <c r="K54" s="39"/>
      <c r="L54" s="39"/>
      <c r="M54" s="40"/>
      <c r="N54" s="159"/>
    </row>
    <row r="55" spans="1:16" ht="13.5" x14ac:dyDescent="0.25">
      <c r="A55" s="19"/>
      <c r="B55" s="22" t="s">
        <v>74</v>
      </c>
      <c r="C55" s="194" t="s">
        <v>87</v>
      </c>
      <c r="D55" s="194" t="s">
        <v>52</v>
      </c>
      <c r="E55" s="194">
        <v>4.5699999999999998E-2</v>
      </c>
      <c r="F55" s="20">
        <f>F51*E55</f>
        <v>1.0968</v>
      </c>
      <c r="G55" s="20"/>
      <c r="H55" s="20"/>
      <c r="I55" s="20"/>
      <c r="J55" s="20"/>
      <c r="K55" s="20"/>
      <c r="L55" s="20"/>
      <c r="M55" s="44"/>
      <c r="N55" s="159"/>
    </row>
    <row r="56" spans="1:16" ht="40.5" x14ac:dyDescent="0.25">
      <c r="A56" s="19">
        <v>6</v>
      </c>
      <c r="B56" s="18" t="s">
        <v>311</v>
      </c>
      <c r="C56" s="18" t="s">
        <v>184</v>
      </c>
      <c r="D56" s="18" t="s">
        <v>101</v>
      </c>
      <c r="E56" s="53"/>
      <c r="F56" s="44">
        <v>24</v>
      </c>
      <c r="G56" s="20"/>
      <c r="H56" s="20"/>
      <c r="I56" s="20"/>
      <c r="J56" s="20"/>
      <c r="K56" s="20"/>
      <c r="L56" s="20"/>
      <c r="M56" s="44"/>
      <c r="N56" s="159"/>
      <c r="P56" s="38">
        <v>5</v>
      </c>
    </row>
    <row r="57" spans="1:16" ht="13.5" x14ac:dyDescent="0.25">
      <c r="A57" s="19"/>
      <c r="B57" s="22"/>
      <c r="C57" s="22" t="s">
        <v>182</v>
      </c>
      <c r="D57" s="22" t="s">
        <v>49</v>
      </c>
      <c r="E57" s="52">
        <v>8.6099999999999996E-2</v>
      </c>
      <c r="F57" s="5">
        <f>E57*F56</f>
        <v>2.0663999999999998</v>
      </c>
      <c r="G57" s="20"/>
      <c r="H57" s="20"/>
      <c r="I57" s="39"/>
      <c r="J57" s="39"/>
      <c r="K57" s="20"/>
      <c r="L57" s="20"/>
      <c r="M57" s="44"/>
      <c r="N57" s="159"/>
    </row>
    <row r="58" spans="1:16" ht="13.5" x14ac:dyDescent="0.25">
      <c r="A58" s="19"/>
      <c r="B58" s="22"/>
      <c r="C58" s="22" t="s">
        <v>45</v>
      </c>
      <c r="D58" s="194" t="s">
        <v>52</v>
      </c>
      <c r="E58" s="64">
        <v>3.9399999999999998E-2</v>
      </c>
      <c r="F58" s="20">
        <f>F56*E58</f>
        <v>0.9456</v>
      </c>
      <c r="G58" s="20"/>
      <c r="H58" s="20"/>
      <c r="I58" s="20"/>
      <c r="J58" s="20"/>
      <c r="K58" s="20"/>
      <c r="L58" s="39"/>
      <c r="M58" s="44"/>
      <c r="N58" s="159"/>
    </row>
    <row r="59" spans="1:16" ht="13.5" x14ac:dyDescent="0.25">
      <c r="A59" s="19"/>
      <c r="B59" s="22"/>
      <c r="C59" s="22" t="s">
        <v>185</v>
      </c>
      <c r="D59" s="5" t="s">
        <v>101</v>
      </c>
      <c r="E59" s="5">
        <v>1.02</v>
      </c>
      <c r="F59" s="5">
        <f>E59*F56</f>
        <v>24.48</v>
      </c>
      <c r="G59" s="20"/>
      <c r="H59" s="39"/>
      <c r="I59" s="20"/>
      <c r="J59" s="20"/>
      <c r="K59" s="20"/>
      <c r="L59" s="20"/>
      <c r="M59" s="44"/>
      <c r="N59" s="159"/>
    </row>
    <row r="60" spans="1:16" ht="13.5" x14ac:dyDescent="0.25">
      <c r="A60" s="19"/>
      <c r="B60" s="22"/>
      <c r="C60" s="22" t="s">
        <v>183</v>
      </c>
      <c r="D60" s="22" t="s">
        <v>52</v>
      </c>
      <c r="E60" s="52">
        <v>1.84E-2</v>
      </c>
      <c r="F60" s="5">
        <f>E60*F56</f>
        <v>0.44159999999999999</v>
      </c>
      <c r="G60" s="20"/>
      <c r="H60" s="39"/>
      <c r="I60" s="20"/>
      <c r="J60" s="20"/>
      <c r="K60" s="20"/>
      <c r="L60" s="20"/>
      <c r="M60" s="44"/>
      <c r="N60" s="159"/>
    </row>
    <row r="61" spans="1:16" ht="40.5" x14ac:dyDescent="0.25">
      <c r="A61" s="19">
        <v>7</v>
      </c>
      <c r="B61" s="18" t="s">
        <v>318</v>
      </c>
      <c r="C61" s="202" t="s">
        <v>186</v>
      </c>
      <c r="D61" s="19" t="s">
        <v>187</v>
      </c>
      <c r="E61" s="19"/>
      <c r="F61" s="161">
        <v>2</v>
      </c>
      <c r="G61" s="20"/>
      <c r="H61" s="39"/>
      <c r="I61" s="20"/>
      <c r="J61" s="20"/>
      <c r="K61" s="20"/>
      <c r="L61" s="20"/>
      <c r="M61" s="44"/>
      <c r="N61" s="159"/>
    </row>
    <row r="62" spans="1:16" ht="13.5" x14ac:dyDescent="0.25">
      <c r="A62" s="19"/>
      <c r="B62" s="194"/>
      <c r="C62" s="194" t="s">
        <v>68</v>
      </c>
      <c r="D62" s="21" t="s">
        <v>49</v>
      </c>
      <c r="E62" s="21">
        <v>1.06</v>
      </c>
      <c r="F62" s="20">
        <f>F61*E62</f>
        <v>2.12</v>
      </c>
      <c r="G62" s="20"/>
      <c r="H62" s="39"/>
      <c r="I62" s="20"/>
      <c r="J62" s="39"/>
      <c r="K62" s="20"/>
      <c r="L62" s="20"/>
      <c r="M62" s="44"/>
      <c r="N62" s="159"/>
    </row>
    <row r="63" spans="1:16" ht="13.5" x14ac:dyDescent="0.25">
      <c r="A63" s="19"/>
      <c r="B63" s="194"/>
      <c r="C63" s="194" t="s">
        <v>66</v>
      </c>
      <c r="D63" s="21" t="s">
        <v>52</v>
      </c>
      <c r="E63" s="20">
        <v>0.16</v>
      </c>
      <c r="F63" s="20">
        <f>F61*E63</f>
        <v>0.32</v>
      </c>
      <c r="G63" s="20"/>
      <c r="H63" s="39"/>
      <c r="I63" s="20"/>
      <c r="J63" s="20"/>
      <c r="K63" s="20"/>
      <c r="L63" s="39"/>
      <c r="M63" s="44"/>
      <c r="N63" s="159"/>
    </row>
    <row r="64" spans="1:16" ht="13.5" x14ac:dyDescent="0.25">
      <c r="A64" s="19"/>
      <c r="B64" s="22"/>
      <c r="C64" s="194" t="s">
        <v>188</v>
      </c>
      <c r="D64" s="21" t="s">
        <v>162</v>
      </c>
      <c r="E64" s="21">
        <v>1</v>
      </c>
      <c r="F64" s="162">
        <f>F61*E64</f>
        <v>2</v>
      </c>
      <c r="G64" s="20"/>
      <c r="H64" s="39"/>
      <c r="I64" s="20"/>
      <c r="J64" s="20"/>
      <c r="K64" s="20"/>
      <c r="L64" s="20"/>
      <c r="M64" s="44"/>
      <c r="N64" s="159"/>
    </row>
    <row r="65" spans="1:14" ht="13.5" x14ac:dyDescent="0.25">
      <c r="A65" s="19"/>
      <c r="B65" s="194"/>
      <c r="C65" s="194" t="s">
        <v>79</v>
      </c>
      <c r="D65" s="21" t="s">
        <v>52</v>
      </c>
      <c r="E65" s="21">
        <v>0.02</v>
      </c>
      <c r="F65" s="20">
        <f>F61*E65</f>
        <v>0.04</v>
      </c>
      <c r="G65" s="20"/>
      <c r="H65" s="39"/>
      <c r="I65" s="20"/>
      <c r="J65" s="20"/>
      <c r="K65" s="20"/>
      <c r="L65" s="20"/>
      <c r="M65" s="44"/>
      <c r="N65" s="159"/>
    </row>
    <row r="66" spans="1:14" ht="40.5" x14ac:dyDescent="0.25">
      <c r="A66" s="19">
        <v>8</v>
      </c>
      <c r="B66" s="18" t="s">
        <v>319</v>
      </c>
      <c r="C66" s="202" t="s">
        <v>189</v>
      </c>
      <c r="D66" s="19" t="s">
        <v>187</v>
      </c>
      <c r="E66" s="19"/>
      <c r="F66" s="161">
        <v>2</v>
      </c>
      <c r="G66" s="20"/>
      <c r="H66" s="39"/>
      <c r="I66" s="20"/>
      <c r="J66" s="20"/>
      <c r="K66" s="20"/>
      <c r="L66" s="20"/>
      <c r="M66" s="44"/>
      <c r="N66" s="159"/>
    </row>
    <row r="67" spans="1:14" ht="13.5" x14ac:dyDescent="0.25">
      <c r="A67" s="19"/>
      <c r="B67" s="194"/>
      <c r="C67" s="194" t="s">
        <v>65</v>
      </c>
      <c r="D67" s="21" t="s">
        <v>49</v>
      </c>
      <c r="E67" s="21">
        <v>0.31</v>
      </c>
      <c r="F67" s="20">
        <f>F66*E67</f>
        <v>0.62</v>
      </c>
      <c r="G67" s="20"/>
      <c r="H67" s="39"/>
      <c r="I67" s="20"/>
      <c r="J67" s="39"/>
      <c r="K67" s="20"/>
      <c r="L67" s="20"/>
      <c r="M67" s="44"/>
      <c r="N67" s="159"/>
    </row>
    <row r="68" spans="1:14" ht="13.5" x14ac:dyDescent="0.25">
      <c r="A68" s="19"/>
      <c r="B68" s="22"/>
      <c r="C68" s="194" t="s">
        <v>190</v>
      </c>
      <c r="D68" s="21" t="s">
        <v>162</v>
      </c>
      <c r="E68" s="21">
        <v>1</v>
      </c>
      <c r="F68" s="162">
        <f>F66*E68</f>
        <v>2</v>
      </c>
      <c r="G68" s="20"/>
      <c r="H68" s="39"/>
      <c r="I68" s="20"/>
      <c r="J68" s="20"/>
      <c r="K68" s="20"/>
      <c r="L68" s="20"/>
      <c r="M68" s="44"/>
      <c r="N68" s="159"/>
    </row>
    <row r="69" spans="1:14" ht="13.5" x14ac:dyDescent="0.25">
      <c r="A69" s="19"/>
      <c r="B69" s="194"/>
      <c r="C69" s="194" t="s">
        <v>87</v>
      </c>
      <c r="D69" s="21" t="s">
        <v>52</v>
      </c>
      <c r="E69" s="21">
        <v>0.04</v>
      </c>
      <c r="F69" s="20">
        <f>F66*E69</f>
        <v>0.08</v>
      </c>
      <c r="G69" s="20"/>
      <c r="H69" s="39"/>
      <c r="I69" s="20"/>
      <c r="J69" s="20"/>
      <c r="K69" s="20"/>
      <c r="L69" s="20"/>
      <c r="M69" s="44"/>
      <c r="N69" s="159"/>
    </row>
    <row r="70" spans="1:14" ht="13.5" x14ac:dyDescent="0.25">
      <c r="A70" s="65"/>
      <c r="B70" s="202"/>
      <c r="C70" s="202" t="s">
        <v>146</v>
      </c>
      <c r="D70" s="202"/>
      <c r="E70" s="202"/>
      <c r="F70" s="44"/>
      <c r="G70" s="40"/>
      <c r="H70" s="40"/>
      <c r="I70" s="40"/>
      <c r="J70" s="40"/>
      <c r="K70" s="40"/>
      <c r="L70" s="40"/>
      <c r="M70" s="40"/>
      <c r="N70" s="159"/>
    </row>
    <row r="71" spans="1:14" ht="13.5" x14ac:dyDescent="0.25">
      <c r="A71" s="65"/>
      <c r="B71" s="66"/>
      <c r="C71" s="194" t="s">
        <v>147</v>
      </c>
      <c r="D71" s="194" t="s">
        <v>52</v>
      </c>
      <c r="E71" s="5"/>
      <c r="F71" s="5"/>
      <c r="G71" s="5"/>
      <c r="H71" s="5"/>
      <c r="I71" s="5"/>
      <c r="J71" s="41"/>
      <c r="K71" s="5"/>
      <c r="L71" s="5"/>
      <c r="M71" s="44"/>
      <c r="N71" s="159"/>
    </row>
    <row r="72" spans="1:14" ht="13.5" x14ac:dyDescent="0.25">
      <c r="A72" s="65"/>
      <c r="B72" s="66"/>
      <c r="C72" s="194" t="s">
        <v>148</v>
      </c>
      <c r="D72" s="194" t="s">
        <v>52</v>
      </c>
      <c r="E72" s="5"/>
      <c r="F72" s="5"/>
      <c r="G72" s="5"/>
      <c r="H72" s="5"/>
      <c r="I72" s="5"/>
      <c r="J72" s="5"/>
      <c r="K72" s="5"/>
      <c r="L72" s="41"/>
      <c r="M72" s="44"/>
      <c r="N72" s="159"/>
    </row>
    <row r="73" spans="1:14" ht="13.5" x14ac:dyDescent="0.25">
      <c r="A73" s="65"/>
      <c r="B73" s="66"/>
      <c r="C73" s="194" t="s">
        <v>149</v>
      </c>
      <c r="D73" s="194" t="s">
        <v>52</v>
      </c>
      <c r="E73" s="5"/>
      <c r="F73" s="5"/>
      <c r="G73" s="5"/>
      <c r="H73" s="41"/>
      <c r="I73" s="5"/>
      <c r="J73" s="5"/>
      <c r="K73" s="5"/>
      <c r="L73" s="5"/>
      <c r="M73" s="44"/>
      <c r="N73" s="159"/>
    </row>
    <row r="74" spans="1:14" ht="13.5" x14ac:dyDescent="0.25">
      <c r="A74" s="65"/>
      <c r="B74" s="66"/>
      <c r="C74" s="194" t="s">
        <v>150</v>
      </c>
      <c r="D74" s="194" t="s">
        <v>52</v>
      </c>
      <c r="E74" s="5"/>
      <c r="F74" s="5"/>
      <c r="G74" s="5"/>
      <c r="H74" s="20"/>
      <c r="I74" s="20"/>
      <c r="J74" s="20"/>
      <c r="K74" s="20"/>
      <c r="L74" s="20"/>
      <c r="M74" s="44"/>
      <c r="N74" s="159"/>
    </row>
    <row r="75" spans="1:14" ht="40.5" x14ac:dyDescent="0.25">
      <c r="A75" s="65"/>
      <c r="B75" s="66"/>
      <c r="C75" s="194" t="s">
        <v>151</v>
      </c>
      <c r="D75" s="194"/>
      <c r="E75" s="26"/>
      <c r="F75" s="5"/>
      <c r="G75" s="5"/>
      <c r="H75" s="20"/>
      <c r="I75" s="20"/>
      <c r="J75" s="20"/>
      <c r="K75" s="20"/>
      <c r="L75" s="20"/>
      <c r="M75" s="5"/>
      <c r="N75" s="159"/>
    </row>
    <row r="76" spans="1:14" ht="13.5" x14ac:dyDescent="0.25">
      <c r="A76" s="65"/>
      <c r="B76" s="66"/>
      <c r="C76" s="194" t="s">
        <v>152</v>
      </c>
      <c r="D76" s="194"/>
      <c r="E76" s="5"/>
      <c r="F76" s="5"/>
      <c r="G76" s="5"/>
      <c r="H76" s="20"/>
      <c r="I76" s="20"/>
      <c r="J76" s="20"/>
      <c r="K76" s="20"/>
      <c r="L76" s="20"/>
      <c r="M76" s="44"/>
      <c r="N76" s="159"/>
    </row>
    <row r="77" spans="1:14" ht="13.5" x14ac:dyDescent="0.25">
      <c r="A77" s="65"/>
      <c r="B77" s="66"/>
      <c r="C77" s="194" t="s">
        <v>153</v>
      </c>
      <c r="D77" s="194" t="s">
        <v>375</v>
      </c>
      <c r="E77" s="26"/>
      <c r="F77" s="5"/>
      <c r="G77" s="5"/>
      <c r="H77" s="20"/>
      <c r="I77" s="20"/>
      <c r="J77" s="20"/>
      <c r="K77" s="20"/>
      <c r="L77" s="20"/>
      <c r="M77" s="5"/>
      <c r="N77" s="159"/>
    </row>
    <row r="78" spans="1:14" ht="13.5" x14ac:dyDescent="0.25">
      <c r="A78" s="65"/>
      <c r="B78" s="66"/>
      <c r="C78" s="194" t="s">
        <v>23</v>
      </c>
      <c r="D78" s="194" t="s">
        <v>52</v>
      </c>
      <c r="E78" s="5"/>
      <c r="F78" s="5"/>
      <c r="G78" s="5"/>
      <c r="H78" s="20"/>
      <c r="I78" s="20"/>
      <c r="J78" s="20"/>
      <c r="K78" s="20"/>
      <c r="L78" s="20"/>
      <c r="M78" s="44"/>
      <c r="N78" s="159"/>
    </row>
    <row r="79" spans="1:14" ht="13.5" x14ac:dyDescent="0.25">
      <c r="A79" s="65"/>
      <c r="B79" s="66"/>
      <c r="C79" s="194" t="s">
        <v>154</v>
      </c>
      <c r="D79" s="194" t="s">
        <v>375</v>
      </c>
      <c r="E79" s="26"/>
      <c r="F79" s="5"/>
      <c r="G79" s="5"/>
      <c r="H79" s="20"/>
      <c r="I79" s="20"/>
      <c r="J79" s="20"/>
      <c r="K79" s="20"/>
      <c r="L79" s="20"/>
      <c r="M79" s="5"/>
      <c r="N79" s="159"/>
    </row>
    <row r="80" spans="1:14" ht="13.5" x14ac:dyDescent="0.25">
      <c r="A80" s="65"/>
      <c r="B80" s="66"/>
      <c r="C80" s="202" t="s">
        <v>171</v>
      </c>
      <c r="D80" s="202" t="s">
        <v>52</v>
      </c>
      <c r="E80" s="5"/>
      <c r="F80" s="5"/>
      <c r="G80" s="5"/>
      <c r="H80" s="20"/>
      <c r="I80" s="20"/>
      <c r="J80" s="20"/>
      <c r="K80" s="20"/>
      <c r="L80" s="20"/>
      <c r="M80" s="44"/>
      <c r="N80" s="159"/>
    </row>
    <row r="81" spans="1:14" ht="13.5" x14ac:dyDescent="0.25">
      <c r="A81" s="65"/>
      <c r="B81" s="66"/>
      <c r="C81" s="194" t="s">
        <v>156</v>
      </c>
      <c r="D81" s="194"/>
      <c r="E81" s="194"/>
      <c r="F81" s="5"/>
      <c r="G81" s="5"/>
      <c r="H81" s="5"/>
      <c r="I81" s="20"/>
      <c r="J81" s="20"/>
      <c r="K81" s="20"/>
      <c r="L81" s="20"/>
      <c r="M81" s="51"/>
      <c r="N81" s="159"/>
    </row>
    <row r="82" spans="1:14" ht="13.5" x14ac:dyDescent="0.25">
      <c r="A82" s="65"/>
      <c r="B82" s="66"/>
      <c r="C82" s="202" t="s">
        <v>155</v>
      </c>
      <c r="D82" s="202" t="s">
        <v>52</v>
      </c>
      <c r="E82" s="5"/>
      <c r="F82" s="5"/>
      <c r="G82" s="5"/>
      <c r="H82" s="20"/>
      <c r="I82" s="20"/>
      <c r="J82" s="20"/>
      <c r="K82" s="20"/>
      <c r="L82" s="20"/>
      <c r="M82" s="44"/>
      <c r="N82" s="159"/>
    </row>
    <row r="83" spans="1:14" ht="13.5" x14ac:dyDescent="0.25">
      <c r="A83" s="65"/>
      <c r="B83" s="66"/>
      <c r="C83" s="194" t="s">
        <v>156</v>
      </c>
      <c r="D83" s="194"/>
      <c r="E83" s="194"/>
      <c r="F83" s="5"/>
      <c r="G83" s="5"/>
      <c r="H83" s="5"/>
      <c r="I83" s="20"/>
      <c r="J83" s="20"/>
      <c r="K83" s="20"/>
      <c r="L83" s="20"/>
      <c r="M83" s="51"/>
      <c r="N83" s="159"/>
    </row>
    <row r="84" spans="1:14" ht="13.5" x14ac:dyDescent="0.25">
      <c r="A84" s="163"/>
      <c r="B84" s="226"/>
      <c r="C84" s="6"/>
      <c r="D84" s="6"/>
      <c r="E84" s="6"/>
      <c r="F84" s="35"/>
      <c r="G84" s="35"/>
      <c r="H84" s="35"/>
      <c r="I84" s="36"/>
      <c r="J84" s="36"/>
      <c r="K84" s="36"/>
      <c r="L84" s="36"/>
      <c r="M84" s="37"/>
      <c r="N84" s="159"/>
    </row>
    <row r="85" spans="1:14" ht="13.5" x14ac:dyDescent="0.25">
      <c r="A85" s="159"/>
      <c r="B85" s="164"/>
      <c r="C85" s="164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</row>
    <row r="86" spans="1:14" ht="13.5" x14ac:dyDescent="0.25">
      <c r="A86" s="204"/>
      <c r="B86" s="164"/>
      <c r="C86" s="164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</row>
    <row r="87" spans="1:14" ht="13.5" x14ac:dyDescent="0.25">
      <c r="A87" s="159"/>
      <c r="B87" s="164"/>
      <c r="C87" s="164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</row>
    <row r="88" spans="1:14" ht="13.5" x14ac:dyDescent="0.25">
      <c r="A88" s="159"/>
      <c r="B88" s="164"/>
      <c r="C88" s="164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</row>
    <row r="89" spans="1:14" ht="13.5" x14ac:dyDescent="0.25">
      <c r="A89" s="159"/>
      <c r="B89" s="164"/>
      <c r="C89" s="164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</row>
    <row r="90" spans="1:14" ht="13.5" x14ac:dyDescent="0.25">
      <c r="A90" s="159"/>
      <c r="B90" s="164"/>
      <c r="C90" s="164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</row>
    <row r="91" spans="1:14" ht="13.5" x14ac:dyDescent="0.25">
      <c r="A91" s="159"/>
      <c r="B91" s="164"/>
      <c r="C91" s="164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</row>
    <row r="92" spans="1:14" ht="13.5" x14ac:dyDescent="0.25">
      <c r="A92" s="159"/>
      <c r="B92" s="164"/>
      <c r="C92" s="164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</row>
    <row r="93" spans="1:14" ht="13.5" x14ac:dyDescent="0.25">
      <c r="A93" s="159"/>
      <c r="B93" s="164"/>
      <c r="C93" s="164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</row>
    <row r="94" spans="1:14" ht="13.5" x14ac:dyDescent="0.25">
      <c r="A94" s="159"/>
      <c r="B94" s="164"/>
      <c r="C94" s="164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</row>
    <row r="95" spans="1:14" ht="13.5" x14ac:dyDescent="0.25">
      <c r="A95" s="159"/>
      <c r="B95" s="164"/>
      <c r="C95" s="164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</row>
    <row r="96" spans="1:14" ht="13.5" x14ac:dyDescent="0.25">
      <c r="A96" s="159"/>
      <c r="B96" s="164"/>
      <c r="C96" s="164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</row>
    <row r="97" spans="1:14" ht="13.5" x14ac:dyDescent="0.25">
      <c r="A97" s="159"/>
      <c r="B97" s="164"/>
      <c r="C97" s="164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</row>
    <row r="98" spans="1:14" ht="13.5" x14ac:dyDescent="0.25">
      <c r="A98" s="159"/>
      <c r="B98" s="164"/>
      <c r="C98" s="164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</row>
    <row r="99" spans="1:14" ht="15" x14ac:dyDescent="0.25">
      <c r="A99" s="210"/>
      <c r="B99" s="215"/>
      <c r="C99" s="215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</row>
    <row r="100" spans="1:14" ht="15" x14ac:dyDescent="0.25">
      <c r="A100" s="210"/>
      <c r="B100" s="215"/>
      <c r="C100" s="215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</row>
    <row r="101" spans="1:14" ht="15" x14ac:dyDescent="0.25">
      <c r="A101" s="210"/>
      <c r="B101" s="215"/>
      <c r="C101" s="215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</row>
    <row r="102" spans="1:14" ht="15" x14ac:dyDescent="0.25">
      <c r="A102" s="210"/>
      <c r="B102" s="215"/>
      <c r="C102" s="215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</row>
    <row r="103" spans="1:14" ht="15" x14ac:dyDescent="0.25">
      <c r="A103" s="210"/>
      <c r="B103" s="215"/>
      <c r="C103" s="215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</row>
    <row r="104" spans="1:14" ht="15" x14ac:dyDescent="0.25">
      <c r="A104" s="210"/>
      <c r="B104" s="215"/>
      <c r="C104" s="215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</row>
    <row r="105" spans="1:14" ht="15" x14ac:dyDescent="0.25">
      <c r="A105" s="210"/>
      <c r="B105" s="215"/>
      <c r="C105" s="215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</row>
    <row r="106" spans="1:14" ht="15" x14ac:dyDescent="0.25">
      <c r="A106" s="210"/>
      <c r="B106" s="215"/>
      <c r="C106" s="215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</row>
    <row r="107" spans="1:14" ht="15" x14ac:dyDescent="0.25">
      <c r="A107" s="210"/>
      <c r="B107" s="215"/>
      <c r="C107" s="215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</row>
    <row r="108" spans="1:14" ht="15" x14ac:dyDescent="0.25">
      <c r="A108" s="210"/>
      <c r="B108" s="215"/>
      <c r="C108" s="215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</row>
    <row r="109" spans="1:14" ht="15" x14ac:dyDescent="0.25">
      <c r="A109" s="210"/>
      <c r="B109" s="215"/>
      <c r="C109" s="215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</row>
    <row r="110" spans="1:14" ht="15" x14ac:dyDescent="0.25">
      <c r="A110" s="210"/>
      <c r="B110" s="215"/>
      <c r="C110" s="215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</row>
    <row r="111" spans="1:14" ht="15" x14ac:dyDescent="0.25">
      <c r="A111" s="210"/>
      <c r="B111" s="215"/>
      <c r="C111" s="215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</row>
    <row r="112" spans="1:14" ht="15" x14ac:dyDescent="0.25">
      <c r="A112" s="210"/>
      <c r="B112" s="215"/>
      <c r="C112" s="215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</row>
    <row r="113" spans="1:14" ht="15" x14ac:dyDescent="0.25">
      <c r="A113" s="210"/>
      <c r="B113" s="215"/>
      <c r="C113" s="215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</row>
    <row r="114" spans="1:14" ht="15" x14ac:dyDescent="0.25">
      <c r="A114" s="210"/>
      <c r="B114" s="215"/>
      <c r="C114" s="215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</row>
    <row r="115" spans="1:14" ht="15" x14ac:dyDescent="0.25">
      <c r="A115" s="210"/>
      <c r="B115" s="215"/>
      <c r="C115" s="215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</row>
    <row r="116" spans="1:14" ht="15" x14ac:dyDescent="0.25">
      <c r="A116" s="210"/>
      <c r="B116" s="215"/>
      <c r="C116" s="215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</row>
    <row r="117" spans="1:14" ht="15" x14ac:dyDescent="0.25">
      <c r="A117" s="210"/>
      <c r="B117" s="215"/>
      <c r="C117" s="215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</row>
    <row r="118" spans="1:14" ht="15" x14ac:dyDescent="0.25">
      <c r="A118" s="210"/>
      <c r="B118" s="215"/>
      <c r="C118" s="215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</row>
    <row r="119" spans="1:14" ht="15" x14ac:dyDescent="0.25">
      <c r="A119" s="210"/>
      <c r="B119" s="215"/>
      <c r="C119" s="215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</row>
    <row r="120" spans="1:14" ht="15" x14ac:dyDescent="0.25">
      <c r="A120" s="210"/>
      <c r="B120" s="215"/>
      <c r="C120" s="215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</row>
    <row r="121" spans="1:14" ht="15" x14ac:dyDescent="0.25">
      <c r="A121" s="210"/>
      <c r="B121" s="215"/>
      <c r="C121" s="215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</row>
    <row r="122" spans="1:14" ht="15" x14ac:dyDescent="0.25">
      <c r="A122" s="210"/>
      <c r="B122" s="215"/>
      <c r="C122" s="215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</row>
    <row r="123" spans="1:14" ht="15" x14ac:dyDescent="0.25">
      <c r="A123" s="210"/>
      <c r="B123" s="215"/>
      <c r="C123" s="215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</row>
    <row r="124" spans="1:14" ht="15" x14ac:dyDescent="0.25">
      <c r="A124" s="210"/>
      <c r="B124" s="215"/>
      <c r="C124" s="215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</row>
    <row r="125" spans="1:14" ht="15" x14ac:dyDescent="0.25">
      <c r="A125" s="210"/>
      <c r="B125" s="215"/>
      <c r="C125" s="215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</row>
    <row r="126" spans="1:14" ht="15" x14ac:dyDescent="0.25">
      <c r="A126" s="210"/>
      <c r="B126" s="215"/>
      <c r="C126" s="215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</row>
    <row r="127" spans="1:14" ht="15" x14ac:dyDescent="0.25">
      <c r="A127" s="210"/>
      <c r="B127" s="215"/>
      <c r="C127" s="215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</row>
    <row r="128" spans="1:14" ht="15" x14ac:dyDescent="0.25">
      <c r="A128" s="210"/>
      <c r="B128" s="215"/>
      <c r="C128" s="215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</row>
    <row r="129" spans="1:14" ht="15" x14ac:dyDescent="0.25">
      <c r="A129" s="210"/>
      <c r="B129" s="215"/>
      <c r="C129" s="215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</row>
    <row r="130" spans="1:14" ht="15" x14ac:dyDescent="0.25">
      <c r="A130" s="210"/>
      <c r="B130" s="215"/>
      <c r="C130" s="215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</row>
    <row r="131" spans="1:14" ht="15" x14ac:dyDescent="0.25">
      <c r="A131" s="210"/>
      <c r="B131" s="215"/>
      <c r="C131" s="215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</row>
    <row r="132" spans="1:14" ht="15" x14ac:dyDescent="0.25">
      <c r="A132" s="210"/>
      <c r="B132" s="215"/>
      <c r="C132" s="215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</row>
    <row r="133" spans="1:14" ht="15" x14ac:dyDescent="0.25">
      <c r="A133" s="210"/>
      <c r="B133" s="215"/>
      <c r="C133" s="215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</row>
    <row r="134" spans="1:14" ht="15" x14ac:dyDescent="0.25">
      <c r="A134" s="210"/>
      <c r="B134" s="215"/>
      <c r="C134" s="215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</row>
    <row r="135" spans="1:14" ht="15" x14ac:dyDescent="0.25">
      <c r="A135" s="210"/>
      <c r="B135" s="215"/>
      <c r="C135" s="215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</row>
    <row r="136" spans="1:14" ht="15" x14ac:dyDescent="0.25">
      <c r="A136" s="210"/>
      <c r="B136" s="215"/>
      <c r="C136" s="215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</row>
    <row r="137" spans="1:14" ht="15" x14ac:dyDescent="0.25">
      <c r="A137" s="210"/>
      <c r="B137" s="215"/>
      <c r="C137" s="215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</row>
    <row r="138" spans="1:14" ht="15" x14ac:dyDescent="0.25">
      <c r="A138" s="210"/>
      <c r="B138" s="215"/>
      <c r="C138" s="215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</row>
    <row r="139" spans="1:14" ht="15" x14ac:dyDescent="0.25">
      <c r="A139" s="210"/>
      <c r="B139" s="215"/>
      <c r="C139" s="215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</row>
    <row r="140" spans="1:14" ht="15" x14ac:dyDescent="0.25">
      <c r="A140" s="210"/>
      <c r="B140" s="215"/>
      <c r="C140" s="215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</row>
    <row r="141" spans="1:14" ht="15" x14ac:dyDescent="0.25">
      <c r="A141" s="210"/>
      <c r="B141" s="215"/>
      <c r="C141" s="215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</row>
    <row r="142" spans="1:14" ht="15" x14ac:dyDescent="0.25">
      <c r="A142" s="210"/>
      <c r="B142" s="215"/>
      <c r="C142" s="215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</row>
    <row r="143" spans="1:14" ht="15" x14ac:dyDescent="0.25">
      <c r="A143" s="210"/>
      <c r="B143" s="215"/>
      <c r="C143" s="215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</row>
    <row r="144" spans="1:14" ht="15" x14ac:dyDescent="0.25">
      <c r="A144" s="210"/>
      <c r="B144" s="215"/>
      <c r="C144" s="215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</row>
    <row r="145" spans="1:14" ht="15" x14ac:dyDescent="0.25">
      <c r="A145" s="210"/>
      <c r="B145" s="215"/>
      <c r="C145" s="215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</row>
    <row r="146" spans="1:14" ht="15" x14ac:dyDescent="0.25">
      <c r="A146" s="210"/>
      <c r="B146" s="215"/>
      <c r="C146" s="215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</row>
    <row r="147" spans="1:14" ht="15" x14ac:dyDescent="0.25">
      <c r="A147" s="210"/>
      <c r="B147" s="215"/>
      <c r="C147" s="215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</row>
    <row r="148" spans="1:14" ht="15" x14ac:dyDescent="0.25">
      <c r="A148" s="210"/>
      <c r="B148" s="215"/>
      <c r="C148" s="215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</row>
    <row r="149" spans="1:14" ht="15" x14ac:dyDescent="0.25">
      <c r="A149" s="210"/>
      <c r="B149" s="215"/>
      <c r="C149" s="215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</row>
    <row r="150" spans="1:14" ht="15" x14ac:dyDescent="0.25">
      <c r="A150" s="210"/>
      <c r="B150" s="215"/>
      <c r="C150" s="215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</row>
    <row r="151" spans="1:14" ht="15" x14ac:dyDescent="0.25">
      <c r="A151" s="210"/>
      <c r="B151" s="215"/>
      <c r="C151" s="215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</row>
    <row r="152" spans="1:14" ht="15" x14ac:dyDescent="0.25">
      <c r="A152" s="210"/>
      <c r="B152" s="215"/>
      <c r="C152" s="215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</row>
    <row r="153" spans="1:14" ht="15" x14ac:dyDescent="0.25">
      <c r="A153" s="210"/>
      <c r="B153" s="215"/>
      <c r="C153" s="215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</row>
    <row r="154" spans="1:14" ht="15" x14ac:dyDescent="0.25">
      <c r="A154" s="210"/>
      <c r="B154" s="215"/>
      <c r="C154" s="215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</row>
    <row r="155" spans="1:14" ht="15" x14ac:dyDescent="0.25">
      <c r="A155" s="210"/>
      <c r="B155" s="215"/>
      <c r="C155" s="215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</row>
    <row r="156" spans="1:14" ht="15" x14ac:dyDescent="0.25">
      <c r="A156" s="210"/>
      <c r="B156" s="215"/>
      <c r="C156" s="215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</row>
    <row r="157" spans="1:14" ht="15" x14ac:dyDescent="0.25">
      <c r="A157" s="210"/>
      <c r="B157" s="215"/>
      <c r="C157" s="215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</row>
    <row r="158" spans="1:14" ht="15" x14ac:dyDescent="0.25">
      <c r="A158" s="210"/>
      <c r="B158" s="215"/>
      <c r="C158" s="215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</row>
    <row r="159" spans="1:14" ht="15" x14ac:dyDescent="0.25">
      <c r="A159" s="210"/>
      <c r="B159" s="215"/>
      <c r="C159" s="215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</row>
    <row r="160" spans="1:14" ht="15" x14ac:dyDescent="0.25">
      <c r="A160" s="210"/>
      <c r="B160" s="215"/>
      <c r="C160" s="215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</row>
    <row r="161" spans="1:14" ht="15" x14ac:dyDescent="0.25">
      <c r="A161" s="210"/>
      <c r="B161" s="215"/>
      <c r="C161" s="215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</row>
    <row r="162" spans="1:14" ht="15" x14ac:dyDescent="0.25">
      <c r="A162" s="210"/>
      <c r="B162" s="215"/>
      <c r="C162" s="215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</row>
    <row r="163" spans="1:14" ht="15" x14ac:dyDescent="0.25">
      <c r="A163" s="210"/>
      <c r="B163" s="215"/>
      <c r="C163" s="215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</row>
    <row r="164" spans="1:14" ht="15" x14ac:dyDescent="0.25">
      <c r="A164" s="210"/>
      <c r="B164" s="215"/>
      <c r="C164" s="215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</row>
    <row r="165" spans="1:14" ht="15" x14ac:dyDescent="0.25">
      <c r="A165" s="210"/>
      <c r="B165" s="215"/>
      <c r="C165" s="215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</row>
    <row r="166" spans="1:14" ht="15" x14ac:dyDescent="0.25">
      <c r="A166" s="210"/>
      <c r="B166" s="215"/>
      <c r="C166" s="215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</row>
    <row r="167" spans="1:14" ht="15" x14ac:dyDescent="0.25">
      <c r="A167" s="210"/>
      <c r="B167" s="215"/>
      <c r="C167" s="215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</row>
    <row r="168" spans="1:14" ht="15" x14ac:dyDescent="0.25">
      <c r="A168" s="210"/>
      <c r="B168" s="215"/>
      <c r="C168" s="215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</row>
    <row r="169" spans="1:14" ht="15" x14ac:dyDescent="0.25">
      <c r="A169" s="210"/>
      <c r="B169" s="215"/>
      <c r="C169" s="215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</row>
    <row r="170" spans="1:14" ht="15" x14ac:dyDescent="0.25">
      <c r="A170" s="210"/>
      <c r="B170" s="215"/>
      <c r="C170" s="215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</row>
    <row r="171" spans="1:14" ht="15" x14ac:dyDescent="0.25">
      <c r="A171" s="210"/>
      <c r="B171" s="215"/>
      <c r="C171" s="215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</row>
    <row r="172" spans="1:14" ht="15" x14ac:dyDescent="0.25">
      <c r="A172" s="210"/>
      <c r="B172" s="215"/>
      <c r="C172" s="215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</row>
    <row r="173" spans="1:14" ht="15" x14ac:dyDescent="0.25">
      <c r="A173" s="210"/>
      <c r="B173" s="215"/>
      <c r="C173" s="215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</row>
    <row r="174" spans="1:14" ht="15" x14ac:dyDescent="0.25">
      <c r="A174" s="210"/>
      <c r="B174" s="215"/>
      <c r="C174" s="215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</row>
    <row r="175" spans="1:14" ht="15" x14ac:dyDescent="0.25">
      <c r="A175" s="210"/>
      <c r="B175" s="215"/>
      <c r="C175" s="215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</row>
    <row r="176" spans="1:14" ht="15" x14ac:dyDescent="0.25">
      <c r="A176" s="210"/>
      <c r="B176" s="215"/>
      <c r="C176" s="215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</row>
    <row r="177" spans="1:14" ht="15" x14ac:dyDescent="0.25">
      <c r="A177" s="210"/>
      <c r="B177" s="215"/>
      <c r="C177" s="215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</row>
    <row r="178" spans="1:14" ht="15" x14ac:dyDescent="0.25">
      <c r="A178" s="210"/>
      <c r="B178" s="215"/>
      <c r="C178" s="215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</row>
    <row r="179" spans="1:14" ht="15" x14ac:dyDescent="0.25">
      <c r="A179" s="210"/>
      <c r="B179" s="215"/>
      <c r="C179" s="215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</row>
    <row r="180" spans="1:14" ht="15" x14ac:dyDescent="0.25">
      <c r="A180" s="210"/>
      <c r="B180" s="215"/>
      <c r="C180" s="215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</row>
    <row r="181" spans="1:14" ht="15" x14ac:dyDescent="0.25">
      <c r="A181" s="210"/>
      <c r="B181" s="215"/>
      <c r="C181" s="215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</row>
    <row r="182" spans="1:14" ht="15" x14ac:dyDescent="0.25">
      <c r="A182" s="210"/>
      <c r="B182" s="215"/>
      <c r="C182" s="215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</row>
    <row r="183" spans="1:14" ht="15" x14ac:dyDescent="0.25">
      <c r="A183" s="210"/>
      <c r="B183" s="215"/>
      <c r="C183" s="215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</row>
    <row r="184" spans="1:14" ht="15" x14ac:dyDescent="0.25">
      <c r="A184" s="210"/>
      <c r="B184" s="215"/>
      <c r="C184" s="215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</row>
    <row r="185" spans="1:14" ht="15" x14ac:dyDescent="0.25">
      <c r="A185" s="210"/>
      <c r="B185" s="215"/>
      <c r="C185" s="215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</row>
    <row r="186" spans="1:14" ht="15" x14ac:dyDescent="0.25">
      <c r="A186" s="210"/>
      <c r="B186" s="215"/>
      <c r="C186" s="215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</row>
    <row r="187" spans="1:14" ht="15" x14ac:dyDescent="0.25">
      <c r="A187" s="210"/>
      <c r="B187" s="215"/>
      <c r="C187" s="215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</row>
    <row r="188" spans="1:14" ht="15" x14ac:dyDescent="0.25">
      <c r="A188" s="210"/>
      <c r="B188" s="215"/>
      <c r="C188" s="215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</row>
    <row r="189" spans="1:14" ht="15" x14ac:dyDescent="0.25">
      <c r="A189" s="210"/>
      <c r="B189" s="215"/>
      <c r="C189" s="215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</row>
    <row r="190" spans="1:14" ht="15" x14ac:dyDescent="0.25">
      <c r="A190" s="210"/>
      <c r="B190" s="215"/>
      <c r="C190" s="215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</row>
    <row r="191" spans="1:14" ht="15" x14ac:dyDescent="0.25">
      <c r="A191" s="210"/>
      <c r="B191" s="215"/>
      <c r="C191" s="215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</row>
    <row r="192" spans="1:14" ht="15" x14ac:dyDescent="0.25">
      <c r="A192" s="210"/>
      <c r="B192" s="215"/>
      <c r="C192" s="215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</row>
    <row r="193" spans="1:14" ht="15" x14ac:dyDescent="0.25">
      <c r="A193" s="210"/>
      <c r="B193" s="215"/>
      <c r="C193" s="215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</row>
    <row r="194" spans="1:14" ht="15" x14ac:dyDescent="0.25">
      <c r="A194" s="210"/>
      <c r="B194" s="215"/>
      <c r="C194" s="215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</row>
    <row r="195" spans="1:14" ht="15" x14ac:dyDescent="0.25">
      <c r="A195" s="210"/>
      <c r="B195" s="215"/>
      <c r="C195" s="215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</row>
    <row r="196" spans="1:14" ht="15" x14ac:dyDescent="0.25">
      <c r="A196" s="210"/>
      <c r="B196" s="215"/>
      <c r="C196" s="215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</row>
    <row r="197" spans="1:14" ht="15" x14ac:dyDescent="0.25">
      <c r="A197" s="210"/>
      <c r="B197" s="215"/>
      <c r="C197" s="215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</row>
    <row r="198" spans="1:14" ht="15" x14ac:dyDescent="0.25">
      <c r="A198" s="210"/>
      <c r="B198" s="215"/>
      <c r="C198" s="215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</row>
    <row r="199" spans="1:14" ht="15" x14ac:dyDescent="0.25">
      <c r="A199" s="210"/>
      <c r="B199" s="215"/>
      <c r="C199" s="215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</row>
    <row r="200" spans="1:14" ht="15" x14ac:dyDescent="0.25">
      <c r="A200" s="210"/>
      <c r="B200" s="215"/>
      <c r="C200" s="215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</row>
    <row r="201" spans="1:14" ht="15" x14ac:dyDescent="0.25">
      <c r="A201" s="210"/>
      <c r="B201" s="215"/>
      <c r="C201" s="215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</row>
    <row r="202" spans="1:14" ht="15" x14ac:dyDescent="0.25">
      <c r="A202" s="210"/>
      <c r="B202" s="215"/>
      <c r="C202" s="215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</row>
    <row r="203" spans="1:14" ht="15" x14ac:dyDescent="0.25">
      <c r="A203" s="210"/>
      <c r="B203" s="215"/>
      <c r="C203" s="215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</row>
    <row r="204" spans="1:14" ht="15" x14ac:dyDescent="0.25">
      <c r="A204" s="210"/>
      <c r="B204" s="215"/>
      <c r="C204" s="215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</row>
    <row r="205" spans="1:14" ht="15" x14ac:dyDescent="0.25">
      <c r="A205" s="210"/>
      <c r="B205" s="215"/>
      <c r="C205" s="215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</row>
    <row r="206" spans="1:14" ht="15" x14ac:dyDescent="0.25">
      <c r="A206" s="210"/>
      <c r="B206" s="215"/>
      <c r="C206" s="215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</row>
    <row r="207" spans="1:14" ht="15" x14ac:dyDescent="0.25">
      <c r="A207" s="210"/>
      <c r="B207" s="215"/>
      <c r="C207" s="215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</row>
    <row r="208" spans="1:14" ht="15" x14ac:dyDescent="0.25">
      <c r="A208" s="210"/>
      <c r="B208" s="215"/>
      <c r="C208" s="215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</row>
  </sheetData>
  <mergeCells count="18">
    <mergeCell ref="A1:M1"/>
    <mergeCell ref="A3:M3"/>
    <mergeCell ref="A5:L5"/>
    <mergeCell ref="A7:D7"/>
    <mergeCell ref="E7:I7"/>
    <mergeCell ref="J7:K7"/>
    <mergeCell ref="A11:A12"/>
    <mergeCell ref="B11:B12"/>
    <mergeCell ref="C11:C12"/>
    <mergeCell ref="D11:D12"/>
    <mergeCell ref="E11:F11"/>
    <mergeCell ref="K11:L11"/>
    <mergeCell ref="M11:M12"/>
    <mergeCell ref="F9:H9"/>
    <mergeCell ref="J9:K9"/>
    <mergeCell ref="L9:M9"/>
    <mergeCell ref="G11:H11"/>
    <mergeCell ref="I11:J11"/>
  </mergeCells>
  <pageMargins left="0.19685039370078741" right="0.19685039370078741" top="0.35433070866141736" bottom="0.35433070866141736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topLeftCell="A52" zoomScaleNormal="100" workbookViewId="0">
      <selection activeCell="D65" sqref="D65"/>
    </sheetView>
  </sheetViews>
  <sheetFormatPr defaultColWidth="8.85546875" defaultRowHeight="12.75" x14ac:dyDescent="0.2"/>
  <cols>
    <col min="1" max="1" width="3.5703125" style="38" customWidth="1"/>
    <col min="2" max="2" width="12.7109375" style="38" customWidth="1"/>
    <col min="3" max="3" width="40.5703125" style="43" customWidth="1"/>
    <col min="4" max="4" width="7.7109375" style="38" customWidth="1"/>
    <col min="5" max="5" width="8.42578125" style="38" customWidth="1"/>
    <col min="6" max="12" width="7.42578125" style="38" customWidth="1"/>
    <col min="13" max="13" width="10.5703125" style="38" customWidth="1"/>
    <col min="14" max="16384" width="8.85546875" style="38"/>
  </cols>
  <sheetData>
    <row r="1" spans="1:13" ht="13.5" x14ac:dyDescent="0.25">
      <c r="A1" s="294" t="s">
        <v>261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5.45" customHeight="1" x14ac:dyDescent="0.2"/>
    <row r="3" spans="1:13" ht="19.149999999999999" customHeight="1" x14ac:dyDescent="0.2">
      <c r="A3" s="298" t="s">
        <v>195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4.9000000000000004" customHeight="1" x14ac:dyDescent="0.2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16.149999999999999" customHeight="1" x14ac:dyDescent="0.2">
      <c r="A5" s="303" t="s">
        <v>196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</row>
    <row r="6" spans="1:13" ht="7.9" customHeight="1" x14ac:dyDescent="0.25">
      <c r="A6" s="28"/>
      <c r="B6" s="28"/>
      <c r="C6" s="198"/>
      <c r="D6" s="198"/>
      <c r="E6" s="198"/>
      <c r="F6" s="198"/>
      <c r="G6" s="198"/>
      <c r="H6" s="198"/>
      <c r="I6" s="198"/>
      <c r="J6" s="198"/>
      <c r="K6" s="198"/>
      <c r="L6" s="28"/>
      <c r="M6" s="28"/>
    </row>
    <row r="7" spans="1:13" x14ac:dyDescent="0.2">
      <c r="A7" s="297"/>
      <c r="B7" s="297"/>
      <c r="C7" s="297"/>
      <c r="D7" s="297"/>
      <c r="E7" s="297" t="s">
        <v>1</v>
      </c>
      <c r="F7" s="297"/>
      <c r="G7" s="297"/>
      <c r="H7" s="297"/>
      <c r="I7" s="297"/>
      <c r="J7" s="299">
        <f>M66</f>
        <v>0</v>
      </c>
      <c r="K7" s="299"/>
      <c r="L7" s="68" t="s">
        <v>2</v>
      </c>
      <c r="M7" s="68"/>
    </row>
    <row r="8" spans="1:13" ht="8.4499999999999993" customHeight="1" x14ac:dyDescent="0.2">
      <c r="A8" s="199"/>
      <c r="B8" s="199"/>
      <c r="C8" s="199"/>
      <c r="D8" s="199"/>
      <c r="E8" s="199"/>
      <c r="F8" s="199"/>
      <c r="G8" s="199"/>
      <c r="H8" s="199"/>
      <c r="I8" s="199"/>
      <c r="J8" s="201"/>
      <c r="K8" s="201"/>
      <c r="L8" s="68"/>
      <c r="M8" s="68"/>
    </row>
    <row r="9" spans="1:13" x14ac:dyDescent="0.2">
      <c r="A9" s="165"/>
      <c r="B9" s="165"/>
      <c r="C9" s="165"/>
      <c r="D9" s="165"/>
      <c r="E9" s="165"/>
      <c r="F9" s="291" t="s">
        <v>28</v>
      </c>
      <c r="G9" s="291"/>
      <c r="H9" s="291"/>
      <c r="I9" s="69"/>
      <c r="J9" s="299">
        <f>M67</f>
        <v>0</v>
      </c>
      <c r="K9" s="299"/>
      <c r="L9" s="293" t="s">
        <v>2</v>
      </c>
      <c r="M9" s="293"/>
    </row>
    <row r="10" spans="1:13" ht="6" customHeight="1" x14ac:dyDescent="0.2">
      <c r="A10" s="165"/>
      <c r="B10" s="165"/>
      <c r="C10" s="165"/>
      <c r="D10" s="165"/>
      <c r="E10" s="165"/>
      <c r="F10" s="166"/>
      <c r="G10" s="166"/>
      <c r="H10" s="166"/>
      <c r="I10" s="165"/>
      <c r="J10" s="167"/>
      <c r="K10" s="167"/>
      <c r="L10" s="168"/>
      <c r="M10" s="168"/>
    </row>
    <row r="11" spans="1:13" ht="34.15" customHeight="1" x14ac:dyDescent="0.2">
      <c r="A11" s="290" t="s">
        <v>197</v>
      </c>
      <c r="B11" s="290" t="s">
        <v>198</v>
      </c>
      <c r="C11" s="290" t="s">
        <v>199</v>
      </c>
      <c r="D11" s="290" t="s">
        <v>200</v>
      </c>
      <c r="E11" s="290" t="s">
        <v>32</v>
      </c>
      <c r="F11" s="290"/>
      <c r="G11" s="304" t="s">
        <v>201</v>
      </c>
      <c r="H11" s="304"/>
      <c r="I11" s="304" t="s">
        <v>8</v>
      </c>
      <c r="J11" s="304"/>
      <c r="K11" s="304" t="s">
        <v>202</v>
      </c>
      <c r="L11" s="304"/>
      <c r="M11" s="304" t="s">
        <v>23</v>
      </c>
    </row>
    <row r="12" spans="1:13" ht="51" x14ac:dyDescent="0.2">
      <c r="A12" s="290"/>
      <c r="B12" s="290"/>
      <c r="C12" s="290"/>
      <c r="D12" s="290"/>
      <c r="E12" s="195" t="s">
        <v>203</v>
      </c>
      <c r="F12" s="85" t="s">
        <v>13</v>
      </c>
      <c r="G12" s="85" t="s">
        <v>38</v>
      </c>
      <c r="H12" s="85" t="s">
        <v>23</v>
      </c>
      <c r="I12" s="85" t="s">
        <v>38</v>
      </c>
      <c r="J12" s="85" t="s">
        <v>23</v>
      </c>
      <c r="K12" s="85" t="s">
        <v>38</v>
      </c>
      <c r="L12" s="85" t="s">
        <v>23</v>
      </c>
      <c r="M12" s="304"/>
    </row>
    <row r="13" spans="1:13" x14ac:dyDescent="0.2">
      <c r="A13" s="182" t="s">
        <v>39</v>
      </c>
      <c r="B13" s="182">
        <v>2</v>
      </c>
      <c r="C13" s="182">
        <v>3</v>
      </c>
      <c r="D13" s="182">
        <v>4</v>
      </c>
      <c r="E13" s="182">
        <v>5</v>
      </c>
      <c r="F13" s="228">
        <v>6</v>
      </c>
      <c r="G13" s="228">
        <v>7</v>
      </c>
      <c r="H13" s="228">
        <v>8</v>
      </c>
      <c r="I13" s="182">
        <v>9</v>
      </c>
      <c r="J13" s="182">
        <v>10</v>
      </c>
      <c r="K13" s="182">
        <v>11</v>
      </c>
      <c r="L13" s="182">
        <v>12</v>
      </c>
      <c r="M13" s="182">
        <v>13</v>
      </c>
    </row>
    <row r="14" spans="1:13" ht="38.25" x14ac:dyDescent="0.25">
      <c r="A14" s="229">
        <v>1</v>
      </c>
      <c r="B14" s="231" t="s">
        <v>320</v>
      </c>
      <c r="C14" s="230" t="s">
        <v>334</v>
      </c>
      <c r="D14" s="231" t="s">
        <v>78</v>
      </c>
      <c r="E14" s="231"/>
      <c r="F14" s="232">
        <v>1</v>
      </c>
      <c r="G14" s="233"/>
      <c r="H14" s="233"/>
      <c r="I14" s="233"/>
      <c r="J14" s="233"/>
      <c r="K14" s="233"/>
      <c r="L14" s="233"/>
      <c r="M14" s="233"/>
    </row>
    <row r="15" spans="1:13" ht="13.5" x14ac:dyDescent="0.25">
      <c r="A15" s="229"/>
      <c r="B15" s="234"/>
      <c r="C15" s="235" t="s">
        <v>41</v>
      </c>
      <c r="D15" s="236" t="s">
        <v>42</v>
      </c>
      <c r="E15" s="236">
        <v>3.17</v>
      </c>
      <c r="F15" s="237">
        <f>F14*E15</f>
        <v>3.17</v>
      </c>
      <c r="G15" s="238"/>
      <c r="H15" s="238"/>
      <c r="I15" s="238"/>
      <c r="J15" s="239"/>
      <c r="K15" s="238"/>
      <c r="L15" s="238"/>
      <c r="M15" s="176"/>
    </row>
    <row r="16" spans="1:13" ht="13.5" x14ac:dyDescent="0.25">
      <c r="A16" s="229"/>
      <c r="B16" s="234"/>
      <c r="C16" s="235" t="s">
        <v>204</v>
      </c>
      <c r="D16" s="236" t="s">
        <v>78</v>
      </c>
      <c r="E16" s="236">
        <v>1</v>
      </c>
      <c r="F16" s="237">
        <f>F14*E16</f>
        <v>1</v>
      </c>
      <c r="G16" s="238"/>
      <c r="H16" s="238"/>
      <c r="I16" s="238"/>
      <c r="J16" s="239"/>
      <c r="K16" s="238"/>
      <c r="L16" s="238"/>
      <c r="M16" s="176"/>
    </row>
    <row r="17" spans="1:13" ht="13.5" x14ac:dyDescent="0.25">
      <c r="A17" s="229"/>
      <c r="B17" s="234"/>
      <c r="C17" s="235" t="s">
        <v>51</v>
      </c>
      <c r="D17" s="236" t="s">
        <v>52</v>
      </c>
      <c r="E17" s="236">
        <v>0.23799999999999999</v>
      </c>
      <c r="F17" s="237">
        <f>F14*E17</f>
        <v>0.23799999999999999</v>
      </c>
      <c r="G17" s="238"/>
      <c r="H17" s="238"/>
      <c r="I17" s="238"/>
      <c r="J17" s="239"/>
      <c r="K17" s="238"/>
      <c r="L17" s="238"/>
      <c r="M17" s="176"/>
    </row>
    <row r="18" spans="1:13" ht="38.25" x14ac:dyDescent="0.25">
      <c r="A18" s="240">
        <v>2</v>
      </c>
      <c r="B18" s="285" t="s">
        <v>321</v>
      </c>
      <c r="C18" s="241" t="s">
        <v>205</v>
      </c>
      <c r="D18" s="231" t="s">
        <v>78</v>
      </c>
      <c r="E18" s="242"/>
      <c r="F18" s="243">
        <f>F20+F21</f>
        <v>10</v>
      </c>
      <c r="G18" s="244"/>
      <c r="H18" s="245"/>
      <c r="I18" s="245"/>
      <c r="J18" s="246"/>
      <c r="K18" s="245"/>
      <c r="L18" s="245"/>
      <c r="M18" s="244"/>
    </row>
    <row r="19" spans="1:13" ht="13.5" x14ac:dyDescent="0.25">
      <c r="A19" s="229"/>
      <c r="B19" s="247"/>
      <c r="C19" s="235" t="s">
        <v>41</v>
      </c>
      <c r="D19" s="236" t="s">
        <v>42</v>
      </c>
      <c r="E19" s="237">
        <v>2.75</v>
      </c>
      <c r="F19" s="248">
        <f>F18*E19</f>
        <v>27.5</v>
      </c>
      <c r="G19" s="176"/>
      <c r="H19" s="238"/>
      <c r="I19" s="238"/>
      <c r="J19" s="239"/>
      <c r="K19" s="238"/>
      <c r="L19" s="238"/>
      <c r="M19" s="176"/>
    </row>
    <row r="20" spans="1:13" ht="25.5" x14ac:dyDescent="0.25">
      <c r="A20" s="229"/>
      <c r="B20" s="247"/>
      <c r="C20" s="249" t="s">
        <v>262</v>
      </c>
      <c r="D20" s="236" t="s">
        <v>78</v>
      </c>
      <c r="E20" s="236" t="s">
        <v>60</v>
      </c>
      <c r="F20" s="248">
        <v>2</v>
      </c>
      <c r="G20" s="176"/>
      <c r="H20" s="238"/>
      <c r="I20" s="238"/>
      <c r="J20" s="239"/>
      <c r="K20" s="238"/>
      <c r="L20" s="238"/>
      <c r="M20" s="176"/>
    </row>
    <row r="21" spans="1:13" ht="25.5" x14ac:dyDescent="0.25">
      <c r="A21" s="229"/>
      <c r="B21" s="247"/>
      <c r="C21" s="249" t="s">
        <v>206</v>
      </c>
      <c r="D21" s="236" t="s">
        <v>78</v>
      </c>
      <c r="E21" s="236" t="s">
        <v>60</v>
      </c>
      <c r="F21" s="248">
        <v>8</v>
      </c>
      <c r="G21" s="176"/>
      <c r="H21" s="238"/>
      <c r="I21" s="238"/>
      <c r="J21" s="239"/>
      <c r="K21" s="238"/>
      <c r="L21" s="238"/>
      <c r="M21" s="176"/>
    </row>
    <row r="22" spans="1:13" ht="13.5" x14ac:dyDescent="0.25">
      <c r="A22" s="229"/>
      <c r="B22" s="247"/>
      <c r="C22" s="235" t="s">
        <v>51</v>
      </c>
      <c r="D22" s="236" t="s">
        <v>52</v>
      </c>
      <c r="E22" s="236">
        <v>2.1800000000000002</v>
      </c>
      <c r="F22" s="237">
        <f>F18*E22</f>
        <v>21.8</v>
      </c>
      <c r="G22" s="238"/>
      <c r="H22" s="238"/>
      <c r="I22" s="238"/>
      <c r="J22" s="239"/>
      <c r="K22" s="238"/>
      <c r="L22" s="238"/>
      <c r="M22" s="176"/>
    </row>
    <row r="23" spans="1:13" ht="38.25" x14ac:dyDescent="0.25">
      <c r="A23" s="250">
        <v>3</v>
      </c>
      <c r="B23" s="252" t="s">
        <v>322</v>
      </c>
      <c r="C23" s="251" t="s">
        <v>207</v>
      </c>
      <c r="D23" s="252" t="s">
        <v>78</v>
      </c>
      <c r="E23" s="253"/>
      <c r="F23" s="232">
        <f>F25+F26</f>
        <v>3</v>
      </c>
      <c r="G23" s="254"/>
      <c r="H23" s="254"/>
      <c r="I23" s="254"/>
      <c r="J23" s="254"/>
      <c r="K23" s="254"/>
      <c r="L23" s="254"/>
      <c r="M23" s="254"/>
    </row>
    <row r="24" spans="1:13" ht="13.5" x14ac:dyDescent="0.25">
      <c r="A24" s="250"/>
      <c r="B24" s="255"/>
      <c r="C24" s="256" t="s">
        <v>41</v>
      </c>
      <c r="D24" s="255" t="s">
        <v>42</v>
      </c>
      <c r="E24" s="257">
        <v>1.82</v>
      </c>
      <c r="F24" s="100">
        <f>F23*E24</f>
        <v>5.46</v>
      </c>
      <c r="G24" s="176"/>
      <c r="H24" s="176"/>
      <c r="I24" s="176"/>
      <c r="J24" s="176"/>
      <c r="K24" s="176"/>
      <c r="L24" s="176"/>
      <c r="M24" s="254"/>
    </row>
    <row r="25" spans="1:13" ht="13.5" x14ac:dyDescent="0.25">
      <c r="A25" s="250"/>
      <c r="B25" s="255"/>
      <c r="C25" s="258" t="s">
        <v>208</v>
      </c>
      <c r="D25" s="259" t="s">
        <v>78</v>
      </c>
      <c r="E25" s="260" t="s">
        <v>60</v>
      </c>
      <c r="F25" s="261">
        <v>1</v>
      </c>
      <c r="G25" s="176"/>
      <c r="H25" s="176"/>
      <c r="I25" s="176"/>
      <c r="J25" s="176"/>
      <c r="K25" s="176"/>
      <c r="L25" s="176"/>
      <c r="M25" s="254"/>
    </row>
    <row r="26" spans="1:13" ht="13.5" x14ac:dyDescent="0.25">
      <c r="A26" s="250"/>
      <c r="B26" s="255"/>
      <c r="C26" s="258" t="s">
        <v>323</v>
      </c>
      <c r="D26" s="259" t="s">
        <v>78</v>
      </c>
      <c r="E26" s="260" t="s">
        <v>60</v>
      </c>
      <c r="F26" s="261">
        <v>2</v>
      </c>
      <c r="G26" s="176"/>
      <c r="H26" s="176"/>
      <c r="I26" s="176"/>
      <c r="J26" s="176"/>
      <c r="K26" s="176"/>
      <c r="L26" s="176"/>
      <c r="M26" s="254"/>
    </row>
    <row r="27" spans="1:13" ht="13.5" x14ac:dyDescent="0.25">
      <c r="A27" s="250"/>
      <c r="B27" s="255"/>
      <c r="C27" s="256" t="s">
        <v>51</v>
      </c>
      <c r="D27" s="255" t="s">
        <v>52</v>
      </c>
      <c r="E27" s="257">
        <v>0.13200000000000001</v>
      </c>
      <c r="F27" s="100">
        <f>F23*E27</f>
        <v>0.39600000000000002</v>
      </c>
      <c r="G27" s="176"/>
      <c r="H27" s="176"/>
      <c r="I27" s="176"/>
      <c r="J27" s="176"/>
      <c r="K27" s="176"/>
      <c r="L27" s="176"/>
      <c r="M27" s="254"/>
    </row>
    <row r="28" spans="1:13" ht="38.25" x14ac:dyDescent="0.25">
      <c r="A28" s="250"/>
      <c r="B28" s="252" t="s">
        <v>324</v>
      </c>
      <c r="C28" s="177" t="s">
        <v>325</v>
      </c>
      <c r="D28" s="252" t="s">
        <v>52</v>
      </c>
      <c r="E28" s="262" t="s">
        <v>173</v>
      </c>
      <c r="F28" s="232">
        <v>2</v>
      </c>
      <c r="G28" s="254"/>
      <c r="H28" s="254"/>
      <c r="I28" s="254"/>
      <c r="J28" s="254"/>
      <c r="K28" s="254"/>
      <c r="L28" s="254"/>
      <c r="M28" s="254"/>
    </row>
    <row r="29" spans="1:13" ht="13.5" x14ac:dyDescent="0.25">
      <c r="A29" s="250"/>
      <c r="B29" s="252"/>
      <c r="C29" s="256" t="s">
        <v>41</v>
      </c>
      <c r="D29" s="255" t="s">
        <v>42</v>
      </c>
      <c r="E29" s="257">
        <v>1.38</v>
      </c>
      <c r="F29" s="100">
        <f>F28*E29</f>
        <v>2.76</v>
      </c>
      <c r="G29" s="176"/>
      <c r="H29" s="176"/>
      <c r="I29" s="176"/>
      <c r="J29" s="176"/>
      <c r="K29" s="176"/>
      <c r="L29" s="176"/>
      <c r="M29" s="254"/>
    </row>
    <row r="30" spans="1:13" ht="13.5" x14ac:dyDescent="0.25">
      <c r="A30" s="250"/>
      <c r="B30" s="252"/>
      <c r="C30" s="136" t="s">
        <v>325</v>
      </c>
      <c r="D30" s="259" t="s">
        <v>78</v>
      </c>
      <c r="E30" s="260" t="s">
        <v>60</v>
      </c>
      <c r="F30" s="100">
        <v>1</v>
      </c>
      <c r="G30" s="176"/>
      <c r="H30" s="176"/>
      <c r="I30" s="176"/>
      <c r="J30" s="176"/>
      <c r="K30" s="176"/>
      <c r="L30" s="176"/>
      <c r="M30" s="254"/>
    </row>
    <row r="31" spans="1:13" ht="13.5" x14ac:dyDescent="0.25">
      <c r="A31" s="250"/>
      <c r="B31" s="252"/>
      <c r="C31" s="256" t="s">
        <v>51</v>
      </c>
      <c r="D31" s="255" t="s">
        <v>52</v>
      </c>
      <c r="E31" s="257">
        <v>0.32800000000000001</v>
      </c>
      <c r="F31" s="100">
        <f>F26*E31</f>
        <v>0.65600000000000003</v>
      </c>
      <c r="G31" s="176"/>
      <c r="H31" s="176"/>
      <c r="I31" s="176"/>
      <c r="J31" s="176"/>
      <c r="K31" s="176"/>
      <c r="L31" s="176"/>
      <c r="M31" s="254"/>
    </row>
    <row r="32" spans="1:13" ht="38.25" x14ac:dyDescent="0.25">
      <c r="A32" s="263">
        <v>4</v>
      </c>
      <c r="B32" s="105" t="s">
        <v>326</v>
      </c>
      <c r="C32" s="172" t="s">
        <v>209</v>
      </c>
      <c r="D32" s="105" t="s">
        <v>78</v>
      </c>
      <c r="E32" s="257"/>
      <c r="F32" s="232">
        <f>F35</f>
        <v>12</v>
      </c>
      <c r="G32" s="254"/>
      <c r="H32" s="238"/>
      <c r="I32" s="254"/>
      <c r="J32" s="239"/>
      <c r="K32" s="254"/>
      <c r="L32" s="238"/>
      <c r="M32" s="176"/>
    </row>
    <row r="33" spans="1:13" ht="13.5" x14ac:dyDescent="0.25">
      <c r="A33" s="263"/>
      <c r="B33" s="86"/>
      <c r="C33" s="136" t="s">
        <v>163</v>
      </c>
      <c r="D33" s="86" t="s">
        <v>42</v>
      </c>
      <c r="E33" s="257">
        <v>0.39200000000000002</v>
      </c>
      <c r="F33" s="78">
        <f>F32*E33</f>
        <v>4.7040000000000006</v>
      </c>
      <c r="G33" s="176"/>
      <c r="H33" s="238"/>
      <c r="I33" s="176"/>
      <c r="J33" s="239"/>
      <c r="K33" s="176"/>
      <c r="L33" s="238"/>
      <c r="M33" s="176"/>
    </row>
    <row r="34" spans="1:13" ht="13.5" x14ac:dyDescent="0.25">
      <c r="A34" s="263"/>
      <c r="B34" s="86"/>
      <c r="C34" s="136" t="s">
        <v>160</v>
      </c>
      <c r="D34" s="86" t="s">
        <v>52</v>
      </c>
      <c r="E34" s="257">
        <v>0.57999999999999996</v>
      </c>
      <c r="F34" s="78">
        <f>F32*E34</f>
        <v>6.9599999999999991</v>
      </c>
      <c r="G34" s="176"/>
      <c r="H34" s="238"/>
      <c r="I34" s="176"/>
      <c r="J34" s="239"/>
      <c r="K34" s="176"/>
      <c r="L34" s="238"/>
      <c r="M34" s="176"/>
    </row>
    <row r="35" spans="1:13" ht="25.5" x14ac:dyDescent="0.25">
      <c r="A35" s="263"/>
      <c r="B35" s="86"/>
      <c r="C35" s="124" t="s">
        <v>210</v>
      </c>
      <c r="D35" s="86" t="s">
        <v>78</v>
      </c>
      <c r="E35" s="264">
        <v>1</v>
      </c>
      <c r="F35" s="193">
        <f>6*2</f>
        <v>12</v>
      </c>
      <c r="G35" s="176"/>
      <c r="H35" s="238"/>
      <c r="I35" s="176"/>
      <c r="J35" s="239"/>
      <c r="K35" s="176"/>
      <c r="L35" s="238"/>
      <c r="M35" s="176"/>
    </row>
    <row r="36" spans="1:13" ht="13.5" x14ac:dyDescent="0.25">
      <c r="A36" s="263"/>
      <c r="B36" s="86"/>
      <c r="C36" s="136" t="s">
        <v>51</v>
      </c>
      <c r="D36" s="86" t="s">
        <v>52</v>
      </c>
      <c r="E36" s="257">
        <v>9.4E-2</v>
      </c>
      <c r="F36" s="78">
        <f>F32*E36</f>
        <v>1.1280000000000001</v>
      </c>
      <c r="G36" s="176"/>
      <c r="H36" s="238"/>
      <c r="I36" s="176"/>
      <c r="J36" s="239"/>
      <c r="K36" s="176"/>
      <c r="L36" s="238"/>
      <c r="M36" s="176"/>
    </row>
    <row r="37" spans="1:13" ht="38.25" x14ac:dyDescent="0.25">
      <c r="A37" s="250">
        <v>5</v>
      </c>
      <c r="B37" s="105" t="s">
        <v>326</v>
      </c>
      <c r="C37" s="172" t="s">
        <v>211</v>
      </c>
      <c r="D37" s="105" t="s">
        <v>78</v>
      </c>
      <c r="E37" s="105"/>
      <c r="F37" s="232">
        <v>2</v>
      </c>
      <c r="G37" s="254"/>
      <c r="H37" s="238"/>
      <c r="I37" s="254"/>
      <c r="J37" s="239"/>
      <c r="K37" s="254"/>
      <c r="L37" s="238"/>
      <c r="M37" s="176"/>
    </row>
    <row r="38" spans="1:13" ht="13.5" x14ac:dyDescent="0.25">
      <c r="A38" s="250"/>
      <c r="B38" s="88"/>
      <c r="C38" s="136" t="s">
        <v>41</v>
      </c>
      <c r="D38" s="86" t="s">
        <v>42</v>
      </c>
      <c r="E38" s="257">
        <v>0.39200000000000002</v>
      </c>
      <c r="F38" s="78">
        <f>F37*E38</f>
        <v>0.78400000000000003</v>
      </c>
      <c r="G38" s="176"/>
      <c r="H38" s="238"/>
      <c r="I38" s="176"/>
      <c r="J38" s="239"/>
      <c r="K38" s="176"/>
      <c r="L38" s="238"/>
      <c r="M38" s="176"/>
    </row>
    <row r="39" spans="1:13" ht="13.5" x14ac:dyDescent="0.25">
      <c r="A39" s="250"/>
      <c r="B39" s="88"/>
      <c r="C39" s="136" t="s">
        <v>211</v>
      </c>
      <c r="D39" s="86" t="s">
        <v>78</v>
      </c>
      <c r="E39" s="86">
        <v>1</v>
      </c>
      <c r="F39" s="193">
        <f>F37*E39</f>
        <v>2</v>
      </c>
      <c r="G39" s="176"/>
      <c r="H39" s="238"/>
      <c r="I39" s="176"/>
      <c r="J39" s="239"/>
      <c r="K39" s="176"/>
      <c r="L39" s="238"/>
      <c r="M39" s="176"/>
    </row>
    <row r="40" spans="1:13" ht="13.5" x14ac:dyDescent="0.25">
      <c r="A40" s="250"/>
      <c r="B40" s="88"/>
      <c r="C40" s="136" t="s">
        <v>51</v>
      </c>
      <c r="D40" s="86" t="s">
        <v>52</v>
      </c>
      <c r="E40" s="257">
        <v>0.57999999999999996</v>
      </c>
      <c r="F40" s="78">
        <f>F37*E40</f>
        <v>1.1599999999999999</v>
      </c>
      <c r="G40" s="176"/>
      <c r="H40" s="238"/>
      <c r="I40" s="176"/>
      <c r="J40" s="239"/>
      <c r="K40" s="176"/>
      <c r="L40" s="238"/>
      <c r="M40" s="176"/>
    </row>
    <row r="41" spans="1:13" ht="38.25" x14ac:dyDescent="0.25">
      <c r="A41" s="250">
        <v>6</v>
      </c>
      <c r="B41" s="265" t="s">
        <v>327</v>
      </c>
      <c r="C41" s="266" t="s">
        <v>328</v>
      </c>
      <c r="D41" s="134" t="s">
        <v>98</v>
      </c>
      <c r="E41" s="267"/>
      <c r="F41" s="85">
        <v>12</v>
      </c>
      <c r="G41" s="268"/>
      <c r="H41" s="268"/>
      <c r="I41" s="268"/>
      <c r="J41" s="268"/>
      <c r="K41" s="268"/>
      <c r="L41" s="268"/>
      <c r="M41" s="268"/>
    </row>
    <row r="42" spans="1:13" ht="13.5" x14ac:dyDescent="0.25">
      <c r="A42" s="250"/>
      <c r="B42" s="269"/>
      <c r="C42" s="270" t="s">
        <v>41</v>
      </c>
      <c r="D42" s="271" t="s">
        <v>42</v>
      </c>
      <c r="E42" s="272">
        <v>0.60899999999999999</v>
      </c>
      <c r="F42" s="273">
        <f>F41*E42</f>
        <v>7.3079999999999998</v>
      </c>
      <c r="G42" s="176"/>
      <c r="H42" s="176"/>
      <c r="I42" s="176"/>
      <c r="J42" s="176"/>
      <c r="K42" s="176"/>
      <c r="L42" s="176"/>
      <c r="M42" s="254"/>
    </row>
    <row r="43" spans="1:13" ht="13.5" x14ac:dyDescent="0.25">
      <c r="A43" s="250"/>
      <c r="B43" s="274"/>
      <c r="C43" s="270" t="s">
        <v>160</v>
      </c>
      <c r="D43" s="271" t="s">
        <v>52</v>
      </c>
      <c r="E43" s="272">
        <v>2.0999999999999999E-3</v>
      </c>
      <c r="F43" s="273">
        <f>F41*E43</f>
        <v>2.52E-2</v>
      </c>
      <c r="G43" s="176"/>
      <c r="H43" s="176"/>
      <c r="I43" s="176"/>
      <c r="J43" s="176"/>
      <c r="K43" s="176"/>
      <c r="L43" s="176"/>
      <c r="M43" s="254"/>
    </row>
    <row r="44" spans="1:13" ht="13.5" x14ac:dyDescent="0.25">
      <c r="A44" s="250"/>
      <c r="B44" s="269"/>
      <c r="C44" s="275" t="s">
        <v>329</v>
      </c>
      <c r="D44" s="271" t="s">
        <v>212</v>
      </c>
      <c r="E44" s="84">
        <v>0.998</v>
      </c>
      <c r="F44" s="79">
        <f>F41*E44</f>
        <v>11.975999999999999</v>
      </c>
      <c r="G44" s="78"/>
      <c r="H44" s="176"/>
      <c r="I44" s="176"/>
      <c r="J44" s="176"/>
      <c r="K44" s="176"/>
      <c r="L44" s="176"/>
      <c r="M44" s="254"/>
    </row>
    <row r="45" spans="1:13" ht="13.5" x14ac:dyDescent="0.25">
      <c r="A45" s="250"/>
      <c r="B45" s="269"/>
      <c r="C45" s="270" t="s">
        <v>51</v>
      </c>
      <c r="D45" s="271" t="s">
        <v>52</v>
      </c>
      <c r="E45" s="272">
        <v>8.2000000000000003E-2</v>
      </c>
      <c r="F45" s="273">
        <f>F41*E45</f>
        <v>0.98399999999999999</v>
      </c>
      <c r="G45" s="176"/>
      <c r="H45" s="176"/>
      <c r="I45" s="176"/>
      <c r="J45" s="176"/>
      <c r="K45" s="176"/>
      <c r="L45" s="176"/>
      <c r="M45" s="254"/>
    </row>
    <row r="46" spans="1:13" ht="38.25" x14ac:dyDescent="0.25">
      <c r="A46" s="250">
        <v>7</v>
      </c>
      <c r="B46" s="105" t="s">
        <v>330</v>
      </c>
      <c r="C46" s="172" t="s">
        <v>213</v>
      </c>
      <c r="D46" s="134" t="s">
        <v>331</v>
      </c>
      <c r="E46" s="105"/>
      <c r="F46" s="232">
        <v>1</v>
      </c>
      <c r="G46" s="254"/>
      <c r="H46" s="238"/>
      <c r="I46" s="254"/>
      <c r="J46" s="239"/>
      <c r="K46" s="254"/>
      <c r="L46" s="238"/>
      <c r="M46" s="176"/>
    </row>
    <row r="47" spans="1:13" ht="13.5" x14ac:dyDescent="0.25">
      <c r="A47" s="250"/>
      <c r="B47" s="86"/>
      <c r="C47" s="136" t="s">
        <v>41</v>
      </c>
      <c r="D47" s="86" t="s">
        <v>42</v>
      </c>
      <c r="E47" s="86">
        <v>16.100000000000001</v>
      </c>
      <c r="F47" s="78">
        <f>F46*E47</f>
        <v>16.100000000000001</v>
      </c>
      <c r="G47" s="176"/>
      <c r="H47" s="238"/>
      <c r="I47" s="176"/>
      <c r="J47" s="239"/>
      <c r="K47" s="176"/>
      <c r="L47" s="238"/>
      <c r="M47" s="176"/>
    </row>
    <row r="48" spans="1:13" ht="25.5" x14ac:dyDescent="0.25">
      <c r="A48" s="250"/>
      <c r="B48" s="86"/>
      <c r="C48" s="275" t="s">
        <v>332</v>
      </c>
      <c r="D48" s="129" t="s">
        <v>98</v>
      </c>
      <c r="E48" s="84" t="s">
        <v>60</v>
      </c>
      <c r="F48" s="78">
        <v>48</v>
      </c>
      <c r="G48" s="176"/>
      <c r="H48" s="238"/>
      <c r="I48" s="176"/>
      <c r="J48" s="239"/>
      <c r="K48" s="176"/>
      <c r="L48" s="238"/>
      <c r="M48" s="176"/>
    </row>
    <row r="49" spans="1:13" ht="25.5" x14ac:dyDescent="0.25">
      <c r="A49" s="250"/>
      <c r="B49" s="86"/>
      <c r="C49" s="275" t="s">
        <v>333</v>
      </c>
      <c r="D49" s="129" t="s">
        <v>98</v>
      </c>
      <c r="E49" s="84" t="s">
        <v>60</v>
      </c>
      <c r="F49" s="78">
        <v>8</v>
      </c>
      <c r="G49" s="176"/>
      <c r="H49" s="238"/>
      <c r="I49" s="176"/>
      <c r="J49" s="239"/>
      <c r="K49" s="176"/>
      <c r="L49" s="238"/>
      <c r="M49" s="176"/>
    </row>
    <row r="50" spans="1:13" ht="13.5" x14ac:dyDescent="0.25">
      <c r="A50" s="250"/>
      <c r="B50" s="86"/>
      <c r="C50" s="136" t="s">
        <v>51</v>
      </c>
      <c r="D50" s="86" t="s">
        <v>52</v>
      </c>
      <c r="E50" s="86">
        <v>1.44E-2</v>
      </c>
      <c r="F50" s="78">
        <f>F46*E50</f>
        <v>1.44E-2</v>
      </c>
      <c r="G50" s="176"/>
      <c r="H50" s="238"/>
      <c r="I50" s="176"/>
      <c r="J50" s="239"/>
      <c r="K50" s="176"/>
      <c r="L50" s="238"/>
      <c r="M50" s="176"/>
    </row>
    <row r="51" spans="1:13" ht="38.25" x14ac:dyDescent="0.25">
      <c r="A51" s="250">
        <v>8</v>
      </c>
      <c r="B51" s="265" t="s">
        <v>327</v>
      </c>
      <c r="C51" s="177" t="s">
        <v>214</v>
      </c>
      <c r="D51" s="134" t="s">
        <v>98</v>
      </c>
      <c r="E51" s="86"/>
      <c r="F51" s="123">
        <v>16</v>
      </c>
      <c r="G51" s="176"/>
      <c r="H51" s="238"/>
      <c r="I51" s="176"/>
      <c r="J51" s="239"/>
      <c r="K51" s="176"/>
      <c r="L51" s="238"/>
      <c r="M51" s="176"/>
    </row>
    <row r="52" spans="1:13" x14ac:dyDescent="0.2">
      <c r="A52" s="276"/>
      <c r="B52" s="86"/>
      <c r="C52" s="136" t="s">
        <v>41</v>
      </c>
      <c r="D52" s="86" t="s">
        <v>42</v>
      </c>
      <c r="E52" s="86">
        <v>0.60899999999999999</v>
      </c>
      <c r="F52" s="78">
        <f>F51*E52</f>
        <v>9.7439999999999998</v>
      </c>
      <c r="G52" s="176"/>
      <c r="H52" s="238"/>
      <c r="I52" s="176"/>
      <c r="J52" s="239"/>
      <c r="K52" s="176"/>
      <c r="L52" s="238"/>
      <c r="M52" s="176"/>
    </row>
    <row r="53" spans="1:13" x14ac:dyDescent="0.2">
      <c r="A53" s="276"/>
      <c r="B53" s="86"/>
      <c r="C53" s="136" t="s">
        <v>160</v>
      </c>
      <c r="D53" s="86" t="s">
        <v>52</v>
      </c>
      <c r="E53" s="86">
        <v>2.0999999999999999E-3</v>
      </c>
      <c r="F53" s="78">
        <f>F51*E53</f>
        <v>3.3599999999999998E-2</v>
      </c>
      <c r="G53" s="176"/>
      <c r="H53" s="238"/>
      <c r="I53" s="176"/>
      <c r="J53" s="239"/>
      <c r="K53" s="176"/>
      <c r="L53" s="238"/>
      <c r="M53" s="176"/>
    </row>
    <row r="54" spans="1:13" x14ac:dyDescent="0.2">
      <c r="A54" s="276"/>
      <c r="B54" s="86"/>
      <c r="C54" s="120" t="s">
        <v>263</v>
      </c>
      <c r="D54" s="129" t="s">
        <v>98</v>
      </c>
      <c r="E54" s="90">
        <v>0.998</v>
      </c>
      <c r="F54" s="78">
        <f>F51*E54</f>
        <v>15.968</v>
      </c>
      <c r="G54" s="176"/>
      <c r="H54" s="238"/>
      <c r="I54" s="176"/>
      <c r="J54" s="239"/>
      <c r="K54" s="176"/>
      <c r="L54" s="238"/>
      <c r="M54" s="176"/>
    </row>
    <row r="55" spans="1:13" x14ac:dyDescent="0.2">
      <c r="A55" s="276"/>
      <c r="B55" s="86"/>
      <c r="C55" s="270" t="s">
        <v>51</v>
      </c>
      <c r="D55" s="86" t="s">
        <v>52</v>
      </c>
      <c r="E55" s="90">
        <v>0.156</v>
      </c>
      <c r="F55" s="78">
        <f>F51*E55</f>
        <v>2.496</v>
      </c>
      <c r="G55" s="176"/>
      <c r="H55" s="238"/>
      <c r="I55" s="176"/>
      <c r="J55" s="239"/>
      <c r="K55" s="176"/>
      <c r="L55" s="238"/>
      <c r="M55" s="176"/>
    </row>
    <row r="56" spans="1:13" x14ac:dyDescent="0.2">
      <c r="A56" s="217"/>
      <c r="B56" s="80"/>
      <c r="C56" s="195" t="s">
        <v>146</v>
      </c>
      <c r="D56" s="105"/>
      <c r="E56" s="105"/>
      <c r="F56" s="123"/>
      <c r="G56" s="254"/>
      <c r="H56" s="254"/>
      <c r="I56" s="254"/>
      <c r="J56" s="254"/>
      <c r="K56" s="254"/>
      <c r="L56" s="254"/>
      <c r="M56" s="254"/>
    </row>
    <row r="57" spans="1:13" x14ac:dyDescent="0.2">
      <c r="A57" s="217"/>
      <c r="B57" s="80"/>
      <c r="C57" s="90" t="s">
        <v>147</v>
      </c>
      <c r="D57" s="90" t="s">
        <v>52</v>
      </c>
      <c r="E57" s="79"/>
      <c r="F57" s="150"/>
      <c r="G57" s="150"/>
      <c r="H57" s="150"/>
      <c r="I57" s="150"/>
      <c r="J57" s="151"/>
      <c r="K57" s="150"/>
      <c r="L57" s="150"/>
      <c r="M57" s="277"/>
    </row>
    <row r="58" spans="1:13" x14ac:dyDescent="0.2">
      <c r="A58" s="217"/>
      <c r="B58" s="80"/>
      <c r="C58" s="90" t="s">
        <v>148</v>
      </c>
      <c r="D58" s="90" t="s">
        <v>52</v>
      </c>
      <c r="E58" s="79"/>
      <c r="F58" s="150"/>
      <c r="G58" s="150"/>
      <c r="H58" s="150"/>
      <c r="I58" s="150"/>
      <c r="J58" s="150"/>
      <c r="K58" s="150"/>
      <c r="L58" s="151"/>
      <c r="M58" s="277"/>
    </row>
    <row r="59" spans="1:13" x14ac:dyDescent="0.2">
      <c r="A59" s="217"/>
      <c r="B59" s="80"/>
      <c r="C59" s="90" t="s">
        <v>149</v>
      </c>
      <c r="D59" s="90" t="s">
        <v>52</v>
      </c>
      <c r="E59" s="79"/>
      <c r="F59" s="150"/>
      <c r="G59" s="150"/>
      <c r="H59" s="151"/>
      <c r="I59" s="150"/>
      <c r="J59" s="150"/>
      <c r="K59" s="150"/>
      <c r="L59" s="150"/>
      <c r="M59" s="277"/>
    </row>
    <row r="60" spans="1:13" x14ac:dyDescent="0.2">
      <c r="A60" s="217"/>
      <c r="B60" s="80"/>
      <c r="C60" s="90" t="s">
        <v>150</v>
      </c>
      <c r="D60" s="90" t="s">
        <v>52</v>
      </c>
      <c r="E60" s="79"/>
      <c r="F60" s="150"/>
      <c r="G60" s="150"/>
      <c r="H60" s="152"/>
      <c r="I60" s="152"/>
      <c r="J60" s="152"/>
      <c r="K60" s="152"/>
      <c r="L60" s="152"/>
      <c r="M60" s="277"/>
    </row>
    <row r="61" spans="1:13" ht="38.25" x14ac:dyDescent="0.2">
      <c r="A61" s="217"/>
      <c r="B61" s="80"/>
      <c r="C61" s="90" t="s">
        <v>151</v>
      </c>
      <c r="D61" s="90"/>
      <c r="E61" s="153"/>
      <c r="F61" s="150"/>
      <c r="G61" s="150"/>
      <c r="H61" s="152"/>
      <c r="I61" s="152"/>
      <c r="J61" s="152"/>
      <c r="K61" s="152"/>
      <c r="L61" s="152"/>
      <c r="M61" s="150"/>
    </row>
    <row r="62" spans="1:13" ht="27" customHeight="1" x14ac:dyDescent="0.2">
      <c r="A62" s="217"/>
      <c r="B62" s="80"/>
      <c r="C62" s="90" t="s">
        <v>152</v>
      </c>
      <c r="D62" s="90"/>
      <c r="E62" s="79"/>
      <c r="F62" s="150"/>
      <c r="G62" s="150"/>
      <c r="H62" s="152"/>
      <c r="I62" s="152"/>
      <c r="J62" s="152"/>
      <c r="K62" s="152"/>
      <c r="L62" s="152"/>
      <c r="M62" s="277"/>
    </row>
    <row r="63" spans="1:13" x14ac:dyDescent="0.2">
      <c r="A63" s="217"/>
      <c r="B63" s="80"/>
      <c r="C63" s="136" t="s">
        <v>215</v>
      </c>
      <c r="D63" s="90" t="s">
        <v>375</v>
      </c>
      <c r="E63" s="153"/>
      <c r="F63" s="150"/>
      <c r="G63" s="150"/>
      <c r="H63" s="152"/>
      <c r="I63" s="152"/>
      <c r="J63" s="152"/>
      <c r="K63" s="152"/>
      <c r="L63" s="152"/>
      <c r="M63" s="150"/>
    </row>
    <row r="64" spans="1:13" x14ac:dyDescent="0.2">
      <c r="A64" s="217"/>
      <c r="B64" s="80"/>
      <c r="C64" s="90" t="s">
        <v>23</v>
      </c>
      <c r="D64" s="90" t="s">
        <v>52</v>
      </c>
      <c r="E64" s="79"/>
      <c r="F64" s="150"/>
      <c r="G64" s="150"/>
      <c r="H64" s="152"/>
      <c r="I64" s="152"/>
      <c r="J64" s="152"/>
      <c r="K64" s="152"/>
      <c r="L64" s="152"/>
      <c r="M64" s="277"/>
    </row>
    <row r="65" spans="1:13" x14ac:dyDescent="0.2">
      <c r="A65" s="217"/>
      <c r="B65" s="80"/>
      <c r="C65" s="90" t="s">
        <v>154</v>
      </c>
      <c r="D65" s="90" t="s">
        <v>375</v>
      </c>
      <c r="E65" s="153"/>
      <c r="F65" s="150"/>
      <c r="G65" s="150"/>
      <c r="H65" s="152"/>
      <c r="I65" s="152"/>
      <c r="J65" s="152"/>
      <c r="K65" s="152"/>
      <c r="L65" s="152"/>
      <c r="M65" s="150"/>
    </row>
    <row r="66" spans="1:13" x14ac:dyDescent="0.2">
      <c r="A66" s="217"/>
      <c r="B66" s="80"/>
      <c r="C66" s="195" t="s">
        <v>155</v>
      </c>
      <c r="D66" s="195" t="s">
        <v>52</v>
      </c>
      <c r="E66" s="79"/>
      <c r="F66" s="150"/>
      <c r="G66" s="150"/>
      <c r="H66" s="152"/>
      <c r="I66" s="152"/>
      <c r="J66" s="152"/>
      <c r="K66" s="152"/>
      <c r="L66" s="152"/>
      <c r="M66" s="277"/>
    </row>
    <row r="67" spans="1:13" x14ac:dyDescent="0.2">
      <c r="A67" s="278"/>
      <c r="B67" s="278"/>
      <c r="C67" s="90" t="s">
        <v>156</v>
      </c>
      <c r="D67" s="90"/>
      <c r="E67" s="90"/>
      <c r="F67" s="150"/>
      <c r="G67" s="150"/>
      <c r="H67" s="150"/>
      <c r="I67" s="152"/>
      <c r="J67" s="152"/>
      <c r="K67" s="152"/>
      <c r="L67" s="152"/>
      <c r="M67" s="279"/>
    </row>
    <row r="68" spans="1:13" x14ac:dyDescent="0.2">
      <c r="A68" s="280"/>
      <c r="B68" s="280"/>
      <c r="C68" s="281"/>
      <c r="D68" s="281"/>
      <c r="E68" s="281"/>
      <c r="F68" s="282"/>
      <c r="G68" s="282"/>
      <c r="H68" s="282"/>
      <c r="I68" s="283"/>
      <c r="J68" s="283"/>
      <c r="K68" s="283"/>
      <c r="L68" s="283"/>
      <c r="M68" s="284"/>
    </row>
    <row r="69" spans="1:13" ht="13.15" customHeight="1" x14ac:dyDescent="0.2">
      <c r="A69" s="280"/>
      <c r="B69" s="280"/>
      <c r="C69" s="281"/>
      <c r="D69" s="281"/>
      <c r="E69" s="281"/>
      <c r="F69" s="282"/>
      <c r="G69" s="282"/>
      <c r="H69" s="282"/>
      <c r="I69" s="283"/>
      <c r="J69" s="283"/>
      <c r="K69" s="283"/>
      <c r="L69" s="283"/>
      <c r="M69" s="284"/>
    </row>
    <row r="70" spans="1:13" ht="13.15" customHeight="1" x14ac:dyDescent="0.2">
      <c r="A70" s="196"/>
      <c r="B70" s="169"/>
      <c r="C70" s="227"/>
      <c r="D70" s="169"/>
      <c r="E70" s="169"/>
      <c r="F70" s="169"/>
      <c r="G70" s="169"/>
      <c r="H70" s="169"/>
      <c r="I70" s="169"/>
      <c r="J70" s="169"/>
      <c r="K70" s="169"/>
      <c r="L70" s="169"/>
      <c r="M70" s="169"/>
    </row>
    <row r="71" spans="1:13" x14ac:dyDescent="0.2">
      <c r="A71" s="169"/>
      <c r="B71" s="169"/>
      <c r="C71" s="227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13" x14ac:dyDescent="0.2">
      <c r="A72" s="169"/>
      <c r="B72" s="169"/>
      <c r="C72" s="227"/>
      <c r="D72" s="169"/>
      <c r="E72" s="169"/>
      <c r="F72" s="169"/>
      <c r="G72" s="169"/>
      <c r="H72" s="169"/>
      <c r="I72" s="169"/>
      <c r="J72" s="169"/>
      <c r="K72" s="169"/>
      <c r="L72" s="169"/>
      <c r="M72" s="169"/>
    </row>
    <row r="73" spans="1:13" x14ac:dyDescent="0.2">
      <c r="A73" s="169"/>
      <c r="B73" s="169"/>
      <c r="C73" s="227"/>
      <c r="D73" s="169"/>
      <c r="E73" s="169"/>
      <c r="F73" s="169"/>
      <c r="G73" s="169"/>
      <c r="H73" s="169"/>
      <c r="I73" s="169"/>
      <c r="J73" s="169"/>
      <c r="K73" s="169"/>
      <c r="L73" s="169"/>
      <c r="M73" s="169"/>
    </row>
    <row r="74" spans="1:13" x14ac:dyDescent="0.2">
      <c r="A74" s="169"/>
      <c r="B74" s="169"/>
      <c r="C74" s="227"/>
      <c r="D74" s="169"/>
      <c r="E74" s="169"/>
      <c r="F74" s="169"/>
      <c r="G74" s="169"/>
      <c r="H74" s="169"/>
      <c r="I74" s="169"/>
      <c r="J74" s="169"/>
      <c r="K74" s="169"/>
      <c r="L74" s="169"/>
      <c r="M74" s="169"/>
    </row>
    <row r="75" spans="1:13" x14ac:dyDescent="0.2">
      <c r="A75" s="169"/>
      <c r="B75" s="169"/>
      <c r="C75" s="227"/>
      <c r="D75" s="169"/>
      <c r="E75" s="169"/>
      <c r="F75" s="169"/>
      <c r="G75" s="169"/>
      <c r="H75" s="169"/>
      <c r="I75" s="169"/>
      <c r="J75" s="169"/>
      <c r="K75" s="169"/>
      <c r="L75" s="169"/>
      <c r="M75" s="169"/>
    </row>
    <row r="76" spans="1:13" x14ac:dyDescent="0.2">
      <c r="A76" s="169"/>
      <c r="B76" s="169"/>
      <c r="C76" s="227"/>
      <c r="D76" s="169"/>
      <c r="E76" s="169"/>
      <c r="F76" s="169"/>
      <c r="G76" s="169"/>
      <c r="H76" s="169"/>
      <c r="I76" s="169"/>
      <c r="J76" s="169"/>
      <c r="K76" s="169"/>
      <c r="L76" s="169"/>
      <c r="M76" s="169"/>
    </row>
    <row r="77" spans="1:13" x14ac:dyDescent="0.2">
      <c r="A77" s="169"/>
      <c r="B77" s="169"/>
      <c r="C77" s="227"/>
      <c r="D77" s="169"/>
      <c r="E77" s="169"/>
      <c r="F77" s="169"/>
      <c r="G77" s="169"/>
      <c r="H77" s="169"/>
      <c r="I77" s="169"/>
      <c r="J77" s="169"/>
      <c r="K77" s="169"/>
      <c r="L77" s="169"/>
      <c r="M77" s="169"/>
    </row>
    <row r="78" spans="1:13" ht="15" x14ac:dyDescent="0.25">
      <c r="A78" s="210"/>
      <c r="B78" s="210"/>
      <c r="C78" s="215"/>
      <c r="D78" s="210"/>
      <c r="E78" s="210"/>
      <c r="F78" s="210"/>
      <c r="G78" s="210"/>
      <c r="H78" s="210"/>
      <c r="I78" s="210"/>
      <c r="J78" s="210"/>
      <c r="K78" s="210"/>
      <c r="L78" s="210"/>
      <c r="M78" s="210"/>
    </row>
    <row r="79" spans="1:13" ht="15" x14ac:dyDescent="0.25">
      <c r="A79" s="210"/>
      <c r="B79" s="210"/>
      <c r="C79" s="215"/>
      <c r="D79" s="210"/>
      <c r="E79" s="210"/>
      <c r="F79" s="210"/>
      <c r="G79" s="210"/>
      <c r="H79" s="210"/>
      <c r="I79" s="210"/>
      <c r="J79" s="210"/>
      <c r="K79" s="210"/>
      <c r="L79" s="210"/>
      <c r="M79" s="210"/>
    </row>
    <row r="80" spans="1:13" ht="15" x14ac:dyDescent="0.25">
      <c r="A80" s="210"/>
      <c r="B80" s="210"/>
      <c r="C80" s="215"/>
      <c r="D80" s="210"/>
      <c r="E80" s="210"/>
      <c r="F80" s="210"/>
      <c r="G80" s="210"/>
      <c r="H80" s="210"/>
      <c r="I80" s="210"/>
      <c r="J80" s="210"/>
      <c r="K80" s="210"/>
      <c r="L80" s="210"/>
      <c r="M80" s="210"/>
    </row>
    <row r="81" spans="1:13" ht="15" x14ac:dyDescent="0.25">
      <c r="A81" s="210"/>
      <c r="B81" s="210"/>
      <c r="C81" s="215"/>
      <c r="D81" s="210"/>
      <c r="E81" s="210"/>
      <c r="F81" s="210"/>
      <c r="G81" s="210"/>
      <c r="H81" s="210"/>
      <c r="I81" s="210"/>
      <c r="J81" s="210"/>
      <c r="K81" s="210"/>
      <c r="L81" s="210"/>
      <c r="M81" s="210"/>
    </row>
    <row r="82" spans="1:13" ht="15" x14ac:dyDescent="0.25">
      <c r="A82" s="210"/>
      <c r="B82" s="210"/>
      <c r="C82" s="215"/>
      <c r="D82" s="210"/>
      <c r="E82" s="210"/>
      <c r="F82" s="210"/>
      <c r="G82" s="210"/>
      <c r="H82" s="210"/>
      <c r="I82" s="210"/>
      <c r="J82" s="210"/>
      <c r="K82" s="210"/>
      <c r="L82" s="210"/>
      <c r="M82" s="210"/>
    </row>
    <row r="83" spans="1:13" ht="15" x14ac:dyDescent="0.25">
      <c r="A83" s="210"/>
      <c r="B83" s="210"/>
      <c r="C83" s="215"/>
      <c r="D83" s="210"/>
      <c r="E83" s="210"/>
      <c r="F83" s="210"/>
      <c r="G83" s="210"/>
      <c r="H83" s="210"/>
      <c r="I83" s="210"/>
      <c r="J83" s="210"/>
      <c r="K83" s="210"/>
      <c r="L83" s="210"/>
      <c r="M83" s="210"/>
    </row>
    <row r="84" spans="1:13" ht="15" x14ac:dyDescent="0.25">
      <c r="A84" s="210"/>
      <c r="B84" s="210"/>
      <c r="C84" s="215"/>
      <c r="D84" s="210"/>
      <c r="E84" s="210"/>
      <c r="F84" s="210"/>
      <c r="G84" s="210"/>
      <c r="H84" s="210"/>
      <c r="I84" s="210"/>
      <c r="J84" s="210"/>
      <c r="K84" s="210"/>
      <c r="L84" s="210"/>
      <c r="M84" s="210"/>
    </row>
    <row r="85" spans="1:13" ht="15" x14ac:dyDescent="0.25">
      <c r="A85" s="210"/>
      <c r="B85" s="210"/>
      <c r="C85" s="215"/>
      <c r="D85" s="210"/>
      <c r="E85" s="210"/>
      <c r="F85" s="210"/>
      <c r="G85" s="210"/>
      <c r="H85" s="210"/>
      <c r="I85" s="210"/>
      <c r="J85" s="210"/>
      <c r="K85" s="210"/>
      <c r="L85" s="210"/>
      <c r="M85" s="210"/>
    </row>
    <row r="86" spans="1:13" ht="15" x14ac:dyDescent="0.25">
      <c r="A86" s="210"/>
      <c r="B86" s="210"/>
      <c r="C86" s="215"/>
      <c r="D86" s="210"/>
      <c r="E86" s="210"/>
      <c r="F86" s="210"/>
      <c r="G86" s="210"/>
      <c r="H86" s="210"/>
      <c r="I86" s="210"/>
      <c r="J86" s="210"/>
      <c r="K86" s="210"/>
      <c r="L86" s="210"/>
      <c r="M86" s="210"/>
    </row>
    <row r="87" spans="1:13" ht="15" x14ac:dyDescent="0.25">
      <c r="A87" s="210"/>
      <c r="B87" s="210"/>
      <c r="C87" s="215"/>
      <c r="D87" s="210"/>
      <c r="E87" s="210"/>
      <c r="F87" s="210"/>
      <c r="G87" s="210"/>
      <c r="H87" s="210"/>
      <c r="I87" s="210"/>
      <c r="J87" s="210"/>
      <c r="K87" s="210"/>
      <c r="L87" s="210"/>
      <c r="M87" s="210"/>
    </row>
    <row r="88" spans="1:13" ht="15" x14ac:dyDescent="0.25">
      <c r="A88" s="210"/>
      <c r="B88" s="210"/>
      <c r="C88" s="215"/>
      <c r="D88" s="210"/>
      <c r="E88" s="210"/>
      <c r="F88" s="210"/>
      <c r="G88" s="210"/>
      <c r="H88" s="210"/>
      <c r="I88" s="210"/>
      <c r="J88" s="210"/>
      <c r="K88" s="210"/>
      <c r="L88" s="210"/>
      <c r="M88" s="210"/>
    </row>
    <row r="89" spans="1:13" ht="15" x14ac:dyDescent="0.25">
      <c r="A89" s="210"/>
      <c r="B89" s="210"/>
      <c r="C89" s="215"/>
      <c r="D89" s="210"/>
      <c r="E89" s="210"/>
      <c r="F89" s="210"/>
      <c r="G89" s="210"/>
      <c r="H89" s="210"/>
      <c r="I89" s="210"/>
      <c r="J89" s="210"/>
      <c r="K89" s="210"/>
      <c r="L89" s="210"/>
      <c r="M89" s="210"/>
    </row>
    <row r="90" spans="1:13" ht="15" x14ac:dyDescent="0.25">
      <c r="A90" s="210"/>
      <c r="B90" s="210"/>
      <c r="C90" s="215"/>
      <c r="D90" s="210"/>
      <c r="E90" s="210"/>
      <c r="F90" s="210"/>
      <c r="G90" s="210"/>
      <c r="H90" s="210"/>
      <c r="I90" s="210"/>
      <c r="J90" s="210"/>
      <c r="K90" s="210"/>
      <c r="L90" s="210"/>
      <c r="M90" s="210"/>
    </row>
    <row r="91" spans="1:13" ht="15" x14ac:dyDescent="0.25">
      <c r="A91" s="210"/>
      <c r="B91" s="210"/>
      <c r="C91" s="215"/>
      <c r="D91" s="210"/>
      <c r="E91" s="210"/>
      <c r="F91" s="210"/>
      <c r="G91" s="210"/>
      <c r="H91" s="210"/>
      <c r="I91" s="210"/>
      <c r="J91" s="210"/>
      <c r="K91" s="210"/>
      <c r="L91" s="210"/>
      <c r="M91" s="210"/>
    </row>
  </sheetData>
  <mergeCells count="18">
    <mergeCell ref="A1:M1"/>
    <mergeCell ref="A3:M3"/>
    <mergeCell ref="A5:M5"/>
    <mergeCell ref="A7:D7"/>
    <mergeCell ref="E7:I7"/>
    <mergeCell ref="J7:K7"/>
    <mergeCell ref="A11:A12"/>
    <mergeCell ref="B11:B12"/>
    <mergeCell ref="C11:C12"/>
    <mergeCell ref="D11:D12"/>
    <mergeCell ref="E11:F11"/>
    <mergeCell ref="K11:L11"/>
    <mergeCell ref="M11:M12"/>
    <mergeCell ref="F9:H9"/>
    <mergeCell ref="J9:K9"/>
    <mergeCell ref="L9:M9"/>
    <mergeCell ref="G11:H11"/>
    <mergeCell ref="I11:J11"/>
  </mergeCells>
  <pageMargins left="0.11811023622047245" right="0.11811023622047245" top="0.55118110236220474" bottom="0.55118110236220474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saob.xarj.</vt:lpstr>
      <vt:lpstr>saqvabe</vt:lpstr>
      <vt:lpstr>saqvqbis dem.da mon.</vt:lpstr>
      <vt:lpstr>Tbotras</vt:lpstr>
      <vt:lpstr>saq.elm.</vt:lpstr>
      <vt:lpstr>saob.xarj.!Print_Area</vt:lpstr>
      <vt:lpstr>'saqvqbis dem.da mon.'!Print_Area</vt:lpstr>
      <vt:lpstr>Tbotras!Print_Area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2022-03-15T11:31:46Z</dcterms:modified>
</cp:coreProperties>
</file>