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752" activeTab="5"/>
  </bookViews>
  <sheets>
    <sheet name="krebsiti" sheetId="8" r:id="rId1"/>
    <sheet name="#1" sheetId="16" r:id="rId2"/>
    <sheet name="#2" sheetId="17" r:id="rId3"/>
    <sheet name="#3" sheetId="20" r:id="rId4"/>
    <sheet name="#4" sheetId="6" r:id="rId5"/>
    <sheet name="#5" sheetId="18" r:id="rId6"/>
    <sheet name="77777" sheetId="4" state="hidden" r:id="rId7"/>
  </sheets>
  <definedNames>
    <definedName name="_xlnm._FilterDatabase" localSheetId="1" hidden="1">'#1'!$K$1:$K$415</definedName>
    <definedName name="_xlnm._FilterDatabase" localSheetId="2" hidden="1">'#2'!$K$1:$K$601</definedName>
    <definedName name="_xlnm._FilterDatabase" localSheetId="3" hidden="1">'#3'!$K$1:$K$957</definedName>
    <definedName name="_xlnm._FilterDatabase" localSheetId="4" hidden="1">'#4'!$K$1:$K$214</definedName>
    <definedName name="_xlnm._FilterDatabase" localSheetId="5" hidden="1">'#5'!$K$1:$K$266</definedName>
    <definedName name="_xlnm.Print_Area" localSheetId="1">'#1'!$A$1:$M$412</definedName>
    <definedName name="_xlnm.Print_Area" localSheetId="2">'#2'!$A$1:$M$138</definedName>
    <definedName name="_xlnm.Print_Area" localSheetId="3">'#3'!$A$1:$M$198</definedName>
    <definedName name="_xlnm.Print_Area" localSheetId="4">'#4'!$A$1:$M$213</definedName>
    <definedName name="_xlnm.Print_Area" localSheetId="5">'#5'!$A$1:$M$242</definedName>
    <definedName name="_xlnm.Print_Area" localSheetId="0">krebsiti!$A$1:$D$34</definedName>
    <definedName name="_xlnm.Print_Titles" localSheetId="1">'#1'!$8:$8</definedName>
    <definedName name="_xlnm.Print_Titles" localSheetId="2">'#2'!$8:$8</definedName>
    <definedName name="_xlnm.Print_Titles" localSheetId="3">'#3'!$8:$8</definedName>
    <definedName name="_xlnm.Print_Titles" localSheetId="4">'#4'!$8:$8</definedName>
    <definedName name="_xlnm.Print_Titles" localSheetId="5">'#5'!$8:$8</definedName>
    <definedName name="_xlnm.Print_Titles" localSheetId="6">'77777'!$3:$6</definedName>
  </definedNames>
  <calcPr calcId="162913"/>
</workbook>
</file>

<file path=xl/calcChain.xml><?xml version="1.0" encoding="utf-8"?>
<calcChain xmlns="http://schemas.openxmlformats.org/spreadsheetml/2006/main">
  <c r="F179" i="6" l="1"/>
  <c r="A5" i="18" l="1"/>
  <c r="A5" i="6"/>
  <c r="A5" i="20"/>
  <c r="A5" i="17"/>
  <c r="A5" i="16"/>
  <c r="F128" i="20" l="1"/>
  <c r="H232" i="18"/>
  <c r="M232" i="18" s="1"/>
  <c r="H231" i="18"/>
  <c r="M231" i="18" s="1"/>
  <c r="F228" i="18"/>
  <c r="F229" i="18" s="1"/>
  <c r="J229" i="18" s="1"/>
  <c r="M229" i="18" s="1"/>
  <c r="H226" i="18"/>
  <c r="M226" i="18" s="1"/>
  <c r="F223" i="18"/>
  <c r="F227" i="18" s="1"/>
  <c r="H227" i="18" s="1"/>
  <c r="M227" i="18" s="1"/>
  <c r="H220" i="18"/>
  <c r="M220" i="18" s="1"/>
  <c r="F217" i="18"/>
  <c r="F222" i="18" s="1"/>
  <c r="H222" i="18" s="1"/>
  <c r="M222" i="18" s="1"/>
  <c r="F233" i="18" l="1"/>
  <c r="H233" i="18" s="1"/>
  <c r="M233" i="18" s="1"/>
  <c r="F221" i="18"/>
  <c r="H221" i="18" s="1"/>
  <c r="F218" i="18"/>
  <c r="J218" i="18" s="1"/>
  <c r="F225" i="18"/>
  <c r="L225" i="18" s="1"/>
  <c r="M225" i="18" s="1"/>
  <c r="F230" i="18"/>
  <c r="L230" i="18" s="1"/>
  <c r="M230" i="18" s="1"/>
  <c r="F219" i="18"/>
  <c r="L219" i="18" s="1"/>
  <c r="F224" i="18"/>
  <c r="J224" i="18" s="1"/>
  <c r="M224" i="18" s="1"/>
  <c r="H191" i="6"/>
  <c r="M191" i="6" s="1"/>
  <c r="E188" i="6"/>
  <c r="F188" i="6" s="1"/>
  <c r="J188" i="6" s="1"/>
  <c r="M188" i="6" s="1"/>
  <c r="E193" i="6"/>
  <c r="F193" i="6" s="1"/>
  <c r="H193" i="6" s="1"/>
  <c r="M193" i="6" s="1"/>
  <c r="E192" i="6"/>
  <c r="F192" i="6" s="1"/>
  <c r="H192" i="6" s="1"/>
  <c r="M192" i="6" s="1"/>
  <c r="E189" i="6"/>
  <c r="F189" i="6" s="1"/>
  <c r="L189" i="6" s="1"/>
  <c r="M189" i="6" s="1"/>
  <c r="H190" i="6"/>
  <c r="M190" i="6" s="1"/>
  <c r="F169" i="6"/>
  <c r="F167" i="6"/>
  <c r="F184" i="6" s="1"/>
  <c r="F186" i="6" s="1"/>
  <c r="F172" i="6"/>
  <c r="H234" i="18" l="1"/>
  <c r="M235" i="18" s="1"/>
  <c r="L234" i="18"/>
  <c r="M221" i="18"/>
  <c r="M218" i="18"/>
  <c r="M234" i="18" s="1"/>
  <c r="J234" i="18"/>
  <c r="M219" i="18"/>
  <c r="F41" i="20"/>
  <c r="M237" i="18" l="1"/>
  <c r="M236" i="18"/>
  <c r="F132" i="20"/>
  <c r="F34" i="20"/>
  <c r="F59" i="17"/>
  <c r="H67" i="17"/>
  <c r="M67" i="17" s="1"/>
  <c r="H66" i="17"/>
  <c r="M66" i="17" s="1"/>
  <c r="F80" i="17"/>
  <c r="F13" i="17"/>
  <c r="M238" i="18" l="1"/>
  <c r="F133" i="18"/>
  <c r="F180" i="18"/>
  <c r="H180" i="18" s="1"/>
  <c r="M239" i="18" l="1"/>
  <c r="M240" i="18" s="1"/>
  <c r="D21" i="8" s="1"/>
  <c r="H181" i="18"/>
  <c r="M180" i="18"/>
  <c r="F179" i="18"/>
  <c r="H179" i="18" s="1"/>
  <c r="M179" i="18" s="1"/>
  <c r="F178" i="18"/>
  <c r="L178" i="18" s="1"/>
  <c r="F177" i="18"/>
  <c r="J177" i="18" s="1"/>
  <c r="M177" i="18" l="1"/>
  <c r="J182" i="18"/>
  <c r="M185" i="18" s="1"/>
  <c r="M178" i="18"/>
  <c r="L182" i="18"/>
  <c r="M181" i="18"/>
  <c r="H182" i="18"/>
  <c r="M182" i="18" l="1"/>
  <c r="M183" i="18"/>
  <c r="M184" i="18" l="1"/>
  <c r="M186" i="18" s="1"/>
  <c r="M187" i="18" s="1"/>
  <c r="M188" i="18" s="1"/>
  <c r="F196" i="18"/>
  <c r="E391" i="16" l="1"/>
  <c r="E390" i="16"/>
  <c r="D193" i="4"/>
  <c r="F379" i="16" s="1"/>
  <c r="D192" i="4"/>
  <c r="E192" i="4" s="1"/>
  <c r="D188" i="4"/>
  <c r="E188" i="4" s="1"/>
  <c r="D187" i="4"/>
  <c r="E187" i="4" s="1"/>
  <c r="D186" i="4"/>
  <c r="E186" i="4" s="1"/>
  <c r="D185" i="4"/>
  <c r="E185" i="4" s="1"/>
  <c r="D184" i="4"/>
  <c r="E184" i="4" s="1"/>
  <c r="D189" i="4"/>
  <c r="E189" i="4" s="1"/>
  <c r="D182" i="4"/>
  <c r="E182" i="4" s="1"/>
  <c r="D183" i="4"/>
  <c r="E183" i="4" s="1"/>
  <c r="D181" i="4"/>
  <c r="E181" i="4" s="1"/>
  <c r="D180" i="4"/>
  <c r="E180" i="4" s="1"/>
  <c r="F395" i="16" l="1"/>
  <c r="F396" i="16" s="1"/>
  <c r="J396" i="16" s="1"/>
  <c r="M396" i="16" s="1"/>
  <c r="F398" i="16"/>
  <c r="H398" i="16" s="1"/>
  <c r="M398" i="16" s="1"/>
  <c r="F399" i="16"/>
  <c r="H399" i="16" s="1"/>
  <c r="M399" i="16" s="1"/>
  <c r="E190" i="4"/>
  <c r="E380" i="16" s="1"/>
  <c r="E381" i="16" s="1"/>
  <c r="F386" i="16" s="1"/>
  <c r="H386" i="16" s="1"/>
  <c r="M386" i="16" s="1"/>
  <c r="D190" i="4"/>
  <c r="BE21" i="4"/>
  <c r="BE22" i="4"/>
  <c r="BE23" i="4"/>
  <c r="BE24" i="4"/>
  <c r="Z21" i="4"/>
  <c r="AA21" i="4"/>
  <c r="AJ21" i="4"/>
  <c r="AU21" i="4"/>
  <c r="BD21" i="4"/>
  <c r="Z22" i="4"/>
  <c r="AA22" i="4"/>
  <c r="AJ22" i="4"/>
  <c r="AU22" i="4"/>
  <c r="BD22" i="4"/>
  <c r="Z23" i="4"/>
  <c r="AA23" i="4"/>
  <c r="AJ23" i="4"/>
  <c r="AU23" i="4"/>
  <c r="BD23" i="4"/>
  <c r="Z24" i="4"/>
  <c r="AA24" i="4"/>
  <c r="AJ24" i="4"/>
  <c r="AU24" i="4"/>
  <c r="BD24" i="4"/>
  <c r="I21" i="4"/>
  <c r="I22" i="4"/>
  <c r="I23" i="4"/>
  <c r="I24" i="4"/>
  <c r="O21" i="4"/>
  <c r="S21" i="4"/>
  <c r="X21" i="4"/>
  <c r="O22" i="4"/>
  <c r="S22" i="4"/>
  <c r="X22" i="4"/>
  <c r="O23" i="4"/>
  <c r="S23" i="4"/>
  <c r="X23" i="4"/>
  <c r="O24" i="4"/>
  <c r="S24" i="4"/>
  <c r="X24" i="4"/>
  <c r="D21" i="4"/>
  <c r="E21" i="4"/>
  <c r="D22" i="4"/>
  <c r="E22" i="4"/>
  <c r="D23" i="4"/>
  <c r="E23" i="4"/>
  <c r="F397" i="16" l="1"/>
  <c r="L397" i="16" s="1"/>
  <c r="M397" i="16" s="1"/>
  <c r="F382" i="16"/>
  <c r="F383" i="16" s="1"/>
  <c r="J383" i="16" s="1"/>
  <c r="M383" i="16" s="1"/>
  <c r="F389" i="16"/>
  <c r="F391" i="16" s="1"/>
  <c r="L391" i="16" s="1"/>
  <c r="M391" i="16" s="1"/>
  <c r="F387" i="16"/>
  <c r="H387" i="16" s="1"/>
  <c r="M387" i="16" s="1"/>
  <c r="E188" i="20"/>
  <c r="F182" i="20"/>
  <c r="L182" i="20" s="1"/>
  <c r="M182" i="20" s="1"/>
  <c r="F181" i="20"/>
  <c r="J181" i="20" s="1"/>
  <c r="M181" i="20" s="1"/>
  <c r="M180" i="20"/>
  <c r="F179" i="20"/>
  <c r="J179" i="20" s="1"/>
  <c r="M179" i="20" s="1"/>
  <c r="H178" i="20"/>
  <c r="M178" i="20" s="1"/>
  <c r="E177" i="20"/>
  <c r="H175" i="20"/>
  <c r="M175" i="20" s="1"/>
  <c r="H174" i="20"/>
  <c r="M174" i="20" s="1"/>
  <c r="F172" i="20"/>
  <c r="F173" i="20" s="1"/>
  <c r="J173" i="20" s="1"/>
  <c r="M173" i="20" s="1"/>
  <c r="H170" i="20"/>
  <c r="M170" i="20" s="1"/>
  <c r="H169" i="20"/>
  <c r="M169" i="20" s="1"/>
  <c r="D169" i="20"/>
  <c r="H168" i="20"/>
  <c r="D168" i="20"/>
  <c r="M165" i="20"/>
  <c r="F165" i="20"/>
  <c r="F166" i="20" s="1"/>
  <c r="J166" i="20" s="1"/>
  <c r="L157" i="20"/>
  <c r="H156" i="20"/>
  <c r="M156" i="20" s="1"/>
  <c r="H155" i="20"/>
  <c r="M155" i="20" s="1"/>
  <c r="H154" i="20"/>
  <c r="M154" i="20" s="1"/>
  <c r="H153" i="20"/>
  <c r="M153" i="20" s="1"/>
  <c r="J152" i="20"/>
  <c r="H152" i="20"/>
  <c r="J151" i="20"/>
  <c r="H151" i="20"/>
  <c r="H142" i="20"/>
  <c r="M142" i="20" s="1"/>
  <c r="H141" i="20"/>
  <c r="M141" i="20" s="1"/>
  <c r="H140" i="20"/>
  <c r="M140" i="20" s="1"/>
  <c r="H139" i="20"/>
  <c r="M139" i="20" s="1"/>
  <c r="H131" i="20"/>
  <c r="M131" i="20" s="1"/>
  <c r="F130" i="20"/>
  <c r="H130" i="20" s="1"/>
  <c r="M130" i="20" s="1"/>
  <c r="H138" i="20"/>
  <c r="M138" i="20" s="1"/>
  <c r="H137" i="20"/>
  <c r="M137" i="20" s="1"/>
  <c r="H136" i="20"/>
  <c r="M136" i="20" s="1"/>
  <c r="E133" i="20"/>
  <c r="F133" i="20" s="1"/>
  <c r="J133" i="20" s="1"/>
  <c r="M133" i="20" s="1"/>
  <c r="F135" i="20"/>
  <c r="H135" i="20" s="1"/>
  <c r="M135" i="20" s="1"/>
  <c r="H127" i="20"/>
  <c r="M127" i="20" s="1"/>
  <c r="F124" i="20"/>
  <c r="F126" i="20" s="1"/>
  <c r="H123" i="20"/>
  <c r="M123" i="20" s="1"/>
  <c r="F120" i="20"/>
  <c r="F121" i="20" s="1"/>
  <c r="J121" i="20" s="1"/>
  <c r="M121" i="20" s="1"/>
  <c r="H119" i="20"/>
  <c r="M119" i="20" s="1"/>
  <c r="F116" i="20"/>
  <c r="F118" i="20" s="1"/>
  <c r="H118" i="20" s="1"/>
  <c r="M118" i="20" s="1"/>
  <c r="F388" i="16" l="1"/>
  <c r="H388" i="16" s="1"/>
  <c r="M388" i="16" s="1"/>
  <c r="F384" i="16"/>
  <c r="L384" i="16" s="1"/>
  <c r="M384" i="16" s="1"/>
  <c r="F390" i="16"/>
  <c r="J390" i="16" s="1"/>
  <c r="M390" i="16" s="1"/>
  <c r="F393" i="16"/>
  <c r="H393" i="16" s="1"/>
  <c r="M393" i="16" s="1"/>
  <c r="F392" i="16"/>
  <c r="H392" i="16" s="1"/>
  <c r="M392" i="16" s="1"/>
  <c r="F394" i="16"/>
  <c r="H394" i="16" s="1"/>
  <c r="M394" i="16" s="1"/>
  <c r="M166" i="20"/>
  <c r="M168" i="20"/>
  <c r="F188" i="20"/>
  <c r="H188" i="20" s="1"/>
  <c r="M188" i="20" s="1"/>
  <c r="M151" i="20"/>
  <c r="M152" i="20"/>
  <c r="F177" i="20"/>
  <c r="H177" i="20" s="1"/>
  <c r="M177" i="20" s="1"/>
  <c r="F117" i="20"/>
  <c r="J117" i="20" s="1"/>
  <c r="M117" i="20" s="1"/>
  <c r="J157" i="20"/>
  <c r="M160" i="20" s="1"/>
  <c r="F129" i="20"/>
  <c r="J129" i="20" s="1"/>
  <c r="M129" i="20" s="1"/>
  <c r="F125" i="20"/>
  <c r="J125" i="20" s="1"/>
  <c r="M125" i="20" s="1"/>
  <c r="F122" i="20"/>
  <c r="H122" i="20" s="1"/>
  <c r="M122" i="20" s="1"/>
  <c r="F134" i="20"/>
  <c r="L134" i="20" s="1"/>
  <c r="F176" i="20"/>
  <c r="H176" i="20" s="1"/>
  <c r="M176" i="20" s="1"/>
  <c r="F186" i="20"/>
  <c r="H186" i="20" s="1"/>
  <c r="M186" i="20" s="1"/>
  <c r="F185" i="20"/>
  <c r="L185" i="20" s="1"/>
  <c r="M185" i="20" s="1"/>
  <c r="H157" i="20"/>
  <c r="F171" i="20"/>
  <c r="H171" i="20" s="1"/>
  <c r="M171" i="20" s="1"/>
  <c r="F167" i="20"/>
  <c r="L167" i="20" s="1"/>
  <c r="F184" i="20"/>
  <c r="J184" i="20" s="1"/>
  <c r="M184" i="20" s="1"/>
  <c r="F187" i="20"/>
  <c r="H187" i="20" s="1"/>
  <c r="M187" i="20" s="1"/>
  <c r="H129" i="17"/>
  <c r="M129" i="17" s="1"/>
  <c r="H128" i="17"/>
  <c r="M128" i="17" s="1"/>
  <c r="E127" i="17"/>
  <c r="E126" i="17"/>
  <c r="E125" i="17"/>
  <c r="F124" i="17"/>
  <c r="H122" i="17"/>
  <c r="M122" i="17" s="1"/>
  <c r="F119" i="17"/>
  <c r="F121" i="17" s="1"/>
  <c r="L121" i="17" s="1"/>
  <c r="E118" i="17"/>
  <c r="H116" i="17"/>
  <c r="M116" i="17" s="1"/>
  <c r="H115" i="17"/>
  <c r="M115" i="17" s="1"/>
  <c r="F113" i="17"/>
  <c r="F114" i="17" s="1"/>
  <c r="J114" i="17" s="1"/>
  <c r="M114" i="17" s="1"/>
  <c r="E112" i="17"/>
  <c r="H110" i="17"/>
  <c r="M110" i="17" s="1"/>
  <c r="F108" i="17"/>
  <c r="F109" i="17" s="1"/>
  <c r="J109" i="17" s="1"/>
  <c r="M109" i="17" s="1"/>
  <c r="H105" i="17"/>
  <c r="M105" i="17" s="1"/>
  <c r="H104" i="17"/>
  <c r="M104" i="17" s="1"/>
  <c r="H103" i="17"/>
  <c r="M103" i="17" s="1"/>
  <c r="H102" i="17"/>
  <c r="M102" i="17" s="1"/>
  <c r="H101" i="17"/>
  <c r="M101" i="17" s="1"/>
  <c r="H100" i="17"/>
  <c r="M100" i="17" s="1"/>
  <c r="H99" i="17"/>
  <c r="M99" i="17" s="1"/>
  <c r="H98" i="17"/>
  <c r="M98" i="17" s="1"/>
  <c r="H97" i="17"/>
  <c r="M97" i="17" s="1"/>
  <c r="H96" i="17"/>
  <c r="M96" i="17" s="1"/>
  <c r="H95" i="17"/>
  <c r="M95" i="17" s="1"/>
  <c r="F92" i="17"/>
  <c r="F94" i="17" s="1"/>
  <c r="H94" i="17" s="1"/>
  <c r="M94" i="17" s="1"/>
  <c r="H91" i="17"/>
  <c r="M91" i="17" s="1"/>
  <c r="H90" i="17"/>
  <c r="M90" i="17" s="1"/>
  <c r="H89" i="17"/>
  <c r="M89" i="17" s="1"/>
  <c r="H88" i="17"/>
  <c r="M88" i="17" s="1"/>
  <c r="H87" i="17"/>
  <c r="M87" i="17" s="1"/>
  <c r="H86" i="17"/>
  <c r="M86" i="17" s="1"/>
  <c r="H85" i="17"/>
  <c r="M85" i="17" s="1"/>
  <c r="H84" i="17"/>
  <c r="M84" i="17" s="1"/>
  <c r="H83" i="17"/>
  <c r="M83" i="17" s="1"/>
  <c r="F81" i="17"/>
  <c r="J81" i="17" s="1"/>
  <c r="J190" i="20" l="1"/>
  <c r="L190" i="20"/>
  <c r="H190" i="20"/>
  <c r="M157" i="20"/>
  <c r="J143" i="20"/>
  <c r="H143" i="20"/>
  <c r="M144" i="20" s="1"/>
  <c r="F127" i="17"/>
  <c r="L127" i="17" s="1"/>
  <c r="M127" i="17" s="1"/>
  <c r="M158" i="20"/>
  <c r="M193" i="20"/>
  <c r="M167" i="20"/>
  <c r="M190" i="20" s="1"/>
  <c r="L143" i="20"/>
  <c r="M134" i="20"/>
  <c r="M143" i="20" s="1"/>
  <c r="F125" i="17"/>
  <c r="J125" i="17" s="1"/>
  <c r="M125" i="17" s="1"/>
  <c r="F126" i="17"/>
  <c r="L126" i="17" s="1"/>
  <c r="M126" i="17" s="1"/>
  <c r="F112" i="17"/>
  <c r="H112" i="17" s="1"/>
  <c r="M112" i="17" s="1"/>
  <c r="F130" i="17"/>
  <c r="H130" i="17" s="1"/>
  <c r="M130" i="17" s="1"/>
  <c r="F118" i="17"/>
  <c r="H118" i="17" s="1"/>
  <c r="M118" i="17" s="1"/>
  <c r="F111" i="17"/>
  <c r="H111" i="17" s="1"/>
  <c r="M111" i="17" s="1"/>
  <c r="M121" i="17"/>
  <c r="M81" i="17"/>
  <c r="F93" i="17"/>
  <c r="J93" i="17" s="1"/>
  <c r="M93" i="17" s="1"/>
  <c r="F117" i="17"/>
  <c r="H117" i="17" s="1"/>
  <c r="M117" i="17" s="1"/>
  <c r="F120" i="17"/>
  <c r="J120" i="17" s="1"/>
  <c r="M120" i="17" s="1"/>
  <c r="F123" i="17"/>
  <c r="H123" i="17" s="1"/>
  <c r="M123" i="17" s="1"/>
  <c r="F222" i="16"/>
  <c r="F402" i="16"/>
  <c r="F275" i="16"/>
  <c r="L251" i="16"/>
  <c r="J251" i="16"/>
  <c r="E175" i="4"/>
  <c r="M146" i="20" l="1"/>
  <c r="M159" i="20"/>
  <c r="M161" i="20" s="1"/>
  <c r="M162" i="20" s="1"/>
  <c r="M163" i="20" s="1"/>
  <c r="M145" i="20"/>
  <c r="M191" i="20"/>
  <c r="M192" i="20" s="1"/>
  <c r="M194" i="20" s="1"/>
  <c r="L131" i="17"/>
  <c r="M131" i="17"/>
  <c r="H131" i="17"/>
  <c r="J131" i="17"/>
  <c r="M251" i="16"/>
  <c r="F404" i="16"/>
  <c r="L404" i="16" s="1"/>
  <c r="M404" i="16" s="1"/>
  <c r="F401" i="16"/>
  <c r="J401" i="16" s="1"/>
  <c r="M401" i="16" s="1"/>
  <c r="E374" i="16"/>
  <c r="E373" i="16"/>
  <c r="E371" i="16"/>
  <c r="D370" i="16"/>
  <c r="E369" i="16"/>
  <c r="E368" i="16"/>
  <c r="E366" i="16"/>
  <c r="E364" i="16"/>
  <c r="H360" i="16"/>
  <c r="M360" i="16" s="1"/>
  <c r="E357" i="16"/>
  <c r="F352" i="16"/>
  <c r="D343" i="16"/>
  <c r="E330" i="16"/>
  <c r="E323" i="16"/>
  <c r="E311" i="16"/>
  <c r="E310" i="16"/>
  <c r="E308" i="16"/>
  <c r="E307" i="16"/>
  <c r="E305" i="16"/>
  <c r="E304" i="16"/>
  <c r="E303" i="16"/>
  <c r="E295" i="16"/>
  <c r="F290" i="16"/>
  <c r="H290" i="16" s="1"/>
  <c r="M290" i="16" s="1"/>
  <c r="E286" i="16"/>
  <c r="F281" i="16"/>
  <c r="F288" i="16" s="1"/>
  <c r="H288" i="16" s="1"/>
  <c r="M288" i="16" s="1"/>
  <c r="E280" i="16"/>
  <c r="E279" i="16"/>
  <c r="E278" i="16"/>
  <c r="E277" i="16"/>
  <c r="H275" i="16"/>
  <c r="M275" i="16" s="1"/>
  <c r="E272" i="16"/>
  <c r="F250" i="16"/>
  <c r="J250" i="16" s="1"/>
  <c r="M250" i="16" s="1"/>
  <c r="E237" i="16"/>
  <c r="E236" i="16"/>
  <c r="D65" i="4"/>
  <c r="D163" i="4"/>
  <c r="D150" i="4"/>
  <c r="D165" i="4" s="1"/>
  <c r="D149" i="4"/>
  <c r="D164" i="4" s="1"/>
  <c r="D147" i="4"/>
  <c r="D162" i="4" s="1"/>
  <c r="F367" i="16" l="1"/>
  <c r="F370" i="16" s="1"/>
  <c r="H370" i="16" s="1"/>
  <c r="M370" i="16" s="1"/>
  <c r="M147" i="20"/>
  <c r="M148" i="20" s="1"/>
  <c r="M149" i="20" s="1"/>
  <c r="F361" i="16"/>
  <c r="F362" i="16" s="1"/>
  <c r="J362" i="16" s="1"/>
  <c r="M362" i="16" s="1"/>
  <c r="M195" i="20"/>
  <c r="M196" i="20" s="1"/>
  <c r="M134" i="17"/>
  <c r="M132" i="17"/>
  <c r="M133" i="17" s="1"/>
  <c r="F357" i="16"/>
  <c r="H357" i="16" s="1"/>
  <c r="M357" i="16" s="1"/>
  <c r="F285" i="16"/>
  <c r="H285" i="16" s="1"/>
  <c r="M285" i="16" s="1"/>
  <c r="F286" i="16"/>
  <c r="H286" i="16" s="1"/>
  <c r="M286" i="16" s="1"/>
  <c r="F284" i="16"/>
  <c r="H284" i="16" s="1"/>
  <c r="M284" i="16" s="1"/>
  <c r="F289" i="16"/>
  <c r="H289" i="16" s="1"/>
  <c r="M289" i="16" s="1"/>
  <c r="F403" i="16"/>
  <c r="J403" i="16" s="1"/>
  <c r="M403" i="16" s="1"/>
  <c r="F368" i="16"/>
  <c r="J368" i="16" s="1"/>
  <c r="M368" i="16" s="1"/>
  <c r="F372" i="16"/>
  <c r="F374" i="16" s="1"/>
  <c r="L374" i="16" s="1"/>
  <c r="M374" i="16" s="1"/>
  <c r="F369" i="16"/>
  <c r="L369" i="16" s="1"/>
  <c r="M369" i="16" s="1"/>
  <c r="F371" i="16"/>
  <c r="H371" i="16" s="1"/>
  <c r="M371" i="16" s="1"/>
  <c r="F282" i="16"/>
  <c r="J282" i="16" s="1"/>
  <c r="M282" i="16" s="1"/>
  <c r="F287" i="16"/>
  <c r="H287" i="16" s="1"/>
  <c r="M287" i="16" s="1"/>
  <c r="F283" i="16"/>
  <c r="L283" i="16" s="1"/>
  <c r="M283" i="16" s="1"/>
  <c r="F355" i="16"/>
  <c r="H355" i="16" s="1"/>
  <c r="M355" i="16" s="1"/>
  <c r="F354" i="16"/>
  <c r="L354" i="16" s="1"/>
  <c r="M354" i="16" s="1"/>
  <c r="F359" i="16"/>
  <c r="H359" i="16" s="1"/>
  <c r="M359" i="16" s="1"/>
  <c r="F353" i="16"/>
  <c r="J353" i="16" s="1"/>
  <c r="M353" i="16" s="1"/>
  <c r="F358" i="16"/>
  <c r="H358" i="16" s="1"/>
  <c r="M358" i="16" s="1"/>
  <c r="F356" i="16"/>
  <c r="H356" i="16" s="1"/>
  <c r="M356" i="16" s="1"/>
  <c r="CS130" i="4"/>
  <c r="CM130" i="4"/>
  <c r="CN130" i="4"/>
  <c r="CO130" i="4"/>
  <c r="CP130" i="4"/>
  <c r="CR130" i="4"/>
  <c r="CL130" i="4"/>
  <c r="BV130" i="4"/>
  <c r="BW130" i="4"/>
  <c r="BX130" i="4"/>
  <c r="BY130" i="4"/>
  <c r="BZ130" i="4"/>
  <c r="CA130" i="4"/>
  <c r="CB130" i="4"/>
  <c r="CC130" i="4"/>
  <c r="CD130" i="4"/>
  <c r="CE130" i="4"/>
  <c r="CF130" i="4"/>
  <c r="CH130" i="4"/>
  <c r="CI130" i="4"/>
  <c r="CJ130" i="4"/>
  <c r="BU130" i="4"/>
  <c r="BI130" i="4"/>
  <c r="BJ130" i="4"/>
  <c r="BK130" i="4"/>
  <c r="BM130" i="4"/>
  <c r="BN130" i="4"/>
  <c r="BO130" i="4"/>
  <c r="BP130" i="4"/>
  <c r="BQ130" i="4"/>
  <c r="BR130" i="4"/>
  <c r="BS130" i="4"/>
  <c r="BT130" i="4"/>
  <c r="AB130" i="4"/>
  <c r="AC130" i="4"/>
  <c r="AD130" i="4"/>
  <c r="AE130" i="4"/>
  <c r="AF130" i="4"/>
  <c r="AG130" i="4"/>
  <c r="AH130" i="4"/>
  <c r="AI130" i="4"/>
  <c r="AK130" i="4"/>
  <c r="AL130" i="4"/>
  <c r="AM130" i="4"/>
  <c r="AN130" i="4"/>
  <c r="AO130" i="4"/>
  <c r="AP130" i="4"/>
  <c r="AQ130" i="4"/>
  <c r="AR130" i="4"/>
  <c r="AS130" i="4"/>
  <c r="AT130" i="4"/>
  <c r="AV130" i="4"/>
  <c r="AW130" i="4"/>
  <c r="AX130" i="4"/>
  <c r="AY130" i="4"/>
  <c r="AZ130" i="4"/>
  <c r="BA130" i="4"/>
  <c r="BB130" i="4"/>
  <c r="BC130" i="4"/>
  <c r="K130" i="4"/>
  <c r="L130" i="4"/>
  <c r="M130" i="4"/>
  <c r="N130" i="4"/>
  <c r="P130" i="4"/>
  <c r="Q130" i="4"/>
  <c r="R130" i="4"/>
  <c r="T130" i="4"/>
  <c r="U130" i="4"/>
  <c r="V130" i="4"/>
  <c r="W130" i="4"/>
  <c r="Y130" i="4"/>
  <c r="J130" i="4"/>
  <c r="CS170" i="4"/>
  <c r="CM170" i="4"/>
  <c r="CN170" i="4"/>
  <c r="CO170" i="4"/>
  <c r="CP170" i="4"/>
  <c r="CQ170" i="4"/>
  <c r="CR170" i="4"/>
  <c r="CL170" i="4"/>
  <c r="BV170" i="4"/>
  <c r="BW170" i="4"/>
  <c r="BX170" i="4"/>
  <c r="BY170" i="4"/>
  <c r="BZ170" i="4"/>
  <c r="CA170" i="4"/>
  <c r="CB170" i="4"/>
  <c r="CG170" i="4"/>
  <c r="CH170" i="4"/>
  <c r="CI170" i="4"/>
  <c r="CJ170" i="4"/>
  <c r="BU170" i="4"/>
  <c r="BI170" i="4"/>
  <c r="BJ170" i="4"/>
  <c r="BK170" i="4"/>
  <c r="BM170" i="4"/>
  <c r="BN170" i="4"/>
  <c r="BO170" i="4"/>
  <c r="BP170" i="4"/>
  <c r="BQ170" i="4"/>
  <c r="F238" i="16" s="1"/>
  <c r="F239" i="16" s="1"/>
  <c r="J239" i="16" s="1"/>
  <c r="M239" i="16" s="1"/>
  <c r="BR170" i="4"/>
  <c r="BS170" i="4"/>
  <c r="BT170" i="4"/>
  <c r="AB170" i="4"/>
  <c r="AC170" i="4"/>
  <c r="AD170" i="4"/>
  <c r="AE170" i="4"/>
  <c r="AF170" i="4"/>
  <c r="AG170" i="4"/>
  <c r="AH170" i="4"/>
  <c r="AJ170" i="4"/>
  <c r="AK170" i="4"/>
  <c r="AM170" i="4"/>
  <c r="AN170" i="4"/>
  <c r="AO170" i="4"/>
  <c r="AP170" i="4"/>
  <c r="AQ170" i="4"/>
  <c r="AR170" i="4"/>
  <c r="AS170" i="4"/>
  <c r="AT170" i="4"/>
  <c r="AU170" i="4"/>
  <c r="AV170" i="4"/>
  <c r="AW170" i="4"/>
  <c r="AX170" i="4"/>
  <c r="AY170" i="4"/>
  <c r="AZ170" i="4"/>
  <c r="BA170" i="4"/>
  <c r="BB170" i="4"/>
  <c r="BC170" i="4"/>
  <c r="BD170" i="4"/>
  <c r="AA170" i="4"/>
  <c r="K170" i="4"/>
  <c r="L170" i="4"/>
  <c r="O170" i="4"/>
  <c r="P170" i="4"/>
  <c r="Q170" i="4"/>
  <c r="R170" i="4"/>
  <c r="S170" i="4"/>
  <c r="T170" i="4"/>
  <c r="U170" i="4"/>
  <c r="V170" i="4"/>
  <c r="W170" i="4"/>
  <c r="X170" i="4"/>
  <c r="Y170" i="4"/>
  <c r="J170" i="4"/>
  <c r="CT128" i="4"/>
  <c r="CK128" i="4"/>
  <c r="CT127" i="4"/>
  <c r="CK127" i="4"/>
  <c r="CQ126" i="4"/>
  <c r="CQ130" i="4" s="1"/>
  <c r="CG126" i="4"/>
  <c r="CK126" i="4" s="1"/>
  <c r="BE126" i="4"/>
  <c r="BE130" i="4" s="1"/>
  <c r="BD126" i="4"/>
  <c r="BD130" i="4" s="1"/>
  <c r="AU126" i="4"/>
  <c r="AU130" i="4" s="1"/>
  <c r="AJ126" i="4"/>
  <c r="AJ130" i="4" s="1"/>
  <c r="AA126" i="4"/>
  <c r="AA130" i="4" s="1"/>
  <c r="Z126" i="4"/>
  <c r="Z130" i="4" s="1"/>
  <c r="X126" i="4"/>
  <c r="X130" i="4" s="1"/>
  <c r="S126" i="4"/>
  <c r="S130" i="4" s="1"/>
  <c r="O126" i="4"/>
  <c r="O130" i="4" s="1"/>
  <c r="I126" i="4"/>
  <c r="I130" i="4" s="1"/>
  <c r="E126" i="4"/>
  <c r="D126" i="4"/>
  <c r="CT144" i="4"/>
  <c r="CK144" i="4"/>
  <c r="CT143" i="4"/>
  <c r="CK143" i="4"/>
  <c r="AL143" i="4"/>
  <c r="AI143" i="4"/>
  <c r="N143" i="4"/>
  <c r="M143" i="4"/>
  <c r="E142" i="4"/>
  <c r="D142" i="4"/>
  <c r="CT141" i="4"/>
  <c r="CF141" i="4"/>
  <c r="CK141" i="4" s="1"/>
  <c r="BE141" i="4"/>
  <c r="AL141" i="4"/>
  <c r="AI141" i="4"/>
  <c r="Z141" i="4"/>
  <c r="N141" i="4"/>
  <c r="M141" i="4"/>
  <c r="I141" i="4"/>
  <c r="E141" i="4"/>
  <c r="D141" i="4"/>
  <c r="CT140" i="4"/>
  <c r="CF140" i="4"/>
  <c r="CE140" i="4"/>
  <c r="CE170" i="4" s="1"/>
  <c r="CD140" i="4"/>
  <c r="CC140" i="4"/>
  <c r="BE140" i="4"/>
  <c r="AL140" i="4"/>
  <c r="AI140" i="4"/>
  <c r="Z140" i="4"/>
  <c r="N140" i="4"/>
  <c r="M140" i="4"/>
  <c r="I140" i="4"/>
  <c r="E140" i="4"/>
  <c r="D140" i="4"/>
  <c r="E139" i="4"/>
  <c r="D139" i="4"/>
  <c r="CT138" i="4"/>
  <c r="CD138" i="4"/>
  <c r="CC138" i="4"/>
  <c r="BE138" i="4"/>
  <c r="AL138" i="4"/>
  <c r="AI138" i="4"/>
  <c r="Z138" i="4"/>
  <c r="N138" i="4"/>
  <c r="M138" i="4"/>
  <c r="I138" i="4"/>
  <c r="E138" i="4"/>
  <c r="D138" i="4"/>
  <c r="CT137" i="4"/>
  <c r="CF137" i="4"/>
  <c r="CK137" i="4" s="1"/>
  <c r="BE137" i="4"/>
  <c r="AL137" i="4"/>
  <c r="AI137" i="4"/>
  <c r="Z137" i="4"/>
  <c r="N137" i="4"/>
  <c r="M137" i="4"/>
  <c r="I137" i="4"/>
  <c r="E137" i="4"/>
  <c r="D137" i="4"/>
  <c r="M197" i="20" l="1"/>
  <c r="D15" i="8"/>
  <c r="F365" i="16"/>
  <c r="H365" i="16" s="1"/>
  <c r="M365" i="16" s="1"/>
  <c r="F366" i="16"/>
  <c r="H366" i="16" s="1"/>
  <c r="M366" i="16" s="1"/>
  <c r="F364" i="16"/>
  <c r="H364" i="16" s="1"/>
  <c r="M364" i="16" s="1"/>
  <c r="F363" i="16"/>
  <c r="L363" i="16" s="1"/>
  <c r="M363" i="16" s="1"/>
  <c r="M135" i="17"/>
  <c r="F376" i="16"/>
  <c r="H376" i="16" s="1"/>
  <c r="M376" i="16" s="1"/>
  <c r="F373" i="16"/>
  <c r="J373" i="16" s="1"/>
  <c r="M373" i="16" s="1"/>
  <c r="F377" i="16"/>
  <c r="H377" i="16" s="1"/>
  <c r="M377" i="16" s="1"/>
  <c r="F375" i="16"/>
  <c r="H375" i="16" s="1"/>
  <c r="M375" i="16" s="1"/>
  <c r="CK140" i="4"/>
  <c r="BF140" i="4" s="1"/>
  <c r="CK138" i="4"/>
  <c r="BF138" i="4" s="1"/>
  <c r="BF127" i="4"/>
  <c r="BG127" i="4" s="1"/>
  <c r="I170" i="4"/>
  <c r="AI170" i="4"/>
  <c r="F261" i="16" s="1"/>
  <c r="M170" i="4"/>
  <c r="F326" i="16" s="1"/>
  <c r="BE170" i="4"/>
  <c r="Z170" i="4"/>
  <c r="CD170" i="4"/>
  <c r="AL170" i="4"/>
  <c r="N170" i="4"/>
  <c r="BF137" i="4"/>
  <c r="BG137" i="4" s="1"/>
  <c r="BF141" i="4"/>
  <c r="BG141" i="4" s="1"/>
  <c r="CT126" i="4"/>
  <c r="BF126" i="4" s="1"/>
  <c r="BF144" i="4"/>
  <c r="BL144" i="4" s="1"/>
  <c r="BF128" i="4"/>
  <c r="BH128" i="4" s="1"/>
  <c r="CC170" i="4"/>
  <c r="CG130" i="4"/>
  <c r="CF170" i="4"/>
  <c r="BF143" i="4"/>
  <c r="BH143" i="4" s="1"/>
  <c r="M136" i="17" l="1"/>
  <c r="M137" i="17" s="1"/>
  <c r="F333" i="16"/>
  <c r="F332" i="16"/>
  <c r="H332" i="16" s="1"/>
  <c r="M332" i="16" s="1"/>
  <c r="F329" i="16"/>
  <c r="L329" i="16" s="1"/>
  <c r="M329" i="16" s="1"/>
  <c r="F327" i="16"/>
  <c r="J327" i="16" s="1"/>
  <c r="M327" i="16" s="1"/>
  <c r="F328" i="16"/>
  <c r="L328" i="16" s="1"/>
  <c r="M328" i="16" s="1"/>
  <c r="F330" i="16"/>
  <c r="H330" i="16" s="1"/>
  <c r="M330" i="16" s="1"/>
  <c r="F331" i="16"/>
  <c r="H331" i="16" s="1"/>
  <c r="M331" i="16" s="1"/>
  <c r="F274" i="16"/>
  <c r="H274" i="16" s="1"/>
  <c r="M274" i="16" s="1"/>
  <c r="F276" i="16"/>
  <c r="F267" i="16"/>
  <c r="F262" i="16"/>
  <c r="BH137" i="4"/>
  <c r="BG144" i="4"/>
  <c r="BL128" i="4"/>
  <c r="BH138" i="4"/>
  <c r="BL138" i="4"/>
  <c r="BH127" i="4"/>
  <c r="BL127" i="4"/>
  <c r="BF130" i="4"/>
  <c r="BG126" i="4"/>
  <c r="BG143" i="4"/>
  <c r="BL143" i="4"/>
  <c r="BG128" i="4"/>
  <c r="BL137" i="4"/>
  <c r="BH141" i="4"/>
  <c r="BL141" i="4"/>
  <c r="BG138" i="4"/>
  <c r="BH126" i="4"/>
  <c r="BF170" i="4"/>
  <c r="BH144" i="4"/>
  <c r="BL126" i="4"/>
  <c r="BG140" i="4"/>
  <c r="BL140" i="4"/>
  <c r="BH140" i="4"/>
  <c r="F201" i="18"/>
  <c r="F190" i="18"/>
  <c r="F70" i="18"/>
  <c r="F19" i="18"/>
  <c r="F12" i="18"/>
  <c r="F84" i="6"/>
  <c r="F99" i="6"/>
  <c r="F29" i="6"/>
  <c r="F26" i="6" s="1"/>
  <c r="F18" i="6"/>
  <c r="J218" i="16"/>
  <c r="M218" i="16" s="1"/>
  <c r="D12" i="8" l="1"/>
  <c r="F264" i="16"/>
  <c r="L264" i="16" s="1"/>
  <c r="M264" i="16" s="1"/>
  <c r="F263" i="16"/>
  <c r="J263" i="16" s="1"/>
  <c r="M263" i="16" s="1"/>
  <c r="F265" i="16"/>
  <c r="H265" i="16" s="1"/>
  <c r="F266" i="16"/>
  <c r="H266" i="16" s="1"/>
  <c r="M266" i="16" s="1"/>
  <c r="F269" i="16"/>
  <c r="L269" i="16" s="1"/>
  <c r="M269" i="16" s="1"/>
  <c r="F271" i="16"/>
  <c r="H271" i="16" s="1"/>
  <c r="M271" i="16" s="1"/>
  <c r="F273" i="16"/>
  <c r="H273" i="16" s="1"/>
  <c r="M273" i="16" s="1"/>
  <c r="F268" i="16"/>
  <c r="J268" i="16" s="1"/>
  <c r="M268" i="16" s="1"/>
  <c r="F270" i="16"/>
  <c r="H270" i="16" s="1"/>
  <c r="M270" i="16" s="1"/>
  <c r="F272" i="16"/>
  <c r="H272" i="16" s="1"/>
  <c r="M272" i="16" s="1"/>
  <c r="F277" i="16"/>
  <c r="J277" i="16" s="1"/>
  <c r="M277" i="16" s="1"/>
  <c r="F280" i="16"/>
  <c r="H280" i="16" s="1"/>
  <c r="M280" i="16" s="1"/>
  <c r="F279" i="16"/>
  <c r="H279" i="16" s="1"/>
  <c r="M279" i="16" s="1"/>
  <c r="F278" i="16"/>
  <c r="L278" i="16" s="1"/>
  <c r="M278" i="16" s="1"/>
  <c r="F338" i="16"/>
  <c r="H338" i="16" s="1"/>
  <c r="M338" i="16" s="1"/>
  <c r="F334" i="16"/>
  <c r="J334" i="16" s="1"/>
  <c r="M334" i="16" s="1"/>
  <c r="F336" i="16"/>
  <c r="H336" i="16" s="1"/>
  <c r="M336" i="16" s="1"/>
  <c r="F335" i="16"/>
  <c r="L335" i="16" s="1"/>
  <c r="M335" i="16" s="1"/>
  <c r="F337" i="16"/>
  <c r="H337" i="16" s="1"/>
  <c r="M337" i="16" s="1"/>
  <c r="F339" i="16"/>
  <c r="H339" i="16" s="1"/>
  <c r="M339" i="16" s="1"/>
  <c r="BL130" i="4"/>
  <c r="BH130" i="4"/>
  <c r="BG130" i="4"/>
  <c r="BG170" i="4"/>
  <c r="F240" i="16" s="1"/>
  <c r="BH170" i="4"/>
  <c r="F319" i="16" s="1"/>
  <c r="BL170" i="4"/>
  <c r="M265" i="16" l="1"/>
  <c r="F325" i="16"/>
  <c r="H325" i="16" s="1"/>
  <c r="M325" i="16" s="1"/>
  <c r="F321" i="16"/>
  <c r="L321" i="16" s="1"/>
  <c r="M321" i="16" s="1"/>
  <c r="F323" i="16"/>
  <c r="H323" i="16" s="1"/>
  <c r="M323" i="16" s="1"/>
  <c r="F324" i="16"/>
  <c r="H324" i="16" s="1"/>
  <c r="M324" i="16" s="1"/>
  <c r="F322" i="16"/>
  <c r="L322" i="16" s="1"/>
  <c r="M322" i="16" s="1"/>
  <c r="F320" i="16"/>
  <c r="J320" i="16" s="1"/>
  <c r="M320" i="16" s="1"/>
  <c r="F242" i="16"/>
  <c r="L242" i="16" s="1"/>
  <c r="F241" i="16"/>
  <c r="J241" i="16" s="1"/>
  <c r="M241" i="16" l="1"/>
  <c r="M242" i="16"/>
  <c r="H197" i="6"/>
  <c r="M197" i="6" s="1"/>
  <c r="F194" i="6"/>
  <c r="F198" i="6" s="1"/>
  <c r="H198" i="6" s="1"/>
  <c r="M198" i="6" s="1"/>
  <c r="F178" i="6"/>
  <c r="H178" i="6" s="1"/>
  <c r="M178" i="6" s="1"/>
  <c r="F204" i="6"/>
  <c r="H204" i="6" s="1"/>
  <c r="M204" i="6" s="1"/>
  <c r="F203" i="6"/>
  <c r="H203" i="6" s="1"/>
  <c r="M203" i="6" s="1"/>
  <c r="F201" i="6"/>
  <c r="H201" i="6" s="1"/>
  <c r="M201" i="6" s="1"/>
  <c r="F200" i="6"/>
  <c r="J200" i="6" s="1"/>
  <c r="M200" i="6" s="1"/>
  <c r="F180" i="6"/>
  <c r="J180" i="6" s="1"/>
  <c r="M180" i="6" s="1"/>
  <c r="E175" i="6"/>
  <c r="F165" i="6"/>
  <c r="J165" i="6" s="1"/>
  <c r="F196" i="6" l="1"/>
  <c r="L196" i="6" s="1"/>
  <c r="M196" i="6" s="1"/>
  <c r="F195" i="6"/>
  <c r="J195" i="6" s="1"/>
  <c r="M195" i="6" s="1"/>
  <c r="F183" i="6"/>
  <c r="H183" i="6" s="1"/>
  <c r="M183" i="6" s="1"/>
  <c r="F202" i="6"/>
  <c r="H202" i="6" s="1"/>
  <c r="M202" i="6" s="1"/>
  <c r="H172" i="6"/>
  <c r="M172" i="6" s="1"/>
  <c r="F182" i="6"/>
  <c r="H182" i="6" s="1"/>
  <c r="M182" i="6" s="1"/>
  <c r="F177" i="6"/>
  <c r="H177" i="6" s="1"/>
  <c r="M177" i="6" s="1"/>
  <c r="L186" i="6"/>
  <c r="M186" i="6" s="1"/>
  <c r="F185" i="6"/>
  <c r="J185" i="6" s="1"/>
  <c r="M185" i="6" s="1"/>
  <c r="F171" i="6"/>
  <c r="L171" i="6" s="1"/>
  <c r="M171" i="6" s="1"/>
  <c r="F176" i="6"/>
  <c r="H176" i="6" s="1"/>
  <c r="M176" i="6" s="1"/>
  <c r="F168" i="6"/>
  <c r="J168" i="6" s="1"/>
  <c r="M168" i="6" s="1"/>
  <c r="H174" i="6"/>
  <c r="M174" i="6" s="1"/>
  <c r="F175" i="6"/>
  <c r="H175" i="6" s="1"/>
  <c r="M175" i="6" s="1"/>
  <c r="F170" i="6"/>
  <c r="J170" i="6" s="1"/>
  <c r="M170" i="6" s="1"/>
  <c r="F181" i="6"/>
  <c r="L181" i="6" s="1"/>
  <c r="M181" i="6" s="1"/>
  <c r="H173" i="6"/>
  <c r="M173" i="6" s="1"/>
  <c r="H165" i="6"/>
  <c r="M165" i="6" s="1"/>
  <c r="F160" i="6" l="1"/>
  <c r="F161" i="6" s="1"/>
  <c r="J161" i="6" s="1"/>
  <c r="M161" i="6" s="1"/>
  <c r="F158" i="6"/>
  <c r="H158" i="6" s="1"/>
  <c r="M158" i="6" s="1"/>
  <c r="F152" i="6"/>
  <c r="F159" i="6" s="1"/>
  <c r="H159" i="6" s="1"/>
  <c r="M159" i="6" s="1"/>
  <c r="E150" i="6"/>
  <c r="F147" i="6"/>
  <c r="F149" i="6" s="1"/>
  <c r="L149" i="6" s="1"/>
  <c r="M149" i="6" s="1"/>
  <c r="F142" i="6"/>
  <c r="F143" i="6" s="1"/>
  <c r="J143" i="6" s="1"/>
  <c r="M143" i="6" l="1"/>
  <c r="F155" i="6"/>
  <c r="H155" i="6" s="1"/>
  <c r="F156" i="6"/>
  <c r="H156" i="6" s="1"/>
  <c r="M156" i="6" s="1"/>
  <c r="F163" i="6"/>
  <c r="H163" i="6" s="1"/>
  <c r="M163" i="6" s="1"/>
  <c r="F154" i="6"/>
  <c r="L154" i="6" s="1"/>
  <c r="M154" i="6" s="1"/>
  <c r="F164" i="6"/>
  <c r="H164" i="6" s="1"/>
  <c r="M164" i="6" s="1"/>
  <c r="F150" i="6"/>
  <c r="H150" i="6" s="1"/>
  <c r="M150" i="6" s="1"/>
  <c r="F144" i="6"/>
  <c r="F148" i="6"/>
  <c r="J148" i="6" s="1"/>
  <c r="M148" i="6" s="1"/>
  <c r="F162" i="6"/>
  <c r="L162" i="6" s="1"/>
  <c r="M162" i="6" s="1"/>
  <c r="F151" i="6"/>
  <c r="H151" i="6" s="1"/>
  <c r="M151" i="6" s="1"/>
  <c r="F153" i="6"/>
  <c r="J153" i="6" s="1"/>
  <c r="M153" i="6" s="1"/>
  <c r="F157" i="6"/>
  <c r="H157" i="6" s="1"/>
  <c r="M157" i="6" s="1"/>
  <c r="M155" i="6" l="1"/>
  <c r="H206" i="6"/>
  <c r="F146" i="6"/>
  <c r="L146" i="6" s="1"/>
  <c r="F145" i="6"/>
  <c r="J145" i="6" s="1"/>
  <c r="M146" i="6" l="1"/>
  <c r="L206" i="6"/>
  <c r="M145" i="6"/>
  <c r="J206" i="6"/>
  <c r="M206" i="6" l="1"/>
  <c r="N38" i="4"/>
  <c r="N40" i="4"/>
  <c r="N39" i="4"/>
  <c r="D228" i="4"/>
  <c r="F301" i="16" s="1"/>
  <c r="D227" i="4"/>
  <c r="F291" i="16" s="1"/>
  <c r="C227" i="4"/>
  <c r="F151" i="18"/>
  <c r="H141" i="18"/>
  <c r="M141" i="18" s="1"/>
  <c r="F139" i="18"/>
  <c r="F140" i="18" s="1"/>
  <c r="J140" i="18" s="1"/>
  <c r="M140" i="18" s="1"/>
  <c r="F103" i="18"/>
  <c r="H106" i="18"/>
  <c r="M106" i="18" s="1"/>
  <c r="F98" i="18"/>
  <c r="H205" i="18"/>
  <c r="M205" i="18" s="1"/>
  <c r="H62" i="18"/>
  <c r="M62" i="18" s="1"/>
  <c r="H58" i="18"/>
  <c r="M58" i="18" s="1"/>
  <c r="F48" i="18"/>
  <c r="F49" i="18" s="1"/>
  <c r="J49" i="18" s="1"/>
  <c r="M49" i="18" s="1"/>
  <c r="M52" i="18"/>
  <c r="H51" i="18"/>
  <c r="M51" i="18" s="1"/>
  <c r="H24" i="18"/>
  <c r="M24" i="18" s="1"/>
  <c r="H114" i="6"/>
  <c r="M114" i="6" s="1"/>
  <c r="F40" i="6"/>
  <c r="F296" i="16" l="1"/>
  <c r="H296" i="16" s="1"/>
  <c r="M296" i="16" s="1"/>
  <c r="F294" i="16"/>
  <c r="F295" i="16" s="1"/>
  <c r="H295" i="16" s="1"/>
  <c r="F293" i="16"/>
  <c r="L293" i="16" s="1"/>
  <c r="M293" i="16" s="1"/>
  <c r="F297" i="16"/>
  <c r="H297" i="16" s="1"/>
  <c r="M297" i="16" s="1"/>
  <c r="F292" i="16"/>
  <c r="J292" i="16" s="1"/>
  <c r="M292" i="16" s="1"/>
  <c r="H301" i="16"/>
  <c r="M301" i="16" s="1"/>
  <c r="F298" i="16"/>
  <c r="N111" i="4"/>
  <c r="F142" i="18"/>
  <c r="H142" i="18" s="1"/>
  <c r="M142" i="18" s="1"/>
  <c r="F50" i="18"/>
  <c r="L50" i="18" s="1"/>
  <c r="M50" i="18" s="1"/>
  <c r="F52" i="18"/>
  <c r="H38" i="17"/>
  <c r="M38" i="17" s="1"/>
  <c r="H37" i="17"/>
  <c r="M37" i="17" s="1"/>
  <c r="H34" i="17"/>
  <c r="M34" i="17" s="1"/>
  <c r="H35" i="17"/>
  <c r="M35" i="17" s="1"/>
  <c r="F299" i="16" l="1"/>
  <c r="J299" i="16" s="1"/>
  <c r="M299" i="16" s="1"/>
  <c r="F300" i="16"/>
  <c r="L300" i="16" s="1"/>
  <c r="M300" i="16" s="1"/>
  <c r="M295" i="16"/>
  <c r="H36" i="17"/>
  <c r="M36" i="17" s="1"/>
  <c r="H30" i="17"/>
  <c r="M30" i="17" s="1"/>
  <c r="H24" i="17" l="1"/>
  <c r="M24" i="17" s="1"/>
  <c r="H23" i="17"/>
  <c r="M23" i="17" s="1"/>
  <c r="E174" i="4"/>
  <c r="F246" i="16"/>
  <c r="CI132" i="4"/>
  <c r="CR132" i="4"/>
  <c r="F48" i="16"/>
  <c r="F49" i="16" s="1"/>
  <c r="J49" i="16" s="1"/>
  <c r="M49" i="16" s="1"/>
  <c r="F14" i="16"/>
  <c r="F12" i="16"/>
  <c r="F20" i="16"/>
  <c r="F248" i="16" l="1"/>
  <c r="L248" i="16" s="1"/>
  <c r="M248" i="16" s="1"/>
  <c r="F247" i="16"/>
  <c r="J247" i="16" s="1"/>
  <c r="M247" i="16" s="1"/>
  <c r="F243" i="16"/>
  <c r="F245" i="16" l="1"/>
  <c r="L245" i="16" s="1"/>
  <c r="F244" i="16"/>
  <c r="J244" i="16" s="1"/>
  <c r="J50" i="16"/>
  <c r="H50" i="16"/>
  <c r="F47" i="16"/>
  <c r="J47" i="16" s="1"/>
  <c r="M47" i="16" s="1"/>
  <c r="F43" i="16"/>
  <c r="J43" i="16" s="1"/>
  <c r="M43" i="16" s="1"/>
  <c r="E29" i="16"/>
  <c r="E28" i="16"/>
  <c r="E26" i="16"/>
  <c r="F23" i="16"/>
  <c r="H23" i="16" s="1"/>
  <c r="F22" i="16"/>
  <c r="L22" i="16" s="1"/>
  <c r="M22" i="16" s="1"/>
  <c r="F21" i="16"/>
  <c r="J21" i="16" s="1"/>
  <c r="M21" i="16" s="1"/>
  <c r="E19" i="16"/>
  <c r="E18" i="16"/>
  <c r="F13" i="16"/>
  <c r="J13" i="16" s="1"/>
  <c r="M13" i="16" l="1"/>
  <c r="M23" i="16"/>
  <c r="M245" i="16"/>
  <c r="M244" i="16"/>
  <c r="M50" i="16"/>
  <c r="F16" i="16"/>
  <c r="L16" i="16" s="1"/>
  <c r="F15" i="16"/>
  <c r="J15" i="16" s="1"/>
  <c r="M15" i="16" s="1"/>
  <c r="M16" i="16" l="1"/>
  <c r="D102" i="4"/>
  <c r="D103" i="4"/>
  <c r="D100" i="4"/>
  <c r="D101" i="4"/>
  <c r="P289" i="4" l="1"/>
  <c r="P290" i="4"/>
  <c r="G290" i="4"/>
  <c r="H290" i="4" s="1"/>
  <c r="G289" i="4"/>
  <c r="O289" i="4" s="1"/>
  <c r="E290" i="4"/>
  <c r="M290" i="4" s="1"/>
  <c r="E289" i="4"/>
  <c r="M289" i="4" s="1"/>
  <c r="P288" i="4"/>
  <c r="G288" i="4"/>
  <c r="H288" i="4" s="1"/>
  <c r="E288" i="4"/>
  <c r="M288" i="4" s="1"/>
  <c r="BE39" i="4"/>
  <c r="CQ7" i="4"/>
  <c r="CG7" i="4"/>
  <c r="L304" i="4"/>
  <c r="L309" i="4"/>
  <c r="O309" i="4" s="1"/>
  <c r="Q309" i="4"/>
  <c r="R309" i="4"/>
  <c r="P279" i="4"/>
  <c r="J304" i="4"/>
  <c r="G304" i="4"/>
  <c r="H304" i="4" s="1"/>
  <c r="E304" i="4"/>
  <c r="F304" i="4" s="1"/>
  <c r="G279" i="4"/>
  <c r="O279" i="4" s="1"/>
  <c r="E279" i="4"/>
  <c r="M279" i="4" s="1"/>
  <c r="R290" i="4" l="1"/>
  <c r="F289" i="4"/>
  <c r="O290" i="4"/>
  <c r="Q289" i="4"/>
  <c r="Q279" i="4"/>
  <c r="F288" i="4"/>
  <c r="O288" i="4"/>
  <c r="F290" i="4"/>
  <c r="R288" i="4"/>
  <c r="H289" i="4"/>
  <c r="Q290" i="4"/>
  <c r="R289" i="4"/>
  <c r="Q288" i="4"/>
  <c r="M309" i="4"/>
  <c r="R279" i="4"/>
  <c r="Q304" i="4"/>
  <c r="R304" i="4"/>
  <c r="H279" i="4"/>
  <c r="M304" i="4"/>
  <c r="F279" i="4"/>
  <c r="O304" i="4"/>
  <c r="CT36" i="4"/>
  <c r="CL7" i="4"/>
  <c r="CL34" i="4" s="1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U36" i="4"/>
  <c r="I36" i="4"/>
  <c r="BC38" i="4"/>
  <c r="AX38" i="4"/>
  <c r="BD29" i="4"/>
  <c r="BD30" i="4"/>
  <c r="BD31" i="4"/>
  <c r="BD32" i="4"/>
  <c r="BD33" i="4"/>
  <c r="BD34" i="4"/>
  <c r="BD35" i="4"/>
  <c r="BD25" i="4"/>
  <c r="BD26" i="4"/>
  <c r="BD27" i="4"/>
  <c r="BC37" i="4"/>
  <c r="BC36" i="4"/>
  <c r="BC28" i="4"/>
  <c r="AZ36" i="4"/>
  <c r="AJ36" i="4"/>
  <c r="AA36" i="4"/>
  <c r="Z36" i="4"/>
  <c r="D36" i="4"/>
  <c r="AX37" i="4"/>
  <c r="AX28" i="4"/>
  <c r="BA40" i="4"/>
  <c r="AU25" i="4"/>
  <c r="AU26" i="4"/>
  <c r="AU27" i="4"/>
  <c r="AU29" i="4"/>
  <c r="AU30" i="4"/>
  <c r="AU31" i="4"/>
  <c r="AU32" i="4"/>
  <c r="AU33" i="4"/>
  <c r="AU34" i="4"/>
  <c r="AU35" i="4"/>
  <c r="AA38" i="4"/>
  <c r="AJ40" i="4"/>
  <c r="AJ38" i="4"/>
  <c r="AJ37" i="4"/>
  <c r="AJ35" i="4"/>
  <c r="AJ34" i="4"/>
  <c r="AJ33" i="4"/>
  <c r="AJ32" i="4"/>
  <c r="AJ31" i="4"/>
  <c r="AJ30" i="4"/>
  <c r="AJ29" i="4"/>
  <c r="AJ28" i="4"/>
  <c r="AJ27" i="4"/>
  <c r="AJ26" i="4"/>
  <c r="AJ25" i="4"/>
  <c r="AA40" i="4"/>
  <c r="AA37" i="4"/>
  <c r="AA35" i="4"/>
  <c r="AA34" i="4"/>
  <c r="AA33" i="4"/>
  <c r="AA32" i="4"/>
  <c r="AA31" i="4"/>
  <c r="AA30" i="4"/>
  <c r="AA29" i="4"/>
  <c r="AA28" i="4"/>
  <c r="AA27" i="4"/>
  <c r="AA26" i="4"/>
  <c r="AA25" i="4"/>
  <c r="Z40" i="4"/>
  <c r="Z38" i="4"/>
  <c r="Z37" i="4"/>
  <c r="Z35" i="4"/>
  <c r="Z34" i="4"/>
  <c r="Z33" i="4"/>
  <c r="Z32" i="4"/>
  <c r="Z31" i="4"/>
  <c r="Z30" i="4"/>
  <c r="Z29" i="4"/>
  <c r="Z28" i="4"/>
  <c r="Z27" i="4"/>
  <c r="Z26" i="4"/>
  <c r="Z25" i="4"/>
  <c r="O37" i="4"/>
  <c r="O25" i="4"/>
  <c r="O26" i="4"/>
  <c r="O27" i="4"/>
  <c r="O28" i="4"/>
  <c r="O29" i="4"/>
  <c r="O30" i="4"/>
  <c r="O31" i="4"/>
  <c r="O32" i="4"/>
  <c r="O33" i="4"/>
  <c r="O34" i="4"/>
  <c r="O35" i="4"/>
  <c r="X36" i="4"/>
  <c r="X35" i="4"/>
  <c r="X34" i="4"/>
  <c r="X33" i="4"/>
  <c r="X32" i="4"/>
  <c r="X31" i="4"/>
  <c r="X30" i="4"/>
  <c r="X29" i="4"/>
  <c r="X28" i="4"/>
  <c r="X27" i="4"/>
  <c r="X26" i="4"/>
  <c r="X25" i="4"/>
  <c r="M38" i="4"/>
  <c r="M39" i="4"/>
  <c r="D39" i="4"/>
  <c r="M40" i="4"/>
  <c r="R37" i="4"/>
  <c r="S29" i="4"/>
  <c r="S30" i="4"/>
  <c r="S31" i="4"/>
  <c r="S32" i="4"/>
  <c r="S33" i="4"/>
  <c r="S34" i="4"/>
  <c r="S35" i="4"/>
  <c r="S25" i="4"/>
  <c r="S26" i="4"/>
  <c r="S27" i="4"/>
  <c r="S28" i="4"/>
  <c r="I40" i="4"/>
  <c r="I38" i="4"/>
  <c r="I37" i="4"/>
  <c r="I35" i="4"/>
  <c r="I34" i="4"/>
  <c r="I33" i="4"/>
  <c r="I32" i="4"/>
  <c r="I31" i="4"/>
  <c r="I30" i="4"/>
  <c r="I29" i="4"/>
  <c r="I28" i="4"/>
  <c r="I27" i="4"/>
  <c r="I26" i="4"/>
  <c r="I25" i="4"/>
  <c r="CL24" i="4" l="1"/>
  <c r="CL26" i="4"/>
  <c r="CL21" i="4"/>
  <c r="CL22" i="4"/>
  <c r="CL32" i="4"/>
  <c r="CL23" i="4"/>
  <c r="CL31" i="4"/>
  <c r="CL35" i="4"/>
  <c r="CL25" i="4"/>
  <c r="CL27" i="4"/>
  <c r="CL29" i="4"/>
  <c r="CL33" i="4"/>
  <c r="CL30" i="4"/>
  <c r="J298" i="4" l="1"/>
  <c r="G284" i="4" l="1"/>
  <c r="H284" i="4" s="1"/>
  <c r="G283" i="4"/>
  <c r="H283" i="4" s="1"/>
  <c r="CI172" i="4"/>
  <c r="F235" i="16" s="1"/>
  <c r="F255" i="16" s="1"/>
  <c r="CE7" i="4"/>
  <c r="CE111" i="4" s="1"/>
  <c r="CD7" i="4"/>
  <c r="CC7" i="4"/>
  <c r="P282" i="4"/>
  <c r="P283" i="4"/>
  <c r="P284" i="4"/>
  <c r="G282" i="4"/>
  <c r="O282" i="4" s="1"/>
  <c r="E284" i="4"/>
  <c r="F284" i="4" s="1"/>
  <c r="E283" i="4"/>
  <c r="M283" i="4" s="1"/>
  <c r="E282" i="4"/>
  <c r="F282" i="4" s="1"/>
  <c r="CH111" i="4"/>
  <c r="BZ7" i="4"/>
  <c r="D40" i="4"/>
  <c r="E39" i="4"/>
  <c r="E36" i="4"/>
  <c r="E38" i="4"/>
  <c r="D38" i="4"/>
  <c r="F236" i="16" l="1"/>
  <c r="J236" i="16" s="1"/>
  <c r="F237" i="16"/>
  <c r="L237" i="16" s="1"/>
  <c r="F253" i="16"/>
  <c r="F254" i="16" s="1"/>
  <c r="J254" i="16" s="1"/>
  <c r="M254" i="16" s="1"/>
  <c r="CD111" i="4"/>
  <c r="O283" i="4"/>
  <c r="R284" i="4"/>
  <c r="O284" i="4"/>
  <c r="M282" i="4"/>
  <c r="BZ38" i="4"/>
  <c r="BZ36" i="4"/>
  <c r="H282" i="4"/>
  <c r="M284" i="4"/>
  <c r="R282" i="4"/>
  <c r="Q283" i="4"/>
  <c r="F283" i="4"/>
  <c r="F306" i="16" s="1"/>
  <c r="Q284" i="4"/>
  <c r="Q282" i="4"/>
  <c r="R283" i="4"/>
  <c r="E118" i="4"/>
  <c r="F44" i="16" s="1"/>
  <c r="F45" i="16" s="1"/>
  <c r="J45" i="16" s="1"/>
  <c r="M45" i="16" s="1"/>
  <c r="G275" i="4"/>
  <c r="O275" i="4" s="1"/>
  <c r="G274" i="4"/>
  <c r="E275" i="4"/>
  <c r="F275" i="4" s="1"/>
  <c r="P275" i="4"/>
  <c r="C218" i="4"/>
  <c r="D218" i="4"/>
  <c r="C222" i="4"/>
  <c r="D222" i="4"/>
  <c r="F59" i="16" s="1"/>
  <c r="E35" i="4"/>
  <c r="E34" i="4"/>
  <c r="E33" i="4"/>
  <c r="E32" i="4"/>
  <c r="E31" i="4"/>
  <c r="E30" i="4"/>
  <c r="E29" i="4"/>
  <c r="E25" i="4"/>
  <c r="E24" i="4"/>
  <c r="D35" i="4"/>
  <c r="D34" i="4"/>
  <c r="D33" i="4"/>
  <c r="D32" i="4"/>
  <c r="D31" i="4"/>
  <c r="D30" i="4"/>
  <c r="D29" i="4"/>
  <c r="D24" i="4"/>
  <c r="D25" i="4"/>
  <c r="D26" i="4"/>
  <c r="D115" i="4"/>
  <c r="E115" i="4"/>
  <c r="F315" i="16" l="1"/>
  <c r="F317" i="16" s="1"/>
  <c r="L317" i="16" s="1"/>
  <c r="M317" i="16" s="1"/>
  <c r="F257" i="16"/>
  <c r="L257" i="16" s="1"/>
  <c r="M257" i="16" s="1"/>
  <c r="F256" i="16"/>
  <c r="J256" i="16" s="1"/>
  <c r="M256" i="16" s="1"/>
  <c r="H306" i="16"/>
  <c r="F302" i="16"/>
  <c r="F340" i="16"/>
  <c r="M237" i="16"/>
  <c r="M236" i="16"/>
  <c r="CC111" i="4"/>
  <c r="Q275" i="4"/>
  <c r="M275" i="4"/>
  <c r="R275" i="4"/>
  <c r="H275" i="4"/>
  <c r="E116" i="4"/>
  <c r="F39" i="16" s="1"/>
  <c r="D116" i="4"/>
  <c r="CI113" i="4"/>
  <c r="F27" i="16" s="1"/>
  <c r="CR113" i="4"/>
  <c r="F24" i="16" s="1"/>
  <c r="BQ113" i="4"/>
  <c r="F30" i="16" s="1"/>
  <c r="F31" i="16" s="1"/>
  <c r="J31" i="16" s="1"/>
  <c r="M31" i="16" s="1"/>
  <c r="C217" i="4"/>
  <c r="D217" i="4" s="1"/>
  <c r="F66" i="16" s="1"/>
  <c r="F345" i="16" l="1"/>
  <c r="F350" i="16" s="1"/>
  <c r="H350" i="16" s="1"/>
  <c r="M350" i="16" s="1"/>
  <c r="F316" i="16"/>
  <c r="J316" i="16" s="1"/>
  <c r="M316" i="16" s="1"/>
  <c r="F318" i="16"/>
  <c r="H318" i="16" s="1"/>
  <c r="M318" i="16" s="1"/>
  <c r="F309" i="16"/>
  <c r="F304" i="16"/>
  <c r="L304" i="16" s="1"/>
  <c r="F308" i="16"/>
  <c r="H308" i="16" s="1"/>
  <c r="M308" i="16" s="1"/>
  <c r="F307" i="16"/>
  <c r="H307" i="16" s="1"/>
  <c r="M307" i="16" s="1"/>
  <c r="F303" i="16"/>
  <c r="J303" i="16" s="1"/>
  <c r="F305" i="16"/>
  <c r="L305" i="16" s="1"/>
  <c r="M305" i="16" s="1"/>
  <c r="F346" i="16"/>
  <c r="J346" i="16" s="1"/>
  <c r="M346" i="16" s="1"/>
  <c r="M306" i="16"/>
  <c r="F343" i="16"/>
  <c r="H343" i="16" s="1"/>
  <c r="M343" i="16" s="1"/>
  <c r="F344" i="16"/>
  <c r="H344" i="16" s="1"/>
  <c r="M344" i="16" s="1"/>
  <c r="F342" i="16"/>
  <c r="L342" i="16" s="1"/>
  <c r="M342" i="16" s="1"/>
  <c r="F341" i="16"/>
  <c r="J341" i="16" s="1"/>
  <c r="M341" i="16" s="1"/>
  <c r="F41" i="16"/>
  <c r="L41" i="16" s="1"/>
  <c r="M41" i="16" s="1"/>
  <c r="F40" i="16"/>
  <c r="J40" i="16" s="1"/>
  <c r="M40" i="16" s="1"/>
  <c r="F26" i="16"/>
  <c r="L26" i="16" s="1"/>
  <c r="M26" i="16" s="1"/>
  <c r="F25" i="16"/>
  <c r="J25" i="16" s="1"/>
  <c r="M25" i="16" s="1"/>
  <c r="F29" i="16"/>
  <c r="L29" i="16" s="1"/>
  <c r="M29" i="16" s="1"/>
  <c r="F28" i="16"/>
  <c r="J28" i="16" s="1"/>
  <c r="M28" i="16" s="1"/>
  <c r="F213" i="4"/>
  <c r="F218" i="4"/>
  <c r="E251" i="4"/>
  <c r="E238" i="4"/>
  <c r="J299" i="4"/>
  <c r="J297" i="4"/>
  <c r="G299" i="4"/>
  <c r="G298" i="4"/>
  <c r="G297" i="4"/>
  <c r="E299" i="4"/>
  <c r="E298" i="4"/>
  <c r="E297" i="4"/>
  <c r="G276" i="4"/>
  <c r="G273" i="4"/>
  <c r="G272" i="4"/>
  <c r="G271" i="4"/>
  <c r="G270" i="4"/>
  <c r="E276" i="4"/>
  <c r="F276" i="4" s="1"/>
  <c r="F78" i="16" s="1"/>
  <c r="F73" i="16" s="1"/>
  <c r="E274" i="4"/>
  <c r="E273" i="4"/>
  <c r="E272" i="4"/>
  <c r="E271" i="4"/>
  <c r="E270" i="4"/>
  <c r="P276" i="4"/>
  <c r="K111" i="4"/>
  <c r="CN7" i="4"/>
  <c r="CN37" i="4" s="1"/>
  <c r="CM7" i="4"/>
  <c r="CM39" i="4" s="1"/>
  <c r="CT39" i="4" s="1"/>
  <c r="CA7" i="4"/>
  <c r="CA36" i="4" s="1"/>
  <c r="BY7" i="4"/>
  <c r="BY37" i="4" s="1"/>
  <c r="BX7" i="4"/>
  <c r="BX39" i="4" s="1"/>
  <c r="BW7" i="4"/>
  <c r="BW36" i="4" s="1"/>
  <c r="BV7" i="4"/>
  <c r="BU7" i="4"/>
  <c r="E37" i="4"/>
  <c r="E28" i="4"/>
  <c r="E27" i="4"/>
  <c r="E26" i="4"/>
  <c r="D27" i="4"/>
  <c r="D28" i="4"/>
  <c r="D37" i="4"/>
  <c r="CK40" i="4"/>
  <c r="CT40" i="4"/>
  <c r="CK41" i="4"/>
  <c r="CT41" i="4"/>
  <c r="CK42" i="4"/>
  <c r="CT42" i="4"/>
  <c r="F349" i="16" l="1"/>
  <c r="H349" i="16" s="1"/>
  <c r="M349" i="16" s="1"/>
  <c r="F351" i="16"/>
  <c r="H351" i="16" s="1"/>
  <c r="M351" i="16" s="1"/>
  <c r="F347" i="16"/>
  <c r="L347" i="16" s="1"/>
  <c r="M347" i="16" s="1"/>
  <c r="F348" i="16"/>
  <c r="H348" i="16" s="1"/>
  <c r="M348" i="16" s="1"/>
  <c r="M304" i="16"/>
  <c r="M303" i="16"/>
  <c r="F314" i="16"/>
  <c r="H314" i="16" s="1"/>
  <c r="M314" i="16" s="1"/>
  <c r="F311" i="16"/>
  <c r="L311" i="16" s="1"/>
  <c r="M311" i="16" s="1"/>
  <c r="F312" i="16"/>
  <c r="H312" i="16" s="1"/>
  <c r="F310" i="16"/>
  <c r="J310" i="16" s="1"/>
  <c r="M310" i="16" s="1"/>
  <c r="F313" i="16"/>
  <c r="H313" i="16" s="1"/>
  <c r="M313" i="16" s="1"/>
  <c r="F97" i="16"/>
  <c r="J313" i="4"/>
  <c r="BU34" i="4"/>
  <c r="BU23" i="4"/>
  <c r="BU36" i="4"/>
  <c r="BU33" i="4"/>
  <c r="BU29" i="4"/>
  <c r="BU22" i="4"/>
  <c r="BU37" i="4"/>
  <c r="BU32" i="4"/>
  <c r="BU21" i="4"/>
  <c r="BU25" i="4"/>
  <c r="BU35" i="4"/>
  <c r="BU31" i="4"/>
  <c r="BU26" i="4"/>
  <c r="BU24" i="4"/>
  <c r="BU30" i="4"/>
  <c r="BV36" i="4"/>
  <c r="BV27" i="4"/>
  <c r="BV37" i="4"/>
  <c r="BV26" i="4"/>
  <c r="BV39" i="4"/>
  <c r="CK39" i="4" s="1"/>
  <c r="BF39" i="4" s="1"/>
  <c r="BL39" i="4" s="1"/>
  <c r="BV28" i="4"/>
  <c r="M276" i="4"/>
  <c r="Q276" i="4"/>
  <c r="O276" i="4"/>
  <c r="H276" i="4"/>
  <c r="BF40" i="4"/>
  <c r="BG40" i="4" s="1"/>
  <c r="BF41" i="4"/>
  <c r="BL41" i="4" s="1"/>
  <c r="BF42" i="4"/>
  <c r="BL42" i="4" s="1"/>
  <c r="R276" i="4"/>
  <c r="J405" i="16" l="1"/>
  <c r="L405" i="16"/>
  <c r="M312" i="16"/>
  <c r="M405" i="16" s="1"/>
  <c r="H405" i="16"/>
  <c r="CK36" i="4"/>
  <c r="BF36" i="4" s="1"/>
  <c r="BL36" i="4" s="1"/>
  <c r="BG42" i="4"/>
  <c r="BL40" i="4"/>
  <c r="BH42" i="4"/>
  <c r="BH41" i="4"/>
  <c r="BG41" i="4"/>
  <c r="BH40" i="4"/>
  <c r="BG39" i="4"/>
  <c r="BH39" i="4"/>
  <c r="M406" i="16" l="1"/>
  <c r="BG36" i="4"/>
  <c r="BH36" i="4"/>
  <c r="E129" i="6" l="1"/>
  <c r="E124" i="6"/>
  <c r="F124" i="6" s="1"/>
  <c r="F128" i="6" s="1"/>
  <c r="H128" i="6" s="1"/>
  <c r="M128" i="6" s="1"/>
  <c r="F123" i="6"/>
  <c r="L123" i="6" s="1"/>
  <c r="M123" i="6" s="1"/>
  <c r="F122" i="6"/>
  <c r="J122" i="6" s="1"/>
  <c r="M122" i="6" s="1"/>
  <c r="H119" i="6"/>
  <c r="M119" i="6" s="1"/>
  <c r="H118" i="6"/>
  <c r="M118" i="6" s="1"/>
  <c r="H117" i="6"/>
  <c r="M117" i="6" s="1"/>
  <c r="H116" i="6"/>
  <c r="M116" i="6" s="1"/>
  <c r="H115" i="6"/>
  <c r="M115" i="6" s="1"/>
  <c r="H113" i="6"/>
  <c r="M113" i="6" s="1"/>
  <c r="E112" i="6"/>
  <c r="E111" i="6"/>
  <c r="F110" i="6"/>
  <c r="H108" i="6"/>
  <c r="M108" i="6" s="1"/>
  <c r="F105" i="6"/>
  <c r="F109" i="6" s="1"/>
  <c r="H109" i="6" s="1"/>
  <c r="M109" i="6" s="1"/>
  <c r="E104" i="6"/>
  <c r="E103" i="6"/>
  <c r="F103" i="6" s="1"/>
  <c r="H103" i="6" s="1"/>
  <c r="M103" i="6" s="1"/>
  <c r="H102" i="6"/>
  <c r="M102" i="6" s="1"/>
  <c r="E101" i="6"/>
  <c r="E100" i="6"/>
  <c r="F98" i="6"/>
  <c r="H98" i="6" s="1"/>
  <c r="M98" i="6" s="1"/>
  <c r="E97" i="6"/>
  <c r="F97" i="6" s="1"/>
  <c r="H97" i="6" s="1"/>
  <c r="M97" i="6" s="1"/>
  <c r="F96" i="6"/>
  <c r="H96" i="6" s="1"/>
  <c r="M96" i="6" s="1"/>
  <c r="F95" i="6"/>
  <c r="L95" i="6" s="1"/>
  <c r="M95" i="6" s="1"/>
  <c r="F94" i="6"/>
  <c r="J94" i="6" s="1"/>
  <c r="M94" i="6" s="1"/>
  <c r="F91" i="6"/>
  <c r="H91" i="6" s="1"/>
  <c r="M91" i="6" s="1"/>
  <c r="F90" i="6"/>
  <c r="L90" i="6" s="1"/>
  <c r="M90" i="6" s="1"/>
  <c r="F89" i="6"/>
  <c r="J89" i="6" s="1"/>
  <c r="M89" i="6" s="1"/>
  <c r="H83" i="6"/>
  <c r="M83" i="6" s="1"/>
  <c r="E83" i="6"/>
  <c r="E78" i="6"/>
  <c r="F78" i="6" s="1"/>
  <c r="F81" i="6" s="1"/>
  <c r="H81" i="6" s="1"/>
  <c r="M81" i="6" s="1"/>
  <c r="F77" i="6"/>
  <c r="L77" i="6" s="1"/>
  <c r="M77" i="6" s="1"/>
  <c r="F76" i="6"/>
  <c r="J76" i="6" s="1"/>
  <c r="M76" i="6" s="1"/>
  <c r="H73" i="6"/>
  <c r="M73" i="6" s="1"/>
  <c r="H72" i="6"/>
  <c r="M72" i="6" s="1"/>
  <c r="H71" i="6"/>
  <c r="M71" i="6" s="1"/>
  <c r="H70" i="6"/>
  <c r="M70" i="6" s="1"/>
  <c r="H69" i="6"/>
  <c r="M69" i="6" s="1"/>
  <c r="H68" i="6"/>
  <c r="M68" i="6" s="1"/>
  <c r="H67" i="6"/>
  <c r="M67" i="6" s="1"/>
  <c r="H66" i="6"/>
  <c r="M66" i="6" s="1"/>
  <c r="H65" i="6"/>
  <c r="M65" i="6" s="1"/>
  <c r="F62" i="6"/>
  <c r="F64" i="6" s="1"/>
  <c r="L64" i="6" s="1"/>
  <c r="M64" i="6" s="1"/>
  <c r="H59" i="6"/>
  <c r="M59" i="6" s="1"/>
  <c r="H58" i="6"/>
  <c r="M58" i="6" s="1"/>
  <c r="F53" i="6"/>
  <c r="H53" i="6" s="1"/>
  <c r="M53" i="6" s="1"/>
  <c r="F52" i="6"/>
  <c r="E51" i="6"/>
  <c r="E50" i="6"/>
  <c r="E48" i="6"/>
  <c r="F48" i="6" s="1"/>
  <c r="H48" i="6" s="1"/>
  <c r="M48" i="6" s="1"/>
  <c r="F47" i="6"/>
  <c r="H47" i="6" s="1"/>
  <c r="M47" i="6" s="1"/>
  <c r="H46" i="6"/>
  <c r="M46" i="6" s="1"/>
  <c r="E45" i="6"/>
  <c r="F45" i="6" s="1"/>
  <c r="L45" i="6" s="1"/>
  <c r="M45" i="6" s="1"/>
  <c r="E44" i="6"/>
  <c r="F44" i="6" s="1"/>
  <c r="J44" i="6" s="1"/>
  <c r="M44" i="6" s="1"/>
  <c r="E42" i="6"/>
  <c r="F42" i="6" s="1"/>
  <c r="H42" i="6" s="1"/>
  <c r="M42" i="6" s="1"/>
  <c r="F41" i="6"/>
  <c r="H41" i="6" s="1"/>
  <c r="M41" i="6" s="1"/>
  <c r="H40" i="6"/>
  <c r="M40" i="6" s="1"/>
  <c r="E39" i="6"/>
  <c r="F39" i="6" s="1"/>
  <c r="L39" i="6" s="1"/>
  <c r="M39" i="6" s="1"/>
  <c r="E38" i="6"/>
  <c r="F38" i="6" s="1"/>
  <c r="J38" i="6" s="1"/>
  <c r="M38" i="6" s="1"/>
  <c r="H33" i="6"/>
  <c r="M33" i="6" s="1"/>
  <c r="F31" i="6"/>
  <c r="F34" i="6" s="1"/>
  <c r="H34" i="6" s="1"/>
  <c r="M34" i="6" s="1"/>
  <c r="H29" i="6"/>
  <c r="M29" i="6" s="1"/>
  <c r="H25" i="6"/>
  <c r="M25" i="6" s="1"/>
  <c r="F23" i="6"/>
  <c r="F24" i="6" s="1"/>
  <c r="J24" i="6" s="1"/>
  <c r="M24" i="6" s="1"/>
  <c r="H21" i="6"/>
  <c r="M21" i="6" s="1"/>
  <c r="F20" i="6"/>
  <c r="L20" i="6" s="1"/>
  <c r="M20" i="6" s="1"/>
  <c r="H16" i="6"/>
  <c r="F13" i="6"/>
  <c r="F15" i="6" s="1"/>
  <c r="L15" i="6" s="1"/>
  <c r="E105" i="20"/>
  <c r="E100" i="20"/>
  <c r="F100" i="20" s="1"/>
  <c r="F99" i="20"/>
  <c r="L99" i="20" s="1"/>
  <c r="M99" i="20" s="1"/>
  <c r="F98" i="20"/>
  <c r="J98" i="20" s="1"/>
  <c r="M98" i="20" s="1"/>
  <c r="M97" i="20"/>
  <c r="F96" i="20"/>
  <c r="J96" i="20" s="1"/>
  <c r="M96" i="20" s="1"/>
  <c r="H95" i="20"/>
  <c r="M95" i="20" s="1"/>
  <c r="H93" i="20"/>
  <c r="M93" i="20" s="1"/>
  <c r="F91" i="20"/>
  <c r="F92" i="20" s="1"/>
  <c r="J92" i="20" s="1"/>
  <c r="M92" i="20" s="1"/>
  <c r="E90" i="20"/>
  <c r="H88" i="20"/>
  <c r="M88" i="20" s="1"/>
  <c r="H87" i="20"/>
  <c r="M87" i="20" s="1"/>
  <c r="F85" i="20"/>
  <c r="H83" i="20"/>
  <c r="M83" i="20" s="1"/>
  <c r="H82" i="20"/>
  <c r="M82" i="20" s="1"/>
  <c r="D82" i="20"/>
  <c r="H81" i="20"/>
  <c r="M81" i="20" s="1"/>
  <c r="D81" i="20"/>
  <c r="M78" i="20"/>
  <c r="F78" i="20"/>
  <c r="F79" i="20" s="1"/>
  <c r="J79" i="20" s="1"/>
  <c r="M79" i="20" s="1"/>
  <c r="H77" i="20"/>
  <c r="M77" i="20" s="1"/>
  <c r="H76" i="20"/>
  <c r="M76" i="20" s="1"/>
  <c r="H75" i="20"/>
  <c r="M75" i="20" s="1"/>
  <c r="F74" i="20"/>
  <c r="J74" i="20" s="1"/>
  <c r="L65" i="20"/>
  <c r="H63" i="20"/>
  <c r="M63" i="20" s="1"/>
  <c r="H62" i="20"/>
  <c r="M62" i="20" s="1"/>
  <c r="H61" i="20"/>
  <c r="M61" i="20" s="1"/>
  <c r="H60" i="20"/>
  <c r="M60" i="20" s="1"/>
  <c r="J59" i="20"/>
  <c r="H59" i="20"/>
  <c r="J58" i="20"/>
  <c r="H58" i="20"/>
  <c r="H48" i="20"/>
  <c r="M48" i="20" s="1"/>
  <c r="H47" i="20"/>
  <c r="M47" i="20" s="1"/>
  <c r="H46" i="20"/>
  <c r="M46" i="20" s="1"/>
  <c r="H44" i="20"/>
  <c r="M44" i="20" s="1"/>
  <c r="F43" i="20"/>
  <c r="H43" i="20" s="1"/>
  <c r="M43" i="20" s="1"/>
  <c r="F42" i="20"/>
  <c r="J42" i="20" s="1"/>
  <c r="M42" i="20" s="1"/>
  <c r="H33" i="20"/>
  <c r="M33" i="20" s="1"/>
  <c r="H32" i="20"/>
  <c r="M32" i="20" s="1"/>
  <c r="F29" i="20"/>
  <c r="F31" i="20" s="1"/>
  <c r="H31" i="20" s="1"/>
  <c r="M31" i="20" s="1"/>
  <c r="H45" i="20"/>
  <c r="M45" i="20" s="1"/>
  <c r="H40" i="20"/>
  <c r="M40" i="20" s="1"/>
  <c r="H39" i="20"/>
  <c r="M39" i="20" s="1"/>
  <c r="H38" i="20"/>
  <c r="M38" i="20" s="1"/>
  <c r="E35" i="20"/>
  <c r="F37" i="20"/>
  <c r="H37" i="20" s="1"/>
  <c r="M37" i="20" s="1"/>
  <c r="H28" i="20"/>
  <c r="M28" i="20" s="1"/>
  <c r="F25" i="20"/>
  <c r="F27" i="20" s="1"/>
  <c r="H24" i="20"/>
  <c r="M24" i="20" s="1"/>
  <c r="F21" i="20"/>
  <c r="F23" i="20" s="1"/>
  <c r="H23" i="20" s="1"/>
  <c r="M23" i="20" s="1"/>
  <c r="H20" i="20"/>
  <c r="M20" i="20" s="1"/>
  <c r="F17" i="20"/>
  <c r="F19" i="20" s="1"/>
  <c r="H19" i="20" s="1"/>
  <c r="M19" i="20" s="1"/>
  <c r="H16" i="20"/>
  <c r="M16" i="20" s="1"/>
  <c r="F15" i="20"/>
  <c r="H15" i="20" s="1"/>
  <c r="F14" i="20"/>
  <c r="J14" i="20" s="1"/>
  <c r="M14" i="20" s="1"/>
  <c r="H65" i="17"/>
  <c r="M65" i="17" s="1"/>
  <c r="H64" i="17"/>
  <c r="M64" i="17" s="1"/>
  <c r="H63" i="17"/>
  <c r="M63" i="17" s="1"/>
  <c r="E62" i="17"/>
  <c r="E61" i="17"/>
  <c r="E60" i="17"/>
  <c r="H57" i="17"/>
  <c r="M57" i="17" s="1"/>
  <c r="F54" i="17"/>
  <c r="F55" i="17" s="1"/>
  <c r="J55" i="17" s="1"/>
  <c r="M55" i="17" s="1"/>
  <c r="E53" i="17"/>
  <c r="H51" i="17"/>
  <c r="M51" i="17" s="1"/>
  <c r="H50" i="17"/>
  <c r="M50" i="17" s="1"/>
  <c r="F48" i="17"/>
  <c r="F49" i="17" s="1"/>
  <c r="J49" i="17" s="1"/>
  <c r="M49" i="17" s="1"/>
  <c r="E47" i="17"/>
  <c r="H45" i="17"/>
  <c r="M45" i="17" s="1"/>
  <c r="H44" i="17"/>
  <c r="M44" i="17" s="1"/>
  <c r="H43" i="17"/>
  <c r="M43" i="17" s="1"/>
  <c r="F41" i="17"/>
  <c r="H39" i="17"/>
  <c r="M39" i="17" s="1"/>
  <c r="H33" i="17"/>
  <c r="M33" i="17" s="1"/>
  <c r="H32" i="17"/>
  <c r="M32" i="17" s="1"/>
  <c r="H31" i="17"/>
  <c r="M31" i="17" s="1"/>
  <c r="H29" i="17"/>
  <c r="M29" i="17" s="1"/>
  <c r="H28" i="17"/>
  <c r="M28" i="17" s="1"/>
  <c r="F25" i="17"/>
  <c r="F27" i="17" s="1"/>
  <c r="H27" i="17" s="1"/>
  <c r="M27" i="17" s="1"/>
  <c r="H22" i="17"/>
  <c r="M22" i="17" s="1"/>
  <c r="H21" i="17"/>
  <c r="M21" i="17" s="1"/>
  <c r="H20" i="17"/>
  <c r="M20" i="17" s="1"/>
  <c r="H19" i="17"/>
  <c r="M19" i="17" s="1"/>
  <c r="H18" i="17"/>
  <c r="M18" i="17" s="1"/>
  <c r="H17" i="17"/>
  <c r="M17" i="17" s="1"/>
  <c r="H16" i="17"/>
  <c r="F14" i="17"/>
  <c r="J14" i="17" s="1"/>
  <c r="H65" i="20" l="1"/>
  <c r="M16" i="6"/>
  <c r="F105" i="20"/>
  <c r="H105" i="20" s="1"/>
  <c r="M105" i="20" s="1"/>
  <c r="F90" i="20"/>
  <c r="H90" i="20" s="1"/>
  <c r="M90" i="20" s="1"/>
  <c r="F100" i="6"/>
  <c r="J100" i="6" s="1"/>
  <c r="M100" i="6" s="1"/>
  <c r="F87" i="6"/>
  <c r="H87" i="6" s="1"/>
  <c r="M87" i="6" s="1"/>
  <c r="H52" i="6"/>
  <c r="M52" i="6" s="1"/>
  <c r="F49" i="6"/>
  <c r="F104" i="6"/>
  <c r="H104" i="6" s="1"/>
  <c r="M104" i="6" s="1"/>
  <c r="F101" i="6"/>
  <c r="L101" i="6" s="1"/>
  <c r="M101" i="6" s="1"/>
  <c r="F79" i="6"/>
  <c r="J79" i="6" s="1"/>
  <c r="M79" i="6" s="1"/>
  <c r="F112" i="6"/>
  <c r="L112" i="6" s="1"/>
  <c r="M112" i="6" s="1"/>
  <c r="F129" i="6"/>
  <c r="H129" i="6" s="1"/>
  <c r="M129" i="6" s="1"/>
  <c r="F82" i="6"/>
  <c r="H82" i="6" s="1"/>
  <c r="M82" i="6" s="1"/>
  <c r="F94" i="20"/>
  <c r="H94" i="20" s="1"/>
  <c r="M94" i="20" s="1"/>
  <c r="J65" i="20"/>
  <c r="M68" i="20" s="1"/>
  <c r="M59" i="20"/>
  <c r="F89" i="20"/>
  <c r="H89" i="20" s="1"/>
  <c r="M89" i="20" s="1"/>
  <c r="M58" i="20"/>
  <c r="F35" i="20"/>
  <c r="J35" i="20" s="1"/>
  <c r="M35" i="20" s="1"/>
  <c r="F36" i="20"/>
  <c r="L36" i="20" s="1"/>
  <c r="F30" i="20"/>
  <c r="J30" i="20" s="1"/>
  <c r="M30" i="20" s="1"/>
  <c r="F26" i="20"/>
  <c r="J26" i="20" s="1"/>
  <c r="M26" i="20" s="1"/>
  <c r="F22" i="20"/>
  <c r="J22" i="20" s="1"/>
  <c r="M22" i="20" s="1"/>
  <c r="F32" i="6"/>
  <c r="J32" i="6" s="1"/>
  <c r="M32" i="6" s="1"/>
  <c r="F120" i="6"/>
  <c r="H120" i="6" s="1"/>
  <c r="M120" i="6" s="1"/>
  <c r="F63" i="6"/>
  <c r="J63" i="6" s="1"/>
  <c r="M63" i="6" s="1"/>
  <c r="F22" i="6"/>
  <c r="H22" i="6" s="1"/>
  <c r="M22" i="6" s="1"/>
  <c r="F19" i="6"/>
  <c r="J19" i="6" s="1"/>
  <c r="M19" i="6" s="1"/>
  <c r="F17" i="6"/>
  <c r="H17" i="6" s="1"/>
  <c r="M17" i="6" s="1"/>
  <c r="F14" i="6"/>
  <c r="J14" i="6" s="1"/>
  <c r="F18" i="20"/>
  <c r="J18" i="20" s="1"/>
  <c r="M18" i="20" s="1"/>
  <c r="F86" i="20"/>
  <c r="J86" i="20" s="1"/>
  <c r="M86" i="20" s="1"/>
  <c r="F53" i="17"/>
  <c r="H53" i="17" s="1"/>
  <c r="M53" i="17" s="1"/>
  <c r="M15" i="6"/>
  <c r="F126" i="6"/>
  <c r="L126" i="6" s="1"/>
  <c r="M126" i="6" s="1"/>
  <c r="F127" i="6"/>
  <c r="H127" i="6" s="1"/>
  <c r="M127" i="6" s="1"/>
  <c r="F125" i="6"/>
  <c r="J125" i="6" s="1"/>
  <c r="M125" i="6" s="1"/>
  <c r="F80" i="6"/>
  <c r="L80" i="6" s="1"/>
  <c r="M80" i="6" s="1"/>
  <c r="F111" i="6"/>
  <c r="J111" i="6" s="1"/>
  <c r="M111" i="6" s="1"/>
  <c r="F74" i="6"/>
  <c r="H74" i="6" s="1"/>
  <c r="M74" i="6" s="1"/>
  <c r="F107" i="6"/>
  <c r="L107" i="6" s="1"/>
  <c r="M107" i="6" s="1"/>
  <c r="F106" i="6"/>
  <c r="J106" i="6" s="1"/>
  <c r="M106" i="6" s="1"/>
  <c r="H50" i="20"/>
  <c r="M15" i="20"/>
  <c r="F103" i="20"/>
  <c r="H103" i="20" s="1"/>
  <c r="M103" i="20" s="1"/>
  <c r="F84" i="20"/>
  <c r="H84" i="20" s="1"/>
  <c r="M84" i="20" s="1"/>
  <c r="F102" i="20"/>
  <c r="L102" i="20" s="1"/>
  <c r="M102" i="20" s="1"/>
  <c r="M74" i="20"/>
  <c r="F80" i="20"/>
  <c r="L80" i="20" s="1"/>
  <c r="F101" i="20"/>
  <c r="J101" i="20" s="1"/>
  <c r="M101" i="20" s="1"/>
  <c r="F104" i="20"/>
  <c r="H104" i="20" s="1"/>
  <c r="M104" i="20" s="1"/>
  <c r="M14" i="17"/>
  <c r="M16" i="17"/>
  <c r="F56" i="17"/>
  <c r="L56" i="17" s="1"/>
  <c r="F58" i="17"/>
  <c r="H58" i="17" s="1"/>
  <c r="M58" i="17" s="1"/>
  <c r="F62" i="17"/>
  <c r="L62" i="17" s="1"/>
  <c r="M62" i="17" s="1"/>
  <c r="F61" i="17"/>
  <c r="L61" i="17" s="1"/>
  <c r="M61" i="17" s="1"/>
  <c r="F60" i="17"/>
  <c r="J60" i="17" s="1"/>
  <c r="M60" i="17" s="1"/>
  <c r="F68" i="17"/>
  <c r="H68" i="17" s="1"/>
  <c r="M68" i="17" s="1"/>
  <c r="F47" i="17"/>
  <c r="H47" i="17" s="1"/>
  <c r="M47" i="17" s="1"/>
  <c r="F52" i="17"/>
  <c r="H52" i="17" s="1"/>
  <c r="M52" i="17" s="1"/>
  <c r="F26" i="17"/>
  <c r="J26" i="17" s="1"/>
  <c r="M26" i="17" s="1"/>
  <c r="F42" i="17"/>
  <c r="J42" i="17" s="1"/>
  <c r="M42" i="17" s="1"/>
  <c r="F46" i="17"/>
  <c r="H46" i="17" s="1"/>
  <c r="M46" i="17" s="1"/>
  <c r="F197" i="18"/>
  <c r="J197" i="18" s="1"/>
  <c r="M197" i="18" s="1"/>
  <c r="F165" i="18"/>
  <c r="H165" i="18" s="1"/>
  <c r="M165" i="18" s="1"/>
  <c r="F164" i="18"/>
  <c r="H164" i="18" s="1"/>
  <c r="M164" i="18" s="1"/>
  <c r="F163" i="18"/>
  <c r="H163" i="18" s="1"/>
  <c r="M163" i="18" s="1"/>
  <c r="H162" i="18"/>
  <c r="M162" i="18" s="1"/>
  <c r="H161" i="18"/>
  <c r="M161" i="18" s="1"/>
  <c r="H160" i="18"/>
  <c r="M160" i="18" s="1"/>
  <c r="F157" i="18"/>
  <c r="F166" i="18" s="1"/>
  <c r="H166" i="18" s="1"/>
  <c r="M166" i="18" s="1"/>
  <c r="H155" i="18"/>
  <c r="M155" i="18" s="1"/>
  <c r="H154" i="18"/>
  <c r="M154" i="18" s="1"/>
  <c r="F153" i="18"/>
  <c r="L153" i="18" s="1"/>
  <c r="M153" i="18" s="1"/>
  <c r="H149" i="18"/>
  <c r="M149" i="18" s="1"/>
  <c r="F147" i="18"/>
  <c r="H145" i="18"/>
  <c r="M145" i="18" s="1"/>
  <c r="F143" i="18"/>
  <c r="F146" i="18" s="1"/>
  <c r="H146" i="18" s="1"/>
  <c r="M146" i="18" s="1"/>
  <c r="H137" i="18"/>
  <c r="M137" i="18" s="1"/>
  <c r="H136" i="18"/>
  <c r="M136" i="18" s="1"/>
  <c r="F135" i="18"/>
  <c r="L135" i="18" s="1"/>
  <c r="M135" i="18" s="1"/>
  <c r="H131" i="18"/>
  <c r="M131" i="18" s="1"/>
  <c r="H130" i="18"/>
  <c r="M130" i="18" s="1"/>
  <c r="F127" i="18"/>
  <c r="F128" i="18" s="1"/>
  <c r="F132" i="18" s="1"/>
  <c r="H132" i="18" s="1"/>
  <c r="M132" i="18" s="1"/>
  <c r="M126" i="18"/>
  <c r="H125" i="18"/>
  <c r="M125" i="18" s="1"/>
  <c r="F122" i="18"/>
  <c r="F126" i="18" s="1"/>
  <c r="H111" i="18"/>
  <c r="M111" i="18" s="1"/>
  <c r="F108" i="18"/>
  <c r="F112" i="18" s="1"/>
  <c r="H112" i="18" s="1"/>
  <c r="M112" i="18" s="1"/>
  <c r="F105" i="18"/>
  <c r="L105" i="18" s="1"/>
  <c r="M105" i="18" s="1"/>
  <c r="H101" i="18"/>
  <c r="M101" i="18" s="1"/>
  <c r="F100" i="18"/>
  <c r="L100" i="18" s="1"/>
  <c r="M100" i="18" s="1"/>
  <c r="H96" i="18"/>
  <c r="M96" i="18" s="1"/>
  <c r="H95" i="18"/>
  <c r="F92" i="18"/>
  <c r="F94" i="18" s="1"/>
  <c r="L94" i="18" s="1"/>
  <c r="H204" i="18"/>
  <c r="M204" i="18" s="1"/>
  <c r="F206" i="18"/>
  <c r="H206" i="18" s="1"/>
  <c r="M206" i="18" s="1"/>
  <c r="H199" i="18"/>
  <c r="M199" i="18" s="1"/>
  <c r="H193" i="18"/>
  <c r="M193" i="18" s="1"/>
  <c r="F195" i="18"/>
  <c r="H195" i="18" s="1"/>
  <c r="M195" i="18" s="1"/>
  <c r="E82" i="18"/>
  <c r="E77" i="18"/>
  <c r="F77" i="18" s="1"/>
  <c r="F76" i="18"/>
  <c r="L76" i="18" s="1"/>
  <c r="M76" i="18" s="1"/>
  <c r="F75" i="18"/>
  <c r="J75" i="18" s="1"/>
  <c r="M75" i="18" s="1"/>
  <c r="H69" i="18"/>
  <c r="M69" i="18" s="1"/>
  <c r="H68" i="18"/>
  <c r="M68" i="18" s="1"/>
  <c r="H67" i="18"/>
  <c r="M67" i="18" s="1"/>
  <c r="H66" i="18"/>
  <c r="M66" i="18" s="1"/>
  <c r="H65" i="18"/>
  <c r="M65" i="18" s="1"/>
  <c r="H64" i="18"/>
  <c r="M64" i="18" s="1"/>
  <c r="H63" i="18"/>
  <c r="M63" i="18" s="1"/>
  <c r="H61" i="18"/>
  <c r="M61" i="18" s="1"/>
  <c r="H60" i="18"/>
  <c r="M60" i="18" s="1"/>
  <c r="H59" i="18"/>
  <c r="M59" i="18" s="1"/>
  <c r="H57" i="18"/>
  <c r="M57" i="18" s="1"/>
  <c r="F53" i="18"/>
  <c r="F54" i="18" s="1"/>
  <c r="J54" i="18" s="1"/>
  <c r="M54" i="18" s="1"/>
  <c r="F46" i="18"/>
  <c r="H46" i="18" s="1"/>
  <c r="M46" i="18" s="1"/>
  <c r="F45" i="18"/>
  <c r="H45" i="18" s="1"/>
  <c r="M45" i="18" s="1"/>
  <c r="F44" i="18"/>
  <c r="F40" i="18"/>
  <c r="H40" i="18" s="1"/>
  <c r="M40" i="18" s="1"/>
  <c r="F39" i="18"/>
  <c r="H39" i="18" s="1"/>
  <c r="M39" i="18" s="1"/>
  <c r="F38" i="18"/>
  <c r="L38" i="18" s="1"/>
  <c r="M38" i="18" s="1"/>
  <c r="F37" i="18"/>
  <c r="J37" i="18" s="1"/>
  <c r="M37" i="18" s="1"/>
  <c r="F35" i="18"/>
  <c r="H35" i="18" s="1"/>
  <c r="M35" i="18" s="1"/>
  <c r="F34" i="18"/>
  <c r="H34" i="18" s="1"/>
  <c r="M34" i="18" s="1"/>
  <c r="F33" i="18"/>
  <c r="L33" i="18" s="1"/>
  <c r="M33" i="18" s="1"/>
  <c r="F32" i="18"/>
  <c r="J32" i="18" s="1"/>
  <c r="M32" i="18" s="1"/>
  <c r="F30" i="18"/>
  <c r="H30" i="18" s="1"/>
  <c r="M30" i="18" s="1"/>
  <c r="F29" i="18"/>
  <c r="H29" i="18" s="1"/>
  <c r="M29" i="18" s="1"/>
  <c r="F28" i="18"/>
  <c r="L28" i="18" s="1"/>
  <c r="M28" i="18" s="1"/>
  <c r="F27" i="18"/>
  <c r="J27" i="18" s="1"/>
  <c r="M27" i="18" s="1"/>
  <c r="H23" i="18"/>
  <c r="M23" i="18" s="1"/>
  <c r="H22" i="18"/>
  <c r="M22" i="18" s="1"/>
  <c r="F25" i="18"/>
  <c r="H25" i="18" s="1"/>
  <c r="M25" i="18" s="1"/>
  <c r="E18" i="18"/>
  <c r="H17" i="18"/>
  <c r="M17" i="18" s="1"/>
  <c r="H16" i="18"/>
  <c r="M16" i="18" s="1"/>
  <c r="H15" i="18"/>
  <c r="M15" i="18" s="1"/>
  <c r="E14" i="18"/>
  <c r="E13" i="18"/>
  <c r="M14" i="6" l="1"/>
  <c r="M65" i="20"/>
  <c r="F198" i="18"/>
  <c r="L198" i="18" s="1"/>
  <c r="M198" i="18" s="1"/>
  <c r="F200" i="18"/>
  <c r="H200" i="18" s="1"/>
  <c r="M200" i="18" s="1"/>
  <c r="H44" i="18"/>
  <c r="M44" i="18" s="1"/>
  <c r="F41" i="18"/>
  <c r="F42" i="18" s="1"/>
  <c r="J42" i="18" s="1"/>
  <c r="M42" i="18" s="1"/>
  <c r="F86" i="6"/>
  <c r="H86" i="6" s="1"/>
  <c r="M86" i="6" s="1"/>
  <c r="F85" i="6"/>
  <c r="J85" i="6" s="1"/>
  <c r="M85" i="6" s="1"/>
  <c r="F152" i="18"/>
  <c r="J152" i="18" s="1"/>
  <c r="M152" i="18" s="1"/>
  <c r="F144" i="18"/>
  <c r="J144" i="18" s="1"/>
  <c r="M144" i="18" s="1"/>
  <c r="F156" i="18"/>
  <c r="H156" i="18" s="1"/>
  <c r="M156" i="18" s="1"/>
  <c r="F79" i="18"/>
  <c r="L79" i="18" s="1"/>
  <c r="M79" i="18" s="1"/>
  <c r="F82" i="18"/>
  <c r="H82" i="18" s="1"/>
  <c r="M82" i="18" s="1"/>
  <c r="F81" i="18"/>
  <c r="H81" i="18" s="1"/>
  <c r="M81" i="18" s="1"/>
  <c r="F134" i="18"/>
  <c r="J134" i="18" s="1"/>
  <c r="M134" i="18" s="1"/>
  <c r="F138" i="18"/>
  <c r="H138" i="18" s="1"/>
  <c r="M138" i="18" s="1"/>
  <c r="F158" i="18"/>
  <c r="J158" i="18" s="1"/>
  <c r="M158" i="18" s="1"/>
  <c r="H60" i="6"/>
  <c r="M60" i="6" s="1"/>
  <c r="F55" i="6"/>
  <c r="L50" i="20"/>
  <c r="M36" i="20"/>
  <c r="M50" i="20" s="1"/>
  <c r="J50" i="20"/>
  <c r="M53" i="20" s="1"/>
  <c r="F30" i="6"/>
  <c r="H30" i="6" s="1"/>
  <c r="F27" i="6"/>
  <c r="J27" i="6" s="1"/>
  <c r="F28" i="6"/>
  <c r="L28" i="6" s="1"/>
  <c r="F54" i="6"/>
  <c r="H54" i="6" s="1"/>
  <c r="M54" i="6" s="1"/>
  <c r="F51" i="6"/>
  <c r="L51" i="6" s="1"/>
  <c r="M51" i="6" s="1"/>
  <c r="F50" i="6"/>
  <c r="J50" i="6" s="1"/>
  <c r="M50" i="6" s="1"/>
  <c r="J106" i="20"/>
  <c r="M51" i="20"/>
  <c r="L106" i="20"/>
  <c r="M80" i="20"/>
  <c r="M106" i="20" s="1"/>
  <c r="M66" i="20"/>
  <c r="H106" i="20"/>
  <c r="L69" i="17"/>
  <c r="M56" i="17"/>
  <c r="M69" i="17" s="1"/>
  <c r="H69" i="17"/>
  <c r="J69" i="17"/>
  <c r="F55" i="18"/>
  <c r="L55" i="18" s="1"/>
  <c r="M55" i="18" s="1"/>
  <c r="F56" i="18"/>
  <c r="H56" i="18" s="1"/>
  <c r="M56" i="18" s="1"/>
  <c r="F71" i="18"/>
  <c r="J71" i="18" s="1"/>
  <c r="M71" i="18" s="1"/>
  <c r="F72" i="18"/>
  <c r="H72" i="18" s="1"/>
  <c r="M72" i="18" s="1"/>
  <c r="F73" i="18"/>
  <c r="H73" i="18" s="1"/>
  <c r="M73" i="18" s="1"/>
  <c r="F18" i="18"/>
  <c r="H18" i="18" s="1"/>
  <c r="M18" i="18" s="1"/>
  <c r="F14" i="18"/>
  <c r="L14" i="18" s="1"/>
  <c r="F13" i="18"/>
  <c r="J13" i="18" s="1"/>
  <c r="M95" i="18"/>
  <c r="F21" i="18"/>
  <c r="L21" i="18" s="1"/>
  <c r="M21" i="18" s="1"/>
  <c r="F78" i="18"/>
  <c r="J78" i="18" s="1"/>
  <c r="M78" i="18" s="1"/>
  <c r="F202" i="18"/>
  <c r="J202" i="18" s="1"/>
  <c r="M202" i="18" s="1"/>
  <c r="M94" i="18"/>
  <c r="F20" i="18"/>
  <c r="J20" i="18" s="1"/>
  <c r="M20" i="18" s="1"/>
  <c r="F80" i="18"/>
  <c r="H80" i="18" s="1"/>
  <c r="F191" i="18"/>
  <c r="J191" i="18" s="1"/>
  <c r="F194" i="18"/>
  <c r="H194" i="18" s="1"/>
  <c r="F192" i="18"/>
  <c r="L192" i="18" s="1"/>
  <c r="F203" i="18"/>
  <c r="L203" i="18" s="1"/>
  <c r="M203" i="18" s="1"/>
  <c r="F93" i="18"/>
  <c r="J93" i="18" s="1"/>
  <c r="F97" i="18"/>
  <c r="H97" i="18" s="1"/>
  <c r="F99" i="18"/>
  <c r="J99" i="18" s="1"/>
  <c r="M99" i="18" s="1"/>
  <c r="F102" i="18"/>
  <c r="H102" i="18" s="1"/>
  <c r="M102" i="18" s="1"/>
  <c r="F104" i="18"/>
  <c r="J104" i="18" s="1"/>
  <c r="M104" i="18" s="1"/>
  <c r="F129" i="18"/>
  <c r="L129" i="18" s="1"/>
  <c r="M129" i="18" s="1"/>
  <c r="F110" i="18"/>
  <c r="L110" i="18" s="1"/>
  <c r="M110" i="18" s="1"/>
  <c r="F124" i="18"/>
  <c r="L124" i="18" s="1"/>
  <c r="F150" i="18"/>
  <c r="H150" i="18" s="1"/>
  <c r="M150" i="18" s="1"/>
  <c r="F148" i="18"/>
  <c r="J148" i="18" s="1"/>
  <c r="M148" i="18" s="1"/>
  <c r="F107" i="18"/>
  <c r="H107" i="18" s="1"/>
  <c r="M107" i="18" s="1"/>
  <c r="F109" i="18"/>
  <c r="J109" i="18" s="1"/>
  <c r="M109" i="18" s="1"/>
  <c r="F123" i="18"/>
  <c r="J123" i="18" s="1"/>
  <c r="J128" i="18"/>
  <c r="M128" i="18" s="1"/>
  <c r="F159" i="18"/>
  <c r="L159" i="18" s="1"/>
  <c r="M159" i="18" s="1"/>
  <c r="M13" i="18" l="1"/>
  <c r="J84" i="18"/>
  <c r="M14" i="18"/>
  <c r="M80" i="18"/>
  <c r="M194" i="18"/>
  <c r="H207" i="18"/>
  <c r="M67" i="20"/>
  <c r="M69" i="20" s="1"/>
  <c r="M70" i="20" s="1"/>
  <c r="M71" i="20" s="1"/>
  <c r="M72" i="17"/>
  <c r="F57" i="6"/>
  <c r="L57" i="6" s="1"/>
  <c r="M57" i="6" s="1"/>
  <c r="F56" i="6"/>
  <c r="J56" i="6" s="1"/>
  <c r="M56" i="6" s="1"/>
  <c r="F61" i="6"/>
  <c r="H61" i="6" s="1"/>
  <c r="M61" i="6" s="1"/>
  <c r="M52" i="20"/>
  <c r="M54" i="20" s="1"/>
  <c r="M55" i="20" s="1"/>
  <c r="M56" i="20" s="1"/>
  <c r="M30" i="6"/>
  <c r="M27" i="6"/>
  <c r="M207" i="6"/>
  <c r="M28" i="6"/>
  <c r="M107" i="20"/>
  <c r="M108" i="20" s="1"/>
  <c r="M109" i="20"/>
  <c r="M70" i="17"/>
  <c r="M71" i="17" s="1"/>
  <c r="F47" i="18"/>
  <c r="H47" i="18" s="1"/>
  <c r="M47" i="18" s="1"/>
  <c r="F43" i="18"/>
  <c r="L43" i="18" s="1"/>
  <c r="M43" i="18" s="1"/>
  <c r="L207" i="18"/>
  <c r="M192" i="18"/>
  <c r="J114" i="18"/>
  <c r="M117" i="18" s="1"/>
  <c r="M93" i="18"/>
  <c r="L168" i="18"/>
  <c r="M124" i="18"/>
  <c r="H168" i="18"/>
  <c r="J207" i="18"/>
  <c r="M210" i="18" s="1"/>
  <c r="M191" i="18"/>
  <c r="L114" i="18"/>
  <c r="M97" i="18"/>
  <c r="H114" i="18"/>
  <c r="J168" i="18"/>
  <c r="M123" i="18"/>
  <c r="M131" i="6" l="1"/>
  <c r="M84" i="18"/>
  <c r="L84" i="18"/>
  <c r="H84" i="18"/>
  <c r="M85" i="18" s="1"/>
  <c r="H131" i="6"/>
  <c r="J131" i="6"/>
  <c r="L131" i="6"/>
  <c r="M73" i="17"/>
  <c r="M74" i="17" s="1"/>
  <c r="M75" i="17" s="1"/>
  <c r="M110" i="20"/>
  <c r="M111" i="20" s="1"/>
  <c r="M112" i="20" s="1"/>
  <c r="M113" i="20" s="1"/>
  <c r="M168" i="18"/>
  <c r="M207" i="18"/>
  <c r="M208" i="18"/>
  <c r="M115" i="18"/>
  <c r="M114" i="18"/>
  <c r="M169" i="18"/>
  <c r="F224" i="16"/>
  <c r="L224" i="16" s="1"/>
  <c r="M224" i="16" s="1"/>
  <c r="F221" i="16"/>
  <c r="J221" i="16" s="1"/>
  <c r="M221" i="16" s="1"/>
  <c r="D196" i="16"/>
  <c r="E178" i="16"/>
  <c r="E174" i="16"/>
  <c r="E173" i="16"/>
  <c r="E171" i="16"/>
  <c r="E167" i="16"/>
  <c r="E166" i="16"/>
  <c r="E164" i="16"/>
  <c r="E160" i="16"/>
  <c r="E159" i="16"/>
  <c r="E121" i="16"/>
  <c r="E120" i="16"/>
  <c r="E119" i="16"/>
  <c r="E118" i="16"/>
  <c r="E114" i="16"/>
  <c r="E107" i="16"/>
  <c r="E98" i="16"/>
  <c r="E96" i="16"/>
  <c r="E95" i="16"/>
  <c r="E70" i="16"/>
  <c r="F71" i="16"/>
  <c r="H71" i="16" s="1"/>
  <c r="M71" i="16" s="1"/>
  <c r="F65" i="16"/>
  <c r="H65" i="16" s="1"/>
  <c r="M65" i="16" s="1"/>
  <c r="F64" i="16"/>
  <c r="H64" i="16" s="1"/>
  <c r="M64" i="16" s="1"/>
  <c r="E63" i="16"/>
  <c r="F62" i="16"/>
  <c r="F61" i="16"/>
  <c r="L61" i="16" s="1"/>
  <c r="M61" i="16" s="1"/>
  <c r="F60" i="16"/>
  <c r="J60" i="16" s="1"/>
  <c r="M60" i="16" s="1"/>
  <c r="D11" i="8" l="1"/>
  <c r="M138" i="17"/>
  <c r="M198" i="20"/>
  <c r="D14" i="8"/>
  <c r="M116" i="18"/>
  <c r="M118" i="18" s="1"/>
  <c r="M119" i="18" s="1"/>
  <c r="M170" i="18"/>
  <c r="M171" i="18" s="1"/>
  <c r="M172" i="18" s="1"/>
  <c r="M86" i="18"/>
  <c r="M87" i="18" s="1"/>
  <c r="M132" i="6"/>
  <c r="M133" i="6" s="1"/>
  <c r="M134" i="6" s="1"/>
  <c r="M135" i="6" s="1"/>
  <c r="F63" i="16"/>
  <c r="H63" i="16" s="1"/>
  <c r="M63" i="16" s="1"/>
  <c r="F223" i="16"/>
  <c r="J223" i="16" s="1"/>
  <c r="M223" i="16" s="1"/>
  <c r="M208" i="6"/>
  <c r="M209" i="18"/>
  <c r="M211" i="18" s="1"/>
  <c r="F69" i="16"/>
  <c r="F70" i="16" s="1"/>
  <c r="H70" i="16" s="1"/>
  <c r="M70" i="16" s="1"/>
  <c r="F67" i="16"/>
  <c r="J67" i="16" s="1"/>
  <c r="M67" i="16" s="1"/>
  <c r="F72" i="16"/>
  <c r="H72" i="16" s="1"/>
  <c r="M72" i="16" s="1"/>
  <c r="F68" i="16"/>
  <c r="L68" i="16" s="1"/>
  <c r="M68" i="16" s="1"/>
  <c r="M212" i="18" l="1"/>
  <c r="M213" i="18" s="1"/>
  <c r="M120" i="18"/>
  <c r="M88" i="18"/>
  <c r="M89" i="18" s="1"/>
  <c r="M90" i="18" s="1"/>
  <c r="M136" i="6"/>
  <c r="M137" i="6" s="1"/>
  <c r="M209" i="6"/>
  <c r="M210" i="6" s="1"/>
  <c r="M173" i="18"/>
  <c r="M174" i="18" s="1"/>
  <c r="D17" i="8" l="1"/>
  <c r="M214" i="18"/>
  <c r="M211" i="6"/>
  <c r="M212" i="6" s="1"/>
  <c r="M213" i="6" s="1"/>
  <c r="M241" i="18" l="1"/>
  <c r="D20" i="8"/>
  <c r="D10" i="8"/>
  <c r="D13" i="8"/>
  <c r="M5" i="20"/>
  <c r="D18" i="8" l="1"/>
  <c r="D16" i="8"/>
  <c r="D19" i="8"/>
  <c r="M5" i="18"/>
  <c r="CK45" i="4"/>
  <c r="CT45" i="4"/>
  <c r="CK46" i="4"/>
  <c r="CT46" i="4"/>
  <c r="CK47" i="4"/>
  <c r="CT47" i="4"/>
  <c r="M5" i="6" l="1"/>
  <c r="BF47" i="4"/>
  <c r="BL47" i="4" s="1"/>
  <c r="BF45" i="4"/>
  <c r="BH45" i="4" s="1"/>
  <c r="BF46" i="4"/>
  <c r="BL46" i="4" s="1"/>
  <c r="BL45" i="4" l="1"/>
  <c r="BG45" i="4"/>
  <c r="BH47" i="4"/>
  <c r="BG46" i="4"/>
  <c r="BG47" i="4"/>
  <c r="BH46" i="4"/>
  <c r="CT38" i="4" l="1"/>
  <c r="CT37" i="4"/>
  <c r="CK38" i="4"/>
  <c r="CK37" i="4"/>
  <c r="CK35" i="4"/>
  <c r="BF38" i="4" l="1"/>
  <c r="BG38" i="4" s="1"/>
  <c r="BF37" i="4"/>
  <c r="BR37" i="4" s="1"/>
  <c r="CT35" i="4"/>
  <c r="BF35" i="4" s="1"/>
  <c r="BH38" i="4" l="1"/>
  <c r="BL38" i="4" s="1"/>
  <c r="BH35" i="4"/>
  <c r="BL35" i="4"/>
  <c r="BG35" i="4"/>
  <c r="BG37" i="4"/>
  <c r="BH37" i="4"/>
  <c r="BL37" i="4"/>
  <c r="E247" i="4" l="1"/>
  <c r="CT23" i="4" l="1"/>
  <c r="CT24" i="4"/>
  <c r="CK23" i="4"/>
  <c r="BI111" i="4" l="1"/>
  <c r="CQ111" i="4" l="1"/>
  <c r="CS111" i="4"/>
  <c r="BJ111" i="4"/>
  <c r="BK111" i="4"/>
  <c r="BM111" i="4"/>
  <c r="BN111" i="4"/>
  <c r="BO111" i="4"/>
  <c r="BQ111" i="4"/>
  <c r="BS111" i="4"/>
  <c r="BT111" i="4"/>
  <c r="CJ111" i="4"/>
  <c r="AB111" i="4"/>
  <c r="AC111" i="4"/>
  <c r="AD111" i="4"/>
  <c r="AE111" i="4"/>
  <c r="AF111" i="4"/>
  <c r="AG111" i="4"/>
  <c r="AH111" i="4"/>
  <c r="AI111" i="4"/>
  <c r="AK111" i="4"/>
  <c r="AL111" i="4"/>
  <c r="AN111" i="4"/>
  <c r="AO111" i="4"/>
  <c r="AP111" i="4"/>
  <c r="AQ111" i="4"/>
  <c r="AR111" i="4"/>
  <c r="AS111" i="4"/>
  <c r="AT111" i="4"/>
  <c r="AV111" i="4"/>
  <c r="AW111" i="4"/>
  <c r="AY111" i="4"/>
  <c r="BA111" i="4"/>
  <c r="F129" i="16" s="1"/>
  <c r="BB111" i="4"/>
  <c r="L111" i="4"/>
  <c r="P111" i="4"/>
  <c r="Q111" i="4"/>
  <c r="S111" i="4"/>
  <c r="F165" i="16" s="1"/>
  <c r="T111" i="4"/>
  <c r="W111" i="4"/>
  <c r="Y111" i="4"/>
  <c r="J111" i="4"/>
  <c r="F168" i="16" l="1"/>
  <c r="H168" i="16" s="1"/>
  <c r="M168" i="16" s="1"/>
  <c r="F170" i="16"/>
  <c r="H170" i="16" s="1"/>
  <c r="M170" i="16" s="1"/>
  <c r="F169" i="16"/>
  <c r="H169" i="16" s="1"/>
  <c r="M169" i="16" s="1"/>
  <c r="F166" i="16"/>
  <c r="J166" i="16" s="1"/>
  <c r="M166" i="16" s="1"/>
  <c r="F167" i="16"/>
  <c r="L167" i="16" s="1"/>
  <c r="M167" i="16" s="1"/>
  <c r="F171" i="16"/>
  <c r="H171" i="16" s="1"/>
  <c r="M171" i="16" s="1"/>
  <c r="F135" i="16"/>
  <c r="H135" i="16" s="1"/>
  <c r="M135" i="16" s="1"/>
  <c r="F130" i="16"/>
  <c r="J130" i="16" s="1"/>
  <c r="M130" i="16" s="1"/>
  <c r="F134" i="16"/>
  <c r="H134" i="16" s="1"/>
  <c r="M134" i="16" s="1"/>
  <c r="F133" i="16"/>
  <c r="H133" i="16" s="1"/>
  <c r="M133" i="16" s="1"/>
  <c r="F131" i="16"/>
  <c r="L131" i="16" s="1"/>
  <c r="M131" i="16" s="1"/>
  <c r="F132" i="16"/>
  <c r="H132" i="16" s="1"/>
  <c r="M132" i="16" s="1"/>
  <c r="AM111" i="4"/>
  <c r="AJ111" i="4"/>
  <c r="F117" i="16" s="1"/>
  <c r="O111" i="4"/>
  <c r="M111" i="4"/>
  <c r="F110" i="16" s="1"/>
  <c r="F186" i="16" s="1"/>
  <c r="F120" i="16" l="1"/>
  <c r="H120" i="16" s="1"/>
  <c r="M120" i="16" s="1"/>
  <c r="F121" i="16"/>
  <c r="H121" i="16" s="1"/>
  <c r="M121" i="16" s="1"/>
  <c r="F118" i="16"/>
  <c r="J118" i="16" s="1"/>
  <c r="M118" i="16" s="1"/>
  <c r="F119" i="16"/>
  <c r="L119" i="16" s="1"/>
  <c r="M119" i="16" s="1"/>
  <c r="F112" i="16"/>
  <c r="L112" i="16" s="1"/>
  <c r="M112" i="16" s="1"/>
  <c r="F116" i="16"/>
  <c r="H116" i="16" s="1"/>
  <c r="M116" i="16" s="1"/>
  <c r="F111" i="16"/>
  <c r="J111" i="16" s="1"/>
  <c r="M111" i="16" s="1"/>
  <c r="F114" i="16"/>
  <c r="H114" i="16" s="1"/>
  <c r="M114" i="16" s="1"/>
  <c r="F115" i="16"/>
  <c r="H115" i="16" s="1"/>
  <c r="M115" i="16" s="1"/>
  <c r="F113" i="16"/>
  <c r="L113" i="16" s="1"/>
  <c r="M113" i="16" s="1"/>
  <c r="U111" i="4"/>
  <c r="F172" i="16" s="1"/>
  <c r="X111" i="4"/>
  <c r="F205" i="16" s="1"/>
  <c r="AZ111" i="4"/>
  <c r="F122" i="16" s="1"/>
  <c r="AU111" i="4"/>
  <c r="F143" i="16" s="1"/>
  <c r="BD111" i="4"/>
  <c r="F148" i="16" s="1"/>
  <c r="R111" i="4"/>
  <c r="F158" i="16" s="1"/>
  <c r="F179" i="16" s="1"/>
  <c r="V111" i="4"/>
  <c r="AX111" i="4"/>
  <c r="F136" i="16" s="1"/>
  <c r="BC111" i="4"/>
  <c r="F153" i="16" s="1"/>
  <c r="F190" i="16" l="1"/>
  <c r="H190" i="16" s="1"/>
  <c r="M190" i="16" s="1"/>
  <c r="F189" i="16"/>
  <c r="H189" i="16" s="1"/>
  <c r="M189" i="16" s="1"/>
  <c r="F187" i="16"/>
  <c r="J187" i="16" s="1"/>
  <c r="M187" i="16" s="1"/>
  <c r="F191" i="16"/>
  <c r="H191" i="16" s="1"/>
  <c r="M191" i="16" s="1"/>
  <c r="F188" i="16"/>
  <c r="L188" i="16" s="1"/>
  <c r="M188" i="16" s="1"/>
  <c r="F192" i="16"/>
  <c r="H192" i="16" s="1"/>
  <c r="M192" i="16" s="1"/>
  <c r="F150" i="16"/>
  <c r="L150" i="16" s="1"/>
  <c r="M150" i="16" s="1"/>
  <c r="F149" i="16"/>
  <c r="J149" i="16" s="1"/>
  <c r="M149" i="16" s="1"/>
  <c r="F151" i="16"/>
  <c r="H151" i="16" s="1"/>
  <c r="M151" i="16" s="1"/>
  <c r="F152" i="16"/>
  <c r="H152" i="16" s="1"/>
  <c r="M152" i="16" s="1"/>
  <c r="F157" i="16"/>
  <c r="H157" i="16" s="1"/>
  <c r="M157" i="16" s="1"/>
  <c r="F155" i="16"/>
  <c r="L155" i="16" s="1"/>
  <c r="M155" i="16" s="1"/>
  <c r="F156" i="16"/>
  <c r="H156" i="16" s="1"/>
  <c r="M156" i="16" s="1"/>
  <c r="F154" i="16"/>
  <c r="J154" i="16" s="1"/>
  <c r="M154" i="16" s="1"/>
  <c r="F142" i="16"/>
  <c r="H142" i="16" s="1"/>
  <c r="M142" i="16" s="1"/>
  <c r="F140" i="16"/>
  <c r="H140" i="16" s="1"/>
  <c r="M140" i="16" s="1"/>
  <c r="F139" i="16"/>
  <c r="H139" i="16" s="1"/>
  <c r="M139" i="16" s="1"/>
  <c r="F137" i="16"/>
  <c r="J137" i="16" s="1"/>
  <c r="M137" i="16" s="1"/>
  <c r="F141" i="16"/>
  <c r="H141" i="16" s="1"/>
  <c r="M141" i="16" s="1"/>
  <c r="F138" i="16"/>
  <c r="L138" i="16" s="1"/>
  <c r="M138" i="16" s="1"/>
  <c r="F147" i="16"/>
  <c r="H147" i="16" s="1"/>
  <c r="M147" i="16" s="1"/>
  <c r="F144" i="16"/>
  <c r="J144" i="16" s="1"/>
  <c r="M144" i="16" s="1"/>
  <c r="F146" i="16"/>
  <c r="H146" i="16" s="1"/>
  <c r="M146" i="16" s="1"/>
  <c r="F145" i="16"/>
  <c r="L145" i="16" s="1"/>
  <c r="M145" i="16" s="1"/>
  <c r="F207" i="16"/>
  <c r="L207" i="16" s="1"/>
  <c r="M207" i="16" s="1"/>
  <c r="F209" i="16"/>
  <c r="H209" i="16" s="1"/>
  <c r="M209" i="16" s="1"/>
  <c r="F206" i="16"/>
  <c r="J206" i="16" s="1"/>
  <c r="M206" i="16" s="1"/>
  <c r="F208" i="16"/>
  <c r="H208" i="16" s="1"/>
  <c r="M208" i="16" s="1"/>
  <c r="F159" i="16"/>
  <c r="J159" i="16" s="1"/>
  <c r="M159" i="16" s="1"/>
  <c r="F162" i="16"/>
  <c r="H162" i="16" s="1"/>
  <c r="M162" i="16" s="1"/>
  <c r="F163" i="16"/>
  <c r="H163" i="16" s="1"/>
  <c r="M163" i="16" s="1"/>
  <c r="F161" i="16"/>
  <c r="H161" i="16" s="1"/>
  <c r="M161" i="16" s="1"/>
  <c r="F160" i="16"/>
  <c r="L160" i="16" s="1"/>
  <c r="M160" i="16" s="1"/>
  <c r="F164" i="16"/>
  <c r="H164" i="16" s="1"/>
  <c r="M164" i="16" s="1"/>
  <c r="F176" i="16"/>
  <c r="H176" i="16" s="1"/>
  <c r="M176" i="16" s="1"/>
  <c r="F174" i="16"/>
  <c r="L174" i="16" s="1"/>
  <c r="M174" i="16" s="1"/>
  <c r="F178" i="16"/>
  <c r="H178" i="16" s="1"/>
  <c r="M178" i="16" s="1"/>
  <c r="F177" i="16"/>
  <c r="H177" i="16" s="1"/>
  <c r="M177" i="16" s="1"/>
  <c r="F173" i="16"/>
  <c r="J173" i="16" s="1"/>
  <c r="M173" i="16" s="1"/>
  <c r="F175" i="16"/>
  <c r="H175" i="16" s="1"/>
  <c r="M175" i="16" s="1"/>
  <c r="F126" i="16"/>
  <c r="H126" i="16" s="1"/>
  <c r="M126" i="16" s="1"/>
  <c r="F127" i="16"/>
  <c r="H127" i="16" s="1"/>
  <c r="M127" i="16" s="1"/>
  <c r="F128" i="16"/>
  <c r="H128" i="16" s="1"/>
  <c r="M128" i="16" s="1"/>
  <c r="F123" i="16"/>
  <c r="J123" i="16" s="1"/>
  <c r="F124" i="16"/>
  <c r="L124" i="16" s="1"/>
  <c r="F125" i="16"/>
  <c r="H125" i="16" s="1"/>
  <c r="F184" i="16" l="1"/>
  <c r="H184" i="16" s="1"/>
  <c r="M184" i="16" s="1"/>
  <c r="F181" i="16"/>
  <c r="L181" i="16" s="1"/>
  <c r="M181" i="16" s="1"/>
  <c r="F180" i="16"/>
  <c r="J180" i="16" s="1"/>
  <c r="M180" i="16" s="1"/>
  <c r="F182" i="16"/>
  <c r="H182" i="16" s="1"/>
  <c r="M182" i="16" s="1"/>
  <c r="F185" i="16"/>
  <c r="H185" i="16" s="1"/>
  <c r="M185" i="16" s="1"/>
  <c r="F183" i="16"/>
  <c r="H183" i="16" s="1"/>
  <c r="M183" i="16" s="1"/>
  <c r="M123" i="16"/>
  <c r="M125" i="16"/>
  <c r="M124" i="16"/>
  <c r="CR111" i="4"/>
  <c r="CB111" i="4"/>
  <c r="CA111" i="4"/>
  <c r="BZ111" i="4"/>
  <c r="P270" i="4"/>
  <c r="M270" i="4"/>
  <c r="CI111" i="4" l="1"/>
  <c r="CN111" i="4"/>
  <c r="BX111" i="4" l="1"/>
  <c r="BU111" i="4"/>
  <c r="BY111" i="4"/>
  <c r="CM111" i="4"/>
  <c r="BV111" i="4"/>
  <c r="BW111" i="4"/>
  <c r="C357" i="4" l="1"/>
  <c r="D357" i="4"/>
  <c r="E357" i="4"/>
  <c r="C358" i="4"/>
  <c r="D358" i="4"/>
  <c r="E358" i="4"/>
  <c r="C359" i="4"/>
  <c r="D359" i="4"/>
  <c r="E359" i="4"/>
  <c r="C360" i="4"/>
  <c r="D360" i="4"/>
  <c r="E360" i="4"/>
  <c r="C361" i="4"/>
  <c r="D361" i="4"/>
  <c r="E361" i="4"/>
  <c r="C362" i="4"/>
  <c r="D362" i="4"/>
  <c r="E362" i="4"/>
  <c r="C363" i="4"/>
  <c r="D363" i="4"/>
  <c r="E363" i="4"/>
  <c r="D356" i="4"/>
  <c r="Q298" i="4"/>
  <c r="R298" i="4"/>
  <c r="Q299" i="4"/>
  <c r="R299" i="4"/>
  <c r="R297" i="4"/>
  <c r="Q297" i="4"/>
  <c r="O270" i="4"/>
  <c r="L298" i="4"/>
  <c r="O298" i="4" s="1"/>
  <c r="L299" i="4"/>
  <c r="M299" i="4" s="1"/>
  <c r="L297" i="4"/>
  <c r="M297" i="4" s="1"/>
  <c r="R270" i="4"/>
  <c r="M271" i="4"/>
  <c r="E367" i="4"/>
  <c r="D367" i="4"/>
  <c r="C367" i="4"/>
  <c r="E365" i="4"/>
  <c r="D365" i="4"/>
  <c r="C365" i="4"/>
  <c r="C356" i="4"/>
  <c r="D352" i="4"/>
  <c r="C353" i="4"/>
  <c r="C354" i="4"/>
  <c r="C355" i="4"/>
  <c r="C352" i="4"/>
  <c r="R313" i="4" l="1"/>
  <c r="Q270" i="4"/>
  <c r="Q313" i="4"/>
  <c r="O297" i="4"/>
  <c r="M298" i="4"/>
  <c r="O299" i="4"/>
  <c r="D66" i="4"/>
  <c r="D67" i="4"/>
  <c r="M313" i="4" l="1"/>
  <c r="O313" i="4"/>
  <c r="CT34" i="4" l="1"/>
  <c r="CK34" i="4"/>
  <c r="CT25" i="4"/>
  <c r="CT26" i="4"/>
  <c r="CT27" i="4"/>
  <c r="CT28" i="4"/>
  <c r="CT29" i="4"/>
  <c r="CT30" i="4"/>
  <c r="CK24" i="4"/>
  <c r="CK25" i="4"/>
  <c r="CK26" i="4"/>
  <c r="CK27" i="4"/>
  <c r="CK28" i="4"/>
  <c r="CK29" i="4"/>
  <c r="CK30" i="4"/>
  <c r="BF27" i="4" l="1"/>
  <c r="BF29" i="4"/>
  <c r="BH29" i="4" s="1"/>
  <c r="BF25" i="4"/>
  <c r="BF28" i="4"/>
  <c r="BH28" i="4" s="1"/>
  <c r="BF24" i="4"/>
  <c r="BF30" i="4"/>
  <c r="BF26" i="4"/>
  <c r="BF34" i="4"/>
  <c r="BH34" i="4" s="1"/>
  <c r="BL24" i="4" l="1"/>
  <c r="BH27" i="4"/>
  <c r="BL27" i="4" s="1"/>
  <c r="BG27" i="4"/>
  <c r="BG29" i="4"/>
  <c r="BL29" i="4"/>
  <c r="BG34" i="4"/>
  <c r="BL34" i="4"/>
  <c r="BH25" i="4"/>
  <c r="BG25" i="4"/>
  <c r="BL28" i="4"/>
  <c r="BG28" i="4"/>
  <c r="BG24" i="4"/>
  <c r="BH24" i="4"/>
  <c r="BG26" i="4"/>
  <c r="BH26" i="4"/>
  <c r="BG30" i="4"/>
  <c r="BH30" i="4"/>
  <c r="BL26" i="4" l="1"/>
  <c r="BL25" i="4"/>
  <c r="BL30" i="4"/>
  <c r="BP111" i="4"/>
  <c r="D355" i="4" l="1"/>
  <c r="E356" i="4"/>
  <c r="E355" i="4"/>
  <c r="E354" i="4"/>
  <c r="D354" i="4"/>
  <c r="E353" i="4"/>
  <c r="D353" i="4"/>
  <c r="E352" i="4"/>
  <c r="CT31" i="4" l="1"/>
  <c r="CT32" i="4"/>
  <c r="CT12" i="4"/>
  <c r="CT13" i="4"/>
  <c r="CT16" i="4"/>
  <c r="CT17" i="4"/>
  <c r="CT18" i="4"/>
  <c r="CK32" i="4"/>
  <c r="BF32" i="4" l="1"/>
  <c r="CK15" i="4"/>
  <c r="CK33" i="4"/>
  <c r="CK31" i="4"/>
  <c r="BF31" i="4" s="1"/>
  <c r="CK12" i="4"/>
  <c r="CT19" i="4"/>
  <c r="CT10" i="4"/>
  <c r="CK10" i="4"/>
  <c r="CK14" i="4"/>
  <c r="CK17" i="4"/>
  <c r="CK19" i="4"/>
  <c r="CT33" i="4"/>
  <c r="CT14" i="4"/>
  <c r="CT15" i="4"/>
  <c r="CK22" i="4"/>
  <c r="CK16" i="4"/>
  <c r="CK18" i="4"/>
  <c r="CK21" i="4"/>
  <c r="BF23" i="4"/>
  <c r="CT11" i="4"/>
  <c r="H299" i="4"/>
  <c r="H298" i="4"/>
  <c r="F299" i="4"/>
  <c r="F298" i="4"/>
  <c r="P271" i="4"/>
  <c r="Q271" i="4" s="1"/>
  <c r="P272" i="4"/>
  <c r="R272" i="4" s="1"/>
  <c r="P273" i="4"/>
  <c r="P274" i="4"/>
  <c r="O274" i="4"/>
  <c r="O273" i="4"/>
  <c r="O272" i="4"/>
  <c r="O271" i="4"/>
  <c r="M274" i="4"/>
  <c r="M273" i="4"/>
  <c r="M272" i="4"/>
  <c r="BH23" i="4" l="1"/>
  <c r="BL23" i="4"/>
  <c r="BF33" i="4"/>
  <c r="BG23" i="4"/>
  <c r="BH32" i="4"/>
  <c r="BG32" i="4"/>
  <c r="BH31" i="4"/>
  <c r="BG31" i="4"/>
  <c r="CT22" i="4"/>
  <c r="BF22" i="4" s="1"/>
  <c r="CT21" i="4"/>
  <c r="BF21" i="4" s="1"/>
  <c r="M294" i="4"/>
  <c r="M315" i="4" s="1"/>
  <c r="G248" i="4" s="1"/>
  <c r="CK11" i="4"/>
  <c r="Q272" i="4"/>
  <c r="R273" i="4"/>
  <c r="CK13" i="4"/>
  <c r="CL111" i="4"/>
  <c r="R271" i="4"/>
  <c r="Q274" i="4"/>
  <c r="R274" i="4"/>
  <c r="Q273" i="4"/>
  <c r="F99" i="16" l="1"/>
  <c r="F193" i="16"/>
  <c r="E253" i="4"/>
  <c r="BL32" i="4"/>
  <c r="BL31" i="4"/>
  <c r="R294" i="4"/>
  <c r="R315" i="4" s="1"/>
  <c r="BL22" i="4"/>
  <c r="BH22" i="4"/>
  <c r="BG22" i="4"/>
  <c r="BH21" i="4"/>
  <c r="BG21" i="4"/>
  <c r="BL21" i="4"/>
  <c r="BG33" i="4"/>
  <c r="BH33" i="4"/>
  <c r="BG111" i="4" l="1"/>
  <c r="BR111" i="4"/>
  <c r="F210" i="16" s="1"/>
  <c r="BH111" i="4"/>
  <c r="F103" i="16" s="1"/>
  <c r="BL33" i="4"/>
  <c r="BL111" i="4" s="1"/>
  <c r="F198" i="16" s="1"/>
  <c r="F32" i="16" l="1"/>
  <c r="F35" i="16"/>
  <c r="F105" i="16"/>
  <c r="L105" i="16" s="1"/>
  <c r="M105" i="16" s="1"/>
  <c r="F109" i="16"/>
  <c r="H109" i="16" s="1"/>
  <c r="M109" i="16" s="1"/>
  <c r="F107" i="16"/>
  <c r="H107" i="16" s="1"/>
  <c r="M107" i="16" s="1"/>
  <c r="F104" i="16"/>
  <c r="J104" i="16" s="1"/>
  <c r="M104" i="16" s="1"/>
  <c r="F108" i="16"/>
  <c r="H108" i="16" s="1"/>
  <c r="M108" i="16" s="1"/>
  <c r="F106" i="16"/>
  <c r="L106" i="16" s="1"/>
  <c r="M106" i="16" s="1"/>
  <c r="F213" i="16"/>
  <c r="H213" i="16" s="1"/>
  <c r="M213" i="16" s="1"/>
  <c r="F215" i="16"/>
  <c r="H215" i="16" s="1"/>
  <c r="M215" i="16" s="1"/>
  <c r="F214" i="16"/>
  <c r="H214" i="16" s="1"/>
  <c r="M214" i="16" s="1"/>
  <c r="F211" i="16"/>
  <c r="J211" i="16" s="1"/>
  <c r="M211" i="16" s="1"/>
  <c r="F212" i="16"/>
  <c r="L212" i="16" s="1"/>
  <c r="M212" i="16" s="1"/>
  <c r="F216" i="16"/>
  <c r="H216" i="16" s="1"/>
  <c r="M216" i="16" s="1"/>
  <c r="H274" i="4"/>
  <c r="F274" i="4"/>
  <c r="H273" i="4"/>
  <c r="F273" i="4"/>
  <c r="AA111" i="4"/>
  <c r="F17" i="16" s="1"/>
  <c r="F53" i="16" l="1"/>
  <c r="F51" i="16"/>
  <c r="F52" i="16" s="1"/>
  <c r="J52" i="16" s="1"/>
  <c r="M52" i="16" s="1"/>
  <c r="F36" i="16"/>
  <c r="J36" i="16" s="1"/>
  <c r="M36" i="16" s="1"/>
  <c r="F38" i="16"/>
  <c r="H38" i="16" s="1"/>
  <c r="F37" i="16"/>
  <c r="L37" i="16" s="1"/>
  <c r="M37" i="16" s="1"/>
  <c r="F19" i="16"/>
  <c r="L19" i="16" s="1"/>
  <c r="F18" i="16"/>
  <c r="J18" i="16" s="1"/>
  <c r="F34" i="16"/>
  <c r="L34" i="16" s="1"/>
  <c r="M34" i="16" s="1"/>
  <c r="F33" i="16"/>
  <c r="J33" i="16" s="1"/>
  <c r="M33" i="16" s="1"/>
  <c r="H377" i="4"/>
  <c r="H272" i="4"/>
  <c r="I111" i="4"/>
  <c r="F270" i="4"/>
  <c r="F271" i="4"/>
  <c r="G377" i="4"/>
  <c r="Z111" i="4"/>
  <c r="H270" i="4"/>
  <c r="H297" i="4"/>
  <c r="C377" i="4"/>
  <c r="F272" i="4"/>
  <c r="F86" i="16" s="1"/>
  <c r="H86" i="16" s="1"/>
  <c r="BE111" i="4"/>
  <c r="E377" i="4"/>
  <c r="F297" i="4"/>
  <c r="F85" i="16" s="1"/>
  <c r="H85" i="16" s="1"/>
  <c r="D377" i="4"/>
  <c r="H271" i="4"/>
  <c r="M38" i="16" l="1"/>
  <c r="M18" i="16"/>
  <c r="M19" i="16"/>
  <c r="F54" i="16"/>
  <c r="J54" i="16" s="1"/>
  <c r="M54" i="16" s="1"/>
  <c r="F55" i="16"/>
  <c r="L55" i="16" s="1"/>
  <c r="M55" i="16" s="1"/>
  <c r="F90" i="16"/>
  <c r="F313" i="4"/>
  <c r="F81" i="16"/>
  <c r="H97" i="16"/>
  <c r="M97" i="16" s="1"/>
  <c r="F94" i="16"/>
  <c r="H78" i="16"/>
  <c r="M78" i="16" s="1"/>
  <c r="M85" i="16"/>
  <c r="H294" i="4"/>
  <c r="H313" i="4"/>
  <c r="F294" i="4"/>
  <c r="O294" i="4"/>
  <c r="O315" i="4" s="1"/>
  <c r="G254" i="4" s="1"/>
  <c r="F315" i="4" l="1"/>
  <c r="F98" i="16"/>
  <c r="H98" i="16" s="1"/>
  <c r="M98" i="16" s="1"/>
  <c r="F95" i="16"/>
  <c r="J95" i="16" s="1"/>
  <c r="M95" i="16" s="1"/>
  <c r="F96" i="16"/>
  <c r="L96" i="16" s="1"/>
  <c r="M96" i="16" s="1"/>
  <c r="F77" i="16"/>
  <c r="L77" i="16" s="1"/>
  <c r="M77" i="16" s="1"/>
  <c r="F76" i="16"/>
  <c r="L76" i="16" s="1"/>
  <c r="M76" i="16" s="1"/>
  <c r="F79" i="16"/>
  <c r="H79" i="16" s="1"/>
  <c r="M79" i="16" s="1"/>
  <c r="F80" i="16"/>
  <c r="H80" i="16" s="1"/>
  <c r="M80" i="16" s="1"/>
  <c r="F74" i="16"/>
  <c r="J74" i="16" s="1"/>
  <c r="M74" i="16" s="1"/>
  <c r="F75" i="16"/>
  <c r="L75" i="16" s="1"/>
  <c r="M75" i="16" s="1"/>
  <c r="F84" i="16"/>
  <c r="L84" i="16" s="1"/>
  <c r="M84" i="16" s="1"/>
  <c r="F82" i="16"/>
  <c r="J82" i="16" s="1"/>
  <c r="M82" i="16" s="1"/>
  <c r="F83" i="16"/>
  <c r="L83" i="16" s="1"/>
  <c r="M83" i="16" s="1"/>
  <c r="H90" i="16"/>
  <c r="M90" i="16" s="1"/>
  <c r="F87" i="16"/>
  <c r="M86" i="16" s="1"/>
  <c r="H315" i="4"/>
  <c r="Q294" i="4"/>
  <c r="Q315" i="4" s="1"/>
  <c r="F202" i="16" l="1"/>
  <c r="H202" i="16" s="1"/>
  <c r="M202" i="16" s="1"/>
  <c r="F201" i="16"/>
  <c r="H201" i="16" s="1"/>
  <c r="M201" i="16" s="1"/>
  <c r="F203" i="16"/>
  <c r="H203" i="16" s="1"/>
  <c r="M203" i="16" s="1"/>
  <c r="F204" i="16"/>
  <c r="H204" i="16" s="1"/>
  <c r="M204" i="16" s="1"/>
  <c r="F199" i="16"/>
  <c r="J199" i="16" s="1"/>
  <c r="M199" i="16" s="1"/>
  <c r="F200" i="16"/>
  <c r="L200" i="16" s="1"/>
  <c r="M200" i="16" s="1"/>
  <c r="F89" i="16"/>
  <c r="L89" i="16" s="1"/>
  <c r="M89" i="16" s="1"/>
  <c r="F91" i="16"/>
  <c r="H91" i="16" s="1"/>
  <c r="M91" i="16" s="1"/>
  <c r="F92" i="16"/>
  <c r="H92" i="16" s="1"/>
  <c r="M92" i="16" s="1"/>
  <c r="F93" i="16"/>
  <c r="H93" i="16" s="1"/>
  <c r="M93" i="16" s="1"/>
  <c r="F88" i="16"/>
  <c r="J88" i="16" s="1"/>
  <c r="M88" i="16" s="1"/>
  <c r="F102" i="16"/>
  <c r="H102" i="16" s="1"/>
  <c r="M102" i="16" s="1"/>
  <c r="F101" i="16"/>
  <c r="L101" i="16" s="1"/>
  <c r="M101" i="16" s="1"/>
  <c r="F100" i="16"/>
  <c r="J100" i="16" s="1"/>
  <c r="M100" i="16" s="1"/>
  <c r="F196" i="16"/>
  <c r="H196" i="16" s="1"/>
  <c r="M196" i="16" s="1"/>
  <c r="F194" i="16"/>
  <c r="J194" i="16" s="1"/>
  <c r="M194" i="16" s="1"/>
  <c r="F197" i="16"/>
  <c r="H197" i="16" s="1"/>
  <c r="M197" i="16" s="1"/>
  <c r="F195" i="16"/>
  <c r="L195" i="16" s="1"/>
  <c r="M195" i="16" s="1"/>
  <c r="M225" i="16" l="1"/>
  <c r="J225" i="16"/>
  <c r="H225" i="16"/>
  <c r="M226" i="16" s="1"/>
  <c r="L225" i="16"/>
  <c r="BF111" i="4"/>
  <c r="M227" i="16" l="1"/>
  <c r="M228" i="16" s="1"/>
  <c r="M229" i="16" s="1"/>
  <c r="M230" i="16" l="1"/>
  <c r="M231" i="16" s="1"/>
  <c r="M407" i="16" l="1"/>
  <c r="M408" i="16" s="1"/>
  <c r="M409" i="16" s="1"/>
  <c r="M410" i="16" l="1"/>
  <c r="M411" i="16" s="1"/>
  <c r="D8" i="8"/>
  <c r="D23" i="8" s="1"/>
  <c r="D9" i="8" l="1"/>
  <c r="D22" i="8" s="1"/>
  <c r="D24" i="8" s="1"/>
  <c r="M412" i="16"/>
  <c r="D7" i="8" s="1"/>
  <c r="D25" i="8" l="1"/>
  <c r="D26" i="8" s="1"/>
  <c r="D27" i="8" l="1"/>
  <c r="D28" i="8" s="1"/>
</calcChain>
</file>

<file path=xl/comments1.xml><?xml version="1.0" encoding="utf-8"?>
<comments xmlns="http://schemas.openxmlformats.org/spreadsheetml/2006/main">
  <authors>
    <author>Author</author>
  </authors>
  <commentLis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7,05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6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0,220
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0,220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7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10,2</t>
        </r>
      </text>
    </comment>
  </commentList>
</comments>
</file>

<file path=xl/sharedStrings.xml><?xml version="1.0" encoding="utf-8"?>
<sst xmlns="http://schemas.openxmlformats.org/spreadsheetml/2006/main" count="3181" uniqueCount="1090">
  <si>
    <t>##</t>
  </si>
  <si>
    <t>g/m</t>
  </si>
  <si>
    <t>c</t>
  </si>
  <si>
    <t>SeniSvna</t>
  </si>
  <si>
    <t>kbm</t>
  </si>
  <si>
    <t>kvm</t>
  </si>
  <si>
    <t>kg</t>
  </si>
  <si>
    <t>tn</t>
  </si>
  <si>
    <t>zumfara</t>
  </si>
  <si>
    <t>Weri</t>
  </si>
  <si>
    <t>iataki</t>
  </si>
  <si>
    <t>kedlebi</t>
  </si>
  <si>
    <t>zomebi</t>
  </si>
  <si>
    <t>TabaSirmuyao</t>
  </si>
  <si>
    <t>plastikati</t>
  </si>
  <si>
    <t xml:space="preserve">stiaJka </t>
  </si>
  <si>
    <t>laminati</t>
  </si>
  <si>
    <t>plintusi</t>
  </si>
  <si>
    <t>SeRebva</t>
  </si>
  <si>
    <t>kafeli</t>
  </si>
  <si>
    <t>sul</t>
  </si>
  <si>
    <t>betonis iataki</t>
  </si>
  <si>
    <t>lesva Sida kedlebi</t>
  </si>
  <si>
    <t>laminirebuli iatakis mowyoba</t>
  </si>
  <si>
    <t>lari</t>
  </si>
  <si>
    <t>ც</t>
  </si>
  <si>
    <t xml:space="preserve">metlaxi 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</si>
  <si>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</si>
  <si>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</si>
  <si>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</si>
  <si>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</si>
  <si>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</si>
  <si>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</si>
  <si>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</si>
  <si>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manqana</t>
  </si>
  <si>
    <t xml:space="preserve">sxva manqana </t>
  </si>
  <si>
    <t>manqanebi</t>
  </si>
  <si>
    <t>sxva masalebi</t>
  </si>
  <si>
    <t>8-15-1</t>
  </si>
  <si>
    <t xml:space="preserve">Sromis danaxarjebi  </t>
  </si>
  <si>
    <t>11-8-1-2</t>
  </si>
  <si>
    <t>11-20-3</t>
  </si>
  <si>
    <t>emulsiuri saRebavi</t>
  </si>
  <si>
    <t>15-168-7</t>
  </si>
  <si>
    <t xml:space="preserve">fiTxi </t>
  </si>
  <si>
    <t>sabazro</t>
  </si>
  <si>
    <t>9-14-5</t>
  </si>
  <si>
    <t>11-27-5</t>
  </si>
  <si>
    <t>amstrongi</t>
  </si>
  <si>
    <t>keramograniti</t>
  </si>
  <si>
    <t>damuSaveba, dubliaJi, emuls SeRebva</t>
  </si>
  <si>
    <t>damuSaveba, dubliaJi, Spalieri</t>
  </si>
  <si>
    <t>Sekiduli</t>
  </si>
  <si>
    <t>karebebi</t>
  </si>
  <si>
    <t>X</t>
  </si>
  <si>
    <r>
      <rPr>
        <b/>
        <sz val="14"/>
        <color theme="1"/>
        <rFont val="Sylfaen"/>
        <family val="2"/>
        <charset val="204"/>
        <scheme val="minor"/>
      </rPr>
      <t xml:space="preserve">S </t>
    </r>
    <r>
      <rPr>
        <b/>
        <sz val="12"/>
        <color theme="1"/>
        <rFont val="AcadNusx"/>
      </rPr>
      <t>kvm</t>
    </r>
  </si>
  <si>
    <r>
      <rPr>
        <b/>
        <sz val="14"/>
        <color theme="1"/>
        <rFont val="Sylfaen"/>
        <family val="2"/>
        <charset val="204"/>
        <scheme val="minor"/>
      </rPr>
      <t>P</t>
    </r>
    <r>
      <rPr>
        <b/>
        <sz val="12"/>
        <color theme="1"/>
        <rFont val="AcadNusx"/>
      </rPr>
      <t xml:space="preserve"> g/m</t>
    </r>
  </si>
  <si>
    <t>mopirkeTeba</t>
  </si>
  <si>
    <t>m o c u l o b e b i</t>
  </si>
  <si>
    <t>5</t>
  </si>
  <si>
    <t>8</t>
  </si>
  <si>
    <t>11-42-1</t>
  </si>
  <si>
    <t>15-168-10</t>
  </si>
  <si>
    <t xml:space="preserve">kafelis fila                </t>
  </si>
  <si>
    <t>webocementi yinvagamZle</t>
  </si>
  <si>
    <t>Senobis el montaJis samuSaoebi</t>
  </si>
  <si>
    <t>gegmiuri dagroveba</t>
  </si>
  <si>
    <t>მ</t>
  </si>
  <si>
    <t>saxarjTaRricxvo gaangariSebis #</t>
  </si>
  <si>
    <t>samuSaoebisa da danaxarjebis dasaxeleba</t>
  </si>
  <si>
    <t>jami</t>
  </si>
  <si>
    <t>sul xarjTaRricxviT</t>
  </si>
  <si>
    <t>I</t>
  </si>
  <si>
    <t>zednadebi xarjebi</t>
  </si>
  <si>
    <t>9</t>
  </si>
  <si>
    <t>kompl</t>
  </si>
  <si>
    <t>sarke, xelis saSrobi, qaRaldisa da sapnis spenserebi</t>
  </si>
  <si>
    <t>arsebuli keramograniti</t>
  </si>
  <si>
    <t>metlaxis iatakis demontaJi</t>
  </si>
  <si>
    <t>Sromis danaxarji</t>
  </si>
  <si>
    <t>#1</t>
  </si>
  <si>
    <t>12</t>
  </si>
  <si>
    <t>eleqtrodi</t>
  </si>
  <si>
    <t>wert</t>
  </si>
  <si>
    <t>კომპლ</t>
  </si>
  <si>
    <t xml:space="preserve">iatakis mopirkeTeba keramogranitis filiT </t>
  </si>
  <si>
    <t>Senobis saxanZro usafrTxoebis qselis  montaJi</t>
  </si>
  <si>
    <t>santeqnikuri mowyobilobebis montaJi</t>
  </si>
  <si>
    <t>TviTmasworebadi fena</t>
  </si>
  <si>
    <t>sikaCapturi xsnariT</t>
  </si>
  <si>
    <t>mSrali xis iataki -gembanuri  -- 10-12 sm SipebiT</t>
  </si>
  <si>
    <t>fanjrebi</t>
  </si>
  <si>
    <t>filiT</t>
  </si>
  <si>
    <t>laminirebuli</t>
  </si>
  <si>
    <t>demontaJi</t>
  </si>
  <si>
    <t>xis iatakis demontaJi</t>
  </si>
  <si>
    <t>betonis iatakis demontaJi</t>
  </si>
  <si>
    <t>mowyoba</t>
  </si>
  <si>
    <t>arsebuli mozaikuri</t>
  </si>
  <si>
    <t>paneliT mopirketeba</t>
  </si>
  <si>
    <t>mozaikis  iatakis demontaJi</t>
  </si>
  <si>
    <t>Weris karnizi</t>
  </si>
  <si>
    <t>saerTo samSeneblo samuSaoebi</t>
  </si>
  <si>
    <t>3</t>
  </si>
  <si>
    <t>k 1</t>
  </si>
  <si>
    <t>k 2</t>
  </si>
  <si>
    <t>k 3</t>
  </si>
  <si>
    <t>k 4</t>
  </si>
  <si>
    <t>f 1</t>
  </si>
  <si>
    <t>S</t>
  </si>
  <si>
    <t>raodenoba</t>
  </si>
  <si>
    <t>s u l</t>
  </si>
  <si>
    <t>Riobebis gamoklebiT</t>
  </si>
  <si>
    <t xml:space="preserve">iatakis mopirkeTeba metlaxis filiT </t>
  </si>
  <si>
    <t>keramikuli filis plintusis mowyoba</t>
  </si>
  <si>
    <t>TabaSirmuyaos Sekiduli Weris mowyoba</t>
  </si>
  <si>
    <t>amstrongis tipis Sekiduli Weris mowyoba</t>
  </si>
  <si>
    <t>wvrilmarcvlovani         betoni b.25</t>
  </si>
  <si>
    <t>cali</t>
  </si>
  <si>
    <t>betoni b.25</t>
  </si>
  <si>
    <t>proeqtiT</t>
  </si>
  <si>
    <t>amwe saavtomobilo svlaze 25t</t>
  </si>
  <si>
    <t>0465</t>
  </si>
  <si>
    <t>amwe saavtomobilo svlaze 6,3t</t>
  </si>
  <si>
    <t>0625</t>
  </si>
  <si>
    <t>jalambari (libiotka) 3t  eleqtroreversiuli</t>
  </si>
  <si>
    <t>rafa g/m</t>
  </si>
  <si>
    <r>
      <t>sul</t>
    </r>
    <r>
      <rPr>
        <b/>
        <sz val="14"/>
        <color theme="1"/>
        <rFont val="Sylfaen"/>
        <family val="2"/>
        <charset val="204"/>
        <scheme val="minor"/>
      </rPr>
      <t xml:space="preserve"> S</t>
    </r>
  </si>
  <si>
    <t>m3</t>
  </si>
  <si>
    <t>toli</t>
  </si>
  <si>
    <t>cementis xsnari m-100</t>
  </si>
  <si>
    <t>cementis xsnari m-200</t>
  </si>
  <si>
    <t>10-20-1 gamoy</t>
  </si>
  <si>
    <t>samSeneblo nagvis datvirTva xeliT avtoTviTmclelze</t>
  </si>
  <si>
    <t>xelovnuri granitis filebi</t>
  </si>
  <si>
    <t>11-36-3</t>
  </si>
  <si>
    <t>15-15-3</t>
  </si>
  <si>
    <t>k/sT</t>
  </si>
  <si>
    <t>liTonis profilebi</t>
  </si>
  <si>
    <t>grZ.m.</t>
  </si>
  <si>
    <t>samSeneblo WanWiki</t>
  </si>
  <si>
    <t>kg.</t>
  </si>
  <si>
    <t>TabaSir_muyaos fila</t>
  </si>
  <si>
    <t xml:space="preserve">sxva masalebi  </t>
  </si>
  <si>
    <t>amstrongis tipis Sekiduli Weri</t>
  </si>
  <si>
    <t>metaloplastmasis fanjris rafa 20-30sm</t>
  </si>
  <si>
    <t>13</t>
  </si>
  <si>
    <t>შრომის დანახარჯი</t>
  </si>
  <si>
    <t>კაც/სთ</t>
  </si>
  <si>
    <t>ლარი</t>
  </si>
  <si>
    <t>სხვა მასალები</t>
  </si>
  <si>
    <t>პანელური ტიპის რადიატორების მონტაჟი</t>
  </si>
  <si>
    <t>გ/მ</t>
  </si>
  <si>
    <t xml:space="preserve"> სხვა მანქანები</t>
  </si>
  <si>
    <t xml:space="preserve"> 16-24-2</t>
  </si>
  <si>
    <t>გრ/მ</t>
  </si>
  <si>
    <t xml:space="preserve"> 16-24-3</t>
  </si>
  <si>
    <t xml:space="preserve"> 16-24-4</t>
  </si>
  <si>
    <t xml:space="preserve"> 16-12-1</t>
  </si>
  <si>
    <t>ვენტილების მოწყობა</t>
  </si>
  <si>
    <t xml:space="preserve"> 16-3-1    გამ.</t>
  </si>
  <si>
    <t>შრომის დანახარჯები</t>
  </si>
  <si>
    <t>სხვა მანქანები</t>
  </si>
  <si>
    <t>მილების თბოიზოლაცია დამათბუნებელი მილით</t>
  </si>
  <si>
    <t>46-19-3</t>
  </si>
  <si>
    <t>xvrelebis gamotexva</t>
  </si>
  <si>
    <t>adg.</t>
  </si>
  <si>
    <t xml:space="preserve">sxva manqana  </t>
  </si>
  <si>
    <t>xvrelebis aRdgena cementis xsnariT</t>
  </si>
  <si>
    <t>18-2-10</t>
  </si>
  <si>
    <t>18-5-1</t>
  </si>
  <si>
    <t>46-22-5</t>
  </si>
  <si>
    <t>samSeneblo lursmani</t>
  </si>
  <si>
    <t xml:space="preserve">TabaSirmuyaos fiTxi </t>
  </si>
  <si>
    <t>დამატ.
2- გამოშ.
16-24-2</t>
  </si>
  <si>
    <t>მილების პლასტმასის სამაგრი დეტალები</t>
  </si>
  <si>
    <t>დამატ.
2- გამოშ.
16-24-3</t>
  </si>
  <si>
    <t>16–12–1</t>
  </si>
  <si>
    <t>სფერული ვენტილების მონტაჟი</t>
  </si>
  <si>
    <t>16–3–1</t>
  </si>
  <si>
    <t xml:space="preserve">პოლიეთილენის  ფასონური ნაწილების მოწყობა </t>
  </si>
  <si>
    <t>სხვა მასალა</t>
  </si>
  <si>
    <t>17-4-1</t>
  </si>
  <si>
    <t>man.</t>
  </si>
  <si>
    <t>კომპ</t>
  </si>
  <si>
    <t>17-1-5</t>
  </si>
  <si>
    <t xml:space="preserve">უნიტაზebიs muntaJi </t>
  </si>
  <si>
    <t>ხელსაბანebis montaJi</t>
  </si>
  <si>
    <t>17-3-3</t>
  </si>
  <si>
    <t>wylis შემრევebიs montaJi</t>
  </si>
  <si>
    <t>trapebis montaJi</t>
  </si>
  <si>
    <t>kanalizaciis qselis montaJi</t>
  </si>
  <si>
    <t>sakanalizacio plastmasis milebis damontaJeba 50 mm</t>
  </si>
  <si>
    <t>plasmasis mili d=100mm</t>
  </si>
  <si>
    <t>m</t>
  </si>
  <si>
    <t>სამგრი დეტალები</t>
  </si>
  <si>
    <t>კგ</t>
  </si>
  <si>
    <t>16-6-2</t>
  </si>
  <si>
    <t xml:space="preserve">fasonuri nawilebi </t>
  </si>
  <si>
    <t>wyalsadenis qselis daerTeba arsebul gare qselze</t>
  </si>
  <si>
    <t>16-20-1</t>
  </si>
  <si>
    <t>milsadenis gidravlikuri gamocda</t>
  </si>
  <si>
    <t>100 g/m</t>
  </si>
  <si>
    <t>wyali</t>
  </si>
  <si>
    <t>კ/სთ</t>
  </si>
  <si>
    <t>კომპ.</t>
  </si>
  <si>
    <t>16-22</t>
  </si>
  <si>
    <t>16-6-1</t>
  </si>
  <si>
    <t>21-23-8</t>
  </si>
  <si>
    <t>21-23-3</t>
  </si>
  <si>
    <t>21-18-1.</t>
  </si>
  <si>
    <t>გრძ.მ.</t>
  </si>
  <si>
    <t>maq/sT</t>
  </si>
  <si>
    <t>8-414-1</t>
  </si>
  <si>
    <t>SromiTi resursebi</t>
  </si>
  <si>
    <t>ჩამრთველების montaJi</t>
  </si>
  <si>
    <t>saStepselo rozetebis montaJi</t>
  </si>
  <si>
    <t>21-26-6 gamoy</t>
  </si>
  <si>
    <t>სანათების მონტაჟი</t>
  </si>
  <si>
    <t>0635</t>
  </si>
  <si>
    <t>0633</t>
  </si>
  <si>
    <t xml:space="preserve">hidravlikuri amwevi </t>
  </si>
  <si>
    <t>amwevi anZuri tvirTamweobiT 0.5 t</t>
  </si>
  <si>
    <t>trapi plastmasis d=50mm</t>
  </si>
  <si>
    <t>grZ.m</t>
  </si>
  <si>
    <t>Senobis Sida wyalsadenisa da kanalizaciis qselis montaJi</t>
  </si>
  <si>
    <t>k 5</t>
  </si>
  <si>
    <t>mdf-is 15sm siganis zoli</t>
  </si>
  <si>
    <t>*</t>
  </si>
  <si>
    <r>
      <rPr>
        <b/>
        <sz val="14"/>
        <color theme="1"/>
        <rFont val="Sylfaen"/>
        <family val="2"/>
        <charset val="204"/>
        <scheme val="minor"/>
      </rPr>
      <t xml:space="preserve">P </t>
    </r>
    <r>
      <rPr>
        <b/>
        <sz val="14"/>
        <color theme="1"/>
        <rFont val="AcadNusx"/>
      </rPr>
      <t>g/m</t>
    </r>
  </si>
  <si>
    <r>
      <t>P</t>
    </r>
    <r>
      <rPr>
        <b/>
        <sz val="14"/>
        <color theme="1"/>
        <rFont val="AcadNusx"/>
      </rPr>
      <t xml:space="preserve"> g/m</t>
    </r>
  </si>
  <si>
    <r>
      <rPr>
        <b/>
        <sz val="14"/>
        <color theme="1"/>
        <rFont val="AcadNusx"/>
      </rPr>
      <t>sul</t>
    </r>
    <r>
      <rPr>
        <b/>
        <sz val="14"/>
        <color theme="1"/>
        <rFont val="Sylfaen"/>
        <family val="2"/>
        <charset val="204"/>
        <scheme val="minor"/>
      </rPr>
      <t xml:space="preserve"> P</t>
    </r>
  </si>
  <si>
    <t>masala</t>
  </si>
  <si>
    <t xml:space="preserve">S </t>
  </si>
  <si>
    <t>fasadi</t>
  </si>
  <si>
    <t>normatiuli resursi</t>
  </si>
  <si>
    <t>erTeulze</t>
  </si>
  <si>
    <t>m/sT</t>
  </si>
  <si>
    <t>tn.</t>
  </si>
  <si>
    <t>RorRi</t>
  </si>
  <si>
    <t>xe masala</t>
  </si>
  <si>
    <t>8-4-7</t>
  </si>
  <si>
    <t>bitumis emulsia</t>
  </si>
  <si>
    <t>6-16-1</t>
  </si>
  <si>
    <t>wertilovani saZirkvlebi</t>
  </si>
  <si>
    <t>gidroizolacia</t>
  </si>
  <si>
    <t>ws-1</t>
  </si>
  <si>
    <t>ws-2</t>
  </si>
  <si>
    <t>ws-3</t>
  </si>
  <si>
    <t>ws-4</t>
  </si>
  <si>
    <t>ws-5</t>
  </si>
  <si>
    <t>fskeris farTi, (RorRi  10sm)</t>
  </si>
  <si>
    <t>grunti</t>
  </si>
  <si>
    <t>saqvabe</t>
  </si>
  <si>
    <t>ZiriTadi Senoba</t>
  </si>
  <si>
    <t>grunti mTlian qvabulSi kbm</t>
  </si>
  <si>
    <t>RorRi mTlian qvabulSi                    kvm</t>
  </si>
  <si>
    <t>tona</t>
  </si>
  <si>
    <r>
      <t>m</t>
    </r>
    <r>
      <rPr>
        <vertAlign val="superscript"/>
        <sz val="10"/>
        <rFont val="AcadNusx"/>
      </rPr>
      <t>2</t>
    </r>
  </si>
  <si>
    <t>xis masala</t>
  </si>
  <si>
    <t>WanWiki samSeneblo</t>
  </si>
  <si>
    <t>1-80-3</t>
  </si>
  <si>
    <t>t</t>
  </si>
  <si>
    <t>11-1-6</t>
  </si>
  <si>
    <t>14</t>
  </si>
  <si>
    <r>
      <t>m</t>
    </r>
    <r>
      <rPr>
        <b/>
        <vertAlign val="superscript"/>
        <sz val="10"/>
        <rFont val="AcadNusx"/>
      </rPr>
      <t>2</t>
    </r>
  </si>
  <si>
    <t>კაც.სთ.</t>
  </si>
  <si>
    <t>15_52_5</t>
  </si>
  <si>
    <t>kac.sT.</t>
  </si>
  <si>
    <t>cementi</t>
  </si>
  <si>
    <t>15-5-7 gam.</t>
  </si>
  <si>
    <t>danmati
1 gamosS.
7-58-4</t>
  </si>
  <si>
    <t>liTonis moajiri</t>
  </si>
  <si>
    <t>22</t>
  </si>
  <si>
    <t>9-5-1
gamy.</t>
  </si>
  <si>
    <t>liTonis karebi (aqsesuarebiT)</t>
  </si>
  <si>
    <t>sWvali</t>
  </si>
  <si>
    <t>10-19-2 gamy.</t>
  </si>
  <si>
    <t>alebastri</t>
  </si>
  <si>
    <t>metaloplastmasis rafebis mowyoba</t>
  </si>
  <si>
    <t xml:space="preserve">liTonis karebis blokis damzadeba da montaJi  </t>
  </si>
  <si>
    <t xml:space="preserve">Senobis Sida kar fanjrebis ferdoebis Selesva qviSa-cementis xsnariT </t>
  </si>
  <si>
    <t>Senobis Sida kedlebis Selesva qviSa-cementis xsnariT</t>
  </si>
  <si>
    <t>15_55_9</t>
  </si>
  <si>
    <t>Senobis Sida kedlebis damuSaveba da SeRebva emulsiuri saRebaviT</t>
  </si>
  <si>
    <t>kuTxeebis damcavi kuTxovana</t>
  </si>
  <si>
    <t>21-27-4</t>
  </si>
  <si>
    <t>wylis შემრევი xelsabanis</t>
  </si>
  <si>
    <r>
      <t>m</t>
    </r>
    <r>
      <rPr>
        <vertAlign val="superscript"/>
        <sz val="10"/>
        <rFont val="AcadNusx"/>
      </rPr>
      <t>3</t>
    </r>
  </si>
  <si>
    <t>23-22-2</t>
  </si>
  <si>
    <t>SeWra</t>
  </si>
  <si>
    <t>gazinTuli ZenZi</t>
  </si>
  <si>
    <t>II</t>
  </si>
  <si>
    <t>III</t>
  </si>
  <si>
    <t>26-2-7</t>
  </si>
  <si>
    <t>anakrebi rk/betonis Wis mosawyobad qvabulis mowyoba</t>
  </si>
  <si>
    <t>qviSa xreSi</t>
  </si>
  <si>
    <t>23-12-2 gam.</t>
  </si>
  <si>
    <t>rkina betonis iatakis moWimva cementis xsnariT   m-200 30mm</t>
  </si>
  <si>
    <t>fuga (Semavsebeli)</t>
  </si>
  <si>
    <t>15-164-8</t>
  </si>
  <si>
    <t>kibis liTonis konstruqciebis SeRebva antikoroziuli saRebaviT</t>
  </si>
  <si>
    <t>antikoroziuli saRebavi</t>
  </si>
  <si>
    <t>10-472-1</t>
  </si>
  <si>
    <t>10-743-3</t>
  </si>
  <si>
    <t>ც.</t>
  </si>
  <si>
    <t>10-744-5</t>
  </si>
  <si>
    <t>10-744-6</t>
  </si>
  <si>
    <t>10-54-8</t>
  </si>
  <si>
    <t>სახანძრო სიგნალიზაციის სადენი</t>
  </si>
  <si>
    <t>8-121-1</t>
  </si>
  <si>
    <t>universaluri samisamarToo bazis montaJi</t>
  </si>
  <si>
    <t>18-15-2</t>
  </si>
  <si>
    <t>manometrebis montaJi</t>
  </si>
  <si>
    <t>manometri</t>
  </si>
  <si>
    <t>18-8-4</t>
  </si>
  <si>
    <t>26–16</t>
  </si>
  <si>
    <t>teritoria</t>
  </si>
  <si>
    <t xml:space="preserve">qafplastis Weris karnizis mowyoba             </t>
  </si>
  <si>
    <t>xsnaris tumbo  3kbm/sT</t>
  </si>
  <si>
    <t>1431</t>
  </si>
  <si>
    <t>snf                       15-15</t>
  </si>
  <si>
    <t>6-1-22</t>
  </si>
  <si>
    <t>6-1-1</t>
  </si>
  <si>
    <t>6</t>
  </si>
  <si>
    <t xml:space="preserve">SromiTi resursebi                                                </t>
  </si>
  <si>
    <t>0470</t>
  </si>
  <si>
    <t>ceclmaqri fxvnilis Semcveli  baloni  10 l</t>
  </si>
  <si>
    <t>saxanZro sainventaro karadis montaJi, fxnilis Semcveli
cecmaqri saSualebebiT</t>
  </si>
  <si>
    <t>Senobis Sida wyalsadenisa da kanalizaciis qselis montaJis samuSaoebi</t>
  </si>
  <si>
    <t>16</t>
  </si>
  <si>
    <t>sul danaxarjebi</t>
  </si>
  <si>
    <t>saZirkvlis koWi</t>
  </si>
  <si>
    <t>komp.</t>
  </si>
  <si>
    <t>1</t>
  </si>
  <si>
    <t>2</t>
  </si>
  <si>
    <t>4</t>
  </si>
  <si>
    <t>7</t>
  </si>
  <si>
    <t>10</t>
  </si>
  <si>
    <t>11</t>
  </si>
  <si>
    <t>15</t>
  </si>
  <si>
    <t>17</t>
  </si>
  <si>
    <t>18</t>
  </si>
  <si>
    <t>kedlebis mopirketeba keramikuli filiT kafeliT</t>
  </si>
  <si>
    <t xml:space="preserve"> kvm</t>
  </si>
  <si>
    <r>
      <t xml:space="preserve">kuTxeebis damcavi kuTxovanebis mowyoba </t>
    </r>
    <r>
      <rPr>
        <sz val="11"/>
        <rFont val="AcadNusx"/>
      </rPr>
      <t>(4X4X150sm.)</t>
    </r>
  </si>
  <si>
    <t>snf 15</t>
  </si>
  <si>
    <t>Zalovani farebisa da qvefarebis montaJi</t>
  </si>
  <si>
    <t>el.ganaTebis  qselis montaJi</t>
  </si>
  <si>
    <t>gamanawilebeli kolofebis montaJi</t>
  </si>
  <si>
    <r>
      <t>gamanawilebeli kolofi
dacvis klasi</t>
    </r>
    <r>
      <rPr>
        <sz val="11"/>
        <rFont val="Sylfaen"/>
        <family val="2"/>
        <charset val="204"/>
        <scheme val="minor"/>
      </rPr>
      <t xml:space="preserve"> IP 20</t>
    </r>
  </si>
  <si>
    <r>
      <t>anakrebi rk/betonis Wis montaJi</t>
    </r>
    <r>
      <rPr>
        <sz val="11"/>
        <rFont val="AcadNusx"/>
      </rPr>
      <t xml:space="preserve"> </t>
    </r>
  </si>
  <si>
    <t>ქურო d-32მმ  PN 25</t>
  </si>
  <si>
    <t>დამხმარე და საინსტალაციო მასალები</t>
  </si>
  <si>
    <t>sadrenaJe rbili mili  d-32 (yvela sistemisaTvis)</t>
  </si>
  <si>
    <t xml:space="preserve">g/m </t>
  </si>
  <si>
    <t>Senobis gaTboba gagrilebisa da ventiliaciis sitemebis montaJi</t>
  </si>
  <si>
    <t>ventiliaciis sistemis montaJi</t>
  </si>
  <si>
    <t>ქვაბის დამხმარე და საინსტალაციო მასალა</t>
  </si>
  <si>
    <t>gaTbobis qvabis montaJi</t>
  </si>
  <si>
    <t>safarToebeli avzis mowyoba</t>
  </si>
  <si>
    <t>18–6–1</t>
  </si>
  <si>
    <t>tumbos montaJi</t>
  </si>
  <si>
    <t>18-15-4</t>
  </si>
  <si>
    <t>Termometrebis montaJi</t>
  </si>
  <si>
    <t>Termostatis montaJi</t>
  </si>
  <si>
    <t>Senobis Sida da gare wyalsadenisa da kanalizaciis qselis montaJi</t>
  </si>
  <si>
    <t>უნიტაზი Camrecxi avziT drekadi miliT d-15 l=40sm</t>
  </si>
  <si>
    <t>pl. muxli d-20</t>
  </si>
  <si>
    <t>pl. muxli d-25</t>
  </si>
  <si>
    <t>pl. quro d-20</t>
  </si>
  <si>
    <t>pl. quro d-25</t>
  </si>
  <si>
    <t>pl. gadamyvani d-25X20</t>
  </si>
  <si>
    <t>pl. samkapi d-20*20</t>
  </si>
  <si>
    <t>plasmasis mili d=50mm</t>
  </si>
  <si>
    <t>pl. gadamyvani d-100*50</t>
  </si>
  <si>
    <t>gruntis datvirTva xeliT           avtoTviTmclelze</t>
  </si>
  <si>
    <t>Seadgina: d.ribakova</t>
  </si>
  <si>
    <t>wyalsadenis qselis montaJi                            (civi da cxeli wyalmomarageba)</t>
  </si>
  <si>
    <t>მილი პლ. d-20 ufolgo</t>
  </si>
  <si>
    <t>მილი პლ. d-25 ufolgo</t>
  </si>
  <si>
    <t>pl. milebis Tboizolacia   d-25 (gubkiT)</t>
  </si>
  <si>
    <t>სფერული ვენტილი დ= 20 მმ pl.</t>
  </si>
  <si>
    <t>სფერული ვენტილი დ= 25 მმ pl.</t>
  </si>
  <si>
    <t>pl. samkapi d-25*25</t>
  </si>
  <si>
    <t>metlaxis fila</t>
  </si>
  <si>
    <t>dRg 18%</t>
  </si>
  <si>
    <t>pl. milebis Tboizolacia   d-20 (gubkiT)</t>
  </si>
  <si>
    <t>11-42-1 gamoy</t>
  </si>
  <si>
    <t>17-1-9</t>
  </si>
  <si>
    <t>ხელსაბამი fexiT qaSanuris,sifoniT, erTi drekadi miliT d-15 l=40sm</t>
  </si>
  <si>
    <t>17-3-4</t>
  </si>
  <si>
    <t>sarke, xelis saSrobi, qaRaldisa da sapnis spenserebis montaJi</t>
  </si>
  <si>
    <t>6,1, 18,29,30</t>
  </si>
  <si>
    <t>unitazisa da xelsabanis kompleqti SSmp pirTaTvis (xelCasavlebi aqsesuarebiT)</t>
  </si>
  <si>
    <t>cxeli wylis milebis Termoizolaciis   mowyoba</t>
  </si>
  <si>
    <t>betoni ბ.15</t>
  </si>
  <si>
    <t>safuZveli</t>
  </si>
  <si>
    <t>samuSaos dasaxeleba</t>
  </si>
  <si>
    <t>ganz.erT</t>
  </si>
  <si>
    <t>xelfasi</t>
  </si>
  <si>
    <t>erTeulis</t>
  </si>
  <si>
    <t>lk#5</t>
  </si>
  <si>
    <t>Senobis saxanZro usafrTxoebis qselis, videomonitoringisa da iternetis qselis montaJi</t>
  </si>
  <si>
    <t xml:space="preserve">sakontrolo მართვის პანელი </t>
  </si>
  <si>
    <t>Senobis videomonitoringis  qselis  montaJi</t>
  </si>
  <si>
    <t>Senobis sakomunikacio -- kompiuteruli da internetgayvanilobis  qselis montaJ</t>
  </si>
  <si>
    <t>10-54-1</t>
  </si>
  <si>
    <t>kabelis montaJi</t>
  </si>
  <si>
    <t>21-23-3 gamoy</t>
  </si>
  <si>
    <t>rozetebis montaJi</t>
  </si>
  <si>
    <t xml:space="preserve">uwyveti denis wyaros  SeZena montaJi </t>
  </si>
  <si>
    <t>xvrelebis mowyoba</t>
  </si>
  <si>
    <t xml:space="preserve">gegmiuri dagroveba  </t>
  </si>
  <si>
    <t>zednadebi xarjebi                             (muSa mosamsaxureTa ZiriTadi xelfasidan)</t>
  </si>
  <si>
    <t>wvrilmarcvlovani  betoni b.25</t>
  </si>
  <si>
    <t>#5-2</t>
  </si>
  <si>
    <t>#5-1</t>
  </si>
  <si>
    <t>Е1-22</t>
  </si>
  <si>
    <t>zedmeti gruntis datvirTva xeliT avtoTviTmclelze</t>
  </si>
  <si>
    <t>yalibis fari</t>
  </si>
  <si>
    <t>mastika bitumis</t>
  </si>
  <si>
    <t>lk#4</t>
  </si>
  <si>
    <t>III kategoriis gruntis damuSaveba qvabulisaTvis xeliT</t>
  </si>
  <si>
    <t>RorRis safuZvlis mowyoba sisqiT 10 sm datkepvniT</t>
  </si>
  <si>
    <t>მანქანები</t>
  </si>
  <si>
    <t>lk#3</t>
  </si>
  <si>
    <r>
      <t>saSrefselo komutaciis kolofi dacvis klasi</t>
    </r>
    <r>
      <rPr>
        <sz val="11"/>
        <rFont val="Sylfaen"/>
        <family val="2"/>
        <charset val="204"/>
        <scheme val="minor"/>
      </rPr>
      <t xml:space="preserve">    IP 20</t>
    </r>
  </si>
  <si>
    <t>19</t>
  </si>
  <si>
    <t>20</t>
  </si>
  <si>
    <t>21</t>
  </si>
  <si>
    <t>23</t>
  </si>
  <si>
    <t>24</t>
  </si>
  <si>
    <t>25</t>
  </si>
  <si>
    <t>8-7-3</t>
  </si>
  <si>
    <t>9-14-6</t>
  </si>
  <si>
    <t>amwe saavtomobilo svlaze 10t</t>
  </si>
  <si>
    <r>
      <t>Senobis gare da Sida Riobebis Sevseba aluminis vitraJuli karebisa da fanjris blokebiT</t>
    </r>
    <r>
      <rPr>
        <sz val="11"/>
        <color theme="1"/>
        <rFont val="AcadNusx"/>
      </rPr>
      <t xml:space="preserve"> (moc eskizis mixedviT)</t>
    </r>
  </si>
  <si>
    <t>aluminis vitraJuli karebisa da fanjris  blokebi, izoprofili  (Termo sistema)</t>
  </si>
  <si>
    <t>mdf-is karebis blokebis montaJi</t>
  </si>
  <si>
    <t>mdf-is karis bloki (maRali xarisxis 8mm, myari karkasiT aqsesuarebiT)</t>
  </si>
  <si>
    <t>qviSa-cementis xsnari   m-100</t>
  </si>
  <si>
    <t>qviSa-cementis xsnari    m-100</t>
  </si>
  <si>
    <r>
      <t>laminirebuli iatakis fari (maRali xarisxis)</t>
    </r>
    <r>
      <rPr>
        <sz val="11"/>
        <color theme="1"/>
        <rFont val="Sylfaen"/>
        <family val="2"/>
        <charset val="204"/>
        <scheme val="minor"/>
      </rPr>
      <t xml:space="preserve">  AC 5/33</t>
    </r>
  </si>
  <si>
    <t>nestgamZle TabaSirmuyaos Sekiduli Weris mowyoba</t>
  </si>
  <si>
    <t>TabaSir_muyaos fila nestgamZle</t>
  </si>
  <si>
    <t>qafplastis Weris karnizi</t>
  </si>
  <si>
    <t>11-42-1 gmoy</t>
  </si>
  <si>
    <t>gamxsnneli</t>
  </si>
  <si>
    <t>Senobis gare da Sida Riobebis Sevseba  metaloplastmasis fanjrisa da karebis    blokebiT</t>
  </si>
  <si>
    <t>keramogranitis fila yinvagamZle</t>
  </si>
  <si>
    <t>qviSa-cementis xsnari   m-200</t>
  </si>
  <si>
    <t xml:space="preserve">bade lesvis liTonis </t>
  </si>
  <si>
    <t>zednadebi xarjebi                                   (muSa mosamsaxureTa ZiriTadi xelfasidan)</t>
  </si>
  <si>
    <t xml:space="preserve"> </t>
  </si>
  <si>
    <t>lk #2</t>
  </si>
  <si>
    <t>samSeneblo masalis transportirebis xrjebi  (samSeneblo masalis Rirebulebidan)</t>
  </si>
  <si>
    <t>22-23- 1-2-3. misad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</si>
  <si>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</si>
  <si>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</si>
  <si>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</si>
  <si>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</si>
  <si>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</si>
  <si>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</si>
  <si>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</si>
  <si>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</si>
  <si>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</si>
  <si>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</si>
  <si>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</si>
  <si>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</si>
  <si>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</si>
  <si>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</si>
  <si>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susti denebi</t>
  </si>
  <si>
    <t>amstrongis</t>
  </si>
  <si>
    <t>plastikatis Sekiduli Weri</t>
  </si>
  <si>
    <t>TabaSirmuyaos Sekiduli Weri</t>
  </si>
  <si>
    <t xml:space="preserve">lesva </t>
  </si>
  <si>
    <t>damuSaveba, dubliaJis qaRaldi, emulsiuri SeRebva</t>
  </si>
  <si>
    <t>profilirebuli xis abSivka</t>
  </si>
  <si>
    <t>nestgamZle TabaSirmuyao</t>
  </si>
  <si>
    <t>akustikuri TabaSirmuyao</t>
  </si>
  <si>
    <t>al Sekiduli weri</t>
  </si>
  <si>
    <t>arsebulis datoveba</t>
  </si>
  <si>
    <t>stiaJkis demontaJi</t>
  </si>
  <si>
    <t>mozaika baseinis</t>
  </si>
  <si>
    <t>keramogranitis iatakis demontaJi</t>
  </si>
  <si>
    <t>xis parketis iatakis demontaJi</t>
  </si>
  <si>
    <t>laminirebuli parketis iatakis demontaJi</t>
  </si>
  <si>
    <t>linoleumis iatakis demontaJi</t>
  </si>
  <si>
    <t>parketis iataki moxvewa galaqva</t>
  </si>
  <si>
    <t>kavralini-rbili iataki</t>
  </si>
  <si>
    <t>xis iataki Cornapoli</t>
  </si>
  <si>
    <t>calobiTi  parketis</t>
  </si>
  <si>
    <t>kauCukis sportuli safari</t>
  </si>
  <si>
    <t>yinvagamZle keramograniti safexurebze da baqnebze</t>
  </si>
  <si>
    <t xml:space="preserve">keramograniti yinvagamZe </t>
  </si>
  <si>
    <t xml:space="preserve">bunebrivi granitis, bazaltis, fila </t>
  </si>
  <si>
    <t>lesva</t>
  </si>
  <si>
    <t>lesvis demontaJi</t>
  </si>
  <si>
    <t>saRebavis fenilis demontaJi</t>
  </si>
  <si>
    <t>akustikuri TabaSirmuyaos filiT mopirketeba</t>
  </si>
  <si>
    <t>TabaSirmuyaos filiT mopirketeba</t>
  </si>
  <si>
    <t xml:space="preserve">mowyoba </t>
  </si>
  <si>
    <t>k-1</t>
  </si>
  <si>
    <t>k-2</t>
  </si>
  <si>
    <t>k-3</t>
  </si>
  <si>
    <t>k-4</t>
  </si>
  <si>
    <t>k-5</t>
  </si>
  <si>
    <t>f-1</t>
  </si>
  <si>
    <t>Sida kibeebi -- safexurebi baqnebi moajiri</t>
  </si>
  <si>
    <t>safexurebi</t>
  </si>
  <si>
    <t>baqnebi</t>
  </si>
  <si>
    <t>gare kibeebi -- safexurebi baqnebi moajiri</t>
  </si>
  <si>
    <t xml:space="preserve">s u l </t>
  </si>
  <si>
    <t xml:space="preserve">saproeqto gare kedlebi </t>
  </si>
  <si>
    <t>39*19*30</t>
  </si>
  <si>
    <t>saproeqto kedlebi da tixrebis wyoba</t>
  </si>
  <si>
    <t>39*19*10</t>
  </si>
  <si>
    <t>39*19*15</t>
  </si>
  <si>
    <t>39*19*20</t>
  </si>
  <si>
    <t>iataki, Weri, stiaJka</t>
  </si>
  <si>
    <t>Sida kedlebi</t>
  </si>
  <si>
    <t>gare kedlebi</t>
  </si>
  <si>
    <t>atkosebi</t>
  </si>
  <si>
    <t>fanjara</t>
  </si>
  <si>
    <t>karebi</t>
  </si>
  <si>
    <t>rulonuri saxuravi</t>
  </si>
  <si>
    <t>sarineli</t>
  </si>
  <si>
    <t>demonrtaJi</t>
  </si>
  <si>
    <t>axlis mowyoba</t>
  </si>
  <si>
    <t>baz filiT mopirketeba</t>
  </si>
  <si>
    <t>ws-6</t>
  </si>
  <si>
    <t>ws-7</t>
  </si>
  <si>
    <t>ws-8</t>
  </si>
  <si>
    <t>ws-9</t>
  </si>
  <si>
    <t>ws-10</t>
  </si>
  <si>
    <t>ws-11</t>
  </si>
  <si>
    <t>ws-12</t>
  </si>
  <si>
    <t xml:space="preserve">gare       </t>
  </si>
  <si>
    <t xml:space="preserve">Sida </t>
  </si>
  <si>
    <t>fanjrebi karebebi</t>
  </si>
  <si>
    <t>mdf</t>
  </si>
  <si>
    <t>0,8*2,1</t>
  </si>
  <si>
    <t>cokoli</t>
  </si>
  <si>
    <t>kompl.</t>
  </si>
  <si>
    <t>20-7-1</t>
  </si>
  <si>
    <t>20-1-1</t>
  </si>
  <si>
    <t>sul Riobebis gamoklebiT</t>
  </si>
  <si>
    <t>sul vertikaluri farTi</t>
  </si>
  <si>
    <t>მინიატურული ავტომატური ამომრთვლი MCB C16/6kA</t>
  </si>
  <si>
    <t>3 ფაზა ქსელის ინდიკაცია</t>
  </si>
  <si>
    <t>II კლასის გადაძაბვის განმუხტველი  3P+NPE TNS ქსელისთვის, დაკომპლექტებული დამცავი ა/ამომრთველით</t>
  </si>
  <si>
    <t>ცალი</t>
  </si>
  <si>
    <t>კბ/ც</t>
  </si>
  <si>
    <t>დამხმარე ელ. სამონტაჟო მასალები</t>
  </si>
  <si>
    <t>ჰალოგენის არშემცველი სპილენძის კაბელი ორმაგი იზოლაციით NHXMH-J 3x1,5</t>
  </si>
  <si>
    <t>ჰალოგენის არშემცველი სპილენძის კაბელი ორმაგი იზოლაციით NHXMH-J 3x2,5</t>
  </si>
  <si>
    <t>გოფრირებული მილი Ø 16 (არააალებადი, თვითქრობადი) LSZH</t>
  </si>
  <si>
    <t>გოფრირებული მილი Ø 20 (არააალებადი, თვითქრობადი) LSZH</t>
  </si>
  <si>
    <t>გოფრირებული მილი Ø 32 (არააალებადი, თვითქრობადი) LSZH</t>
  </si>
  <si>
    <t xml:space="preserve">2 კლავიშიანი ჩამრთველი , 10A        </t>
  </si>
  <si>
    <t>სახანძრო სიგნალიზაციის კაბელი JE-H(ST)H FE180/E90 1x2x1,5</t>
  </si>
  <si>
    <t>PVC სამონტაჟო მილი  Ø 16 LSZH</t>
  </si>
  <si>
    <t>Ø 16 PVC სამონტაჟო მილის ფიტინგები და სამაგრები</t>
  </si>
  <si>
    <t>სამისამართო 1 I/O მოდული</t>
  </si>
  <si>
    <t>სამისამართო 4 I/O მოდული</t>
  </si>
  <si>
    <t>სახანძრო პანელის სტაბილიზირებული კვების ბლოკი, დამტენით</t>
  </si>
  <si>
    <t>შ/მ PoE ვიდეო კამერა
2MP, 1/2.8” CMOS image sensor, low illuminance, high image definition;
H.265&amp;H.264; 2 MP 30fps@1080P(1920×1080);
WDR, 3D DNR, HLC, BLC, digital watermarking;
2.7mm ~13.5mm lens; Max. IR LEDs Length 60m</t>
  </si>
  <si>
    <t>Bullet ტიპის PoE ვიდეო კამერა
1/2.9” 4Megapixel progressive scan STARVIS™ CMOS;
H.265&amp;H.264 dual-stream encoding; 20fps@6M(3072×2048),25/30fps@4M(2688×1520);
Day/Night(ICR), 3DNR, AWB, AGC, BLC
2.7mm ~13.5mm motorized lens; Max. IR LEDs Length 50m, IP67, IK10</t>
  </si>
  <si>
    <t xml:space="preserve">ვიდეოჩამწერთან თავსებადი მყარი დისკი 8TB </t>
  </si>
  <si>
    <t>ვიდეო კამერის სამონტაჟო კოლოფი IP65 კამერის კოლოფზე დამაგრების შესაძლებლობით</t>
  </si>
  <si>
    <t>კაბელი Cat.5e FTP LSZH</t>
  </si>
  <si>
    <t>სამონტაჟო მილი  Ø 16 LSZH</t>
  </si>
  <si>
    <t>სამონტაჟო მილის ფიტინგები და სამაგრები</t>
  </si>
  <si>
    <t>კაბელი Cat.6a U/FTP, სპილენძის 100% შემცველობით LSZH</t>
  </si>
  <si>
    <t>PVC გოფრირებული მილი Ø 16, LSZH</t>
  </si>
  <si>
    <t>სამონტაჟო კოლოფი</t>
  </si>
  <si>
    <r>
      <t>internet mimReb gamanawilebeli karadis montaJi</t>
    </r>
    <r>
      <rPr>
        <b/>
        <sz val="11"/>
        <color theme="1"/>
        <rFont val="Sylfaen"/>
        <family val="2"/>
        <charset val="204"/>
        <scheme val="minor"/>
      </rPr>
      <t xml:space="preserve">  </t>
    </r>
  </si>
  <si>
    <t>19" საკომუნიკაციო კარადა 24U</t>
  </si>
  <si>
    <t>სახარჯი მასალები (კაბელის სამაგრი, ხამუთები, სკობები, RJ-45 კონექტორები, საკომუნიკაციო კოლოფები, საიზოლაციო ლენტა, შურუპები და ა.შ.)</t>
  </si>
  <si>
    <t>დაშვების სისტემის კონტროლერი</t>
  </si>
  <si>
    <t>zedmeti gruntis transportireba 30km manZilze da gatana</t>
  </si>
  <si>
    <t>სპილენძის დასაპარალელებელი სავარცხელა 1P 16მმ²</t>
  </si>
  <si>
    <r>
      <t xml:space="preserve">pl. muxli </t>
    </r>
    <r>
      <rPr>
        <sz val="11"/>
        <color theme="1"/>
        <rFont val="Sylfaen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</t>
    </r>
  </si>
  <si>
    <r>
      <t xml:space="preserve">pl. muxli </t>
    </r>
    <r>
      <rPr>
        <sz val="11"/>
        <color theme="1"/>
        <rFont val="Sylfaen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</t>
    </r>
  </si>
  <si>
    <r>
      <t xml:space="preserve">pl. samkapi </t>
    </r>
    <r>
      <rPr>
        <sz val="11"/>
        <color theme="1"/>
        <rFont val="Sylfaen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d-50*50</t>
    </r>
  </si>
  <si>
    <r>
      <t xml:space="preserve">pl. samkapi </t>
    </r>
    <r>
      <rPr>
        <sz val="11"/>
        <color theme="1"/>
        <rFont val="Sylfaen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d-100*50</t>
    </r>
  </si>
  <si>
    <r>
      <t xml:space="preserve">pl. samkapi </t>
    </r>
    <r>
      <rPr>
        <sz val="11"/>
        <color theme="1"/>
        <rFont val="Sylfaen"/>
        <family val="2"/>
        <charset val="204"/>
        <scheme val="minor"/>
      </rPr>
      <t>a</t>
    </r>
    <r>
      <rPr>
        <sz val="11"/>
        <color theme="1"/>
        <rFont val="AcadNusx"/>
      </rPr>
      <t>-90</t>
    </r>
    <r>
      <rPr>
        <vertAlign val="superscript"/>
        <sz val="11"/>
        <color theme="1"/>
        <rFont val="AcadNusx"/>
      </rPr>
      <t xml:space="preserve">0 </t>
    </r>
    <r>
      <rPr>
        <sz val="11"/>
        <color theme="1"/>
        <rFont val="AcadNusx"/>
      </rPr>
      <t>d-100*100</t>
    </r>
  </si>
  <si>
    <r>
      <t xml:space="preserve">samkapi  d-25 </t>
    </r>
    <r>
      <rPr>
        <sz val="11"/>
        <color theme="1"/>
        <rFont val="Sylfaen"/>
        <family val="2"/>
        <charset val="204"/>
        <scheme val="minor"/>
      </rPr>
      <t>PN 25</t>
    </r>
  </si>
  <si>
    <r>
      <t>მუხლი   d-32  90</t>
    </r>
    <r>
      <rPr>
        <vertAlign val="superscript"/>
        <sz val="11"/>
        <color theme="1"/>
        <rFont val="Sylfaen"/>
        <family val="2"/>
        <charset val="204"/>
        <scheme val="minor"/>
      </rPr>
      <t xml:space="preserve">0   </t>
    </r>
    <r>
      <rPr>
        <sz val="11"/>
        <color theme="1"/>
        <rFont val="Sylfaen"/>
        <family val="2"/>
        <charset val="204"/>
        <scheme val="minor"/>
      </rPr>
      <t>PN 25</t>
    </r>
  </si>
  <si>
    <r>
      <t>მუხლი   d-25  90</t>
    </r>
    <r>
      <rPr>
        <vertAlign val="superscript"/>
        <sz val="11"/>
        <color theme="1"/>
        <rFont val="Sylfaen"/>
        <family val="2"/>
        <charset val="204"/>
        <scheme val="minor"/>
      </rPr>
      <t xml:space="preserve">0   </t>
    </r>
    <r>
      <rPr>
        <sz val="11"/>
        <color theme="1"/>
        <rFont val="Sylfaen"/>
        <family val="2"/>
        <charset val="204"/>
        <scheme val="minor"/>
      </rPr>
      <t>PN 25</t>
    </r>
  </si>
  <si>
    <r>
      <rPr>
        <sz val="11"/>
        <color theme="1"/>
        <rFont val="AcadNusx"/>
      </rPr>
      <t>gadamyvani</t>
    </r>
    <r>
      <rPr>
        <sz val="11"/>
        <color theme="1"/>
        <rFont val="Sylfaen"/>
        <family val="2"/>
        <charset val="204"/>
        <scheme val="minor"/>
      </rPr>
      <t xml:space="preserve">  d-32X25 PN 25</t>
    </r>
  </si>
  <si>
    <r>
      <rPr>
        <sz val="11"/>
        <color theme="1"/>
        <rFont val="AcadNusx"/>
      </rPr>
      <t>gadamyvani</t>
    </r>
    <r>
      <rPr>
        <sz val="11"/>
        <color theme="1"/>
        <rFont val="Sylfaen"/>
        <family val="2"/>
        <charset val="204"/>
        <scheme val="minor"/>
      </rPr>
      <t xml:space="preserve">  d-25X20 PN 25</t>
    </r>
  </si>
  <si>
    <t>1-80-8</t>
  </si>
  <si>
    <t>Е20-1-255</t>
  </si>
  <si>
    <t>46-23-2</t>
  </si>
  <si>
    <t>Senobis rekonstruqcia keTilmowyobis samuSaoebi</t>
  </si>
  <si>
    <t>0481</t>
  </si>
  <si>
    <t>Senobis Sida kedlebis mowyoba wvrili samSeneblo blokiT 39*19*15</t>
  </si>
  <si>
    <t>wvrili samSeneblo bloki 39X19X20</t>
  </si>
  <si>
    <t>wvrili samSeneblo bloki 39X19X15</t>
  </si>
  <si>
    <t>poliureTanis 5 Sriani safari</t>
  </si>
  <si>
    <t>15-55-10</t>
  </si>
  <si>
    <t>Weris lesva cementis xsnariT</t>
  </si>
  <si>
    <t>damuSaveba,  emuls SeRebva</t>
  </si>
  <si>
    <t>34-59-7
34-61-13
gamoy.</t>
  </si>
  <si>
    <t xml:space="preserve">liT moajiri,  SeRebva </t>
  </si>
  <si>
    <t>Senobis Sida kedlebis mowyoba wvrili samSeneblo blokiT 39*19*20</t>
  </si>
  <si>
    <t>miunxenis lesva</t>
  </si>
  <si>
    <t>saZirkvlis filis grunti</t>
  </si>
  <si>
    <t>betoni b.10</t>
  </si>
  <si>
    <t>liTonis karebis blokebis SeRebva antikoroziuli saRebaviT</t>
  </si>
  <si>
    <t>zednadebi xarjebi                                     (muSa mosamsaxureTa ZiriTadi xelfasidan)</t>
  </si>
  <si>
    <t>zednadebi xarjebi                                           (muSa mosamsaxureTa ZiriTadi xelfasidan)</t>
  </si>
  <si>
    <t>zednadebi xarjebi                                            (muSa mosamsaxureTa ZiriTadi xelfasidan)</t>
  </si>
  <si>
    <t>zednadebi xarjebi                                                    (muSa mosamsaxureTa ZiriTadi xelfasidan)</t>
  </si>
  <si>
    <t xml:space="preserve">sardafis sarTuli   </t>
  </si>
  <si>
    <t>aivani</t>
  </si>
  <si>
    <t>saevakuacio kibe</t>
  </si>
  <si>
    <t>safexurebi graniti bazalti</t>
  </si>
  <si>
    <t>baqani graniti bazalti</t>
  </si>
  <si>
    <t>cokolis mopirketeba granitiT bazalti</t>
  </si>
  <si>
    <r>
      <t xml:space="preserve">safexurebi </t>
    </r>
    <r>
      <rPr>
        <b/>
        <sz val="12"/>
        <color rgb="FFFF0000"/>
        <rFont val="AcadNusx"/>
      </rPr>
      <t>graniti</t>
    </r>
    <r>
      <rPr>
        <b/>
        <sz val="12"/>
        <rFont val="AcadNusx"/>
      </rPr>
      <t xml:space="preserve"> bazalti</t>
    </r>
  </si>
  <si>
    <r>
      <t xml:space="preserve">baqani </t>
    </r>
    <r>
      <rPr>
        <b/>
        <sz val="12"/>
        <color rgb="FFFF0000"/>
        <rFont val="AcadNusx"/>
      </rPr>
      <t xml:space="preserve">graniti </t>
    </r>
    <r>
      <rPr>
        <b/>
        <sz val="12"/>
        <rFont val="AcadNusx"/>
      </rPr>
      <t>bazalti</t>
    </r>
  </si>
  <si>
    <r>
      <t xml:space="preserve">cokolis mopirketeba </t>
    </r>
    <r>
      <rPr>
        <b/>
        <sz val="12"/>
        <color rgb="FFFF0000"/>
        <rFont val="AcadNusx"/>
      </rPr>
      <t xml:space="preserve">granitiT </t>
    </r>
    <r>
      <rPr>
        <b/>
        <sz val="12"/>
        <rFont val="AcadNusx"/>
      </rPr>
      <t>bazalti</t>
    </r>
  </si>
  <si>
    <r>
      <t xml:space="preserve">baqani </t>
    </r>
    <r>
      <rPr>
        <b/>
        <sz val="12"/>
        <color rgb="FFFF0000"/>
        <rFont val="AcadNusx"/>
      </rPr>
      <t>graniti</t>
    </r>
    <r>
      <rPr>
        <b/>
        <sz val="12"/>
        <rFont val="AcadNusx"/>
      </rPr>
      <t xml:space="preserve"> bazalti</t>
    </r>
  </si>
  <si>
    <r>
      <t xml:space="preserve">cokolis mopirketeba </t>
    </r>
    <r>
      <rPr>
        <b/>
        <sz val="12"/>
        <color rgb="FFFF0000"/>
        <rFont val="AcadNusx"/>
      </rPr>
      <t>granitiT</t>
    </r>
    <r>
      <rPr>
        <b/>
        <sz val="12"/>
        <rFont val="AcadNusx"/>
      </rPr>
      <t xml:space="preserve"> bazalti</t>
    </r>
  </si>
  <si>
    <t>aivnis qveda mxareebi</t>
  </si>
  <si>
    <t>metpl TeTri</t>
  </si>
  <si>
    <t>v-1</t>
  </si>
  <si>
    <t>#</t>
  </si>
  <si>
    <t>kibis qveda mxare</t>
  </si>
  <si>
    <r>
      <t xml:space="preserve">XPS + </t>
    </r>
    <r>
      <rPr>
        <b/>
        <sz val="11"/>
        <color theme="1"/>
        <rFont val="AcadNusx"/>
      </rPr>
      <t>SeRebva</t>
    </r>
  </si>
  <si>
    <r>
      <t xml:space="preserve">baqani + pandusi </t>
    </r>
    <r>
      <rPr>
        <b/>
        <sz val="12"/>
        <color rgb="FFFF0000"/>
        <rFont val="AcadNusx"/>
      </rPr>
      <t xml:space="preserve">graniti </t>
    </r>
    <r>
      <rPr>
        <b/>
        <sz val="12"/>
        <rFont val="AcadNusx"/>
      </rPr>
      <t>bazalti</t>
    </r>
  </si>
  <si>
    <t>0,9*2,1</t>
  </si>
  <si>
    <t>demontaJis samuSaoebi</t>
  </si>
  <si>
    <t>6-14-4</t>
  </si>
  <si>
    <t>wvrili samSeneblo bloki 39X19X30</t>
  </si>
  <si>
    <t xml:space="preserve">keramogranitis fila </t>
  </si>
  <si>
    <t>samSeneblo samuSaoebis damTavrebis Semdeg teritoriis dasufTaveba, samSeneblo narCenebis Segroveba, gamotana, avtoTviTmclelze dasatvirTavad</t>
  </si>
  <si>
    <t>Senoba - gaTbobis sistemis montaJi</t>
  </si>
  <si>
    <t xml:space="preserve">პანელური რადიატორი 600-1000   22 PKKP  </t>
  </si>
  <si>
    <t xml:space="preserve">პანელური რადიატორი 600-800   22 PKKP </t>
  </si>
  <si>
    <t xml:space="preserve">პანელური რადიატორი 600-600   22 PKKP  </t>
  </si>
  <si>
    <t>milebis Tboizolacia   d-20  milebisaTvis</t>
  </si>
  <si>
    <t>milebis Tboizolacia   d-25  milebisaTvis</t>
  </si>
  <si>
    <t>milebis Tboizolacia   d-32  milebisaTvis</t>
  </si>
  <si>
    <t xml:space="preserve">ფასონური ნაწილების მონტაჟი </t>
  </si>
  <si>
    <r>
      <t>მუხლი   d-20  90</t>
    </r>
    <r>
      <rPr>
        <vertAlign val="superscript"/>
        <sz val="11"/>
        <color theme="1"/>
        <rFont val="Sylfaen"/>
        <family val="2"/>
        <charset val="204"/>
        <scheme val="minor"/>
      </rPr>
      <t>0</t>
    </r>
    <r>
      <rPr>
        <sz val="11"/>
        <color theme="1"/>
        <rFont val="Sylfaen"/>
        <family val="2"/>
        <charset val="204"/>
        <scheme val="minor"/>
      </rPr>
      <t xml:space="preserve">  PN 25</t>
    </r>
  </si>
  <si>
    <t>ქურო პოლიპროპილენი/მეტალი  დ-20/1,2"</t>
  </si>
  <si>
    <t>fumi didi</t>
  </si>
  <si>
    <t>skoCi</t>
  </si>
  <si>
    <t>wyali  1,21+4,31</t>
  </si>
  <si>
    <t>#3</t>
  </si>
  <si>
    <t xml:space="preserve">saventilacio arxebis mowyoba moTuTiebuli Tunuqisagan sisqe 1 mm </t>
  </si>
  <si>
    <t>100 kv.m</t>
  </si>
  <si>
    <t>SromiTi danaxarji</t>
  </si>
  <si>
    <t>სავენტილაციო არხი 150*150 მმ</t>
  </si>
  <si>
    <t>samagri elementebi</t>
  </si>
  <si>
    <t>sxvadasxva masala</t>
  </si>
  <si>
    <t>20-20-2</t>
  </si>
  <si>
    <t xml:space="preserve">ventilaciis agregatis mowyoba ukusarqveliT </t>
  </si>
  <si>
    <t>srf 7,2-16</t>
  </si>
  <si>
    <r>
      <t xml:space="preserve">გამწოვი ვენტილატორი </t>
    </r>
    <r>
      <rPr>
        <sz val="11"/>
        <rFont val="Levenim MT"/>
        <charset val="177"/>
      </rPr>
      <t>v</t>
    </r>
    <r>
      <rPr>
        <sz val="11"/>
        <rFont val="LitNusx"/>
        <family val="2"/>
      </rPr>
      <t xml:space="preserve">-350 კუბ.მ/სთ, d-150 </t>
    </r>
    <r>
      <rPr>
        <sz val="11"/>
        <rFont val="Calibri"/>
        <family val="2"/>
        <charset val="204"/>
      </rPr>
      <t>pa</t>
    </r>
  </si>
  <si>
    <t>#4</t>
  </si>
  <si>
    <t>saqvabe -- mowyobilobebisa da danadgarebis montaJi</t>
  </si>
  <si>
    <t>18-10-1</t>
  </si>
  <si>
    <t>gamanawilebeli kvanZis damontaJeba</t>
  </si>
  <si>
    <t xml:space="preserve"> SromiTi danaxarji </t>
  </si>
  <si>
    <t xml:space="preserve"> manqanebi </t>
  </si>
  <si>
    <r>
      <t xml:space="preserve">gamanawilebeli kvanZi (foladis mili d-133*4 </t>
    </r>
    <r>
      <rPr>
        <sz val="11"/>
        <rFont val="Sylfaen"/>
        <family val="2"/>
        <charset val="204"/>
        <scheme val="minor"/>
      </rPr>
      <t>L</t>
    </r>
    <r>
      <rPr>
        <sz val="11"/>
        <rFont val="AcadNusx"/>
      </rPr>
      <t>=1,50m)</t>
    </r>
  </si>
  <si>
    <t>saqvabe da Tbotrasa ---                         santeqnikuri samuSaoebi --  milgayvaniloba fasonuri nawilebi</t>
  </si>
  <si>
    <t>18-11-7</t>
  </si>
  <si>
    <t>avtomaturi haergamSvebis 1/2" montaJi</t>
  </si>
  <si>
    <t xml:space="preserve">avtomaturi haergamSvebi 1/2" </t>
  </si>
  <si>
    <t>16-14-2</t>
  </si>
  <si>
    <r>
      <rPr>
        <b/>
        <sz val="11"/>
        <color theme="1"/>
        <rFont val="AcadNusx"/>
      </rPr>
      <t xml:space="preserve">sarqvelis montaJi      </t>
    </r>
    <r>
      <rPr>
        <b/>
        <sz val="11"/>
        <color theme="1"/>
        <rFont val="Sylfaen"/>
        <family val="2"/>
        <scheme val="minor"/>
      </rPr>
      <t xml:space="preserve"> </t>
    </r>
  </si>
  <si>
    <t>usafrTxoebis sarqveli  1/2" 6 bari</t>
  </si>
  <si>
    <t>18-14-2</t>
  </si>
  <si>
    <t>wylis filtris montaJi</t>
  </si>
  <si>
    <t>filtri wylis d-25</t>
  </si>
  <si>
    <t>filtri wylis d-32</t>
  </si>
  <si>
    <t>Termometri</t>
  </si>
  <si>
    <t>Termostati</t>
  </si>
  <si>
    <t>ვენტილი d-32მმ</t>
  </si>
  <si>
    <t>ვენტილი d-20მმ</t>
  </si>
  <si>
    <t>16-9-2</t>
  </si>
  <si>
    <t>gr.m</t>
  </si>
  <si>
    <t>polipropilenis gaTbobis mili d-32*5,4</t>
  </si>
  <si>
    <t>polipropilenis gaTbobis mili d-25*4,2</t>
  </si>
  <si>
    <t>polipropilenis gaTbobis mili d-20*3,4</t>
  </si>
  <si>
    <t>izolacia d-32 polipropilenis milebisaTvis</t>
  </si>
  <si>
    <t>izolacia d-25 polipropilenis milebisaTvis</t>
  </si>
  <si>
    <t>izolacia d-20 polipropilenis milebisaTvis</t>
  </si>
  <si>
    <t>მინიატურული ავტომატური ამომრთვლი MCB B10/6kA</t>
  </si>
  <si>
    <t xml:space="preserve"> ელ. გამანაწილებელი ფარი MCB</t>
  </si>
  <si>
    <t>ავტომატური ამომრთვლი MCCB 3x25A</t>
  </si>
  <si>
    <t>ძალოვანი გამანაწილებელი საკლემო ბლოკი 4P-25A DIN ლარტყზე სამონტაჟო</t>
  </si>
  <si>
    <t>sadenebis montaJi</t>
  </si>
  <si>
    <t xml:space="preserve">საშტეფსელო როზეტი დამიწების კონტაქტით,  2P+E-16A   IP 55                                                   </t>
  </si>
  <si>
    <t xml:space="preserve">დუბლირებული საშტეფსელო როზეტი დამიწების კონტაქტით,  2P+E-16A, IP65                                           </t>
  </si>
  <si>
    <t xml:space="preserve">სამიანი საშტეფსელო როზეტი დამიწების კონტაქტით,  2P+E-16A, IP65                                           </t>
  </si>
  <si>
    <t xml:space="preserve">1 კლავიშიანი ჩამრთველი , 10A      IP 55                                                                    </t>
  </si>
  <si>
    <t>ჭერის სანათი LED lighting,8.6W,220V,IP20,2700K</t>
  </si>
  <si>
    <t>LED  სანათი  ამსტრონგი 600*600 მმ 38W,220V,IP20,2700K</t>
  </si>
  <si>
    <t>სამისამართო სახანძრო სიგნალიზაციის საკონტროლო პანელი 1 მარყუჟის დაერთების საშუალებით</t>
  </si>
  <si>
    <t>samisamarTo kvamlis  optikur eleqtronuli deteqtoris montaJi</t>
  </si>
  <si>
    <t>სამისამართო ოპტიკურ ელექტრონული კვამლის დეტექტორი</t>
  </si>
  <si>
    <t>samisamarTo saxanZro sagangebo Rilakis montaji</t>
  </si>
  <si>
    <t>samisamarTo saxanZro sagangebo Rilaki</t>
  </si>
  <si>
    <t>samisamarTo saxanZro სირენა (stromiT)</t>
  </si>
  <si>
    <t>saxanZro panelis stabilizirebuli kvebis blokis montaJi (damteniT)</t>
  </si>
  <si>
    <t>კომპიუტერული ქსელის როზეტი 2 x RJ45 Cat6. FTP</t>
  </si>
  <si>
    <t>ცხელი/ცივი წყლისათვის პლასტმასის მილების მოntaJi d-20</t>
  </si>
  <si>
    <t>ცხელი/ცივი წყლისათვის პლასტმასის მილების მოntaJi d-25</t>
  </si>
  <si>
    <t>ვენტილი 3/8" თითბეტის მონიკელებული</t>
  </si>
  <si>
    <t>ფუმი დიდი</t>
  </si>
  <si>
    <t>gamwmendi d-100</t>
  </si>
  <si>
    <t>sayalibe fari 25mm</t>
  </si>
  <si>
    <t xml:space="preserve">betoni b.25 </t>
  </si>
  <si>
    <t xml:space="preserve">VII sarTuli  </t>
  </si>
  <si>
    <t>sardafis sarTuli</t>
  </si>
  <si>
    <t>4,30*2,45</t>
  </si>
  <si>
    <t>1,90*2,60</t>
  </si>
  <si>
    <t>6,50*6,20</t>
  </si>
  <si>
    <t>kab</t>
  </si>
  <si>
    <t>arqivi</t>
  </si>
  <si>
    <t>sawyobi</t>
  </si>
  <si>
    <t>damx saTav</t>
  </si>
  <si>
    <t>7-7*</t>
  </si>
  <si>
    <t>f-2</t>
  </si>
  <si>
    <t>f-3</t>
  </si>
  <si>
    <t>1,0*2,2</t>
  </si>
  <si>
    <t>0,9*2,2</t>
  </si>
  <si>
    <t>1,5*2,8</t>
  </si>
  <si>
    <t>2,6*2,8</t>
  </si>
  <si>
    <t>1,7*1,7</t>
  </si>
  <si>
    <t>1,75*1,75</t>
  </si>
  <si>
    <t>1,2*1,7</t>
  </si>
  <si>
    <t>demontaji</t>
  </si>
  <si>
    <r>
      <t xml:space="preserve">WC + WC + </t>
    </r>
    <r>
      <rPr>
        <b/>
        <sz val="11"/>
        <rFont val="AcadNusx"/>
      </rPr>
      <t xml:space="preserve">SSmp </t>
    </r>
    <r>
      <rPr>
        <b/>
        <sz val="11"/>
        <rFont val="Sylfaen"/>
        <family val="2"/>
        <charset val="204"/>
        <scheme val="minor"/>
      </rPr>
      <t xml:space="preserve"> WC</t>
    </r>
  </si>
  <si>
    <t>koridori</t>
  </si>
  <si>
    <t>v 1</t>
  </si>
  <si>
    <t>f 2</t>
  </si>
  <si>
    <t>f 3</t>
  </si>
  <si>
    <t>metpl</t>
  </si>
  <si>
    <t>(0)* h=(0+0)</t>
  </si>
  <si>
    <t>(0)* h=(0)</t>
  </si>
  <si>
    <t>tixrebis demontaJi</t>
  </si>
  <si>
    <t>radiatorebis demontaJi</t>
  </si>
  <si>
    <t>kondicionerebis demontaJi</t>
  </si>
  <si>
    <r>
      <t xml:space="preserve">(6,2*2+3,75*1+3,75*3)*  </t>
    </r>
    <r>
      <rPr>
        <b/>
        <sz val="11"/>
        <rFont val="Sylfaen"/>
        <family val="2"/>
        <charset val="204"/>
        <scheme val="minor"/>
      </rPr>
      <t>h</t>
    </r>
    <r>
      <rPr>
        <b/>
        <sz val="11"/>
        <rFont val="AcadNusx"/>
      </rPr>
      <t>=2,8-0,8*2,1*6</t>
    </r>
  </si>
  <si>
    <t>WC</t>
  </si>
  <si>
    <t xml:space="preserve"> #2</t>
  </si>
  <si>
    <t>fanjris Riobebis gadideba</t>
  </si>
  <si>
    <t>(1,7*1,7-0,85*1,4)*  (3+5+9+1)</t>
  </si>
  <si>
    <r>
      <t xml:space="preserve">(12,8+0,15+3,3+0,15+3,10+0,15)* </t>
    </r>
    <r>
      <rPr>
        <b/>
        <sz val="12"/>
        <rFont val="Sylfaen"/>
        <family val="2"/>
        <charset val="204"/>
        <scheme val="minor"/>
      </rPr>
      <t>H</t>
    </r>
    <r>
      <rPr>
        <b/>
        <sz val="12"/>
        <rFont val="AcadNusx"/>
      </rPr>
      <t>=2,8*0,3+ 3,4*</t>
    </r>
    <r>
      <rPr>
        <b/>
        <sz val="12"/>
        <rFont val="Sylfaen"/>
        <family val="2"/>
        <charset val="204"/>
        <scheme val="minor"/>
      </rPr>
      <t>H</t>
    </r>
    <r>
      <rPr>
        <b/>
        <sz val="12"/>
        <rFont val="AcadNusx"/>
      </rPr>
      <t>=2,8*0,2 + 6,25*</t>
    </r>
    <r>
      <rPr>
        <b/>
        <sz val="12"/>
        <rFont val="Sylfaen"/>
        <family val="2"/>
        <charset val="204"/>
        <scheme val="minor"/>
      </rPr>
      <t>H</t>
    </r>
    <r>
      <rPr>
        <b/>
        <sz val="12"/>
        <rFont val="AcadNusx"/>
      </rPr>
      <t>=2,8*0,15</t>
    </r>
  </si>
  <si>
    <t>3,20*6,00</t>
  </si>
  <si>
    <t>6,30*6,00</t>
  </si>
  <si>
    <t>3,25*6,10</t>
  </si>
  <si>
    <t>3,00*6,10</t>
  </si>
  <si>
    <t>3,35*6,10</t>
  </si>
  <si>
    <t>3,20*6,10</t>
  </si>
  <si>
    <t>3,15*6,10</t>
  </si>
  <si>
    <t>korid</t>
  </si>
  <si>
    <t>kabinetebi</t>
  </si>
  <si>
    <r>
      <t>6,2*</t>
    </r>
    <r>
      <rPr>
        <b/>
        <sz val="10"/>
        <rFont val="Sylfaen"/>
        <family val="2"/>
        <charset val="204"/>
        <scheme val="minor"/>
      </rPr>
      <t>H</t>
    </r>
    <r>
      <rPr>
        <b/>
        <sz val="10"/>
        <rFont val="AcadNusx"/>
      </rPr>
      <t>=2,8*8c *0,15</t>
    </r>
  </si>
  <si>
    <r>
      <t>(19,5+19,5+2,7)*</t>
    </r>
    <r>
      <rPr>
        <b/>
        <sz val="10"/>
        <rFont val="Sylfaen"/>
        <family val="2"/>
        <charset val="204"/>
        <scheme val="minor"/>
      </rPr>
      <t>H</t>
    </r>
    <r>
      <rPr>
        <b/>
        <sz val="10"/>
        <rFont val="AcadNusx"/>
      </rPr>
      <t>=2,8*0,2 - (11*1,0*2,2+1*1,5*2,8)*0,2</t>
    </r>
  </si>
  <si>
    <t>k 6</t>
  </si>
  <si>
    <t>0,7*2,0</t>
  </si>
  <si>
    <t>8+1 c</t>
  </si>
  <si>
    <t>damxmare saTavso 2c</t>
  </si>
  <si>
    <t>1,30*1,10 *2c</t>
  </si>
  <si>
    <r>
      <rPr>
        <b/>
        <sz val="11"/>
        <rFont val="Sylfaen"/>
        <family val="2"/>
        <charset val="204"/>
        <scheme val="minor"/>
      </rPr>
      <t>L</t>
    </r>
    <r>
      <rPr>
        <b/>
        <sz val="11"/>
        <rFont val="AcadNusx"/>
      </rPr>
      <t xml:space="preserve">=6,6*4+3,55+3,2+6,4=39,55   X   </t>
    </r>
    <r>
      <rPr>
        <b/>
        <sz val="11"/>
        <rFont val="Sylfaen"/>
        <family val="2"/>
        <charset val="204"/>
        <scheme val="minor"/>
      </rPr>
      <t>B</t>
    </r>
    <r>
      <rPr>
        <b/>
        <sz val="11"/>
        <rFont val="AcadNusx"/>
      </rPr>
      <t>=(3,15+2,35)=5,5</t>
    </r>
  </si>
  <si>
    <t>kibis ujredi</t>
  </si>
  <si>
    <t>6,6*3,0</t>
  </si>
  <si>
    <t>2,2*1,5</t>
  </si>
  <si>
    <t>k-6</t>
  </si>
  <si>
    <t>saTavso</t>
  </si>
  <si>
    <t>6,70*6,10</t>
  </si>
  <si>
    <t>19,75*6,10</t>
  </si>
  <si>
    <t>6,30*5,80</t>
  </si>
  <si>
    <t>26,60*3,20</t>
  </si>
  <si>
    <t>3,85*5,80</t>
  </si>
  <si>
    <t>sardafi</t>
  </si>
  <si>
    <t>VII sarTuli</t>
  </si>
  <si>
    <t>S k-1</t>
  </si>
  <si>
    <t>S k-2</t>
  </si>
  <si>
    <t>S k-3</t>
  </si>
  <si>
    <t>1,5*2,1</t>
  </si>
  <si>
    <t>0,90*2,10</t>
  </si>
  <si>
    <t>1,50*2,10</t>
  </si>
  <si>
    <t>1,80*2,40</t>
  </si>
  <si>
    <t>I sarTuli</t>
  </si>
  <si>
    <t>sardafis k-1</t>
  </si>
  <si>
    <t>sardafis k-2</t>
  </si>
  <si>
    <t>sardafis k-3</t>
  </si>
  <si>
    <t>1,8*2,4</t>
  </si>
  <si>
    <t>demontaJi VII</t>
  </si>
  <si>
    <t>demontaJi sardafi</t>
  </si>
  <si>
    <t>demontaJi I</t>
  </si>
  <si>
    <t>I sarTulis     k-1</t>
  </si>
  <si>
    <t>al gamWvirvale miniT</t>
  </si>
  <si>
    <t xml:space="preserve">liT </t>
  </si>
  <si>
    <t>rk.betonis saniaRvre arxis mowyoba</t>
  </si>
  <si>
    <r>
      <t>m</t>
    </r>
    <r>
      <rPr>
        <vertAlign val="superscript"/>
        <sz val="11"/>
        <rFont val="AcadNusx"/>
      </rPr>
      <t>3</t>
    </r>
  </si>
  <si>
    <t>sanaRvre arxis rk.betonis kedlebisa da fskeris mowuoba</t>
  </si>
  <si>
    <t>saniaRvre arxis rk betonis kedlebis gidroizolacia</t>
  </si>
  <si>
    <t>koridori*</t>
  </si>
  <si>
    <t>4,3*1,05+7,4*1,2</t>
  </si>
  <si>
    <t>ofisi</t>
  </si>
  <si>
    <t>4,2*4,8</t>
  </si>
  <si>
    <t>baqnebisa da kibis marsebis qveS</t>
  </si>
  <si>
    <t>1,1*0,5</t>
  </si>
  <si>
    <t>I sarTulis     f-1</t>
  </si>
  <si>
    <t>armirebuli</t>
  </si>
  <si>
    <t xml:space="preserve">(0,3+0,15)*  * </t>
  </si>
  <si>
    <t xml:space="preserve"> * </t>
  </si>
  <si>
    <t>arsebuli  (sardafSi)</t>
  </si>
  <si>
    <t>1,1*2,2</t>
  </si>
  <si>
    <t>1,5*2,2</t>
  </si>
  <si>
    <t xml:space="preserve">(0,15+0,3)*  * </t>
  </si>
  <si>
    <t xml:space="preserve">(0,15+0,3)* * </t>
  </si>
  <si>
    <t>#1 sardafSi</t>
  </si>
  <si>
    <r>
      <t xml:space="preserve">safexurebi graniti </t>
    </r>
    <r>
      <rPr>
        <b/>
        <sz val="12"/>
        <color rgb="FFFF0000"/>
        <rFont val="AcadNusx"/>
      </rPr>
      <t>bazalti</t>
    </r>
  </si>
  <si>
    <r>
      <t xml:space="preserve">baqani graniti </t>
    </r>
    <r>
      <rPr>
        <b/>
        <sz val="12"/>
        <color rgb="FFFF0000"/>
        <rFont val="AcadNusx"/>
      </rPr>
      <t>bazalti</t>
    </r>
  </si>
  <si>
    <r>
      <t xml:space="preserve">cokolis mopirketeba granitiT </t>
    </r>
    <r>
      <rPr>
        <b/>
        <sz val="12"/>
        <color rgb="FFFF0000"/>
        <rFont val="AcadNusx"/>
      </rPr>
      <t>bazalti</t>
    </r>
  </si>
  <si>
    <t>1,8*0,95/2*2+0,3*0,16*2*6</t>
  </si>
  <si>
    <t xml:space="preserve">(0,16+0,3)*1,2*6 </t>
  </si>
  <si>
    <t>arsebuli</t>
  </si>
  <si>
    <t>46-31-14 misadag</t>
  </si>
  <si>
    <t>laminirebuli parketis iatakebis demontaJi</t>
  </si>
  <si>
    <t>46-31-2</t>
  </si>
  <si>
    <t>46-31-12-13</t>
  </si>
  <si>
    <t>cementis xsnaris moWimvis demontaJi</t>
  </si>
  <si>
    <t>46-27-5 misadag</t>
  </si>
  <si>
    <t>46-32-1</t>
  </si>
  <si>
    <t>dazianebuli fanjris blokebis demontaJi</t>
  </si>
  <si>
    <t>46-32-3</t>
  </si>
  <si>
    <t>dazianebuli karebis blokebis demontaJi</t>
  </si>
  <si>
    <t>46-15-2</t>
  </si>
  <si>
    <t xml:space="preserve">Sida kedlebis cementis xsnariT lesvis demontaJi  </t>
  </si>
  <si>
    <t>Sida el gayvanilobis sistemis sruli   demontaJi</t>
  </si>
  <si>
    <t>Sida gaTbobis sistemis sruli   demontaJi</t>
  </si>
  <si>
    <t>TabaSirmuyaos Sekiduli Weris demontaJi</t>
  </si>
  <si>
    <t>metlaxisa da keramogranitis iatakebis demontaJi</t>
  </si>
  <si>
    <t>kafelis mopirketebis demontaJi</t>
  </si>
  <si>
    <t>p-25-13-5</t>
  </si>
  <si>
    <t>kedlebis TabaSirmuyaos moppirkeTebis demontaJi</t>
  </si>
  <si>
    <t>avejisa da inventaris SefuTva gadaadgileba (damkveTis mier miTiTebul adgilze) samSeneblo samuSaoebis sawarmoeblad</t>
  </si>
  <si>
    <t>46-23-5</t>
  </si>
  <si>
    <r>
      <rPr>
        <b/>
        <sz val="11"/>
        <rFont val="AcadNusx"/>
      </rPr>
      <t>arqiteqturuli gegmarebidan gamomdinare aguris wyobis kedlebis demontaJi</t>
    </r>
    <r>
      <rPr>
        <sz val="11"/>
        <rFont val="AcadNusx"/>
      </rPr>
      <t xml:space="preserve"> (gaTvaliswinebulia fanjris Riobebis gafarToebisaTvis saWiro moculobebic)</t>
    </r>
  </si>
  <si>
    <t>sardafis sarTulze aguris wyobis kedlebis demontaJi</t>
  </si>
  <si>
    <t>aguris wyobis kedlis demontaJi sardafSi</t>
  </si>
  <si>
    <r>
      <t>5,4*</t>
    </r>
    <r>
      <rPr>
        <b/>
        <sz val="12"/>
        <color theme="1"/>
        <rFont val="Sylfaen"/>
        <family val="2"/>
        <charset val="204"/>
        <scheme val="minor"/>
      </rPr>
      <t>H</t>
    </r>
    <r>
      <rPr>
        <b/>
        <sz val="12"/>
        <color theme="1"/>
        <rFont val="AcadNusx"/>
      </rPr>
      <t>=4,3*0,25</t>
    </r>
  </si>
  <si>
    <t>gaTbobis radiatorebis demontaJi dasawyobeba damkveTis mier miTiTebul adgilze</t>
  </si>
  <si>
    <t>kondicionerebis demontaJi demontaJi dasawyobeba damkveTis mier miTiTebul adgilze</t>
  </si>
  <si>
    <t>narCenebis gatana avtoTviTmcleliT 30 km</t>
  </si>
  <si>
    <t>მთავარი ელ. გამანაწილებელი ფარი MD1</t>
  </si>
  <si>
    <t>Senobis Sida el montaJi</t>
  </si>
  <si>
    <t>ძალოვანი გამანაწილებელი საკლემო ბლოკი 4P-120A DIN ლარტყზე სამონტაჟო</t>
  </si>
  <si>
    <t>ჰალოგენის არშემცველი სპილენძის კაბელი ორმაგი იზოლაციით N2XH-J 3x16-1x10</t>
  </si>
  <si>
    <t>100მმ პერფორირებული საკაბელო არხი საკიდი კროშტეინებით და დამხმარე მასალები</t>
  </si>
  <si>
    <t>ჭერის სანათი LED lighting,3.2W,220V,IP20,3000K</t>
  </si>
  <si>
    <t>LED  სანათი 200*1200 მმ 38W,220V, IP65,2700K</t>
  </si>
  <si>
    <t>LED  სანათი 200*600 მმ 18W,220V, IP65,2700K</t>
  </si>
  <si>
    <t>kondicinerebis montaji</t>
  </si>
  <si>
    <t>20-22-3 gam.</t>
  </si>
  <si>
    <t>gofrirebuli milis d-20 klifsi sartyeliT</t>
  </si>
  <si>
    <t>gofrirebuli milis d-25 klifsi sartyeliT</t>
  </si>
  <si>
    <t>საკლემო ბლოკი უხრახნო მიერთებით,                                                    5x1,5-2,5მმ² კვეთზე (20A)</t>
  </si>
  <si>
    <t>საკლემო ბლოკი უხრახნო მიერთებით,                                                     3x1,5-2,5მმ² კვეთზე (20A)</t>
  </si>
  <si>
    <t>samisamarTo saxanZro sirenis montaji (strom sanaTiT) kveba maryuJidan</t>
  </si>
  <si>
    <r>
      <t>ავარიული სანათი საევაკუაციო ნიშნით ინტეგრირებული აკუმულატორით</t>
    </r>
    <r>
      <rPr>
        <b/>
        <sz val="11"/>
        <color theme="1"/>
        <rFont val="Sylfaen"/>
        <family val="2"/>
        <charset val="204"/>
        <scheme val="minor"/>
      </rPr>
      <t xml:space="preserve"> EXIT</t>
    </r>
  </si>
  <si>
    <r>
      <t xml:space="preserve">sviCi </t>
    </r>
    <r>
      <rPr>
        <sz val="11"/>
        <rFont val="Sylfaen"/>
        <family val="2"/>
        <charset val="204"/>
        <scheme val="minor"/>
      </rPr>
      <t>SWITCH 24 Unit</t>
    </r>
  </si>
  <si>
    <t>Cat.6 - 24 x RJ45 FTP პატჩ-პანელი</t>
  </si>
  <si>
    <t>კომპიუტერული ქსელის როზეტი 1 x RJ45 Cat6. FTP</t>
  </si>
  <si>
    <t>უწყვეტი კვების წყარო rackmountable Smart UPS 1500 VA</t>
  </si>
  <si>
    <t>12 არხიანი ციფრული ჩამწერი ინტეგრირებული PoE კომუტატორით , 
200 Mbps bandwidth, up to 12M recording resolution; H.264/.H265/Smart H.264+/Smart H.265+/MJPEG, 1 VGA/1 HDMI/1TV, 2RJ45 (1000M), 1 Audio in/1 Audio out, 2 USB, 2 SATA III Ports, Up to 8 TB capacity for each HDD , Alarm Input -16 Channel , Alarm Output -4 Channel (პარამეტრები დაზუსტდეს დამკვეთთან !)</t>
  </si>
  <si>
    <t>sakanalizacio plastmasis milebis damontaJeba d-100mm</t>
  </si>
  <si>
    <t>polipropilenis gaTbobis milis montaJi d-20*3,4</t>
  </si>
  <si>
    <t>polipropilenis gaTbobis mili  d-20*3,4</t>
  </si>
  <si>
    <t>polipropilenis gaTbobis mili  d-25*4,2</t>
  </si>
  <si>
    <t>polipropilenis gaTbobis milis montaJi d-25*4,2</t>
  </si>
  <si>
    <t>polipropilenis gaTbobis mili  d-32*5,4</t>
  </si>
  <si>
    <t>polipropilenis gaTbobis milis montaJi d-32*5,4</t>
  </si>
  <si>
    <t>radiatoris miwodebis ventili d-1/2</t>
  </si>
  <si>
    <t>uku drosel ventili d-1/2</t>
  </si>
  <si>
    <t>ventili d-32</t>
  </si>
  <si>
    <r>
      <t xml:space="preserve">samkapi  d-32*25*32 </t>
    </r>
    <r>
      <rPr>
        <sz val="11"/>
        <color theme="1"/>
        <rFont val="Sylfaen"/>
        <family val="2"/>
        <charset val="204"/>
        <scheme val="minor"/>
      </rPr>
      <t>PN 25</t>
    </r>
  </si>
  <si>
    <t>ქურო d-25მმ  PN 25</t>
  </si>
  <si>
    <t>cxurebis mowyoba</t>
  </si>
  <si>
    <t>regulirebadi cxavi  - gamowova d-150mm</t>
  </si>
  <si>
    <r>
      <rPr>
        <b/>
        <sz val="11"/>
        <color theme="1"/>
        <rFont val="Sylfaen"/>
        <family val="2"/>
        <charset val="204"/>
        <scheme val="minor"/>
      </rPr>
      <t>P=20mbar</t>
    </r>
    <r>
      <rPr>
        <sz val="11"/>
        <color theme="1"/>
        <rFont val="AcadNusx"/>
      </rPr>
      <t xml:space="preserve"> bunebriv airis dabal wnevaze, sruli avtomatikiT aRWurvili, sanTuriT </t>
    </r>
    <r>
      <rPr>
        <b/>
        <sz val="11"/>
        <color theme="1"/>
        <rFont val="Sylfaen"/>
        <family val="2"/>
        <charset val="204"/>
        <scheme val="minor"/>
      </rPr>
      <t>DT=80-60</t>
    </r>
    <r>
      <rPr>
        <b/>
        <vertAlign val="superscript"/>
        <sz val="11"/>
        <color theme="1"/>
        <rFont val="Sylfaen"/>
        <family val="2"/>
        <charset val="204"/>
        <scheme val="minor"/>
      </rPr>
      <t>0</t>
    </r>
    <r>
      <rPr>
        <b/>
        <sz val="11"/>
        <color theme="1"/>
        <rFont val="Sylfaen"/>
        <family val="2"/>
        <charset val="204"/>
        <scheme val="minor"/>
      </rPr>
      <t>C</t>
    </r>
    <r>
      <rPr>
        <sz val="11"/>
        <color theme="1"/>
        <rFont val="AcadNusx"/>
      </rPr>
      <t xml:space="preserve"> wylis temperaturul reJimze momuSave, wyalgamacxelebeli qvabi dasakidi, simZlavre </t>
    </r>
    <r>
      <rPr>
        <b/>
        <sz val="11"/>
        <color theme="1"/>
        <rFont val="Sylfaen"/>
        <family val="2"/>
        <charset val="204"/>
        <scheme val="minor"/>
      </rPr>
      <t>t=-10</t>
    </r>
    <r>
      <rPr>
        <b/>
        <vertAlign val="superscript"/>
        <sz val="11"/>
        <color theme="1"/>
        <rFont val="Sylfaen"/>
        <family val="2"/>
        <charset val="204"/>
        <scheme val="minor"/>
      </rPr>
      <t>0</t>
    </r>
    <r>
      <rPr>
        <b/>
        <sz val="11"/>
        <color theme="1"/>
        <rFont val="Sylfaen"/>
        <family val="2"/>
        <charset val="204"/>
        <scheme val="minor"/>
      </rPr>
      <t>C</t>
    </r>
    <r>
      <rPr>
        <sz val="11"/>
        <color theme="1"/>
        <rFont val="AcadNusx"/>
      </rPr>
      <t xml:space="preserve"> zamTris gare temperaturis dros </t>
    </r>
    <r>
      <rPr>
        <b/>
        <sz val="11"/>
        <color theme="1"/>
        <rFont val="Sylfaen"/>
        <family val="2"/>
        <charset val="204"/>
        <scheme val="minor"/>
      </rPr>
      <t>N=32kvt</t>
    </r>
  </si>
  <si>
    <t xml:space="preserve">safarToebeli avzi V=50l tevadobis membraniani, daxuruli safarToebeli avzi </t>
  </si>
  <si>
    <r>
      <t>reცირკულაციო ტუმბო, qselis, simZlavre 1/2/3/-80/170/250vt,</t>
    </r>
    <r>
      <rPr>
        <sz val="11"/>
        <rFont val="Sylfaen"/>
        <family val="2"/>
        <charset val="204"/>
        <scheme val="minor"/>
      </rPr>
      <t xml:space="preserve"> Q</t>
    </r>
    <r>
      <rPr>
        <sz val="11"/>
        <rFont val="AcadNusx"/>
      </rPr>
      <t xml:space="preserve">=5,0kbm/sT warmadobiT, </t>
    </r>
    <r>
      <rPr>
        <sz val="11"/>
        <rFont val="Sylfaen"/>
        <family val="2"/>
        <charset val="204"/>
        <scheme val="minor"/>
      </rPr>
      <t>H</t>
    </r>
    <r>
      <rPr>
        <sz val="11"/>
        <rFont val="AcadNusx"/>
      </rPr>
      <t>=4,7m awevis simaRliT</t>
    </r>
  </si>
  <si>
    <t>ukusarqveli d-20</t>
  </si>
  <si>
    <t>Senobis Sida kedlebis mowyoba wvrili samSeneblo blokiT 39*19*30 (sardafSi)</t>
  </si>
  <si>
    <r>
      <t xml:space="preserve">16g/m X </t>
    </r>
    <r>
      <rPr>
        <b/>
        <sz val="11"/>
        <rFont val="Sylfaen"/>
        <family val="2"/>
        <charset val="204"/>
        <scheme val="minor"/>
      </rPr>
      <t>H</t>
    </r>
    <r>
      <rPr>
        <b/>
        <sz val="11"/>
        <rFont val="AcadNusx"/>
      </rPr>
      <t>=4,15-0,4</t>
    </r>
  </si>
  <si>
    <t>Ф6АIII  b.600</t>
  </si>
  <si>
    <r>
      <rPr>
        <b/>
        <sz val="12"/>
        <rFont val="Sylfaen"/>
        <family val="2"/>
        <charset val="204"/>
        <scheme val="minor"/>
      </rPr>
      <t>H</t>
    </r>
    <r>
      <rPr>
        <b/>
        <sz val="12"/>
        <rFont val="AcadNusx"/>
      </rPr>
      <t>=(4,15-0,4)/0,6=7</t>
    </r>
  </si>
  <si>
    <t>metaloplastmasis fanjris blokebi              (TeTri feris 6sm sisqis) (evro gaRebis meqanizmiT)</t>
  </si>
  <si>
    <t xml:space="preserve">metaloplastmasis karis blokebi                 (feradi - muqi yavisferi, Savi, 6sm sisqis) </t>
  </si>
  <si>
    <t>TabaSirmuyaos Sekiduli Weris damuSaveba da SeRebva emulsiurio saRebaviT</t>
  </si>
  <si>
    <t>cementis xsnariT lesvis Semdeg Weris damuSaveba da SeRebva emulsiurio saRebaviT</t>
  </si>
  <si>
    <t xml:space="preserve">Sekiduli Weris damuSaveba, emulsiuri SeRebva </t>
  </si>
  <si>
    <t>cem xs-iT nalesi Weris damuSaveba, emulsiuri SeRebva</t>
  </si>
  <si>
    <t>bazaltis fila  30mm sisqis</t>
  </si>
  <si>
    <t>Senobis sardafis sarTulze kibis liTonis moajireebis mowyoba</t>
  </si>
  <si>
    <t>Senobis sardafis sarTulze kibis safexurebisa da gverdiTi sibrtyeebis mopirketerba bazaltis filiT</t>
  </si>
  <si>
    <t>Senobis sardafis sarTulze rk betonis cokolis mowyoba (SemdgomSi blokis wyobis kedlis qveS)</t>
  </si>
  <si>
    <t>Senobis sardafis sarTulze rk.betonis iatakis mowyoba</t>
  </si>
  <si>
    <t xml:space="preserve">betonis mosamzadebeli fenis mowyoba rk.betonis iatakis qveS  </t>
  </si>
  <si>
    <t>rk betonis iatakis mowyoba</t>
  </si>
  <si>
    <t>11-11-11,12</t>
  </si>
  <si>
    <t>betonis iatakis morkinva moxvewa</t>
  </si>
  <si>
    <t>saproeqto teritoriaze arsebuli narCenebisa da demontajis samuSaoebis damTavrebis Semdgomi narCenebis Segroveba, gamotana, avtoTviTmclelze dasatvirTavad</t>
  </si>
  <si>
    <t>Senobis  sardafis sarTulze kibis safexurebisa  da pandusis mowyoba (arsebuli pandusis gaganiereba)</t>
  </si>
  <si>
    <t>6-16-5</t>
  </si>
  <si>
    <t>bvetoni b.25</t>
  </si>
  <si>
    <t>polimeruli saniaRvre cxauris mowyoba</t>
  </si>
  <si>
    <t>kanalizaciis anakrebi rk betonis Webis mowyoba</t>
  </si>
  <si>
    <t>8,1</t>
  </si>
  <si>
    <t>8,2</t>
  </si>
  <si>
    <t>Wis Ziris rk.bet fila  1,2*1,2*0,18</t>
  </si>
  <si>
    <t>anakrebi rk.betonis Webis gidroizolacia bitumis emulsiiT</t>
  </si>
  <si>
    <t>8,4</t>
  </si>
  <si>
    <t xml:space="preserve">gruntis gatana 30km-ze </t>
  </si>
  <si>
    <t>arsebul kanalizaciis qselSi SeWra (makompleqtebeli nawilebiT)</t>
  </si>
  <si>
    <t>betoni ბ.10 (m-100)</t>
  </si>
  <si>
    <r>
      <t xml:space="preserve">mdf plintusis montaJi    </t>
    </r>
    <r>
      <rPr>
        <b/>
        <sz val="11"/>
        <color theme="1"/>
        <rFont val="Sylfaen"/>
        <family val="2"/>
        <charset val="204"/>
        <scheme val="minor"/>
      </rPr>
      <t>h</t>
    </r>
    <r>
      <rPr>
        <b/>
        <sz val="11"/>
        <color theme="1"/>
        <rFont val="AcadNusx"/>
      </rPr>
      <t>=7-10 sm,</t>
    </r>
  </si>
  <si>
    <r>
      <t xml:space="preserve">mdf plintusi  </t>
    </r>
    <r>
      <rPr>
        <sz val="11"/>
        <color theme="1"/>
        <rFont val="Sylfaen"/>
        <family val="2"/>
        <charset val="204"/>
        <scheme val="minor"/>
      </rPr>
      <t>h</t>
    </r>
    <r>
      <rPr>
        <sz val="11"/>
        <color theme="1"/>
        <rFont val="AcadNusx"/>
      </rPr>
      <t xml:space="preserve">=7-10 sm,  </t>
    </r>
  </si>
  <si>
    <t xml:space="preserve">samSeneblo nagvis gatana 30 km-ze </t>
  </si>
  <si>
    <r>
      <t xml:space="preserve">პლ </t>
    </r>
    <r>
      <rPr>
        <sz val="12"/>
        <rFont val="Times New Roman"/>
        <family val="1"/>
      </rPr>
      <t>ე</t>
    </r>
    <r>
      <rPr>
        <sz val="12"/>
        <rFont val="Times New Roman"/>
        <family val="1"/>
        <charset val="204"/>
      </rPr>
      <t>ლ. ფა</t>
    </r>
    <r>
      <rPr>
        <sz val="12"/>
        <rFont val="Times New Roman"/>
        <family val="1"/>
      </rPr>
      <t>რი  450x450x250 IP41,                                                    44   მოდულიანი</t>
    </r>
  </si>
  <si>
    <t>პლ ელ. ფარი  450x450x250 IP41,                                                    18 მოდულიანი</t>
  </si>
  <si>
    <t>samuSaoebis damTavrebis Semdeg samuSaoebis dawyebamde SefuTuli avejis ganlageba kabinetebSi</t>
  </si>
  <si>
    <t xml:space="preserve">gegmiuri dagroveba </t>
  </si>
  <si>
    <t>sakanalizacio tumbos montaJi</t>
  </si>
  <si>
    <t>saniaRvre sistemis mowyoba                                      (sardafis sarTulze)</t>
  </si>
  <si>
    <t>kibeebi -- safexurebi baqnebi moajiri</t>
  </si>
  <si>
    <t xml:space="preserve">(0,16+0,3)*  * </t>
  </si>
  <si>
    <r>
      <t xml:space="preserve">VII </t>
    </r>
    <r>
      <rPr>
        <b/>
        <sz val="12"/>
        <color theme="0"/>
        <rFont val="AcadMtavr"/>
      </rPr>
      <t>sarTuli</t>
    </r>
  </si>
  <si>
    <t>VII sarTulis aivnis iatakis filis mopirketeba yinvagamZle keramogranitis filiT</t>
  </si>
  <si>
    <t>#1-1</t>
  </si>
  <si>
    <t>#1-2</t>
  </si>
  <si>
    <t>metpl feradi</t>
  </si>
  <si>
    <t>betonis filis demontaJi sardafSi (kibe da baqani seifis qveS)</t>
  </si>
  <si>
    <t>liTonis seifis demontaJi dasawyobeba damkveTis mier miTiTebul adgilzed</t>
  </si>
  <si>
    <t>2,0kvm*0,15+3,30*2,0*0,2</t>
  </si>
  <si>
    <t>sardafis sarTulze betonis fenilis demontaJi  (kibsa da baqnis gaganierebisa da seifis qveS)</t>
  </si>
  <si>
    <t>1,85*3,0*h=1,60   *2c</t>
  </si>
  <si>
    <t>sul xarjTaRricxva #1</t>
  </si>
  <si>
    <t>sul xarjTaRricxva #2</t>
  </si>
  <si>
    <t>#2-2</t>
  </si>
  <si>
    <t>#2-1</t>
  </si>
  <si>
    <t>jami #2-1</t>
  </si>
  <si>
    <t>jami #2-2</t>
  </si>
  <si>
    <t>#3-1</t>
  </si>
  <si>
    <t xml:space="preserve">sul pirdapiri danaxarjebi     #1-1     </t>
  </si>
  <si>
    <t xml:space="preserve">sul pirdapiri danaxarjebi    #1-2     </t>
  </si>
  <si>
    <t>sul pirdapiri danaxarjebi  #2-1</t>
  </si>
  <si>
    <t>lk #5-1</t>
  </si>
  <si>
    <t>lk #5-2</t>
  </si>
  <si>
    <t>lk #4-1</t>
  </si>
  <si>
    <t>lk #4-2</t>
  </si>
  <si>
    <t>lk #3-1</t>
  </si>
  <si>
    <t>lk #4</t>
  </si>
  <si>
    <t>lk #5</t>
  </si>
  <si>
    <t>lk #3</t>
  </si>
  <si>
    <t>lk #1</t>
  </si>
  <si>
    <t>lk #3-2</t>
  </si>
  <si>
    <t>lk #2-1</t>
  </si>
  <si>
    <t>lk #2-2</t>
  </si>
  <si>
    <t>lk #1-1</t>
  </si>
  <si>
    <t>lk #1-2</t>
  </si>
  <si>
    <t>stelaJebi</t>
  </si>
  <si>
    <t>kv mili 40*40*3</t>
  </si>
  <si>
    <t>5,2   *1c</t>
  </si>
  <si>
    <t>7c*2c*3,7g/m+    6,1g/m*2c*8c+   0,5g/m*7c*8c</t>
  </si>
  <si>
    <t>7c*2c*3,7g/m+    6,2g/m*2c*8c+   0,5g/m*7c*8c</t>
  </si>
  <si>
    <t>8c*2c*3,7g/m+    6,5g/m*2c*8c+   0,5g/m*8c*8c</t>
  </si>
  <si>
    <t>6,2g/m</t>
  </si>
  <si>
    <t>6,5g/m</t>
  </si>
  <si>
    <t>3,8g/m   *5c</t>
  </si>
  <si>
    <t>4,7g/m   *1c</t>
  </si>
  <si>
    <t>3,5g/m   *10c</t>
  </si>
  <si>
    <t>6,75g/m</t>
  </si>
  <si>
    <t>6c*2c*3,7g/m+    4,7g/m*2c*8c+   0,5g/m*6c*8c</t>
  </si>
  <si>
    <r>
      <rPr>
        <b/>
        <sz val="12"/>
        <color rgb="FFFF0000"/>
        <rFont val="AcadNusx"/>
      </rPr>
      <t>10c* [</t>
    </r>
    <r>
      <rPr>
        <b/>
        <sz val="12"/>
        <rFont val="AcadNusx"/>
      </rPr>
      <t>5c*2c*3,7g/m+ 3,5g/m*2c*8c+   0,5g/m*5c*8c</t>
    </r>
    <r>
      <rPr>
        <b/>
        <sz val="12"/>
        <color rgb="FFFF0000"/>
        <rFont val="AcadNusx"/>
      </rPr>
      <t>]</t>
    </r>
  </si>
  <si>
    <t>6c*2c*3,7g/m+    5,2g/m*2c*8c+   0,5g/m*6c*8c</t>
  </si>
  <si>
    <t>8c*2c*3,7g/m+    6,75g/m*2c*8c+   0,5g/m*8c*8c</t>
  </si>
  <si>
    <t>dsp 16mm</t>
  </si>
  <si>
    <r>
      <t xml:space="preserve">8c*0,5* </t>
    </r>
    <r>
      <rPr>
        <b/>
        <sz val="12"/>
        <color rgb="FFFF0000"/>
        <rFont val="AcadNusx"/>
      </rPr>
      <t>[</t>
    </r>
    <r>
      <rPr>
        <b/>
        <sz val="12"/>
        <rFont val="AcadNusx"/>
      </rPr>
      <t>6,1+6,2+6,2+6,5+5c*3,8+ 1c*4,7+10c*3,5+1c*5,2+ 6,75+6,5</t>
    </r>
    <r>
      <rPr>
        <b/>
        <sz val="12"/>
        <color rgb="FFFF0000"/>
        <rFont val="AcadNusx"/>
      </rPr>
      <t>]</t>
    </r>
  </si>
  <si>
    <r>
      <t>5c</t>
    </r>
    <r>
      <rPr>
        <b/>
        <sz val="12"/>
        <color rgb="FFFF0000"/>
        <rFont val="AcadNusx"/>
      </rPr>
      <t>* [</t>
    </r>
    <r>
      <rPr>
        <b/>
        <sz val="12"/>
        <rFont val="AcadNusx"/>
      </rPr>
      <t>5c*2c*3,7g/m+ 3,8g/m*2c*8c+   0,5g/m*5c*8c</t>
    </r>
    <r>
      <rPr>
        <b/>
        <sz val="12"/>
        <color rgb="FFFF0000"/>
        <rFont val="AcadNusx"/>
      </rPr>
      <t>]</t>
    </r>
  </si>
  <si>
    <t>liTonis stelaJebis -- Taroebis -- mowyoba</t>
  </si>
  <si>
    <t>9-17-6</t>
  </si>
  <si>
    <r>
      <rPr>
        <b/>
        <sz val="12"/>
        <color rgb="FFFF0000"/>
        <rFont val="AcadNusx"/>
      </rPr>
      <t>[</t>
    </r>
    <r>
      <rPr>
        <b/>
        <sz val="12"/>
        <rFont val="AcadNusx"/>
      </rPr>
      <t>6,1+6,2+6,2+6,5+5c*3,8+ 1c*4,7+10c*3,5+1c*5,2+ 6,75+6,5</t>
    </r>
    <r>
      <rPr>
        <b/>
        <sz val="12"/>
        <color rgb="FFFF0000"/>
        <rFont val="AcadNusx"/>
      </rPr>
      <t>]</t>
    </r>
  </si>
  <si>
    <t>sul liTonis konstruqcia</t>
  </si>
  <si>
    <t>liTonis konstruqcia</t>
  </si>
  <si>
    <t>liTonis konstruqciebis SeRebva antikoroziuli saRebaviT</t>
  </si>
  <si>
    <t>39</t>
  </si>
  <si>
    <t>stelaJebis Semosva merqanburbuSelis filiT (dsp) 16mm sisqis</t>
  </si>
  <si>
    <t>10-6-3 misadag</t>
  </si>
  <si>
    <t>merqanburbuSelis fila (dsp) 16mm sisqis</t>
  </si>
  <si>
    <t>WanWiki</t>
  </si>
  <si>
    <t>5,1,62</t>
  </si>
  <si>
    <t>gagrilebis sistemis montaJi</t>
  </si>
  <si>
    <t>masalis transportirebis xarjebi (samSeneblo masalebis Rirebulebidan)</t>
  </si>
  <si>
    <t>zednadebi xarjebi                          (muSa mosamsaxureTa ZiriTadi xelfasidan)</t>
  </si>
  <si>
    <r>
      <t xml:space="preserve">split sistemis kondicioneri kedlis (kompleqtSi kronSteiniT) warmadobiT </t>
    </r>
    <r>
      <rPr>
        <sz val="11"/>
        <rFont val="Sylfaen"/>
        <family val="2"/>
        <charset val="204"/>
        <scheme val="minor"/>
      </rPr>
      <t xml:space="preserve">9000 BTU  </t>
    </r>
    <r>
      <rPr>
        <sz val="11"/>
        <rFont val="AcadNusx"/>
      </rPr>
      <t>(simZlavre 900vt)</t>
    </r>
  </si>
  <si>
    <t>milebis montaJi diametriT-20-25-32mm</t>
  </si>
  <si>
    <t>41</t>
  </si>
  <si>
    <t>ავტომატური ამომრთვლი MCCB 3x100A</t>
  </si>
  <si>
    <t>LED სანათი 200*600 მმ 18W,220V,IP65,2700K</t>
  </si>
  <si>
    <t>კედლის ბრა სანათი LED wall lighting,8.6W,220V,IP65 2700K</t>
  </si>
  <si>
    <r>
      <t>100X100 gamanawilebeli kolofi
dacvis klasi</t>
    </r>
    <r>
      <rPr>
        <sz val="11"/>
        <rFont val="Sylfaen"/>
        <family val="2"/>
        <charset val="204"/>
        <scheme val="minor"/>
      </rPr>
      <t xml:space="preserve"> IP 20</t>
    </r>
  </si>
  <si>
    <t>#4-1</t>
  </si>
  <si>
    <t>sul pirdapiri danaxarjebi  #4-1</t>
  </si>
  <si>
    <t>sul xarjTaRricxva #4</t>
  </si>
  <si>
    <t>#3-2</t>
  </si>
  <si>
    <t>Senobis sakomunikacio -- kompiuteruli da internetgayvanilobis  qselis montaJi</t>
  </si>
  <si>
    <t xml:space="preserve"> samontaJo samuSaoebi</t>
  </si>
  <si>
    <t>samontaJo samuSaoebi</t>
  </si>
  <si>
    <t>eleqtro samontaJo samuSaoebi</t>
  </si>
  <si>
    <t>Sedgenilia 2021 wlis IV kvartlis doneze</t>
  </si>
  <si>
    <t>sul lk  #3</t>
  </si>
  <si>
    <t>10-276-2 gam</t>
  </si>
  <si>
    <t>21-27-4 gamoy</t>
  </si>
  <si>
    <t>დამატ.
2- გამოშ.
16-24-5</t>
  </si>
  <si>
    <r>
      <t xml:space="preserve">მილი პლ. d-50  </t>
    </r>
    <r>
      <rPr>
        <sz val="11"/>
        <rFont val="Sylfaen"/>
        <family val="2"/>
        <charset val="204"/>
        <scheme val="minor"/>
      </rPr>
      <t xml:space="preserve"> PP100 d-50 PN-16</t>
    </r>
  </si>
  <si>
    <r>
      <t xml:space="preserve">tumbo CaZiruli sadrenaJe wylis 2"-gamomsvleliT, </t>
    </r>
    <r>
      <rPr>
        <sz val="11"/>
        <rFont val="Sylfaen"/>
        <family val="2"/>
        <charset val="204"/>
        <scheme val="minor"/>
      </rPr>
      <t>Q</t>
    </r>
    <r>
      <rPr>
        <sz val="11"/>
        <rFont val="AcadNusx"/>
      </rPr>
      <t xml:space="preserve">-18,0kub/sT, </t>
    </r>
    <r>
      <rPr>
        <sz val="11"/>
        <rFont val="Sylfaen"/>
        <family val="2"/>
        <charset val="204"/>
        <scheme val="minor"/>
      </rPr>
      <t>H</t>
    </r>
    <r>
      <rPr>
        <sz val="11"/>
        <rFont val="AcadNusx"/>
      </rPr>
      <t xml:space="preserve">=12,0m </t>
    </r>
  </si>
  <si>
    <r>
      <t>anakrebi Wis rgolebi</t>
    </r>
    <r>
      <rPr>
        <sz val="11"/>
        <rFont val="Sylfaen"/>
        <family val="2"/>
        <charset val="204"/>
        <scheme val="minor"/>
      </rPr>
      <t xml:space="preserve">      Ø</t>
    </r>
    <r>
      <rPr>
        <sz val="11"/>
        <rFont val="AcadNusx"/>
      </rPr>
      <t>1000mm;</t>
    </r>
    <r>
      <rPr>
        <sz val="11"/>
        <rFont val="Sylfaen"/>
        <family val="2"/>
        <charset val="204"/>
        <scheme val="minor"/>
      </rPr>
      <t xml:space="preserve"> H</t>
    </r>
    <r>
      <rPr>
        <sz val="11"/>
        <rFont val="AcadNusx"/>
      </rPr>
      <t>=1.0m</t>
    </r>
  </si>
  <si>
    <t>sul lk  #4</t>
  </si>
  <si>
    <t>sul lk  #5</t>
  </si>
  <si>
    <t>sul pirdapiri danaxarjebi  #1</t>
  </si>
  <si>
    <t>jami #1</t>
  </si>
  <si>
    <t>#2</t>
  </si>
  <si>
    <t>sul pirdapiri danaxarjebi  #2</t>
  </si>
  <si>
    <t>jami #2</t>
  </si>
  <si>
    <t>sul pirdapiri danaxarjebi   #3</t>
  </si>
  <si>
    <t>jami  #3</t>
  </si>
  <si>
    <t>krebsiTi xarjTaRricxva</t>
  </si>
  <si>
    <t>lokaluri ხ ა რ ჯ თ ა ღ რ ი ც ხ ვ ა #1</t>
  </si>
  <si>
    <t>lokaluri ხ ა რ ჯ თ ა ღ რ ი ც ხ ვ ა #2</t>
  </si>
  <si>
    <t>lokaluri ხ ა რ ჯ თ ა ღ რ ი ც ხ ვ ა #3</t>
  </si>
  <si>
    <t>lokaluri ხ ა რ ჯ თ ა ღ რ ი ც ხ ვ ა #4</t>
  </si>
  <si>
    <t>lokaluri ხ ა რ ჯ თ ა ღ რ ი ც ხ ვ ა #5</t>
  </si>
  <si>
    <t>saxarjTaRricxvo Rirebuleba              (lari)</t>
  </si>
  <si>
    <t>sul pirdapiri danaxarjebi #1</t>
  </si>
  <si>
    <t>sul #1</t>
  </si>
  <si>
    <t>sul pirdapiri danaxarjebi #2</t>
  </si>
  <si>
    <t>sul #2</t>
  </si>
  <si>
    <t>sul pirdapiri danaxarjebi #3</t>
  </si>
  <si>
    <t>sul pirdapiri danaxarjebi #4</t>
  </si>
  <si>
    <t>sul #4</t>
  </si>
  <si>
    <t>#5</t>
  </si>
  <si>
    <t>sul pirdapiri danaxarjebi #5</t>
  </si>
  <si>
    <t>jami #3</t>
  </si>
  <si>
    <t>sul #5</t>
  </si>
  <si>
    <t>sul xarjTaRricxva #5</t>
  </si>
  <si>
    <t>sul xarjTaRricxva  #5-2</t>
  </si>
  <si>
    <t>rk betonis fila Tujis mrgvali xufiT (cxauri) da CarCoTi</t>
  </si>
  <si>
    <t xml:space="preserve">SromiTi danaxarji </t>
  </si>
  <si>
    <t xml:space="preserve">manqanebi </t>
  </si>
  <si>
    <t>sul pirdapiri danaxarjebi   #2-2</t>
  </si>
  <si>
    <t>#4-2</t>
  </si>
  <si>
    <t>sul pirdapiri danaxarjebi  #4-2</t>
  </si>
  <si>
    <t>sul xarjTaRricxva  #4-2</t>
  </si>
  <si>
    <t>sul xarjTaRricxva #3                        (#3-1   #3-2)</t>
  </si>
  <si>
    <t>sul xarjTaRricxva #1-2</t>
  </si>
  <si>
    <t>samSeneblo masalis transportirebis xarjebi  (samSeneblo masalis Rirebulebidan)</t>
  </si>
  <si>
    <r>
      <t xml:space="preserve">armatura </t>
    </r>
    <r>
      <rPr>
        <sz val="11"/>
        <rFont val="Arial"/>
        <family val="2"/>
        <charset val="204"/>
      </rPr>
      <t>A-III</t>
    </r>
  </si>
  <si>
    <r>
      <t xml:space="preserve">armatura </t>
    </r>
    <r>
      <rPr>
        <sz val="11"/>
        <rFont val="Arial"/>
        <family val="2"/>
        <charset val="204"/>
      </rPr>
      <t xml:space="preserve">A-I </t>
    </r>
  </si>
  <si>
    <r>
      <t>tixrebisa da kedlebi antiseismuri armireba</t>
    </r>
    <r>
      <rPr>
        <b/>
        <sz val="11"/>
        <rFont val="Sylfaen"/>
        <family val="2"/>
        <scheme val="minor"/>
      </rPr>
      <t xml:space="preserve">    6BP-1</t>
    </r>
  </si>
  <si>
    <r>
      <rPr>
        <sz val="11"/>
        <rFont val="AcadNusx"/>
      </rPr>
      <t xml:space="preserve">armatura  </t>
    </r>
    <r>
      <rPr>
        <sz val="11"/>
        <rFont val="Sylfaen"/>
        <family val="2"/>
        <charset val="204"/>
        <scheme val="minor"/>
      </rPr>
      <t>6BP-1</t>
    </r>
  </si>
  <si>
    <t>sul xarjTaRricxva #1-1</t>
  </si>
  <si>
    <t>sul  #5-1  (Tavi #1, #2, #3, #4, #5,)</t>
  </si>
  <si>
    <t>j a m i  #3-1 (#1,  #2,  #3)</t>
  </si>
  <si>
    <t>sul  #3-2  (#1,  #2,  #3)</t>
  </si>
  <si>
    <t>gauTvaliswinebeli xarjebi 5%</t>
  </si>
  <si>
    <t>sul jami</t>
  </si>
  <si>
    <t>jami  #4-1    (I-II-III Tavebi)</t>
  </si>
  <si>
    <r>
      <t>armatura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-III Ф8</t>
    </r>
  </si>
  <si>
    <t>jami sardafis samuSaoebze</t>
  </si>
  <si>
    <t>jami VII sarTulis samuSaoebze</t>
  </si>
  <si>
    <t>susti denebi  -- Senobis saxanZro usafrTxoebis qselis, videomonitoringisa da iternetis qselis montaJi</t>
  </si>
  <si>
    <t>Senobis centraluri gaTboba-gagrileba-ventilaciis sistemis montajis samuSaoebi</t>
  </si>
  <si>
    <t xml:space="preserve">შენიშვნა: </t>
  </si>
  <si>
    <t>q. TbilisSi,d. aRmaSeneblis gamziris #150 (s/k: 01.13.08.001.014) garemos erovnuli saagentos kuTvnilebaSi arsebuli VII sarTulisa da sardafis sarTulis reabilitacia</t>
  </si>
  <si>
    <t>აუცილებელი პირობაა, სარდაფის სართულის სამუშაოების ღირებულება არ უნდა აღემატებოდეს საერთო ჯამური (სარდაფი და მეშვიდე სართული) ღირებულების 40%-ს;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</si>
</sst>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-;\-* #,##0.00_-;_-* &quot;-&quot;??_-;_-@_-"/>
    <numFmt numFmtId="166" formatCode="_-* #,##0.00\ _₾_-;\-* #,##0.00\ _₾_-;_-* &quot;-&quot;??\ _₾_-;_-@_-"/>
    <numFmt numFmtId="167" formatCode="0.0"/>
    <numFmt numFmtId="168" formatCode="0.000"/>
    <numFmt numFmtId="169" formatCode="_-* #,##0.00_р_._-;\-* #,##0.00_р_._-;_-* &quot;-&quot;??_р_._-;_-@_-"/>
    <numFmt numFmtId="170" formatCode="_-* #,##0.000_-;\-* #,##0.000_-;_-* &quot;-&quot;??_-;_-@_-"/>
    <numFmt numFmtId="171" formatCode="_-* #,##0.0000_-;\-* #,##0.0000_-;_-* &quot;-&quot;??_-;_-@_-"/>
  </numFmts>
  <fonts count="143">
    <font>
      <sz val="11"/>
      <color theme="1"/>
      <name val="Sylfaen"/>
      <family val="2"/>
      <charset val="204"/>
      <scheme val="minor"/>
    </font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b/>
      <sz val="14"/>
      <color theme="1"/>
      <name val="AcadNusx"/>
    </font>
    <font>
      <sz val="12"/>
      <color theme="1"/>
      <name val="Sylfaen"/>
      <family val="2"/>
      <charset val="204"/>
      <scheme val="minor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Sylfaen"/>
      <family val="2"/>
      <charset val="204"/>
      <scheme val="minor"/>
    </font>
    <font>
      <sz val="10"/>
      <name val="Arial"/>
      <family val="2"/>
    </font>
    <font>
      <b/>
      <sz val="14"/>
      <color theme="1"/>
      <name val="Sylfaen"/>
      <family val="2"/>
      <charset val="204"/>
      <scheme val="minor"/>
    </font>
    <font>
      <b/>
      <sz val="14"/>
      <color theme="1"/>
      <name val="AcadMtavr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Sylfaen"/>
      <family val="2"/>
      <charset val="204"/>
      <scheme val="minor"/>
    </font>
    <font>
      <sz val="12"/>
      <name val="Sylfaen"/>
      <family val="2"/>
      <charset val="204"/>
      <scheme val="minor"/>
    </font>
    <font>
      <sz val="12"/>
      <color rgb="FFFF0000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b/>
      <sz val="10"/>
      <name val="Sylfaen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Sylfaen"/>
      <family val="2"/>
      <charset val="204"/>
      <scheme val="minor"/>
    </font>
    <font>
      <sz val="10"/>
      <color theme="1"/>
      <name val="Sylfaen"/>
      <family val="2"/>
      <charset val="204"/>
      <scheme val="minor"/>
    </font>
    <font>
      <b/>
      <sz val="11"/>
      <name val="AcadNusx"/>
    </font>
    <font>
      <sz val="11"/>
      <color theme="1"/>
      <name val="Sylfaen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Sylfaen"/>
      <family val="2"/>
      <scheme val="minor"/>
    </font>
    <font>
      <sz val="11"/>
      <color rgb="FF9C0006"/>
      <name val="Sylfaen"/>
      <family val="2"/>
      <charset val="204"/>
      <scheme val="minor"/>
    </font>
    <font>
      <b/>
      <sz val="10"/>
      <name val="AcadNusx"/>
    </font>
    <font>
      <sz val="11"/>
      <name val="Calibri"/>
      <family val="2"/>
      <charset val="204"/>
    </font>
    <font>
      <b/>
      <sz val="11"/>
      <name val="Sylfaen"/>
      <family val="2"/>
      <scheme val="minor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000000"/>
      <name val="AcadNusx"/>
    </font>
    <font>
      <b/>
      <sz val="11"/>
      <color rgb="FF000000"/>
      <name val="AcadNusx"/>
    </font>
    <font>
      <sz val="10"/>
      <color rgb="FFFF0000"/>
      <name val="AcadNusx"/>
    </font>
    <font>
      <sz val="11"/>
      <color rgb="FF000000"/>
      <name val="AcadNusx"/>
    </font>
    <font>
      <sz val="10"/>
      <name val="Sylfaen"/>
      <family val="2"/>
      <charset val="204"/>
      <scheme val="minor"/>
    </font>
    <font>
      <b/>
      <sz val="10"/>
      <name val="Arial"/>
      <family val="2"/>
    </font>
    <font>
      <b/>
      <sz val="11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color theme="1"/>
      <name val="Sylfaen"/>
      <family val="2"/>
      <scheme val="minor"/>
    </font>
    <font>
      <b/>
      <sz val="11"/>
      <name val="Sylfaen"/>
      <family val="2"/>
      <charset val="204"/>
      <scheme val="minor"/>
    </font>
    <font>
      <sz val="11"/>
      <name val="Arial"/>
      <family val="2"/>
      <charset val="204"/>
    </font>
    <font>
      <sz val="11"/>
      <color rgb="FFFF0000"/>
      <name val="AcadNusx"/>
    </font>
    <font>
      <b/>
      <sz val="12"/>
      <color rgb="FFFF0000"/>
      <name val="AcadNusx"/>
    </font>
    <font>
      <b/>
      <sz val="11"/>
      <color rgb="FFFF0000"/>
      <name val="AcadNusx"/>
    </font>
    <font>
      <sz val="11"/>
      <name val="Sylfaen"/>
      <family val="2"/>
      <scheme val="minor"/>
    </font>
    <font>
      <vertAlign val="superscript"/>
      <sz val="11"/>
      <name val="AcadNusx"/>
    </font>
    <font>
      <vertAlign val="superscript"/>
      <sz val="11"/>
      <color theme="1"/>
      <name val="AcadNusx"/>
    </font>
    <font>
      <vertAlign val="superscript"/>
      <sz val="11"/>
      <color theme="1"/>
      <name val="Sylfaen"/>
      <family val="2"/>
      <charset val="204"/>
      <scheme val="minor"/>
    </font>
    <font>
      <b/>
      <sz val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AcadNusx"/>
    </font>
    <font>
      <i/>
      <sz val="10"/>
      <name val="AcadNusx"/>
    </font>
    <font>
      <sz val="12"/>
      <color rgb="FFFF0000"/>
      <name val="Sylfaen"/>
      <family val="2"/>
      <charset val="204"/>
      <scheme val="minor"/>
    </font>
    <font>
      <b/>
      <sz val="10"/>
      <color theme="0"/>
      <name val="AcadNusx"/>
    </font>
    <font>
      <b/>
      <sz val="10"/>
      <color rgb="FFFF0000"/>
      <name val="Sylfaen"/>
      <family val="2"/>
      <scheme val="minor"/>
    </font>
    <font>
      <b/>
      <sz val="10"/>
      <color theme="1"/>
      <name val="Sylfaen"/>
      <family val="2"/>
      <charset val="204"/>
      <scheme val="minor"/>
    </font>
    <font>
      <b/>
      <sz val="10"/>
      <color theme="1"/>
      <name val="Times New Roman"/>
      <family val="1"/>
    </font>
    <font>
      <sz val="11"/>
      <color rgb="FFFF0000"/>
      <name val="Sylfaen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Sylfaen"/>
      <family val="2"/>
      <scheme val="minor"/>
    </font>
    <font>
      <b/>
      <sz val="12"/>
      <color rgb="FF0000FF"/>
      <name val="AcadNusx"/>
    </font>
    <font>
      <b/>
      <sz val="12"/>
      <color rgb="FF0000CC"/>
      <name val="AcadNusx"/>
    </font>
    <font>
      <sz val="11"/>
      <name val="Times New Roman"/>
      <family val="1"/>
    </font>
    <font>
      <sz val="11"/>
      <name val="Sylfaen"/>
      <family val="1"/>
    </font>
    <font>
      <sz val="10"/>
      <name val="Sylfaen"/>
      <family val="1"/>
    </font>
    <font>
      <b/>
      <i/>
      <sz val="10"/>
      <name val="AcadNusx"/>
    </font>
    <font>
      <sz val="11"/>
      <color theme="0"/>
      <name val="Sylfaen"/>
      <family val="2"/>
      <charset val="204"/>
      <scheme val="minor"/>
    </font>
    <font>
      <b/>
      <sz val="14"/>
      <name val="Sylfaen"/>
      <family val="2"/>
      <charset val="204"/>
      <scheme val="minor"/>
    </font>
    <font>
      <sz val="10"/>
      <color theme="0"/>
      <name val="AcadNusx"/>
    </font>
    <font>
      <sz val="11"/>
      <name val="LitNusx"/>
      <family val="2"/>
    </font>
    <font>
      <sz val="11"/>
      <name val="Levenim MT"/>
      <charset val="177"/>
    </font>
    <font>
      <b/>
      <vertAlign val="superscript"/>
      <sz val="11"/>
      <color theme="1"/>
      <name val="Sylfaen"/>
      <family val="2"/>
      <charset val="204"/>
      <scheme val="minor"/>
    </font>
    <font>
      <sz val="9"/>
      <color theme="1"/>
      <name val="Sylfaen"/>
      <family val="2"/>
      <scheme val="minor"/>
    </font>
    <font>
      <sz val="9"/>
      <color theme="1"/>
      <name val="AcadNusx"/>
    </font>
    <font>
      <sz val="9"/>
      <name val="AcadNusx"/>
    </font>
    <font>
      <sz val="12"/>
      <name val="Sylfaen"/>
      <family val="2"/>
      <scheme val="minor"/>
    </font>
    <font>
      <sz val="12"/>
      <name val="Times New Roman"/>
      <family val="1"/>
    </font>
    <font>
      <sz val="12"/>
      <name val="Sylfaen"/>
      <family val="1"/>
    </font>
    <font>
      <b/>
      <sz val="12"/>
      <name val="Sylfaen"/>
      <family val="2"/>
      <charset val="204"/>
      <scheme val="minor"/>
    </font>
    <font>
      <b/>
      <sz val="12"/>
      <color theme="1"/>
      <name val="Sylfaen"/>
      <family val="2"/>
      <charset val="204"/>
      <scheme val="minor"/>
    </font>
    <font>
      <b/>
      <sz val="10"/>
      <name val="Sylfaen"/>
      <family val="2"/>
      <scheme val="minor"/>
    </font>
    <font>
      <sz val="11"/>
      <color theme="1"/>
      <name val="Times New Roman"/>
      <family val="1"/>
    </font>
    <font>
      <b/>
      <sz val="14"/>
      <name val="AcadNusx"/>
    </font>
    <font>
      <sz val="12"/>
      <name val="Times New Roman"/>
      <family val="1"/>
      <charset val="204"/>
    </font>
    <font>
      <b/>
      <sz val="9"/>
      <name val="AcadNusx"/>
    </font>
    <font>
      <sz val="11"/>
      <color theme="0"/>
      <name val="AcadNusx"/>
    </font>
    <font>
      <sz val="14"/>
      <color theme="0"/>
      <name val="AcadNusx"/>
    </font>
    <font>
      <sz val="12"/>
      <color theme="0"/>
      <name val="AcadNusx"/>
    </font>
    <font>
      <b/>
      <sz val="12"/>
      <color theme="0"/>
      <name val="AcadNusx"/>
    </font>
    <font>
      <b/>
      <sz val="12"/>
      <color theme="0"/>
      <name val="AcadMtavr"/>
    </font>
    <font>
      <b/>
      <sz val="14"/>
      <color theme="0"/>
      <name val="AcadMtavr"/>
    </font>
    <font>
      <i/>
      <sz val="11"/>
      <name val="AcadNusx"/>
    </font>
    <font>
      <b/>
      <sz val="11"/>
      <color theme="0"/>
      <name val="AcadNusx"/>
    </font>
    <font>
      <b/>
      <i/>
      <sz val="11"/>
      <name val="AcadNusx"/>
    </font>
    <font>
      <b/>
      <sz val="1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11">
    <xf numFmtId="0" fontId="0" fillId="0" borderId="0"/>
    <xf numFmtId="166" fontId="11" fillId="0" borderId="0" applyFont="0" applyFill="0" applyBorder="0" applyAlignment="0" applyProtection="0"/>
    <xf numFmtId="0" fontId="12" fillId="0" borderId="0"/>
    <xf numFmtId="0" fontId="22" fillId="0" borderId="0"/>
    <xf numFmtId="0" fontId="24" fillId="0" borderId="0"/>
    <xf numFmtId="0" fontId="25" fillId="0" borderId="0"/>
    <xf numFmtId="0" fontId="29" fillId="0" borderId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50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50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50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50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0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50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1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52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34" fillId="34" borderId="12" applyNumberFormat="0" applyAlignment="0" applyProtection="0"/>
    <xf numFmtId="0" fontId="53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0" fontId="35" fillId="35" borderId="13" applyNumberFormat="0" applyAlignment="0" applyProtection="0"/>
    <xf numFmtId="43" fontId="29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66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67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9" fillId="0" borderId="0" applyFont="0" applyFill="0" applyBorder="0" applyAlignment="0" applyProtection="0"/>
    <xf numFmtId="167" fontId="6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56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57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58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41" fillId="21" borderId="12" applyNumberFormat="0" applyAlignment="0" applyProtection="0"/>
    <xf numFmtId="0" fontId="60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61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9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44" fillId="0" borderId="0"/>
    <xf numFmtId="0" fontId="29" fillId="0" borderId="0"/>
    <xf numFmtId="0" fontId="68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69" fillId="0" borderId="0"/>
    <xf numFmtId="0" fontId="2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2" fillId="0" borderId="0"/>
    <xf numFmtId="0" fontId="67" fillId="0" borderId="0"/>
    <xf numFmtId="0" fontId="22" fillId="0" borderId="0"/>
    <xf numFmtId="0" fontId="67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22" fillId="37" borderId="18" applyNumberFormat="0" applyFont="0" applyAlignment="0" applyProtection="0"/>
    <xf numFmtId="0" fontId="62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0" fontId="45" fillId="34" borderId="19" applyNumberFormat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/>
    <xf numFmtId="0" fontId="29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1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12" fillId="0" borderId="0"/>
    <xf numFmtId="0" fontId="29" fillId="0" borderId="0"/>
    <xf numFmtId="0" fontId="22" fillId="0" borderId="0"/>
    <xf numFmtId="0" fontId="22" fillId="0" borderId="0"/>
    <xf numFmtId="0" fontId="67" fillId="0" borderId="0"/>
    <xf numFmtId="0" fontId="2" fillId="0" borderId="0"/>
    <xf numFmtId="0" fontId="2" fillId="0" borderId="0"/>
    <xf numFmtId="0" fontId="22" fillId="0" borderId="0"/>
    <xf numFmtId="0" fontId="71" fillId="15" borderId="0" applyNumberFormat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67" fillId="0" borderId="0"/>
  </cellStyleXfs>
  <cellXfs count="140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9" fillId="14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9" fillId="0" borderId="1" xfId="2" quotePrefix="1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77" fillId="0" borderId="6" xfId="0" applyNumberFormat="1" applyFont="1" applyBorder="1" applyAlignment="1">
      <alignment horizontal="center" vertical="center" wrapText="1"/>
    </xf>
    <xf numFmtId="49" fontId="77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13" borderId="5" xfId="0" applyNumberFormat="1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49" fontId="72" fillId="0" borderId="1" xfId="2" quotePrefix="1" applyNumberFormat="1" applyFont="1" applyFill="1" applyBorder="1" applyAlignment="1" applyProtection="1">
      <alignment horizontal="center" vertical="center" wrapText="1"/>
    </xf>
    <xf numFmtId="49" fontId="72" fillId="1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14" borderId="3" xfId="0" applyNumberFormat="1" applyFont="1" applyFill="1" applyBorder="1" applyAlignment="1">
      <alignment vertical="center" wrapText="1"/>
    </xf>
    <xf numFmtId="49" fontId="80" fillId="0" borderId="6" xfId="0" applyNumberFormat="1" applyFont="1" applyBorder="1" applyAlignment="1">
      <alignment horizontal="center" vertical="center" wrapText="1"/>
    </xf>
    <xf numFmtId="49" fontId="80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72" fillId="0" borderId="1" xfId="0" applyNumberFormat="1" applyFont="1" applyFill="1" applyBorder="1" applyAlignment="1">
      <alignment horizontal="center" vertical="center" wrapText="1"/>
    </xf>
    <xf numFmtId="0" fontId="15" fillId="14" borderId="1" xfId="0" applyNumberFormat="1" applyFont="1" applyFill="1" applyBorder="1" applyAlignment="1">
      <alignment horizontal="center" vertical="center" wrapText="1"/>
    </xf>
    <xf numFmtId="0" fontId="9" fillId="14" borderId="1" xfId="635" applyNumberFormat="1" applyFont="1" applyFill="1" applyBorder="1" applyAlignment="1">
      <alignment horizontal="center" vertical="center" wrapText="1"/>
    </xf>
    <xf numFmtId="0" fontId="9" fillId="1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49" fontId="9" fillId="14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1" fillId="0" borderId="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/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72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2" fillId="14" borderId="1" xfId="635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88" fillId="0" borderId="1" xfId="3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>
      <alignment horizontal="center" vertical="center" wrapText="1"/>
    </xf>
    <xf numFmtId="0" fontId="15" fillId="14" borderId="3" xfId="0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28" fillId="1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 vertical="center" wrapText="1"/>
    </xf>
    <xf numFmtId="0" fontId="21" fillId="7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648" applyNumberFormat="1" applyFont="1" applyFill="1" applyBorder="1" applyAlignment="1">
      <alignment horizontal="center" vertical="center" wrapText="1"/>
    </xf>
    <xf numFmtId="0" fontId="28" fillId="0" borderId="1" xfId="648" applyNumberFormat="1" applyFont="1" applyFill="1" applyBorder="1" applyAlignment="1">
      <alignment horizontal="center" vertical="center" wrapText="1"/>
    </xf>
    <xf numFmtId="0" fontId="9" fillId="0" borderId="1" xfId="880" applyNumberFormat="1" applyFont="1" applyFill="1" applyBorder="1" applyAlignment="1">
      <alignment horizontal="center" vertical="center" wrapText="1"/>
    </xf>
    <xf numFmtId="0" fontId="15" fillId="0" borderId="1" xfId="880" applyNumberFormat="1" applyFont="1" applyFill="1" applyBorder="1" applyAlignment="1">
      <alignment horizontal="center" vertical="center" wrapText="1"/>
    </xf>
    <xf numFmtId="0" fontId="15" fillId="0" borderId="1" xfId="904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72" fillId="0" borderId="1" xfId="635" applyNumberFormat="1" applyFont="1" applyFill="1" applyBorder="1" applyAlignment="1">
      <alignment horizontal="center" vertical="center" wrapText="1"/>
    </xf>
    <xf numFmtId="0" fontId="15" fillId="0" borderId="1" xfId="635" applyNumberFormat="1" applyFont="1" applyFill="1" applyBorder="1" applyAlignment="1">
      <alignment horizontal="center" vertical="center" wrapText="1"/>
    </xf>
    <xf numFmtId="0" fontId="28" fillId="0" borderId="1" xfId="635" applyNumberFormat="1" applyFont="1" applyFill="1" applyBorder="1" applyAlignment="1">
      <alignment horizontal="center" vertical="center" wrapText="1"/>
    </xf>
    <xf numFmtId="0" fontId="9" fillId="0" borderId="1" xfId="635" applyNumberFormat="1" applyFont="1" applyFill="1" applyBorder="1" applyAlignment="1">
      <alignment horizontal="center" vertical="center" wrapText="1"/>
    </xf>
    <xf numFmtId="0" fontId="28" fillId="0" borderId="1" xfId="4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15" fillId="14" borderId="1" xfId="0" applyNumberFormat="1" applyFont="1" applyFill="1" applyBorder="1" applyAlignment="1">
      <alignment vertical="center" wrapText="1"/>
    </xf>
    <xf numFmtId="49" fontId="28" fillId="0" borderId="2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9" fillId="38" borderId="8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5" fillId="38" borderId="1" xfId="0" applyNumberFormat="1" applyFont="1" applyFill="1" applyBorder="1" applyAlignment="1">
      <alignment horizontal="left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/>
    </xf>
    <xf numFmtId="49" fontId="28" fillId="0" borderId="1" xfId="0" applyNumberFormat="1" applyFont="1" applyFill="1" applyBorder="1" applyAlignment="1" applyProtection="1">
      <alignment horizontal="left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49" fontId="15" fillId="0" borderId="1" xfId="3" applyNumberFormat="1" applyFont="1" applyFill="1" applyBorder="1" applyAlignment="1">
      <alignment horizontal="left" vertical="center" wrapText="1"/>
    </xf>
    <xf numFmtId="49" fontId="28" fillId="38" borderId="1" xfId="0" applyNumberFormat="1" applyFont="1" applyFill="1" applyBorder="1" applyAlignment="1">
      <alignment horizontal="left" vertical="center" wrapText="1"/>
    </xf>
    <xf numFmtId="49" fontId="88" fillId="0" borderId="1" xfId="3" applyNumberFormat="1" applyFont="1" applyFill="1" applyBorder="1" applyAlignment="1">
      <alignment horizontal="left" vertical="center" wrapText="1"/>
    </xf>
    <xf numFmtId="49" fontId="15" fillId="14" borderId="1" xfId="0" applyNumberFormat="1" applyFont="1" applyFill="1" applyBorder="1" applyAlignment="1">
      <alignment horizontal="left" vertical="center" wrapText="1"/>
    </xf>
    <xf numFmtId="49" fontId="15" fillId="14" borderId="3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80" fillId="0" borderId="1" xfId="0" applyNumberFormat="1" applyFont="1" applyBorder="1" applyAlignment="1">
      <alignment horizontal="left" vertical="center" wrapText="1"/>
    </xf>
    <xf numFmtId="49" fontId="15" fillId="38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Font="1"/>
    <xf numFmtId="49" fontId="72" fillId="0" borderId="1" xfId="1" applyNumberFormat="1" applyFont="1" applyFill="1" applyBorder="1" applyAlignment="1">
      <alignment horizontal="center" vertical="center" wrapText="1"/>
    </xf>
    <xf numFmtId="49" fontId="9" fillId="0" borderId="1" xfId="635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49" fontId="15" fillId="14" borderId="1" xfId="1" applyNumberFormat="1" applyFont="1" applyFill="1" applyBorder="1" applyAlignment="1">
      <alignment horizontal="center" vertical="center" wrapText="1"/>
    </xf>
    <xf numFmtId="49" fontId="9" fillId="14" borderId="1" xfId="1" applyNumberFormat="1" applyFont="1" applyFill="1" applyBorder="1" applyAlignment="1">
      <alignment horizontal="center" vertical="center" wrapText="1"/>
    </xf>
    <xf numFmtId="0" fontId="9" fillId="14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14" borderId="3" xfId="0" applyNumberFormat="1" applyFont="1" applyFill="1" applyBorder="1" applyAlignment="1">
      <alignment horizontal="center" vertical="center" wrapText="1"/>
    </xf>
    <xf numFmtId="0" fontId="77" fillId="0" borderId="8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8" fillId="7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72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81" fillId="0" borderId="4" xfId="0" applyNumberFormat="1" applyFont="1" applyFill="1" applyBorder="1" applyAlignment="1">
      <alignment horizontal="center" vertical="center" wrapText="1"/>
    </xf>
    <xf numFmtId="49" fontId="28" fillId="11" borderId="1" xfId="0" applyNumberFormat="1" applyFont="1" applyFill="1" applyBorder="1" applyAlignment="1">
      <alignment horizontal="center" vertical="center" wrapText="1"/>
    </xf>
    <xf numFmtId="49" fontId="72" fillId="11" borderId="1" xfId="0" applyNumberFormat="1" applyFont="1" applyFill="1" applyBorder="1" applyAlignment="1">
      <alignment horizontal="center" vertical="center" wrapText="1"/>
    </xf>
    <xf numFmtId="0" fontId="72" fillId="0" borderId="1" xfId="4" applyNumberFormat="1" applyFont="1" applyFill="1" applyBorder="1" applyAlignment="1">
      <alignment horizontal="center" vertical="center" wrapText="1"/>
    </xf>
    <xf numFmtId="0" fontId="28" fillId="11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85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49" fontId="9" fillId="14" borderId="1" xfId="908" applyNumberFormat="1" applyFont="1" applyFill="1" applyBorder="1" applyAlignment="1">
      <alignment horizontal="center" vertical="center" wrapText="1"/>
    </xf>
    <xf numFmtId="49" fontId="15" fillId="0" borderId="1" xfId="5" applyNumberFormat="1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1" fillId="0" borderId="1" xfId="0" applyNumberFormat="1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15" fillId="11" borderId="1" xfId="0" applyNumberFormat="1" applyFont="1" applyFill="1" applyBorder="1" applyAlignment="1">
      <alignment horizontal="center" vertical="center" wrapText="1"/>
    </xf>
    <xf numFmtId="49" fontId="72" fillId="0" borderId="1" xfId="4" applyNumberFormat="1" applyFont="1" applyFill="1" applyBorder="1" applyAlignment="1">
      <alignment horizontal="center" vertical="center" wrapText="1"/>
    </xf>
    <xf numFmtId="49" fontId="72" fillId="0" borderId="1" xfId="635" applyNumberFormat="1" applyFont="1" applyFill="1" applyBorder="1" applyAlignment="1">
      <alignment horizontal="center" vertical="center" wrapText="1"/>
    </xf>
    <xf numFmtId="49" fontId="15" fillId="0" borderId="1" xfId="635" applyNumberFormat="1" applyFont="1" applyFill="1" applyBorder="1" applyAlignment="1">
      <alignment vertical="center" wrapText="1"/>
    </xf>
    <xf numFmtId="0" fontId="15" fillId="0" borderId="3" xfId="635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49" fontId="28" fillId="14" borderId="1" xfId="0" applyNumberFormat="1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28" fillId="0" borderId="1" xfId="1" applyNumberFormat="1" applyFont="1" applyFill="1" applyBorder="1" applyAlignment="1">
      <alignment horizontal="left" vertical="center" wrapText="1"/>
    </xf>
    <xf numFmtId="49" fontId="28" fillId="0" borderId="1" xfId="4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9" fillId="0" borderId="3" xfId="635" applyNumberFormat="1" applyFont="1" applyFill="1" applyBorder="1" applyAlignment="1">
      <alignment horizontal="center"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0" fontId="15" fillId="0" borderId="21" xfId="908" applyNumberFormat="1" applyFont="1" applyFill="1" applyBorder="1" applyAlignment="1">
      <alignment horizontal="center" vertical="center" wrapText="1"/>
    </xf>
    <xf numFmtId="0" fontId="15" fillId="0" borderId="5" xfId="908" applyNumberFormat="1" applyFont="1" applyFill="1" applyBorder="1" applyAlignment="1">
      <alignment horizontal="center" vertical="center" wrapText="1"/>
    </xf>
    <xf numFmtId="0" fontId="15" fillId="0" borderId="1" xfId="908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top" wrapText="1"/>
    </xf>
    <xf numFmtId="49" fontId="8" fillId="7" borderId="1" xfId="0" applyNumberFormat="1" applyFont="1" applyFill="1" applyBorder="1" applyAlignment="1">
      <alignment horizontal="center" vertical="top" wrapText="1"/>
    </xf>
    <xf numFmtId="49" fontId="72" fillId="0" borderId="3" xfId="4" applyNumberFormat="1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49" fontId="17" fillId="0" borderId="6" xfId="0" applyNumberFormat="1" applyFont="1" applyFill="1" applyBorder="1" applyAlignment="1">
      <alignment horizontal="right" vertical="center" wrapText="1"/>
    </xf>
    <xf numFmtId="0" fontId="15" fillId="0" borderId="1" xfId="684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49" fontId="77" fillId="0" borderId="1" xfId="0" applyNumberFormat="1" applyFont="1" applyBorder="1" applyAlignment="1">
      <alignment horizontal="center" vertical="top" wrapText="1"/>
    </xf>
    <xf numFmtId="49" fontId="98" fillId="0" borderId="6" xfId="0" applyNumberFormat="1" applyFont="1" applyBorder="1" applyAlignment="1">
      <alignment horizontal="center" vertical="center" wrapText="1"/>
    </xf>
    <xf numFmtId="0" fontId="77" fillId="0" borderId="6" xfId="0" applyNumberFormat="1" applyFont="1" applyBorder="1" applyAlignment="1">
      <alignment horizontal="center" vertical="center" wrapText="1"/>
    </xf>
    <xf numFmtId="49" fontId="77" fillId="0" borderId="3" xfId="0" applyNumberFormat="1" applyFont="1" applyBorder="1" applyAlignment="1">
      <alignment horizontal="center" vertical="top" wrapText="1"/>
    </xf>
    <xf numFmtId="49" fontId="98" fillId="0" borderId="8" xfId="0" applyNumberFormat="1" applyFont="1" applyBorder="1" applyAlignment="1">
      <alignment horizontal="center" vertical="center" wrapText="1"/>
    </xf>
    <xf numFmtId="0" fontId="78" fillId="0" borderId="8" xfId="0" applyNumberFormat="1" applyFont="1" applyFill="1" applyBorder="1" applyAlignment="1">
      <alignment horizontal="center" vertical="center" wrapText="1"/>
    </xf>
    <xf numFmtId="49" fontId="98" fillId="11" borderId="8" xfId="0" applyNumberFormat="1" applyFont="1" applyFill="1" applyBorder="1" applyAlignment="1">
      <alignment horizontal="center" vertical="center" wrapText="1"/>
    </xf>
    <xf numFmtId="49" fontId="77" fillId="11" borderId="8" xfId="0" applyNumberFormat="1" applyFont="1" applyFill="1" applyBorder="1" applyAlignment="1">
      <alignment horizontal="center" vertical="center" wrapText="1"/>
    </xf>
    <xf numFmtId="0" fontId="77" fillId="11" borderId="8" xfId="0" applyNumberFormat="1" applyFont="1" applyFill="1" applyBorder="1" applyAlignment="1">
      <alignment horizontal="center" vertical="center" wrapText="1"/>
    </xf>
    <xf numFmtId="0" fontId="78" fillId="11" borderId="8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top" wrapText="1"/>
    </xf>
    <xf numFmtId="0" fontId="21" fillId="11" borderId="1" xfId="0" applyNumberFormat="1" applyFont="1" applyFill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49" fontId="21" fillId="10" borderId="1" xfId="0" applyNumberFormat="1" applyFont="1" applyFill="1" applyBorder="1" applyAlignment="1">
      <alignment horizontal="center" vertical="center" wrapText="1"/>
    </xf>
    <xf numFmtId="0" fontId="21" fillId="10" borderId="1" xfId="0" applyNumberFormat="1" applyFont="1" applyFill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28" fillId="10" borderId="1" xfId="0" applyNumberFormat="1" applyFont="1" applyFill="1" applyBorder="1" applyAlignment="1">
      <alignment horizontal="center" vertical="center" wrapText="1"/>
    </xf>
    <xf numFmtId="9" fontId="28" fillId="2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49" fontId="9" fillId="14" borderId="3" xfId="908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top"/>
    </xf>
    <xf numFmtId="49" fontId="85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2" fontId="16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vertical="center" wrapText="1"/>
    </xf>
    <xf numFmtId="49" fontId="28" fillId="0" borderId="1" xfId="4" applyNumberFormat="1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vertical="center" wrapText="1"/>
    </xf>
    <xf numFmtId="49" fontId="15" fillId="0" borderId="1" xfId="5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 applyProtection="1">
      <alignment vertical="center" wrapText="1"/>
    </xf>
    <xf numFmtId="0" fontId="7" fillId="0" borderId="0" xfId="0" applyFont="1" applyAlignment="1">
      <alignment horizontal="right" vertical="center" wrapText="1"/>
    </xf>
    <xf numFmtId="49" fontId="99" fillId="0" borderId="3" xfId="0" applyNumberFormat="1" applyFont="1" applyFill="1" applyBorder="1" applyAlignment="1">
      <alignment horizontal="center" vertical="center" wrapText="1"/>
    </xf>
    <xf numFmtId="0" fontId="8" fillId="11" borderId="1" xfId="0" applyNumberFormat="1" applyFont="1" applyFill="1" applyBorder="1" applyAlignment="1">
      <alignment horizontal="center" vertical="center" wrapText="1"/>
    </xf>
    <xf numFmtId="2" fontId="100" fillId="0" borderId="0" xfId="0" applyNumberFormat="1" applyFont="1" applyAlignment="1">
      <alignment horizontal="right" vertical="center" wrapText="1"/>
    </xf>
    <xf numFmtId="49" fontId="79" fillId="0" borderId="1" xfId="0" applyNumberFormat="1" applyFont="1" applyFill="1" applyBorder="1" applyAlignment="1">
      <alignment horizontal="center" vertical="center" wrapText="1"/>
    </xf>
    <xf numFmtId="0" fontId="79" fillId="0" borderId="1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right" vertical="center" wrapText="1"/>
    </xf>
    <xf numFmtId="49" fontId="72" fillId="0" borderId="6" xfId="0" applyNumberFormat="1" applyFont="1" applyFill="1" applyBorder="1" applyAlignment="1">
      <alignment horizontal="center" vertical="center" wrapText="1"/>
    </xf>
    <xf numFmtId="0" fontId="72" fillId="11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72" fillId="0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49" fontId="9" fillId="0" borderId="1" xfId="648" applyNumberFormat="1" applyFont="1" applyFill="1" applyBorder="1" applyAlignment="1">
      <alignment horizontal="center" vertical="center" wrapText="1"/>
    </xf>
    <xf numFmtId="49" fontId="15" fillId="0" borderId="1" xfId="648" applyNumberFormat="1" applyFont="1" applyFill="1" applyBorder="1" applyAlignment="1">
      <alignment horizontal="left" vertical="center" wrapText="1"/>
    </xf>
    <xf numFmtId="0" fontId="15" fillId="0" borderId="1" xfId="648" applyNumberFormat="1" applyFont="1" applyFill="1" applyBorder="1" applyAlignment="1">
      <alignment horizontal="center" vertical="center" wrapText="1"/>
    </xf>
    <xf numFmtId="49" fontId="9" fillId="0" borderId="1" xfId="905" applyNumberFormat="1" applyFont="1" applyFill="1" applyBorder="1" applyAlignment="1">
      <alignment horizontal="center" vertical="center" wrapText="1"/>
    </xf>
    <xf numFmtId="0" fontId="9" fillId="0" borderId="1" xfId="904" applyNumberFormat="1" applyFont="1" applyFill="1" applyBorder="1" applyAlignment="1">
      <alignment horizontal="center" vertical="center" wrapText="1"/>
    </xf>
    <xf numFmtId="0" fontId="101" fillId="0" borderId="1" xfId="4" applyNumberFormat="1" applyFont="1" applyFill="1" applyBorder="1" applyAlignment="1">
      <alignment horizontal="center" vertical="center" wrapText="1"/>
    </xf>
    <xf numFmtId="49" fontId="77" fillId="0" borderId="3" xfId="0" applyNumberFormat="1" applyFont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2" fontId="15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83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vertical="top" wrapText="1"/>
    </xf>
    <xf numFmtId="49" fontId="15" fillId="14" borderId="1" xfId="908" applyNumberFormat="1" applyFont="1" applyFill="1" applyBorder="1" applyAlignment="1">
      <alignment horizontal="left" vertical="center" wrapText="1"/>
    </xf>
    <xf numFmtId="49" fontId="84" fillId="0" borderId="1" xfId="0" applyNumberFormat="1" applyFont="1" applyBorder="1" applyAlignment="1">
      <alignment horizontal="center" vertical="top" wrapText="1"/>
    </xf>
    <xf numFmtId="49" fontId="21" fillId="10" borderId="1" xfId="0" applyNumberFormat="1" applyFont="1" applyFill="1" applyBorder="1" applyAlignment="1">
      <alignment horizontal="center"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49" fontId="102" fillId="0" borderId="1" xfId="0" applyNumberFormat="1" applyFont="1" applyBorder="1" applyAlignment="1">
      <alignment horizontal="center" vertical="top" wrapText="1"/>
    </xf>
    <xf numFmtId="49" fontId="72" fillId="0" borderId="2" xfId="0" applyNumberFormat="1" applyFont="1" applyBorder="1" applyAlignment="1">
      <alignment horizontal="center" vertical="top" wrapText="1"/>
    </xf>
    <xf numFmtId="49" fontId="72" fillId="14" borderId="1" xfId="908" applyNumberFormat="1" applyFont="1" applyFill="1" applyBorder="1" applyAlignment="1">
      <alignment horizontal="center" vertical="top" wrapText="1"/>
    </xf>
    <xf numFmtId="49" fontId="72" fillId="0" borderId="3" xfId="0" applyNumberFormat="1" applyFont="1" applyBorder="1" applyAlignment="1">
      <alignment horizontal="center" vertical="top" wrapText="1"/>
    </xf>
    <xf numFmtId="49" fontId="72" fillId="0" borderId="1" xfId="0" applyNumberFormat="1" applyFont="1" applyBorder="1" applyAlignment="1">
      <alignment horizontal="center" vertical="top" wrapText="1"/>
    </xf>
    <xf numFmtId="49" fontId="72" fillId="0" borderId="1" xfId="4" applyNumberFormat="1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top"/>
    </xf>
    <xf numFmtId="49" fontId="77" fillId="0" borderId="1" xfId="0" applyNumberFormat="1" applyFont="1" applyBorder="1" applyAlignment="1">
      <alignment horizontal="center" vertical="center" wrapText="1"/>
    </xf>
    <xf numFmtId="49" fontId="77" fillId="11" borderId="3" xfId="0" applyNumberFormat="1" applyFont="1" applyFill="1" applyBorder="1" applyAlignment="1">
      <alignment horizontal="center" vertical="center" wrapText="1"/>
    </xf>
    <xf numFmtId="49" fontId="17" fillId="11" borderId="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right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wrapText="1"/>
    </xf>
    <xf numFmtId="49" fontId="104" fillId="0" borderId="0" xfId="0" applyNumberFormat="1" applyFont="1" applyFill="1" applyAlignment="1">
      <alignment horizontal="center" vertical="center" wrapText="1"/>
    </xf>
    <xf numFmtId="49" fontId="28" fillId="0" borderId="1" xfId="2" applyNumberFormat="1" applyFont="1" applyFill="1" applyBorder="1" applyAlignment="1" applyProtection="1">
      <alignment vertical="center" wrapText="1"/>
    </xf>
    <xf numFmtId="49" fontId="15" fillId="0" borderId="1" xfId="2" applyNumberFormat="1" applyFont="1" applyFill="1" applyBorder="1" applyAlignment="1" applyProtection="1">
      <alignment vertical="center" wrapText="1"/>
    </xf>
    <xf numFmtId="49" fontId="9" fillId="0" borderId="1" xfId="684" applyNumberFormat="1" applyFont="1" applyFill="1" applyBorder="1" applyAlignment="1">
      <alignment horizontal="center" vertical="center" wrapText="1"/>
    </xf>
    <xf numFmtId="49" fontId="72" fillId="13" borderId="1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2" fontId="88" fillId="0" borderId="0" xfId="0" applyNumberFormat="1" applyFont="1" applyFill="1" applyAlignment="1">
      <alignment horizontal="right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8" fillId="10" borderId="1" xfId="0" applyNumberFormat="1" applyFont="1" applyFill="1" applyBorder="1" applyAlignment="1">
      <alignment horizontal="center" vertical="center" wrapText="1"/>
    </xf>
    <xf numFmtId="0" fontId="15" fillId="10" borderId="1" xfId="0" applyNumberFormat="1" applyFont="1" applyFill="1" applyBorder="1" applyAlignment="1">
      <alignment horizontal="center" vertical="center" wrapText="1"/>
    </xf>
    <xf numFmtId="49" fontId="9" fillId="38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0" fontId="15" fillId="38" borderId="8" xfId="0" applyNumberFormat="1" applyFont="1" applyFill="1" applyBorder="1" applyAlignment="1">
      <alignment horizontal="center" vertical="center" wrapText="1"/>
    </xf>
    <xf numFmtId="0" fontId="80" fillId="0" borderId="6" xfId="0" applyNumberFormat="1" applyFont="1" applyBorder="1" applyAlignment="1">
      <alignment horizontal="center" vertical="center" wrapText="1"/>
    </xf>
    <xf numFmtId="0" fontId="80" fillId="0" borderId="8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103" fillId="0" borderId="1" xfId="0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9" fontId="72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28" fillId="0" borderId="1" xfId="648" applyNumberFormat="1" applyFont="1" applyBorder="1" applyAlignment="1">
      <alignment vertical="center" wrapText="1"/>
    </xf>
    <xf numFmtId="49" fontId="72" fillId="0" borderId="0" xfId="0" applyNumberFormat="1" applyFont="1" applyBorder="1" applyAlignment="1">
      <alignment horizontal="center" wrapText="1"/>
    </xf>
    <xf numFmtId="49" fontId="28" fillId="0" borderId="1" xfId="635" applyNumberFormat="1" applyFont="1" applyFill="1" applyBorder="1" applyAlignment="1">
      <alignment vertical="center" wrapText="1"/>
    </xf>
    <xf numFmtId="49" fontId="28" fillId="0" borderId="1" xfId="907" applyNumberFormat="1" applyFont="1" applyFill="1" applyBorder="1" applyAlignment="1">
      <alignment vertical="center" wrapText="1"/>
    </xf>
    <xf numFmtId="49" fontId="28" fillId="0" borderId="2" xfId="2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/>
    </xf>
    <xf numFmtId="49" fontId="28" fillId="0" borderId="1" xfId="648" applyNumberFormat="1" applyFont="1" applyFill="1" applyBorder="1" applyAlignment="1">
      <alignment vertical="center" wrapText="1"/>
    </xf>
    <xf numFmtId="49" fontId="15" fillId="0" borderId="1" xfId="648" applyNumberFormat="1" applyFont="1" applyFill="1" applyBorder="1" applyAlignment="1">
      <alignment vertical="center" wrapText="1"/>
    </xf>
    <xf numFmtId="49" fontId="9" fillId="0" borderId="1" xfId="88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89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89" fillId="5" borderId="2" xfId="0" applyFont="1" applyFill="1" applyBorder="1" applyAlignment="1">
      <alignment vertical="center" wrapText="1"/>
    </xf>
    <xf numFmtId="0" fontId="89" fillId="5" borderId="1" xfId="0" applyFont="1" applyFill="1" applyBorder="1" applyAlignment="1">
      <alignment horizontal="center" vertical="center" wrapText="1"/>
    </xf>
    <xf numFmtId="0" fontId="90" fillId="0" borderId="1" xfId="0" applyNumberFormat="1" applyFont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center" vertical="center" wrapText="1"/>
    </xf>
    <xf numFmtId="0" fontId="28" fillId="0" borderId="28" xfId="0" applyNumberFormat="1" applyFont="1" applyBorder="1" applyAlignment="1">
      <alignment horizontal="center" vertical="center" wrapText="1"/>
    </xf>
    <xf numFmtId="0" fontId="28" fillId="39" borderId="32" xfId="0" applyNumberFormat="1" applyFont="1" applyFill="1" applyBorder="1" applyAlignment="1">
      <alignment horizontal="center" vertical="center" wrapText="1"/>
    </xf>
    <xf numFmtId="0" fontId="28" fillId="39" borderId="1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8" fillId="13" borderId="2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32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9" borderId="1" xfId="0" applyNumberFormat="1" applyFont="1" applyFill="1" applyBorder="1" applyAlignment="1">
      <alignment vertical="center" wrapText="1"/>
    </xf>
    <xf numFmtId="0" fontId="10" fillId="39" borderId="32" xfId="0" applyNumberFormat="1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89" fillId="0" borderId="1" xfId="0" applyNumberFormat="1" applyFont="1" applyBorder="1" applyAlignment="1">
      <alignment horizontal="center" vertical="center" wrapText="1"/>
    </xf>
    <xf numFmtId="0" fontId="108" fillId="0" borderId="1" xfId="0" applyNumberFormat="1" applyFont="1" applyBorder="1" applyAlignment="1">
      <alignment horizontal="center" vertical="center" wrapText="1"/>
    </xf>
    <xf numFmtId="49" fontId="89" fillId="0" borderId="3" xfId="0" applyNumberFormat="1" applyFont="1" applyBorder="1" applyAlignment="1">
      <alignment horizontal="center" vertical="center" wrapText="1"/>
    </xf>
    <xf numFmtId="0" fontId="20" fillId="11" borderId="1" xfId="0" applyNumberFormat="1" applyFont="1" applyFill="1" applyBorder="1" applyAlignment="1">
      <alignment horizontal="center" vertical="center" wrapText="1"/>
    </xf>
    <xf numFmtId="0" fontId="10" fillId="11" borderId="1" xfId="0" applyNumberFormat="1" applyFont="1" applyFill="1" applyBorder="1" applyAlignment="1">
      <alignment horizontal="center" vertical="center" wrapText="1"/>
    </xf>
    <xf numFmtId="49" fontId="89" fillId="0" borderId="2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49" fontId="89" fillId="0" borderId="26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44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42" borderId="45" xfId="0" applyFont="1" applyFill="1" applyBorder="1" applyAlignment="1">
      <alignment horizontal="center" vertical="center" wrapText="1"/>
    </xf>
    <xf numFmtId="0" fontId="3" fillId="42" borderId="4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3" borderId="46" xfId="0" applyFont="1" applyFill="1" applyBorder="1" applyAlignment="1">
      <alignment horizontal="center" vertical="center" wrapText="1"/>
    </xf>
    <xf numFmtId="0" fontId="13" fillId="43" borderId="46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8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7" fillId="11" borderId="45" xfId="0" applyFont="1" applyFill="1" applyBorder="1" applyAlignment="1">
      <alignment horizontal="center"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5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44" borderId="6" xfId="0" applyFont="1" applyFill="1" applyBorder="1" applyAlignment="1">
      <alignment horizontal="center" vertical="center" wrapText="1"/>
    </xf>
    <xf numFmtId="0" fontId="16" fillId="40" borderId="45" xfId="0" applyFont="1" applyFill="1" applyBorder="1" applyAlignment="1">
      <alignment horizontal="center" vertical="center" wrapText="1"/>
    </xf>
    <xf numFmtId="0" fontId="3" fillId="40" borderId="46" xfId="0" applyFont="1" applyFill="1" applyBorder="1" applyAlignment="1">
      <alignment horizontal="center" vertical="center" wrapText="1"/>
    </xf>
    <xf numFmtId="0" fontId="21" fillId="40" borderId="46" xfId="0" applyFont="1" applyFill="1" applyBorder="1" applyAlignment="1">
      <alignment horizontal="center" vertical="center" wrapText="1"/>
    </xf>
    <xf numFmtId="0" fontId="13" fillId="40" borderId="46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 wrapText="1"/>
    </xf>
    <xf numFmtId="0" fontId="6" fillId="40" borderId="49" xfId="0" applyFont="1" applyFill="1" applyBorder="1" applyAlignment="1">
      <alignment horizontal="center" vertical="center" wrapText="1"/>
    </xf>
    <xf numFmtId="0" fontId="13" fillId="40" borderId="52" xfId="0" applyFont="1" applyFill="1" applyBorder="1" applyAlignment="1">
      <alignment horizontal="center" vertical="center" wrapText="1"/>
    </xf>
    <xf numFmtId="0" fontId="6" fillId="40" borderId="47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9" fillId="0" borderId="1" xfId="0" applyNumberFormat="1" applyFont="1" applyBorder="1" applyAlignment="1">
      <alignment horizontal="center" vertical="center" wrapText="1"/>
    </xf>
    <xf numFmtId="0" fontId="10" fillId="13" borderId="1" xfId="0" applyNumberFormat="1" applyFont="1" applyFill="1" applyBorder="1" applyAlignment="1">
      <alignment horizontal="center" vertical="center" wrapText="1"/>
    </xf>
    <xf numFmtId="0" fontId="108" fillId="13" borderId="3" xfId="0" applyNumberFormat="1" applyFont="1" applyFill="1" applyBorder="1" applyAlignment="1">
      <alignment horizontal="center" vertical="center" wrapText="1"/>
    </xf>
    <xf numFmtId="0" fontId="109" fillId="13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43" borderId="32" xfId="0" applyFont="1" applyFill="1" applyBorder="1" applyAlignment="1">
      <alignment horizontal="center" vertical="center" wrapText="1"/>
    </xf>
    <xf numFmtId="0" fontId="72" fillId="44" borderId="3" xfId="0" applyNumberFormat="1" applyFont="1" applyFill="1" applyBorder="1" applyAlignment="1">
      <alignment horizontal="center" vertical="center" wrapText="1"/>
    </xf>
    <xf numFmtId="49" fontId="10" fillId="44" borderId="26" xfId="0" applyNumberFormat="1" applyFont="1" applyFill="1" applyBorder="1" applyAlignment="1">
      <alignment horizontal="center" vertical="center" wrapText="1"/>
    </xf>
    <xf numFmtId="0" fontId="10" fillId="44" borderId="3" xfId="0" applyNumberFormat="1" applyFont="1" applyFill="1" applyBorder="1" applyAlignment="1">
      <alignment horizontal="center" vertical="center" wrapText="1"/>
    </xf>
    <xf numFmtId="0" fontId="4" fillId="44" borderId="1" xfId="0" applyFont="1" applyFill="1" applyBorder="1" applyAlignment="1">
      <alignment horizontal="center" vertical="center" wrapText="1"/>
    </xf>
    <xf numFmtId="0" fontId="10" fillId="44" borderId="8" xfId="0" applyNumberFormat="1" applyFont="1" applyFill="1" applyBorder="1" applyAlignment="1">
      <alignment horizontal="center" vertical="center" wrapText="1"/>
    </xf>
    <xf numFmtId="0" fontId="108" fillId="44" borderId="53" xfId="0" applyNumberFormat="1" applyFont="1" applyFill="1" applyBorder="1" applyAlignment="1">
      <alignment horizontal="center" vertical="center" wrapText="1"/>
    </xf>
    <xf numFmtId="49" fontId="10" fillId="41" borderId="26" xfId="0" applyNumberFormat="1" applyFont="1" applyFill="1" applyBorder="1" applyAlignment="1">
      <alignment horizontal="center" vertical="center" wrapText="1"/>
    </xf>
    <xf numFmtId="0" fontId="72" fillId="41" borderId="3" xfId="0" applyNumberFormat="1" applyFont="1" applyFill="1" applyBorder="1" applyAlignment="1">
      <alignment horizontal="center" vertical="center" wrapText="1"/>
    </xf>
    <xf numFmtId="0" fontId="10" fillId="41" borderId="1" xfId="0" applyNumberFormat="1" applyFont="1" applyFill="1" applyBorder="1" applyAlignment="1">
      <alignment horizontal="center" vertical="center" wrapText="1"/>
    </xf>
    <xf numFmtId="0" fontId="10" fillId="41" borderId="3" xfId="0" applyNumberFormat="1" applyFont="1" applyFill="1" applyBorder="1" applyAlignment="1">
      <alignment horizontal="center" vertical="center" wrapText="1"/>
    </xf>
    <xf numFmtId="0" fontId="4" fillId="41" borderId="1" xfId="0" applyFont="1" applyFill="1" applyBorder="1" applyAlignment="1">
      <alignment horizontal="center" vertical="center" wrapText="1"/>
    </xf>
    <xf numFmtId="0" fontId="108" fillId="41" borderId="53" xfId="0" applyNumberFormat="1" applyFont="1" applyFill="1" applyBorder="1" applyAlignment="1">
      <alignment horizontal="center" vertical="center" wrapText="1"/>
    </xf>
    <xf numFmtId="49" fontId="10" fillId="45" borderId="26" xfId="0" applyNumberFormat="1" applyFont="1" applyFill="1" applyBorder="1" applyAlignment="1">
      <alignment horizontal="center" vertical="center" wrapText="1"/>
    </xf>
    <xf numFmtId="0" fontId="72" fillId="45" borderId="3" xfId="0" applyNumberFormat="1" applyFont="1" applyFill="1" applyBorder="1" applyAlignment="1">
      <alignment horizontal="center" vertical="center" wrapText="1"/>
    </xf>
    <xf numFmtId="0" fontId="10" fillId="45" borderId="1" xfId="0" applyNumberFormat="1" applyFont="1" applyFill="1" applyBorder="1" applyAlignment="1">
      <alignment horizontal="center" vertical="center" wrapText="1"/>
    </xf>
    <xf numFmtId="0" fontId="10" fillId="45" borderId="3" xfId="0" applyNumberFormat="1" applyFont="1" applyFill="1" applyBorder="1" applyAlignment="1">
      <alignment horizontal="center" vertical="center" wrapText="1"/>
    </xf>
    <xf numFmtId="0" fontId="4" fillId="45" borderId="1" xfId="0" applyFont="1" applyFill="1" applyBorder="1" applyAlignment="1">
      <alignment horizontal="center" vertical="center" wrapText="1"/>
    </xf>
    <xf numFmtId="0" fontId="108" fillId="45" borderId="34" xfId="0" applyNumberFormat="1" applyFont="1" applyFill="1" applyBorder="1" applyAlignment="1">
      <alignment horizontal="center" vertical="center" wrapText="1"/>
    </xf>
    <xf numFmtId="0" fontId="108" fillId="45" borderId="53" xfId="0" applyNumberFormat="1" applyFont="1" applyFill="1" applyBorder="1" applyAlignment="1">
      <alignment horizontal="center" vertical="center" wrapText="1"/>
    </xf>
    <xf numFmtId="0" fontId="108" fillId="45" borderId="48" xfId="0" applyNumberFormat="1" applyFont="1" applyFill="1" applyBorder="1" applyAlignment="1">
      <alignment horizontal="center" vertical="center" wrapText="1"/>
    </xf>
    <xf numFmtId="0" fontId="108" fillId="44" borderId="34" xfId="0" applyNumberFormat="1" applyFont="1" applyFill="1" applyBorder="1" applyAlignment="1">
      <alignment horizontal="center" vertical="center" wrapText="1"/>
    </xf>
    <xf numFmtId="0" fontId="108" fillId="44" borderId="48" xfId="0" applyNumberFormat="1" applyFont="1" applyFill="1" applyBorder="1" applyAlignment="1">
      <alignment horizontal="center" vertical="center" wrapText="1"/>
    </xf>
    <xf numFmtId="0" fontId="108" fillId="41" borderId="34" xfId="0" applyNumberFormat="1" applyFont="1" applyFill="1" applyBorder="1" applyAlignment="1">
      <alignment horizontal="center" vertical="center" wrapText="1"/>
    </xf>
    <xf numFmtId="0" fontId="108" fillId="41" borderId="48" xfId="0" applyNumberFormat="1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0" fillId="11" borderId="25" xfId="0" applyNumberFormat="1" applyFont="1" applyFill="1" applyBorder="1" applyAlignment="1">
      <alignment horizontal="center" vertical="center" wrapText="1"/>
    </xf>
    <xf numFmtId="49" fontId="10" fillId="40" borderId="26" xfId="0" applyNumberFormat="1" applyFont="1" applyFill="1" applyBorder="1" applyAlignment="1">
      <alignment horizontal="center" vertical="center" wrapText="1"/>
    </xf>
    <xf numFmtId="0" fontId="72" fillId="40" borderId="3" xfId="0" applyNumberFormat="1" applyFont="1" applyFill="1" applyBorder="1" applyAlignment="1">
      <alignment horizontal="center" vertical="center" wrapText="1"/>
    </xf>
    <xf numFmtId="0" fontId="10" fillId="40" borderId="8" xfId="0" applyNumberFormat="1" applyFont="1" applyFill="1" applyBorder="1" applyAlignment="1">
      <alignment horizontal="center" vertical="center" wrapText="1"/>
    </xf>
    <xf numFmtId="0" fontId="10" fillId="40" borderId="1" xfId="0" applyNumberFormat="1" applyFont="1" applyFill="1" applyBorder="1" applyAlignment="1">
      <alignment horizontal="center" vertical="center" wrapText="1"/>
    </xf>
    <xf numFmtId="0" fontId="108" fillId="40" borderId="34" xfId="0" applyNumberFormat="1" applyFont="1" applyFill="1" applyBorder="1" applyAlignment="1">
      <alignment horizontal="center" vertical="center" wrapText="1"/>
    </xf>
    <xf numFmtId="0" fontId="108" fillId="40" borderId="53" xfId="0" applyNumberFormat="1" applyFont="1" applyFill="1" applyBorder="1" applyAlignment="1">
      <alignment horizontal="center" vertical="center" wrapText="1"/>
    </xf>
    <xf numFmtId="0" fontId="72" fillId="40" borderId="1" xfId="0" applyNumberFormat="1" applyFont="1" applyFill="1" applyBorder="1" applyAlignment="1">
      <alignment horizontal="center" vertical="center" wrapText="1"/>
    </xf>
    <xf numFmtId="49" fontId="10" fillId="40" borderId="27" xfId="0" applyNumberFormat="1" applyFont="1" applyFill="1" applyBorder="1" applyAlignment="1">
      <alignment horizontal="center" vertical="center" wrapText="1"/>
    </xf>
    <xf numFmtId="0" fontId="72" fillId="40" borderId="28" xfId="0" applyNumberFormat="1" applyFont="1" applyFill="1" applyBorder="1" applyAlignment="1">
      <alignment horizontal="center" vertical="center" wrapText="1"/>
    </xf>
    <xf numFmtId="0" fontId="10" fillId="40" borderId="28" xfId="0" applyNumberFormat="1" applyFont="1" applyFill="1" applyBorder="1" applyAlignment="1">
      <alignment horizontal="center" vertical="center" wrapText="1"/>
    </xf>
    <xf numFmtId="0" fontId="108" fillId="40" borderId="55" xfId="0" applyNumberFormat="1" applyFont="1" applyFill="1" applyBorder="1" applyAlignment="1">
      <alignment horizontal="center" vertical="center" wrapText="1"/>
    </xf>
    <xf numFmtId="0" fontId="109" fillId="41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43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49" fontId="28" fillId="40" borderId="1" xfId="1" applyNumberFormat="1" applyFont="1" applyFill="1" applyBorder="1" applyAlignment="1">
      <alignment horizontal="center" vertical="center" wrapText="1"/>
    </xf>
    <xf numFmtId="0" fontId="72" fillId="13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49" fontId="28" fillId="40" borderId="3" xfId="0" applyNumberFormat="1" applyFont="1" applyFill="1" applyBorder="1" applyAlignment="1">
      <alignment horizontal="center" vertical="center" wrapText="1"/>
    </xf>
    <xf numFmtId="49" fontId="9" fillId="14" borderId="3" xfId="635" applyNumberFormat="1" applyFont="1" applyFill="1" applyBorder="1" applyAlignment="1">
      <alignment horizontal="center"/>
    </xf>
    <xf numFmtId="0" fontId="72" fillId="14" borderId="1" xfId="635" applyNumberFormat="1" applyFont="1" applyFill="1" applyBorder="1" applyAlignment="1">
      <alignment horizontal="center"/>
    </xf>
    <xf numFmtId="0" fontId="28" fillId="0" borderId="3" xfId="635" applyNumberFormat="1" applyFont="1" applyFill="1" applyBorder="1" applyAlignment="1">
      <alignment horizontal="center"/>
    </xf>
    <xf numFmtId="49" fontId="72" fillId="0" borderId="1" xfId="648" applyNumberFormat="1" applyFont="1" applyFill="1" applyBorder="1" applyAlignment="1">
      <alignment horizontal="center" vertical="center" wrapText="1"/>
    </xf>
    <xf numFmtId="0" fontId="72" fillId="0" borderId="1" xfId="648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7" fillId="0" borderId="1" xfId="0" applyNumberFormat="1" applyFont="1" applyBorder="1" applyAlignment="1">
      <alignment horizontal="center" vertical="center" wrapText="1"/>
    </xf>
    <xf numFmtId="49" fontId="72" fillId="0" borderId="3" xfId="0" applyNumberFormat="1" applyFont="1" applyFill="1" applyBorder="1" applyAlignment="1">
      <alignment vertical="top" wrapText="1"/>
    </xf>
    <xf numFmtId="49" fontId="74" fillId="13" borderId="1" xfId="0" applyNumberFormat="1" applyFont="1" applyFill="1" applyBorder="1" applyAlignment="1">
      <alignment horizontal="left" vertical="center" wrapText="1"/>
    </xf>
    <xf numFmtId="49" fontId="110" fillId="0" borderId="1" xfId="0" applyNumberFormat="1" applyFont="1" applyBorder="1" applyAlignment="1">
      <alignment vertical="center" wrapText="1"/>
    </xf>
    <xf numFmtId="49" fontId="111" fillId="0" borderId="1" xfId="0" applyNumberFormat="1" applyFont="1" applyBorder="1" applyAlignment="1">
      <alignment horizontal="left" vertical="center" wrapText="1"/>
    </xf>
    <xf numFmtId="49" fontId="111" fillId="0" borderId="1" xfId="0" applyNumberFormat="1" applyFont="1" applyBorder="1" applyAlignment="1">
      <alignment vertical="center" wrapText="1"/>
    </xf>
    <xf numFmtId="49" fontId="91" fillId="0" borderId="1" xfId="0" applyNumberFormat="1" applyFont="1" applyBorder="1" applyAlignment="1">
      <alignment vertical="center" wrapText="1"/>
    </xf>
    <xf numFmtId="49" fontId="91" fillId="14" borderId="1" xfId="0" applyNumberFormat="1" applyFont="1" applyFill="1" applyBorder="1" applyAlignment="1">
      <alignment vertical="center" wrapText="1"/>
    </xf>
    <xf numFmtId="49" fontId="74" fillId="0" borderId="1" xfId="0" applyNumberFormat="1" applyFont="1" applyBorder="1" applyAlignment="1">
      <alignment vertical="center" wrapText="1"/>
    </xf>
    <xf numFmtId="0" fontId="72" fillId="0" borderId="1" xfId="0" applyNumberFormat="1" applyFont="1" applyBorder="1" applyAlignment="1">
      <alignment horizontal="center" vertical="center" wrapText="1"/>
    </xf>
    <xf numFmtId="49" fontId="112" fillId="0" borderId="1" xfId="0" applyNumberFormat="1" applyFont="1" applyBorder="1" applyAlignment="1">
      <alignment horizontal="center" vertical="center" wrapText="1"/>
    </xf>
    <xf numFmtId="0" fontId="15" fillId="0" borderId="1" xfId="479" applyNumberFormat="1" applyFont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 wrapText="1"/>
    </xf>
    <xf numFmtId="0" fontId="9" fillId="14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05" fillId="0" borderId="0" xfId="0" applyNumberFormat="1" applyFont="1" applyAlignment="1">
      <alignment horizontal="right" vertical="center" wrapText="1"/>
    </xf>
    <xf numFmtId="49" fontId="103" fillId="0" borderId="0" xfId="0" applyNumberFormat="1" applyFont="1" applyAlignment="1">
      <alignment horizontal="center" vertical="top"/>
    </xf>
    <xf numFmtId="0" fontId="9" fillId="14" borderId="1" xfId="908" applyNumberFormat="1" applyFont="1" applyFill="1" applyBorder="1" applyAlignment="1">
      <alignment horizontal="center" vertical="center" wrapText="1"/>
    </xf>
    <xf numFmtId="0" fontId="113" fillId="0" borderId="1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top" wrapText="1"/>
    </xf>
    <xf numFmtId="49" fontId="21" fillId="43" borderId="9" xfId="0" applyNumberFormat="1" applyFont="1" applyFill="1" applyBorder="1" applyAlignment="1">
      <alignment horizontal="center" vertical="top" wrapText="1"/>
    </xf>
    <xf numFmtId="49" fontId="21" fillId="43" borderId="1" xfId="0" applyNumberFormat="1" applyFont="1" applyFill="1" applyBorder="1" applyAlignment="1">
      <alignment horizontal="center" vertical="center" wrapText="1"/>
    </xf>
    <xf numFmtId="49" fontId="17" fillId="43" borderId="1" xfId="0" applyNumberFormat="1" applyFont="1" applyFill="1" applyBorder="1" applyAlignment="1">
      <alignment horizontal="center" vertical="center" wrapText="1"/>
    </xf>
    <xf numFmtId="0" fontId="17" fillId="43" borderId="1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106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vertical="center" wrapText="1"/>
    </xf>
    <xf numFmtId="0" fontId="3" fillId="42" borderId="56" xfId="0" applyFont="1" applyFill="1" applyBorder="1" applyAlignment="1">
      <alignment horizontal="center" vertical="center" wrapText="1"/>
    </xf>
    <xf numFmtId="0" fontId="88" fillId="4" borderId="2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9" fillId="0" borderId="26" xfId="0" applyNumberFormat="1" applyFont="1" applyFill="1" applyBorder="1" applyAlignment="1">
      <alignment horizontal="center" vertical="center" wrapText="1"/>
    </xf>
    <xf numFmtId="49" fontId="89" fillId="0" borderId="44" xfId="0" applyNumberFormat="1" applyFont="1" applyFill="1" applyBorder="1" applyAlignment="1">
      <alignment horizontal="center" vertical="center" wrapText="1"/>
    </xf>
    <xf numFmtId="49" fontId="89" fillId="0" borderId="39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0" fontId="17" fillId="43" borderId="1" xfId="0" applyFont="1" applyFill="1" applyBorder="1" applyAlignment="1">
      <alignment horizontal="center" vertical="center" wrapText="1"/>
    </xf>
    <xf numFmtId="0" fontId="28" fillId="39" borderId="28" xfId="0" applyNumberFormat="1" applyFont="1" applyFill="1" applyBorder="1" applyAlignment="1">
      <alignment horizontal="center" vertical="center" wrapText="1"/>
    </xf>
    <xf numFmtId="0" fontId="10" fillId="39" borderId="28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8" fillId="0" borderId="0" xfId="0" applyNumberFormat="1" applyFont="1" applyAlignment="1">
      <alignment horizontal="right" vertical="center" wrapText="1"/>
    </xf>
    <xf numFmtId="0" fontId="114" fillId="0" borderId="0" xfId="0" applyNumberFormat="1" applyFont="1" applyFill="1" applyAlignment="1">
      <alignment horizontal="center" vertical="center" wrapText="1"/>
    </xf>
    <xf numFmtId="2" fontId="114" fillId="0" borderId="0" xfId="0" applyNumberFormat="1" applyFont="1" applyFill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9" fillId="0" borderId="1" xfId="908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15" fillId="43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1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vertical="center" wrapText="1"/>
    </xf>
    <xf numFmtId="0" fontId="109" fillId="44" borderId="1" xfId="0" applyFont="1" applyFill="1" applyBorder="1" applyAlignment="1">
      <alignment horizontal="center" vertical="center" wrapText="1"/>
    </xf>
    <xf numFmtId="0" fontId="10" fillId="44" borderId="1" xfId="0" applyNumberFormat="1" applyFont="1" applyFill="1" applyBorder="1" applyAlignment="1">
      <alignment horizontal="center" vertical="center" wrapText="1"/>
    </xf>
    <xf numFmtId="0" fontId="109" fillId="0" borderId="4" xfId="0" applyNumberFormat="1" applyFont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45" borderId="1" xfId="0" applyFont="1" applyFill="1" applyBorder="1" applyAlignment="1">
      <alignment horizontal="center" vertical="center" wrapText="1"/>
    </xf>
    <xf numFmtId="0" fontId="10" fillId="41" borderId="1" xfId="0" applyFont="1" applyFill="1" applyBorder="1" applyAlignment="1">
      <alignment horizontal="center" vertical="center" wrapText="1"/>
    </xf>
    <xf numFmtId="0" fontId="108" fillId="13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0" fillId="13" borderId="40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9" fillId="0" borderId="34" xfId="0" applyNumberFormat="1" applyFont="1" applyBorder="1" applyAlignment="1">
      <alignment horizontal="center" vertical="center" wrapText="1"/>
    </xf>
    <xf numFmtId="0" fontId="109" fillId="0" borderId="48" xfId="0" applyNumberFormat="1" applyFont="1" applyBorder="1" applyAlignment="1">
      <alignment horizontal="center" vertical="center" wrapText="1"/>
    </xf>
    <xf numFmtId="0" fontId="109" fillId="0" borderId="53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09" fillId="0" borderId="55" xfId="0" applyNumberFormat="1" applyFont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vertical="center" wrapText="1"/>
    </xf>
    <xf numFmtId="0" fontId="86" fillId="0" borderId="28" xfId="0" applyNumberFormat="1" applyFont="1" applyBorder="1" applyAlignment="1">
      <alignment horizontal="center" vertical="center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3" xfId="3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49" fontId="104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84" fillId="0" borderId="2" xfId="0" applyNumberFormat="1" applyFont="1" applyBorder="1" applyAlignment="1">
      <alignment horizontal="center" vertical="top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72" fillId="0" borderId="4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8" fillId="43" borderId="1" xfId="0" applyNumberFormat="1" applyFont="1" applyFill="1" applyBorder="1" applyAlignment="1">
      <alignment horizontal="center" vertical="top" wrapText="1"/>
    </xf>
    <xf numFmtId="49" fontId="8" fillId="43" borderId="1" xfId="0" applyNumberFormat="1" applyFont="1" applyFill="1" applyBorder="1" applyAlignment="1">
      <alignment horizontal="center" vertical="center" wrapText="1"/>
    </xf>
    <xf numFmtId="0" fontId="8" fillId="43" borderId="1" xfId="0" applyNumberFormat="1" applyFont="1" applyFill="1" applyBorder="1" applyAlignment="1">
      <alignment horizontal="center" vertical="center" wrapText="1"/>
    </xf>
    <xf numFmtId="0" fontId="16" fillId="43" borderId="1" xfId="0" applyNumberFormat="1" applyFont="1" applyFill="1" applyBorder="1" applyAlignment="1">
      <alignment horizontal="center" vertical="center" wrapText="1"/>
    </xf>
    <xf numFmtId="49" fontId="21" fillId="43" borderId="1" xfId="0" applyNumberFormat="1" applyFont="1" applyFill="1" applyBorder="1" applyAlignment="1">
      <alignment horizontal="center" vertical="top" wrapText="1"/>
    </xf>
    <xf numFmtId="0" fontId="87" fillId="0" borderId="1" xfId="0" applyNumberFormat="1" applyFont="1" applyFill="1" applyBorder="1" applyAlignment="1">
      <alignment horizontal="center" vertical="center"/>
    </xf>
    <xf numFmtId="49" fontId="117" fillId="0" borderId="1" xfId="0" applyNumberFormat="1" applyFont="1" applyFill="1" applyBorder="1" applyAlignment="1">
      <alignment horizontal="left" vertical="center" wrapText="1"/>
    </xf>
    <xf numFmtId="49" fontId="28" fillId="0" borderId="1" xfId="908" applyNumberFormat="1" applyFont="1" applyFill="1" applyBorder="1" applyAlignment="1">
      <alignment horizontal="left" vertical="center" wrapText="1"/>
    </xf>
    <xf numFmtId="0" fontId="86" fillId="0" borderId="3" xfId="0" applyNumberFormat="1" applyFont="1" applyFill="1" applyBorder="1" applyAlignment="1">
      <alignment horizontal="center" vertical="center" wrapText="1"/>
    </xf>
    <xf numFmtId="49" fontId="9" fillId="0" borderId="1" xfId="908" applyNumberFormat="1" applyFont="1" applyFill="1" applyBorder="1" applyAlignment="1">
      <alignment horizontal="center" wrapText="1"/>
    </xf>
    <xf numFmtId="49" fontId="15" fillId="0" borderId="1" xfId="908" applyNumberFormat="1" applyFont="1" applyFill="1" applyBorder="1" applyAlignment="1">
      <alignment horizontal="left" vertical="center" wrapText="1"/>
    </xf>
    <xf numFmtId="0" fontId="15" fillId="0" borderId="1" xfId="908" applyNumberFormat="1" applyFont="1" applyFill="1" applyBorder="1" applyAlignment="1">
      <alignment horizontal="center" wrapText="1"/>
    </xf>
    <xf numFmtId="49" fontId="9" fillId="0" borderId="1" xfId="658" applyNumberFormat="1" applyFont="1" applyFill="1" applyBorder="1" applyAlignment="1">
      <alignment horizontal="center" vertical="center" wrapText="1"/>
    </xf>
    <xf numFmtId="49" fontId="16" fillId="0" borderId="1" xfId="658" applyNumberFormat="1" applyFont="1" applyFill="1" applyBorder="1" applyAlignment="1">
      <alignment horizontal="left" vertical="center" wrapText="1"/>
    </xf>
    <xf numFmtId="0" fontId="15" fillId="0" borderId="1" xfId="658" applyNumberFormat="1" applyFont="1" applyFill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left" vertical="center" wrapText="1"/>
    </xf>
    <xf numFmtId="49" fontId="15" fillId="14" borderId="1" xfId="908" applyNumberFormat="1" applyFont="1" applyFill="1" applyBorder="1" applyAlignment="1">
      <alignment horizontal="left" wrapText="1"/>
    </xf>
    <xf numFmtId="49" fontId="9" fillId="14" borderId="1" xfId="908" applyNumberFormat="1" applyFont="1" applyFill="1" applyBorder="1" applyAlignment="1">
      <alignment horizontal="center" wrapText="1"/>
    </xf>
    <xf numFmtId="0" fontId="15" fillId="14" borderId="1" xfId="908" applyNumberFormat="1" applyFont="1" applyFill="1" applyBorder="1" applyAlignment="1">
      <alignment horizontal="center" wrapText="1"/>
    </xf>
    <xf numFmtId="49" fontId="16" fillId="14" borderId="1" xfId="658" applyNumberFormat="1" applyFont="1" applyFill="1" applyBorder="1" applyAlignment="1">
      <alignment horizontal="left" vertical="center" wrapText="1"/>
    </xf>
    <xf numFmtId="49" fontId="9" fillId="14" borderId="1" xfId="658" applyNumberFormat="1" applyFont="1" applyFill="1" applyBorder="1" applyAlignment="1">
      <alignment horizontal="center" vertical="center" wrapText="1"/>
    </xf>
    <xf numFmtId="49" fontId="120" fillId="0" borderId="1" xfId="0" applyNumberFormat="1" applyFont="1" applyFill="1" applyBorder="1" applyAlignment="1">
      <alignment horizontal="center" vertical="center" wrapText="1"/>
    </xf>
    <xf numFmtId="0" fontId="121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wrapText="1"/>
    </xf>
    <xf numFmtId="49" fontId="121" fillId="0" borderId="1" xfId="0" applyNumberFormat="1" applyFont="1" applyFill="1" applyBorder="1" applyAlignment="1">
      <alignment horizontal="left" vertical="center" wrapText="1"/>
    </xf>
    <xf numFmtId="49" fontId="122" fillId="0" borderId="3" xfId="0" applyNumberFormat="1" applyFont="1" applyFill="1" applyBorder="1" applyAlignment="1">
      <alignment horizontal="center" vertical="center" wrapText="1"/>
    </xf>
    <xf numFmtId="49" fontId="120" fillId="0" borderId="3" xfId="0" applyNumberFormat="1" applyFont="1" applyFill="1" applyBorder="1" applyAlignment="1">
      <alignment horizontal="center" vertical="center" wrapText="1"/>
    </xf>
    <xf numFmtId="0" fontId="28" fillId="0" borderId="1" xfId="693" applyNumberFormat="1" applyFont="1" applyFill="1" applyBorder="1" applyAlignment="1">
      <alignment horizontal="center" vertical="center" wrapText="1"/>
    </xf>
    <xf numFmtId="49" fontId="84" fillId="0" borderId="1" xfId="0" applyNumberFormat="1" applyFont="1" applyBorder="1" applyAlignment="1">
      <alignment horizontal="center" vertical="center" wrapText="1"/>
    </xf>
    <xf numFmtId="49" fontId="83" fillId="0" borderId="1" xfId="0" applyNumberFormat="1" applyFont="1" applyBorder="1" applyAlignment="1">
      <alignment horizontal="left" vertical="center" wrapText="1"/>
    </xf>
    <xf numFmtId="0" fontId="83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49" fontId="9" fillId="43" borderId="1" xfId="1" applyNumberFormat="1" applyFont="1" applyFill="1" applyBorder="1" applyAlignment="1">
      <alignment horizontal="center" vertical="center" wrapText="1"/>
    </xf>
    <xf numFmtId="49" fontId="28" fillId="43" borderId="1" xfId="1" applyNumberFormat="1" applyFont="1" applyFill="1" applyBorder="1" applyAlignment="1">
      <alignment horizontal="center" vertical="center" wrapText="1"/>
    </xf>
    <xf numFmtId="0" fontId="9" fillId="43" borderId="1" xfId="1" applyNumberFormat="1" applyFont="1" applyFill="1" applyBorder="1" applyAlignment="1">
      <alignment horizontal="center" vertical="center" wrapText="1"/>
    </xf>
    <xf numFmtId="0" fontId="15" fillId="43" borderId="1" xfId="1" applyNumberFormat="1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vertical="center" wrapText="1"/>
    </xf>
    <xf numFmtId="0" fontId="124" fillId="0" borderId="1" xfId="0" applyFont="1" applyBorder="1" applyAlignment="1">
      <alignment vertical="center" wrapText="1"/>
    </xf>
    <xf numFmtId="0" fontId="125" fillId="0" borderId="1" xfId="0" applyFont="1" applyBorder="1" applyAlignment="1">
      <alignment horizontal="left" vertical="center" wrapText="1"/>
    </xf>
    <xf numFmtId="0" fontId="125" fillId="0" borderId="1" xfId="0" applyFont="1" applyBorder="1" applyAlignment="1">
      <alignment vertical="center" wrapText="1"/>
    </xf>
    <xf numFmtId="0" fontId="123" fillId="14" borderId="1" xfId="0" applyFont="1" applyFill="1" applyBorder="1" applyAlignment="1">
      <alignment vertical="center" wrapText="1"/>
    </xf>
    <xf numFmtId="0" fontId="126" fillId="0" borderId="1" xfId="0" applyFont="1" applyBorder="1" applyAlignment="1">
      <alignment vertical="center" wrapText="1"/>
    </xf>
    <xf numFmtId="0" fontId="9" fillId="43" borderId="1" xfId="0" applyNumberFormat="1" applyFont="1" applyFill="1" applyBorder="1" applyAlignment="1">
      <alignment horizontal="center" vertical="center" wrapText="1"/>
    </xf>
    <xf numFmtId="0" fontId="15" fillId="43" borderId="1" xfId="0" applyNumberFormat="1" applyFont="1" applyFill="1" applyBorder="1" applyAlignment="1">
      <alignment horizontal="center" vertical="center" wrapText="1"/>
    </xf>
    <xf numFmtId="0" fontId="28" fillId="43" borderId="1" xfId="0" applyNumberFormat="1" applyFont="1" applyFill="1" applyBorder="1" applyAlignment="1">
      <alignment horizontal="center" vertical="center" wrapText="1"/>
    </xf>
    <xf numFmtId="0" fontId="72" fillId="43" borderId="3" xfId="0" applyNumberFormat="1" applyFont="1" applyFill="1" applyBorder="1" applyAlignment="1">
      <alignment horizontal="center" vertical="center" wrapText="1"/>
    </xf>
    <xf numFmtId="0" fontId="28" fillId="43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vertical="center" wrapText="1"/>
    </xf>
    <xf numFmtId="0" fontId="6" fillId="43" borderId="49" xfId="0" applyFont="1" applyFill="1" applyBorder="1" applyAlignment="1">
      <alignment horizontal="center" vertical="center" wrapText="1"/>
    </xf>
    <xf numFmtId="0" fontId="6" fillId="43" borderId="50" xfId="0" applyFont="1" applyFill="1" applyBorder="1" applyAlignment="1">
      <alignment horizontal="center" vertical="center" wrapText="1"/>
    </xf>
    <xf numFmtId="0" fontId="6" fillId="43" borderId="5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left" vertical="center" wrapText="1"/>
    </xf>
    <xf numFmtId="0" fontId="89" fillId="13" borderId="1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13" borderId="1" xfId="0" applyNumberFormat="1" applyFont="1" applyFill="1" applyBorder="1" applyAlignment="1">
      <alignment horizontal="center" vertical="center" wrapText="1"/>
    </xf>
    <xf numFmtId="0" fontId="89" fillId="0" borderId="1" xfId="0" applyFont="1" applyBorder="1" applyAlignment="1">
      <alignment vertical="center" wrapText="1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6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0" fillId="0" borderId="26" xfId="0" applyFont="1" applyBorder="1" applyAlignment="1">
      <alignment horizontal="center" vertical="center" wrapText="1"/>
    </xf>
    <xf numFmtId="0" fontId="28" fillId="40" borderId="3" xfId="0" applyNumberFormat="1" applyFont="1" applyFill="1" applyBorder="1" applyAlignment="1">
      <alignment horizontal="center" vertical="center" wrapText="1"/>
    </xf>
    <xf numFmtId="0" fontId="28" fillId="41" borderId="3" xfId="0" applyNumberFormat="1" applyFont="1" applyFill="1" applyBorder="1" applyAlignment="1">
      <alignment horizontal="center" vertical="center" wrapText="1"/>
    </xf>
    <xf numFmtId="49" fontId="126" fillId="41" borderId="26" xfId="0" applyNumberFormat="1" applyFont="1" applyFill="1" applyBorder="1" applyAlignment="1">
      <alignment horizontal="center" vertical="center" wrapText="1"/>
    </xf>
    <xf numFmtId="49" fontId="89" fillId="43" borderId="1" xfId="0" applyNumberFormat="1" applyFont="1" applyFill="1" applyBorder="1" applyAlignment="1">
      <alignment vertical="center" wrapText="1"/>
    </xf>
    <xf numFmtId="0" fontId="28" fillId="43" borderId="1" xfId="0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" fillId="41" borderId="1" xfId="0" applyNumberFormat="1" applyFont="1" applyFill="1" applyBorder="1" applyAlignment="1">
      <alignment horizontal="center" vertical="center" wrapText="1"/>
    </xf>
    <xf numFmtId="0" fontId="28" fillId="43" borderId="2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49" fontId="128" fillId="13" borderId="1" xfId="1" applyNumberFormat="1" applyFont="1" applyFill="1" applyBorder="1" applyAlignment="1">
      <alignment horizontal="center" vertical="top" wrapText="1"/>
    </xf>
    <xf numFmtId="49" fontId="28" fillId="13" borderId="1" xfId="1" applyNumberFormat="1" applyFont="1" applyFill="1" applyBorder="1" applyAlignment="1">
      <alignment horizontal="center" vertical="top" wrapText="1"/>
    </xf>
    <xf numFmtId="49" fontId="72" fillId="13" borderId="1" xfId="1" applyNumberFormat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49" fontId="129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1" applyNumberFormat="1" applyFont="1" applyFill="1" applyBorder="1" applyAlignment="1">
      <alignment horizontal="left" vertical="top" wrapText="1"/>
    </xf>
    <xf numFmtId="0" fontId="89" fillId="0" borderId="1" xfId="0" applyFont="1" applyBorder="1" applyAlignment="1">
      <alignment horizontal="left" vertical="center" wrapText="1"/>
    </xf>
    <xf numFmtId="0" fontId="28" fillId="13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90" fillId="1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130" fillId="0" borderId="1" xfId="0" applyNumberFormat="1" applyFont="1" applyBorder="1" applyAlignment="1">
      <alignment horizontal="left" vertical="center" wrapText="1"/>
    </xf>
    <xf numFmtId="0" fontId="28" fillId="46" borderId="26" xfId="0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72" fillId="14" borderId="3" xfId="908" applyNumberFormat="1" applyFont="1" applyFill="1" applyBorder="1" applyAlignment="1">
      <alignment horizontal="center" vertical="top" wrapText="1"/>
    </xf>
    <xf numFmtId="49" fontId="72" fillId="0" borderId="4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43" borderId="9" xfId="0" applyNumberFormat="1" applyFont="1" applyFill="1" applyBorder="1" applyAlignment="1">
      <alignment horizontal="center" vertical="top" wrapText="1"/>
    </xf>
    <xf numFmtId="49" fontId="72" fillId="38" borderId="6" xfId="0" applyNumberFormat="1" applyFont="1" applyFill="1" applyBorder="1" applyAlignment="1">
      <alignment horizontal="center" vertical="center" wrapText="1"/>
    </xf>
    <xf numFmtId="0" fontId="72" fillId="0" borderId="1" xfId="0" applyNumberFormat="1" applyFont="1" applyBorder="1" applyAlignment="1" applyProtection="1">
      <alignment horizontal="center" vertical="center" wrapText="1"/>
    </xf>
    <xf numFmtId="0" fontId="116" fillId="0" borderId="1" xfId="0" applyNumberFormat="1" applyFont="1" applyBorder="1" applyAlignment="1" applyProtection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5" fillId="14" borderId="3" xfId="908" applyNumberFormat="1" applyFont="1" applyFill="1" applyBorder="1" applyAlignment="1">
      <alignment horizontal="center" vertical="center" wrapText="1"/>
    </xf>
    <xf numFmtId="49" fontId="15" fillId="14" borderId="1" xfId="908" applyNumberFormat="1" applyFont="1" applyFill="1" applyBorder="1" applyAlignment="1">
      <alignment vertical="center" wrapText="1"/>
    </xf>
    <xf numFmtId="2" fontId="17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28" fillId="47" borderId="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11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14" borderId="4" xfId="635" applyNumberFormat="1" applyFont="1" applyFill="1" applyBorder="1" applyAlignment="1">
      <alignment horizontal="center" vertical="top" wrapText="1"/>
    </xf>
    <xf numFmtId="49" fontId="9" fillId="0" borderId="3" xfId="4" applyNumberFormat="1" applyFont="1" applyFill="1" applyBorder="1" applyAlignment="1">
      <alignment horizontal="center" vertical="top" wrapText="1"/>
    </xf>
    <xf numFmtId="49" fontId="28" fillId="0" borderId="3" xfId="0" applyNumberFormat="1" applyFont="1" applyFill="1" applyBorder="1" applyAlignment="1">
      <alignment horizontal="left" vertical="center" wrapText="1"/>
    </xf>
    <xf numFmtId="49" fontId="28" fillId="0" borderId="3" xfId="0" applyNumberFormat="1" applyFont="1" applyFill="1" applyBorder="1" applyAlignment="1">
      <alignment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8" fillId="47" borderId="3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Alignment="1">
      <alignment horizontal="left" vertical="center" wrapText="1"/>
    </xf>
    <xf numFmtId="2" fontId="17" fillId="0" borderId="0" xfId="0" applyNumberFormat="1" applyFont="1" applyAlignment="1">
      <alignment vertical="center" wrapText="1"/>
    </xf>
    <xf numFmtId="49" fontId="72" fillId="43" borderId="3" xfId="4" applyNumberFormat="1" applyFont="1" applyFill="1" applyBorder="1" applyAlignment="1">
      <alignment horizontal="center" vertical="top" wrapText="1"/>
    </xf>
    <xf numFmtId="49" fontId="72" fillId="43" borderId="3" xfId="0" applyNumberFormat="1" applyFont="1" applyFill="1" applyBorder="1" applyAlignment="1">
      <alignment horizontal="center" vertical="center" wrapText="1"/>
    </xf>
    <xf numFmtId="49" fontId="72" fillId="43" borderId="1" xfId="0" applyNumberFormat="1" applyFont="1" applyFill="1" applyBorder="1" applyAlignment="1">
      <alignment horizontal="center" vertical="center"/>
    </xf>
    <xf numFmtId="49" fontId="13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72" fillId="14" borderId="1" xfId="635" applyNumberFormat="1" applyFont="1" applyFill="1" applyBorder="1" applyAlignment="1">
      <alignment horizontal="center" vertical="center" wrapText="1"/>
    </xf>
    <xf numFmtId="0" fontId="15" fillId="14" borderId="1" xfId="635" applyNumberFormat="1" applyFont="1" applyFill="1" applyBorder="1" applyAlignment="1">
      <alignment horizontal="left" vertical="center" wrapText="1"/>
    </xf>
    <xf numFmtId="49" fontId="72" fillId="0" borderId="1" xfId="683" applyNumberFormat="1" applyFont="1" applyFill="1" applyBorder="1" applyAlignment="1">
      <alignment horizontal="center" vertical="center" wrapText="1"/>
    </xf>
    <xf numFmtId="49" fontId="28" fillId="0" borderId="1" xfId="683" applyNumberFormat="1" applyFont="1" applyFill="1" applyBorder="1" applyAlignment="1">
      <alignment horizontal="left" vertical="center" wrapText="1"/>
    </xf>
    <xf numFmtId="0" fontId="72" fillId="0" borderId="1" xfId="683" applyNumberFormat="1" applyFont="1" applyFill="1" applyBorder="1" applyAlignment="1">
      <alignment horizontal="center" vertical="center" wrapText="1"/>
    </xf>
    <xf numFmtId="49" fontId="8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28" fillId="43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49" fontId="28" fillId="0" borderId="1" xfId="0" applyNumberFormat="1" applyFont="1" applyFill="1" applyBorder="1" applyAlignment="1">
      <alignment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vertical="center" wrapText="1"/>
    </xf>
    <xf numFmtId="0" fontId="89" fillId="0" borderId="0" xfId="0" applyFont="1" applyFill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116" fillId="48" borderId="1" xfId="3" applyNumberFormat="1" applyFont="1" applyFill="1" applyBorder="1" applyAlignment="1">
      <alignment horizontal="center" vertical="center" wrapText="1"/>
    </xf>
    <xf numFmtId="0" fontId="133" fillId="48" borderId="1" xfId="3" applyNumberFormat="1" applyFont="1" applyFill="1" applyBorder="1" applyAlignment="1">
      <alignment horizontal="center" vertical="center" wrapText="1"/>
    </xf>
    <xf numFmtId="49" fontId="136" fillId="48" borderId="1" xfId="3" applyNumberFormat="1" applyFont="1" applyFill="1" applyBorder="1" applyAlignment="1">
      <alignment horizontal="center" vertical="center" wrapText="1"/>
    </xf>
    <xf numFmtId="0" fontId="89" fillId="49" borderId="1" xfId="0" applyFont="1" applyFill="1" applyBorder="1" applyAlignment="1">
      <alignment horizontal="center" vertical="center" wrapText="1"/>
    </xf>
    <xf numFmtId="0" fontId="10" fillId="49" borderId="1" xfId="0" applyFont="1" applyFill="1" applyBorder="1" applyAlignment="1">
      <alignment horizontal="center" vertical="center" wrapText="1"/>
    </xf>
    <xf numFmtId="0" fontId="4" fillId="49" borderId="1" xfId="0" applyFont="1" applyFill="1" applyBorder="1" applyAlignment="1">
      <alignment horizontal="center" vertical="center" wrapText="1"/>
    </xf>
    <xf numFmtId="0" fontId="89" fillId="49" borderId="1" xfId="0" applyNumberFormat="1" applyFont="1" applyFill="1" applyBorder="1" applyAlignment="1">
      <alignment horizontal="center" vertical="center" wrapText="1"/>
    </xf>
    <xf numFmtId="0" fontId="10" fillId="49" borderId="1" xfId="0" applyNumberFormat="1" applyFont="1" applyFill="1" applyBorder="1" applyAlignment="1">
      <alignment horizontal="center" vertical="center" wrapText="1"/>
    </xf>
    <xf numFmtId="0" fontId="136" fillId="48" borderId="1" xfId="0" applyFont="1" applyFill="1" applyBorder="1" applyAlignment="1">
      <alignment horizontal="center" vertical="center" wrapText="1"/>
    </xf>
    <xf numFmtId="0" fontId="135" fillId="48" borderId="1" xfId="0" applyFont="1" applyFill="1" applyBorder="1" applyAlignment="1">
      <alignment horizontal="center" vertical="center" wrapText="1"/>
    </xf>
    <xf numFmtId="0" fontId="135" fillId="48" borderId="1" xfId="0" applyFont="1" applyFill="1" applyBorder="1" applyAlignment="1">
      <alignment vertical="center" wrapText="1"/>
    </xf>
    <xf numFmtId="0" fontId="135" fillId="48" borderId="1" xfId="0" applyNumberFormat="1" applyFont="1" applyFill="1" applyBorder="1" applyAlignment="1">
      <alignment horizontal="center" vertical="center" wrapText="1"/>
    </xf>
    <xf numFmtId="0" fontId="136" fillId="48" borderId="1" xfId="0" applyNumberFormat="1" applyFont="1" applyFill="1" applyBorder="1" applyAlignment="1">
      <alignment horizontal="center" vertical="center" wrapText="1"/>
    </xf>
    <xf numFmtId="0" fontId="135" fillId="48" borderId="0" xfId="0" applyFont="1" applyFill="1" applyAlignment="1">
      <alignment horizontal="center" vertical="center" wrapText="1"/>
    </xf>
    <xf numFmtId="0" fontId="134" fillId="48" borderId="1" xfId="0" applyFont="1" applyFill="1" applyBorder="1" applyAlignment="1">
      <alignment horizontal="center" vertical="center" wrapText="1"/>
    </xf>
    <xf numFmtId="0" fontId="134" fillId="48" borderId="1" xfId="0" applyFont="1" applyFill="1" applyBorder="1" applyAlignment="1">
      <alignment vertical="center" wrapText="1"/>
    </xf>
    <xf numFmtId="0" fontId="134" fillId="48" borderId="1" xfId="0" applyNumberFormat="1" applyFont="1" applyFill="1" applyBorder="1" applyAlignment="1">
      <alignment horizontal="center" vertical="center" wrapText="1"/>
    </xf>
    <xf numFmtId="0" fontId="134" fillId="48" borderId="0" xfId="0" applyFont="1" applyFill="1" applyAlignment="1">
      <alignment horizontal="center" vertical="center" wrapText="1"/>
    </xf>
    <xf numFmtId="49" fontId="137" fillId="48" borderId="1" xfId="3" applyNumberFormat="1" applyFont="1" applyFill="1" applyBorder="1" applyAlignment="1">
      <alignment horizontal="center" vertical="center" wrapText="1"/>
    </xf>
    <xf numFmtId="0" fontId="3" fillId="49" borderId="1" xfId="0" applyFont="1" applyFill="1" applyBorder="1" applyAlignment="1">
      <alignment horizontal="center" vertical="center" wrapText="1"/>
    </xf>
    <xf numFmtId="0" fontId="28" fillId="49" borderId="1" xfId="0" applyNumberFormat="1" applyFont="1" applyFill="1" applyBorder="1" applyAlignment="1">
      <alignment horizontal="center" vertical="center" wrapText="1"/>
    </xf>
    <xf numFmtId="0" fontId="10" fillId="49" borderId="3" xfId="0" applyNumberFormat="1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center" vertical="center" wrapText="1"/>
    </xf>
    <xf numFmtId="0" fontId="5" fillId="49" borderId="25" xfId="0" applyFont="1" applyFill="1" applyBorder="1" applyAlignment="1">
      <alignment horizontal="center" vertical="center" wrapText="1"/>
    </xf>
    <xf numFmtId="0" fontId="5" fillId="49" borderId="4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01" fillId="48" borderId="1" xfId="3" applyNumberFormat="1" applyFont="1" applyFill="1" applyBorder="1" applyAlignment="1">
      <alignment horizontal="center" vertical="center" wrapText="1"/>
    </xf>
    <xf numFmtId="49" fontId="136" fillId="48" borderId="1" xfId="0" applyNumberFormat="1" applyFont="1" applyFill="1" applyBorder="1" applyAlignment="1">
      <alignment horizontal="center" vertical="center" wrapText="1"/>
    </xf>
    <xf numFmtId="0" fontId="90" fillId="49" borderId="1" xfId="0" applyNumberFormat="1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8" fillId="49" borderId="1" xfId="0" applyFont="1" applyFill="1" applyBorder="1" applyAlignment="1">
      <alignment horizontal="center" vertical="center" wrapText="1"/>
    </xf>
    <xf numFmtId="0" fontId="10" fillId="49" borderId="8" xfId="0" applyNumberFormat="1" applyFont="1" applyFill="1" applyBorder="1" applyAlignment="1">
      <alignment horizontal="center" vertical="center" wrapText="1"/>
    </xf>
    <xf numFmtId="0" fontId="28" fillId="49" borderId="32" xfId="0" applyNumberFormat="1" applyFont="1" applyFill="1" applyBorder="1" applyAlignment="1">
      <alignment horizontal="center" vertical="center" wrapText="1"/>
    </xf>
    <xf numFmtId="49" fontId="136" fillId="48" borderId="46" xfId="0" applyNumberFormat="1" applyFont="1" applyFill="1" applyBorder="1" applyAlignment="1">
      <alignment horizontal="center" vertical="center" wrapText="1"/>
    </xf>
    <xf numFmtId="49" fontId="136" fillId="48" borderId="45" xfId="0" applyNumberFormat="1" applyFont="1" applyFill="1" applyBorder="1" applyAlignment="1">
      <alignment horizontal="center" vertical="top" wrapText="1"/>
    </xf>
    <xf numFmtId="0" fontId="136" fillId="48" borderId="4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top" wrapText="1"/>
    </xf>
    <xf numFmtId="49" fontId="72" fillId="0" borderId="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72" fillId="0" borderId="4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7" fillId="48" borderId="4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49" fontId="9" fillId="50" borderId="1" xfId="0" applyNumberFormat="1" applyFont="1" applyFill="1" applyBorder="1" applyAlignment="1">
      <alignment horizontal="center" vertical="top" wrapText="1"/>
    </xf>
    <xf numFmtId="49" fontId="9" fillId="50" borderId="1" xfId="0" applyNumberFormat="1" applyFont="1" applyFill="1" applyBorder="1" applyAlignment="1">
      <alignment horizontal="center" vertical="center" wrapText="1"/>
    </xf>
    <xf numFmtId="49" fontId="17" fillId="50" borderId="1" xfId="0" applyNumberFormat="1" applyFont="1" applyFill="1" applyBorder="1" applyAlignment="1">
      <alignment horizontal="center" vertical="center" wrapText="1"/>
    </xf>
    <xf numFmtId="49" fontId="72" fillId="50" borderId="1" xfId="0" applyNumberFormat="1" applyFont="1" applyFill="1" applyBorder="1" applyAlignment="1">
      <alignment horizontal="center" vertical="center" wrapText="1"/>
    </xf>
    <xf numFmtId="0" fontId="28" fillId="50" borderId="1" xfId="0" applyNumberFormat="1" applyFont="1" applyFill="1" applyBorder="1" applyAlignment="1">
      <alignment horizontal="center" vertical="center" wrapText="1"/>
    </xf>
    <xf numFmtId="0" fontId="28" fillId="50" borderId="1" xfId="1" applyNumberFormat="1" applyFont="1" applyFill="1" applyBorder="1" applyAlignment="1">
      <alignment horizontal="center" vertical="center" wrapText="1"/>
    </xf>
    <xf numFmtId="49" fontId="8" fillId="50" borderId="1" xfId="0" applyNumberFormat="1" applyFont="1" applyFill="1" applyBorder="1" applyAlignment="1">
      <alignment horizontal="center" vertical="top" wrapText="1"/>
    </xf>
    <xf numFmtId="49" fontId="21" fillId="50" borderId="1" xfId="0" applyNumberFormat="1" applyFont="1" applyFill="1" applyBorder="1" applyAlignment="1">
      <alignment horizontal="center" vertical="center" wrapText="1"/>
    </xf>
    <xf numFmtId="0" fontId="17" fillId="50" borderId="1" xfId="0" applyNumberFormat="1" applyFont="1" applyFill="1" applyBorder="1" applyAlignment="1">
      <alignment horizontal="center" vertical="center" wrapText="1"/>
    </xf>
    <xf numFmtId="0" fontId="21" fillId="50" borderId="1" xfId="0" applyNumberFormat="1" applyFont="1" applyFill="1" applyBorder="1" applyAlignment="1">
      <alignment horizontal="center" vertical="center" wrapText="1"/>
    </xf>
    <xf numFmtId="0" fontId="72" fillId="50" borderId="1" xfId="0" applyNumberFormat="1" applyFont="1" applyFill="1" applyBorder="1" applyAlignment="1">
      <alignment horizontal="center" vertical="center" wrapText="1"/>
    </xf>
    <xf numFmtId="49" fontId="72" fillId="50" borderId="3" xfId="4" applyNumberFormat="1" applyFont="1" applyFill="1" applyBorder="1" applyAlignment="1">
      <alignment horizontal="center" vertical="top" wrapText="1"/>
    </xf>
    <xf numFmtId="49" fontId="72" fillId="50" borderId="1" xfId="4" applyNumberFormat="1" applyFont="1" applyFill="1" applyBorder="1" applyAlignment="1">
      <alignment horizontal="center" vertical="center" wrapText="1"/>
    </xf>
    <xf numFmtId="49" fontId="28" fillId="50" borderId="1" xfId="0" applyNumberFormat="1" applyFont="1" applyFill="1" applyBorder="1" applyAlignment="1">
      <alignment horizontal="center" vertical="center" wrapText="1"/>
    </xf>
    <xf numFmtId="49" fontId="8" fillId="50" borderId="1" xfId="0" applyNumberFormat="1" applyFont="1" applyFill="1" applyBorder="1" applyAlignment="1">
      <alignment horizontal="center" vertical="center" wrapText="1"/>
    </xf>
    <xf numFmtId="0" fontId="9" fillId="50" borderId="1" xfId="0" applyNumberFormat="1" applyFont="1" applyFill="1" applyBorder="1" applyAlignment="1">
      <alignment horizontal="center" vertical="center" wrapText="1"/>
    </xf>
    <xf numFmtId="0" fontId="15" fillId="50" borderId="1" xfId="0" applyNumberFormat="1" applyFont="1" applyFill="1" applyBorder="1" applyAlignment="1">
      <alignment horizontal="center" vertical="center" wrapText="1"/>
    </xf>
    <xf numFmtId="49" fontId="21" fillId="50" borderId="1" xfId="0" applyNumberFormat="1" applyFont="1" applyFill="1" applyBorder="1" applyAlignment="1">
      <alignment horizontal="center" vertical="top" wrapText="1"/>
    </xf>
    <xf numFmtId="0" fontId="28" fillId="43" borderId="1" xfId="0" applyFont="1" applyFill="1" applyBorder="1" applyAlignment="1">
      <alignment horizontal="center" vertical="center" wrapText="1"/>
    </xf>
    <xf numFmtId="0" fontId="10" fillId="47" borderId="1" xfId="0" applyFont="1" applyFill="1" applyBorder="1" applyAlignment="1">
      <alignment horizontal="center" vertical="center" wrapText="1"/>
    </xf>
    <xf numFmtId="49" fontId="10" fillId="47" borderId="1" xfId="0" applyNumberFormat="1" applyFont="1" applyFill="1" applyBorder="1" applyAlignment="1">
      <alignment horizontal="center" vertical="center" wrapText="1"/>
    </xf>
    <xf numFmtId="0" fontId="28" fillId="47" borderId="1" xfId="0" applyFont="1" applyFill="1" applyBorder="1" applyAlignment="1">
      <alignment horizontal="left" vertical="center" wrapText="1"/>
    </xf>
    <xf numFmtId="0" fontId="10" fillId="47" borderId="1" xfId="0" applyFont="1" applyFill="1" applyBorder="1" applyAlignment="1">
      <alignment horizontal="left" vertical="center" wrapText="1"/>
    </xf>
    <xf numFmtId="0" fontId="10" fillId="47" borderId="1" xfId="0" applyNumberFormat="1" applyFont="1" applyFill="1" applyBorder="1" applyAlignment="1">
      <alignment horizontal="center" vertical="center" wrapText="1"/>
    </xf>
    <xf numFmtId="0" fontId="5" fillId="47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top" wrapText="1"/>
    </xf>
    <xf numFmtId="49" fontId="72" fillId="0" borderId="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left" vertical="center" wrapText="1"/>
    </xf>
    <xf numFmtId="49" fontId="15" fillId="0" borderId="1" xfId="63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49" fontId="91" fillId="0" borderId="1" xfId="0" applyNumberFormat="1" applyFont="1" applyFill="1" applyBorder="1" applyAlignment="1">
      <alignment vertical="center" wrapText="1"/>
    </xf>
    <xf numFmtId="0" fontId="15" fillId="0" borderId="1" xfId="47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0" fontId="140" fillId="51" borderId="0" xfId="0" applyNumberFormat="1" applyFont="1" applyFill="1" applyAlignment="1">
      <alignment horizontal="center" vertical="center" wrapText="1"/>
    </xf>
    <xf numFmtId="0" fontId="114" fillId="51" borderId="0" xfId="0" applyFont="1" applyFill="1" applyAlignment="1">
      <alignment horizontal="center" vertical="center" wrapText="1"/>
    </xf>
    <xf numFmtId="0" fontId="140" fillId="51" borderId="68" xfId="0" applyNumberFormat="1" applyFont="1" applyFill="1" applyBorder="1" applyAlignment="1">
      <alignment vertical="center" wrapText="1"/>
    </xf>
    <xf numFmtId="2" fontId="140" fillId="51" borderId="0" xfId="0" applyNumberFormat="1" applyFont="1" applyFill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72" fillId="7" borderId="1" xfId="0" applyNumberFormat="1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0" fontId="72" fillId="7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left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53" borderId="1" xfId="0" applyNumberFormat="1" applyFont="1" applyFill="1" applyBorder="1" applyAlignment="1">
      <alignment horizontal="center" vertical="center" wrapText="1"/>
    </xf>
    <xf numFmtId="0" fontId="3" fillId="53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center" wrapText="1"/>
    </xf>
    <xf numFmtId="49" fontId="72" fillId="0" borderId="3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72" fillId="0" borderId="3" xfId="0" applyNumberFormat="1" applyFont="1" applyFill="1" applyBorder="1" applyAlignment="1">
      <alignment horizontal="center" vertical="top" wrapText="1"/>
    </xf>
    <xf numFmtId="49" fontId="72" fillId="0" borderId="3" xfId="635" applyNumberFormat="1" applyFont="1" applyFill="1" applyBorder="1" applyAlignment="1">
      <alignment horizontal="center" vertical="center" wrapText="1"/>
    </xf>
    <xf numFmtId="49" fontId="15" fillId="0" borderId="3" xfId="635" applyNumberFormat="1" applyFont="1" applyFill="1" applyBorder="1" applyAlignment="1">
      <alignment horizontal="left" vertical="center" wrapText="1"/>
    </xf>
    <xf numFmtId="49" fontId="15" fillId="0" borderId="1" xfId="635" applyNumberFormat="1" applyFont="1" applyFill="1" applyBorder="1" applyAlignment="1">
      <alignment horizontal="left" vertical="center" wrapText="1"/>
    </xf>
    <xf numFmtId="49" fontId="9" fillId="0" borderId="3" xfId="635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72" fillId="0" borderId="3" xfId="0" applyNumberFormat="1" applyFont="1" applyFill="1" applyBorder="1" applyAlignment="1">
      <alignment vertical="center" wrapText="1"/>
    </xf>
    <xf numFmtId="49" fontId="139" fillId="0" borderId="3" xfId="0" applyNumberFormat="1" applyFont="1" applyFill="1" applyBorder="1" applyAlignment="1">
      <alignment horizontal="left" vertical="center" wrapText="1"/>
    </xf>
    <xf numFmtId="49" fontId="72" fillId="0" borderId="9" xfId="0" applyNumberFormat="1" applyFont="1" applyFill="1" applyBorder="1" applyAlignment="1">
      <alignment horizontal="center" vertical="top" wrapText="1"/>
    </xf>
    <xf numFmtId="49" fontId="141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72" fillId="0" borderId="5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142" fillId="0" borderId="1" xfId="0" applyNumberFormat="1" applyFont="1" applyFill="1" applyBorder="1" applyAlignment="1">
      <alignment horizontal="center" vertical="center" wrapText="1"/>
    </xf>
    <xf numFmtId="49" fontId="142" fillId="0" borderId="0" xfId="0" applyNumberFormat="1" applyFont="1" applyFill="1" applyAlignment="1">
      <alignment horizontal="center" vertical="center" wrapText="1"/>
    </xf>
    <xf numFmtId="0" fontId="16" fillId="50" borderId="0" xfId="0" applyFont="1" applyFill="1" applyAlignment="1">
      <alignment horizontal="center" vertical="center" wrapText="1"/>
    </xf>
    <xf numFmtId="0" fontId="8" fillId="50" borderId="0" xfId="0" applyFont="1" applyFill="1" applyAlignment="1">
      <alignment horizontal="center" vertical="center" wrapText="1"/>
    </xf>
    <xf numFmtId="49" fontId="21" fillId="12" borderId="1" xfId="0" applyNumberFormat="1" applyFont="1" applyFill="1" applyBorder="1" applyAlignment="1">
      <alignment horizontal="center" vertical="center" wrapText="1"/>
    </xf>
    <xf numFmtId="49" fontId="17" fillId="12" borderId="1" xfId="0" applyNumberFormat="1" applyFont="1" applyFill="1" applyBorder="1" applyAlignment="1">
      <alignment horizontal="center" vertical="center" wrapText="1"/>
    </xf>
    <xf numFmtId="0" fontId="17" fillId="12" borderId="1" xfId="0" applyNumberFormat="1" applyFont="1" applyFill="1" applyBorder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49" fontId="21" fillId="12" borderId="5" xfId="0" applyNumberFormat="1" applyFont="1" applyFill="1" applyBorder="1" applyAlignment="1">
      <alignment horizontal="center" vertical="top" wrapText="1"/>
    </xf>
    <xf numFmtId="0" fontId="16" fillId="43" borderId="0" xfId="0" applyFont="1" applyFill="1" applyAlignment="1">
      <alignment horizontal="center" vertical="center" wrapText="1"/>
    </xf>
    <xf numFmtId="0" fontId="8" fillId="43" borderId="0" xfId="0" applyFont="1" applyFill="1" applyAlignment="1">
      <alignment horizontal="center" vertical="center" wrapText="1"/>
    </xf>
    <xf numFmtId="49" fontId="21" fillId="55" borderId="1" xfId="0" applyNumberFormat="1" applyFont="1" applyFill="1" applyBorder="1" applyAlignment="1">
      <alignment horizontal="center" vertical="center" wrapText="1"/>
    </xf>
    <xf numFmtId="49" fontId="17" fillId="55" borderId="1" xfId="0" applyNumberFormat="1" applyFont="1" applyFill="1" applyBorder="1" applyAlignment="1">
      <alignment horizontal="center" vertical="center" wrapText="1"/>
    </xf>
    <xf numFmtId="0" fontId="21" fillId="55" borderId="1" xfId="0" applyNumberFormat="1" applyFont="1" applyFill="1" applyBorder="1" applyAlignment="1">
      <alignment horizontal="center" vertical="center" wrapText="1"/>
    </xf>
    <xf numFmtId="0" fontId="28" fillId="55" borderId="1" xfId="0" applyNumberFormat="1" applyFont="1" applyFill="1" applyBorder="1" applyAlignment="1">
      <alignment horizontal="center" vertical="center" wrapText="1"/>
    </xf>
    <xf numFmtId="0" fontId="16" fillId="55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horizontal="center" vertical="center" wrapText="1"/>
    </xf>
    <xf numFmtId="49" fontId="8" fillId="43" borderId="3" xfId="0" applyNumberFormat="1" applyFont="1" applyFill="1" applyBorder="1" applyAlignment="1">
      <alignment horizontal="center" vertical="center" wrapText="1"/>
    </xf>
    <xf numFmtId="49" fontId="28" fillId="43" borderId="3" xfId="0" applyNumberFormat="1" applyFont="1" applyFill="1" applyBorder="1" applyAlignment="1">
      <alignment horizontal="center" vertical="center" wrapText="1"/>
    </xf>
    <xf numFmtId="49" fontId="9" fillId="43" borderId="3" xfId="0" applyNumberFormat="1" applyFont="1" applyFill="1" applyBorder="1" applyAlignment="1">
      <alignment horizontal="center" vertical="center" wrapText="1"/>
    </xf>
    <xf numFmtId="0" fontId="9" fillId="43" borderId="3" xfId="0" applyNumberFormat="1" applyFont="1" applyFill="1" applyBorder="1" applyAlignment="1">
      <alignment horizontal="center" vertical="center" wrapText="1"/>
    </xf>
    <xf numFmtId="0" fontId="15" fillId="43" borderId="3" xfId="0" applyNumberFormat="1" applyFont="1" applyFill="1" applyBorder="1" applyAlignment="1">
      <alignment horizontal="center" vertical="center" wrapText="1"/>
    </xf>
    <xf numFmtId="0" fontId="7" fillId="50" borderId="0" xfId="0" applyFont="1" applyFill="1" applyAlignment="1">
      <alignment horizontal="right" vertical="center" wrapText="1"/>
    </xf>
    <xf numFmtId="0" fontId="7" fillId="50" borderId="0" xfId="0" applyFont="1" applyFill="1" applyAlignment="1">
      <alignment horizontal="center" vertical="center" wrapText="1"/>
    </xf>
    <xf numFmtId="0" fontId="0" fillId="50" borderId="0" xfId="0" applyNumberFormat="1" applyFont="1" applyFill="1" applyAlignment="1">
      <alignment horizontal="center" vertical="center" wrapText="1"/>
    </xf>
    <xf numFmtId="0" fontId="0" fillId="50" borderId="0" xfId="0" applyFont="1" applyFill="1"/>
    <xf numFmtId="0" fontId="0" fillId="10" borderId="0" xfId="0" applyFont="1" applyFill="1"/>
    <xf numFmtId="0" fontId="7" fillId="7" borderId="0" xfId="0" applyFont="1" applyFill="1" applyAlignment="1">
      <alignment horizontal="right" vertical="center" wrapText="1"/>
    </xf>
    <xf numFmtId="0" fontId="7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top" wrapText="1"/>
    </xf>
    <xf numFmtId="0" fontId="8" fillId="11" borderId="0" xfId="0" applyFont="1" applyFill="1" applyAlignment="1">
      <alignment horizontal="center" vertical="center" wrapText="1"/>
    </xf>
    <xf numFmtId="0" fontId="0" fillId="43" borderId="0" xfId="0" applyNumberFormat="1" applyFont="1" applyFill="1" applyAlignment="1">
      <alignment horizontal="center" vertical="center" wrapText="1"/>
    </xf>
    <xf numFmtId="0" fontId="0" fillId="43" borderId="0" xfId="0" applyFont="1" applyFill="1"/>
    <xf numFmtId="0" fontId="0" fillId="11" borderId="0" xfId="0" applyFont="1" applyFill="1"/>
    <xf numFmtId="0" fontId="0" fillId="7" borderId="0" xfId="0" applyFont="1" applyFill="1"/>
    <xf numFmtId="9" fontId="17" fillId="2" borderId="6" xfId="0" applyNumberFormat="1" applyFont="1" applyFill="1" applyBorder="1" applyAlignment="1">
      <alignment horizontal="center" vertical="center" wrapText="1"/>
    </xf>
    <xf numFmtId="0" fontId="78" fillId="2" borderId="6" xfId="0" applyNumberFormat="1" applyFont="1" applyFill="1" applyBorder="1" applyAlignment="1">
      <alignment horizontal="center" vertical="center" wrapText="1"/>
    </xf>
    <xf numFmtId="0" fontId="78" fillId="2" borderId="8" xfId="0" applyNumberFormat="1" applyFont="1" applyFill="1" applyBorder="1" applyAlignment="1">
      <alignment horizontal="center" vertical="center" wrapText="1"/>
    </xf>
    <xf numFmtId="9" fontId="28" fillId="2" borderId="6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horizontal="center" vertical="center" wrapText="1"/>
    </xf>
    <xf numFmtId="9" fontId="78" fillId="2" borderId="6" xfId="0" applyNumberFormat="1" applyFont="1" applyFill="1" applyBorder="1" applyAlignment="1">
      <alignment horizontal="center" vertical="center" wrapText="1"/>
    </xf>
    <xf numFmtId="9" fontId="78" fillId="2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36" fillId="52" borderId="0" xfId="0" applyNumberFormat="1" applyFont="1" applyFill="1" applyAlignment="1">
      <alignment horizontal="center" vertical="center" wrapText="1"/>
    </xf>
    <xf numFmtId="0" fontId="136" fillId="48" borderId="0" xfId="0" applyNumberFormat="1" applyFont="1" applyFill="1" applyAlignment="1">
      <alignment horizontal="center" vertical="center" wrapText="1"/>
    </xf>
    <xf numFmtId="49" fontId="140" fillId="51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72" fillId="0" borderId="2" xfId="0" applyNumberFormat="1" applyFont="1" applyFill="1" applyBorder="1" applyAlignment="1">
      <alignment horizontal="center" vertical="top" wrapText="1"/>
    </xf>
    <xf numFmtId="49" fontId="72" fillId="0" borderId="4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72" fillId="0" borderId="1" xfId="0" applyNumberFormat="1" applyFont="1" applyFill="1" applyBorder="1" applyAlignment="1">
      <alignment horizontal="center" vertical="top" wrapText="1"/>
    </xf>
    <xf numFmtId="49" fontId="72" fillId="0" borderId="3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17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49" fontId="140" fillId="51" borderId="68" xfId="0" applyNumberFormat="1" applyFont="1" applyFill="1" applyBorder="1" applyAlignment="1">
      <alignment horizontal="left" vertical="center" wrapText="1"/>
    </xf>
    <xf numFmtId="0" fontId="140" fillId="51" borderId="68" xfId="0" applyNumberFormat="1" applyFont="1" applyFill="1" applyBorder="1" applyAlignment="1">
      <alignment horizontal="left" vertical="center" wrapText="1"/>
    </xf>
    <xf numFmtId="0" fontId="140" fillId="51" borderId="68" xfId="0" applyNumberFormat="1" applyFont="1" applyFill="1" applyBorder="1" applyAlignment="1">
      <alignment horizontal="right" vertical="center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72" fillId="0" borderId="2" xfId="0" applyNumberFormat="1" applyFont="1" applyFill="1" applyBorder="1" applyAlignment="1">
      <alignment horizontal="center" vertical="center" wrapText="1"/>
    </xf>
    <xf numFmtId="49" fontId="72" fillId="0" borderId="4" xfId="0" applyNumberFormat="1" applyFont="1" applyFill="1" applyBorder="1" applyAlignment="1">
      <alignment horizontal="center" vertical="center" wrapText="1"/>
    </xf>
    <xf numFmtId="49" fontId="72" fillId="0" borderId="3" xfId="0" applyNumberFormat="1" applyFont="1" applyFill="1" applyBorder="1" applyAlignment="1">
      <alignment horizontal="center" vertical="center" wrapText="1"/>
    </xf>
    <xf numFmtId="49" fontId="90" fillId="0" borderId="0" xfId="0" applyNumberFormat="1" applyFont="1" applyAlignment="1">
      <alignment horizontal="center" vertical="center" wrapText="1"/>
    </xf>
    <xf numFmtId="49" fontId="9" fillId="0" borderId="2" xfId="683" applyNumberFormat="1" applyFont="1" applyFill="1" applyBorder="1" applyAlignment="1">
      <alignment horizontal="center" vertical="top" wrapText="1"/>
    </xf>
    <xf numFmtId="49" fontId="9" fillId="0" borderId="4" xfId="683" applyNumberFormat="1" applyFont="1" applyFill="1" applyBorder="1" applyAlignment="1">
      <alignment horizontal="center" vertical="top" wrapText="1"/>
    </xf>
    <xf numFmtId="49" fontId="9" fillId="0" borderId="3" xfId="683" applyNumberFormat="1" applyFont="1" applyFill="1" applyBorder="1" applyAlignment="1">
      <alignment horizontal="center" vertical="top" wrapText="1"/>
    </xf>
    <xf numFmtId="49" fontId="84" fillId="0" borderId="2" xfId="0" applyNumberFormat="1" applyFont="1" applyBorder="1" applyAlignment="1">
      <alignment horizontal="center" vertical="top" wrapText="1"/>
    </xf>
    <xf numFmtId="49" fontId="84" fillId="0" borderId="4" xfId="0" applyNumberFormat="1" applyFont="1" applyBorder="1" applyAlignment="1">
      <alignment horizontal="center" vertical="top" wrapText="1"/>
    </xf>
    <xf numFmtId="49" fontId="84" fillId="0" borderId="3" xfId="0" applyNumberFormat="1" applyFont="1" applyBorder="1" applyAlignment="1">
      <alignment horizontal="center" vertical="top" wrapText="1"/>
    </xf>
    <xf numFmtId="49" fontId="9" fillId="0" borderId="2" xfId="635" applyNumberFormat="1" applyFont="1" applyFill="1" applyBorder="1" applyAlignment="1">
      <alignment horizontal="center" vertical="top" wrapText="1"/>
    </xf>
    <xf numFmtId="49" fontId="9" fillId="0" borderId="3" xfId="635" applyNumberFormat="1" applyFont="1" applyFill="1" applyBorder="1" applyAlignment="1">
      <alignment horizontal="center" vertical="top" wrapText="1"/>
    </xf>
    <xf numFmtId="49" fontId="9" fillId="0" borderId="4" xfId="635" applyNumberFormat="1" applyFont="1" applyFill="1" applyBorder="1" applyAlignment="1">
      <alignment horizontal="center" vertical="top" wrapText="1"/>
    </xf>
    <xf numFmtId="0" fontId="9" fillId="14" borderId="2" xfId="635" applyNumberFormat="1" applyFont="1" applyFill="1" applyBorder="1" applyAlignment="1">
      <alignment horizontal="center" vertical="top" wrapText="1"/>
    </xf>
    <xf numFmtId="0" fontId="9" fillId="14" borderId="4" xfId="635" applyNumberFormat="1" applyFont="1" applyFill="1" applyBorder="1" applyAlignment="1">
      <alignment horizontal="center" vertical="top" wrapText="1"/>
    </xf>
    <xf numFmtId="0" fontId="9" fillId="14" borderId="3" xfId="635" applyNumberFormat="1" applyFont="1" applyFill="1" applyBorder="1" applyAlignment="1">
      <alignment horizontal="center" vertical="top" wrapText="1"/>
    </xf>
    <xf numFmtId="49" fontId="9" fillId="0" borderId="1" xfId="635" applyNumberFormat="1" applyFont="1" applyFill="1" applyBorder="1" applyAlignment="1">
      <alignment horizontal="center" vertical="top" wrapText="1"/>
    </xf>
    <xf numFmtId="49" fontId="73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91" fillId="0" borderId="2" xfId="1" applyNumberFormat="1" applyFont="1" applyFill="1" applyBorder="1" applyAlignment="1">
      <alignment horizontal="center" vertical="center" wrapText="1"/>
    </xf>
    <xf numFmtId="49" fontId="91" fillId="0" borderId="4" xfId="1" applyNumberFormat="1" applyFont="1" applyFill="1" applyBorder="1" applyAlignment="1">
      <alignment horizontal="center" vertical="center" wrapText="1"/>
    </xf>
    <xf numFmtId="49" fontId="91" fillId="0" borderId="3" xfId="1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top" wrapText="1"/>
    </xf>
    <xf numFmtId="49" fontId="9" fillId="0" borderId="4" xfId="4" applyNumberFormat="1" applyFont="1" applyFill="1" applyBorder="1" applyAlignment="1">
      <alignment horizontal="center" vertical="top" wrapText="1"/>
    </xf>
    <xf numFmtId="49" fontId="9" fillId="0" borderId="3" xfId="4" applyNumberFormat="1" applyFont="1" applyFill="1" applyBorder="1" applyAlignment="1">
      <alignment horizontal="center" vertical="top" wrapText="1"/>
    </xf>
    <xf numFmtId="2" fontId="140" fillId="51" borderId="68" xfId="0" applyNumberFormat="1" applyFont="1" applyFill="1" applyBorder="1" applyAlignment="1">
      <alignment horizontal="left" vertical="center" wrapText="1"/>
    </xf>
    <xf numFmtId="49" fontId="9" fillId="0" borderId="63" xfId="0" applyNumberFormat="1" applyFont="1" applyFill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64" xfId="0" applyNumberFormat="1" applyFont="1" applyFill="1" applyBorder="1" applyAlignment="1">
      <alignment horizontal="center" vertical="top" wrapText="1"/>
    </xf>
    <xf numFmtId="49" fontId="27" fillId="0" borderId="2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9" fontId="84" fillId="0" borderId="2" xfId="0" applyNumberFormat="1" applyFont="1" applyFill="1" applyBorder="1" applyAlignment="1">
      <alignment horizontal="center" vertical="top" wrapText="1"/>
    </xf>
    <xf numFmtId="49" fontId="84" fillId="0" borderId="4" xfId="0" applyNumberFormat="1" applyFont="1" applyFill="1" applyBorder="1" applyAlignment="1">
      <alignment horizontal="center" vertical="top" wrapText="1"/>
    </xf>
    <xf numFmtId="49" fontId="84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49" fontId="84" fillId="0" borderId="1" xfId="0" applyNumberFormat="1" applyFont="1" applyFill="1" applyBorder="1" applyAlignment="1">
      <alignment horizontal="center" vertical="top" wrapText="1"/>
    </xf>
    <xf numFmtId="49" fontId="95" fillId="0" borderId="2" xfId="0" applyNumberFormat="1" applyFont="1" applyFill="1" applyBorder="1" applyAlignment="1">
      <alignment horizontal="center" vertical="top" wrapText="1"/>
    </xf>
    <xf numFmtId="49" fontId="95" fillId="0" borderId="4" xfId="0" applyNumberFormat="1" applyFont="1" applyFill="1" applyBorder="1" applyAlignment="1">
      <alignment horizontal="center" vertical="top" wrapText="1"/>
    </xf>
    <xf numFmtId="49" fontId="95" fillId="0" borderId="3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85" fillId="0" borderId="2" xfId="0" applyNumberFormat="1" applyFont="1" applyBorder="1" applyAlignment="1">
      <alignment horizontal="center" vertical="top" wrapText="1"/>
    </xf>
    <xf numFmtId="49" fontId="85" fillId="0" borderId="4" xfId="0" applyNumberFormat="1" applyFont="1" applyBorder="1" applyAlignment="1">
      <alignment horizontal="center" vertical="top" wrapText="1"/>
    </xf>
    <xf numFmtId="49" fontId="85" fillId="0" borderId="3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7" fillId="43" borderId="58" xfId="0" applyFont="1" applyFill="1" applyBorder="1" applyAlignment="1">
      <alignment horizontal="center" vertical="center" wrapText="1"/>
    </xf>
    <xf numFmtId="0" fontId="17" fillId="43" borderId="59" xfId="0" applyFont="1" applyFill="1" applyBorder="1" applyAlignment="1">
      <alignment horizontal="center" vertical="center" wrapText="1"/>
    </xf>
    <xf numFmtId="0" fontId="17" fillId="43" borderId="60" xfId="0" applyFont="1" applyFill="1" applyBorder="1" applyAlignment="1">
      <alignment horizontal="center" vertical="center" wrapText="1"/>
    </xf>
    <xf numFmtId="49" fontId="3" fillId="43" borderId="1" xfId="0" applyNumberFormat="1" applyFont="1" applyFill="1" applyBorder="1" applyAlignment="1">
      <alignment horizontal="center" vertical="center" wrapText="1"/>
    </xf>
    <xf numFmtId="0" fontId="10" fillId="43" borderId="1" xfId="0" applyNumberFormat="1" applyFont="1" applyFill="1" applyBorder="1" applyAlignment="1">
      <alignment horizontal="center" vertical="center" wrapText="1"/>
    </xf>
    <xf numFmtId="49" fontId="10" fillId="13" borderId="30" xfId="0" applyNumberFormat="1" applyFont="1" applyFill="1" applyBorder="1" applyAlignment="1">
      <alignment horizontal="center" vertical="center" wrapText="1"/>
    </xf>
    <xf numFmtId="49" fontId="10" fillId="13" borderId="26" xfId="0" applyNumberFormat="1" applyFont="1" applyFill="1" applyBorder="1" applyAlignment="1">
      <alignment horizontal="center" vertical="center" wrapText="1"/>
    </xf>
    <xf numFmtId="49" fontId="10" fillId="13" borderId="27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7" fillId="43" borderId="49" xfId="0" applyFont="1" applyFill="1" applyBorder="1" applyAlignment="1">
      <alignment horizontal="center" vertical="center" wrapText="1"/>
    </xf>
    <xf numFmtId="0" fontId="17" fillId="43" borderId="50" xfId="0" applyFont="1" applyFill="1" applyBorder="1" applyAlignment="1">
      <alignment horizontal="center" vertical="center" wrapText="1"/>
    </xf>
    <xf numFmtId="0" fontId="17" fillId="43" borderId="51" xfId="0" applyFont="1" applyFill="1" applyBorder="1" applyAlignment="1">
      <alignment horizontal="center" vertical="center" wrapText="1"/>
    </xf>
    <xf numFmtId="0" fontId="10" fillId="43" borderId="22" xfId="0" applyNumberFormat="1" applyFont="1" applyFill="1" applyBorder="1" applyAlignment="1">
      <alignment horizontal="center" vertical="center" wrapText="1"/>
    </xf>
    <xf numFmtId="0" fontId="10" fillId="43" borderId="23" xfId="0" applyNumberFormat="1" applyFont="1" applyFill="1" applyBorder="1" applyAlignment="1">
      <alignment horizontal="center" vertical="center" wrapText="1"/>
    </xf>
    <xf numFmtId="0" fontId="10" fillId="43" borderId="41" xfId="0" applyNumberFormat="1" applyFont="1" applyFill="1" applyBorder="1" applyAlignment="1">
      <alignment horizontal="center" vertical="center" wrapText="1"/>
    </xf>
    <xf numFmtId="0" fontId="10" fillId="43" borderId="5" xfId="0" applyNumberFormat="1" applyFont="1" applyFill="1" applyBorder="1" applyAlignment="1">
      <alignment horizontal="center" vertical="center" wrapText="1"/>
    </xf>
    <xf numFmtId="0" fontId="10" fillId="43" borderId="7" xfId="0" applyNumberFormat="1" applyFont="1" applyFill="1" applyBorder="1" applyAlignment="1">
      <alignment horizontal="center" vertical="center" wrapText="1"/>
    </xf>
    <xf numFmtId="0" fontId="10" fillId="43" borderId="6" xfId="0" applyNumberFormat="1" applyFont="1" applyFill="1" applyBorder="1" applyAlignment="1">
      <alignment horizontal="center" vertical="center" wrapText="1"/>
    </xf>
    <xf numFmtId="0" fontId="10" fillId="43" borderId="24" xfId="0" applyNumberFormat="1" applyFont="1" applyFill="1" applyBorder="1" applyAlignment="1">
      <alignment horizontal="center" vertical="center" wrapText="1"/>
    </xf>
    <xf numFmtId="0" fontId="138" fillId="48" borderId="7" xfId="0" applyFont="1" applyFill="1" applyBorder="1" applyAlignment="1">
      <alignment horizontal="center" vertical="center" wrapText="1"/>
    </xf>
    <xf numFmtId="0" fontId="138" fillId="48" borderId="6" xfId="0" applyFont="1" applyFill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  <xf numFmtId="49" fontId="28" fillId="0" borderId="62" xfId="0" applyNumberFormat="1" applyFont="1" applyBorder="1" applyAlignment="1">
      <alignment horizontal="center" vertical="center" wrapText="1"/>
    </xf>
    <xf numFmtId="0" fontId="17" fillId="43" borderId="36" xfId="0" applyFont="1" applyFill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8" fillId="43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2" fontId="3" fillId="8" borderId="3" xfId="0" quotePrefix="1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5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2" fontId="16" fillId="0" borderId="6" xfId="0" applyNumberFormat="1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48" borderId="1" xfId="3" applyNumberFormat="1" applyFont="1" applyFill="1" applyBorder="1" applyAlignment="1" applyProtection="1">
      <alignment horizontal="center" vertical="center" wrapText="1"/>
      <protection locked="0"/>
    </xf>
    <xf numFmtId="2" fontId="16" fillId="48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43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0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797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906" applyNumberFormat="1" applyFont="1" applyFill="1" applyBorder="1" applyAlignment="1" applyProtection="1">
      <alignment horizontal="center" vertical="center" wrapText="1"/>
      <protection locked="0"/>
    </xf>
    <xf numFmtId="2" fontId="28" fillId="5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80" fillId="0" borderId="6" xfId="0" applyNumberFormat="1" applyFont="1" applyBorder="1" applyAlignment="1" applyProtection="1">
      <alignment horizontal="center" vertical="center" wrapText="1"/>
      <protection locked="0"/>
    </xf>
    <xf numFmtId="2" fontId="80" fillId="0" borderId="8" xfId="0" applyNumberFormat="1" applyFont="1" applyBorder="1" applyAlignment="1" applyProtection="1">
      <alignment horizontal="center" vertical="center" wrapText="1"/>
      <protection locked="0"/>
    </xf>
    <xf numFmtId="2" fontId="17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78" fillId="56" borderId="8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2" fontId="15" fillId="2" borderId="1" xfId="3" applyNumberFormat="1" applyFont="1" applyFill="1" applyBorder="1" applyAlignment="1" applyProtection="1">
      <alignment horizontal="center" vertical="center" wrapText="1"/>
      <protection locked="0"/>
    </xf>
    <xf numFmtId="2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36" fillId="48" borderId="46" xfId="0" applyNumberFormat="1" applyFont="1" applyFill="1" applyBorder="1" applyAlignment="1" applyProtection="1">
      <alignment horizontal="center" vertical="center" wrapText="1"/>
      <protection locked="0"/>
    </xf>
    <xf numFmtId="2" fontId="136" fillId="48" borderId="4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55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43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43" borderId="3" xfId="0" applyNumberFormat="1" applyFont="1" applyFill="1" applyBorder="1" applyAlignment="1" applyProtection="1">
      <alignment horizontal="center" vertical="center" wrapText="1"/>
      <protection locked="0"/>
    </xf>
    <xf numFmtId="2" fontId="16" fillId="43" borderId="3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648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648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88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796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798" applyNumberFormat="1" applyFont="1" applyFill="1" applyBorder="1" applyAlignment="1" applyProtection="1">
      <alignment horizontal="center" vertical="center" wrapText="1"/>
      <protection locked="0"/>
    </xf>
    <xf numFmtId="2" fontId="17" fillId="5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14" borderId="1" xfId="1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8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Fill="1" applyAlignment="1" applyProtection="1">
      <alignment horizontal="center" vertical="center" wrapText="1"/>
      <protection locked="0"/>
    </xf>
    <xf numFmtId="2" fontId="15" fillId="0" borderId="1" xfId="684" applyNumberFormat="1" applyFont="1" applyFill="1" applyBorder="1" applyAlignment="1" applyProtection="1">
      <alignment horizontal="center" vertical="center" wrapText="1"/>
      <protection locked="0"/>
    </xf>
    <xf numFmtId="2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50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5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1" applyNumberFormat="1" applyFont="1" applyFill="1" applyBorder="1" applyAlignment="1" applyProtection="1">
      <alignment horizontal="center" vertical="center"/>
      <protection locked="0"/>
    </xf>
    <xf numFmtId="2" fontId="15" fillId="0" borderId="1" xfId="905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906" applyNumberFormat="1" applyFont="1" applyFill="1" applyBorder="1" applyAlignment="1" applyProtection="1">
      <alignment horizontal="center" vertical="center" wrapText="1"/>
      <protection locked="0"/>
    </xf>
    <xf numFmtId="2" fontId="28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14" borderId="1" xfId="1" applyNumberFormat="1" applyFont="1" applyFill="1" applyBorder="1" applyAlignment="1" applyProtection="1">
      <alignment horizontal="center" vertical="center" wrapText="1"/>
      <protection locked="0"/>
    </xf>
    <xf numFmtId="2" fontId="28" fillId="0" borderId="1" xfId="635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635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635" applyNumberFormat="1" applyFont="1" applyFill="1" applyBorder="1" applyAlignment="1" applyProtection="1">
      <alignment horizontal="center" vertical="center" wrapText="1"/>
      <protection locked="0"/>
    </xf>
    <xf numFmtId="2" fontId="15" fillId="14" borderId="1" xfId="635" applyNumberFormat="1" applyFont="1" applyFill="1" applyBorder="1" applyAlignment="1" applyProtection="1">
      <alignment horizontal="center" vertical="center" wrapText="1"/>
      <protection locked="0"/>
    </xf>
    <xf numFmtId="168" fontId="15" fillId="2" borderId="1" xfId="635" applyNumberFormat="1" applyFont="1" applyFill="1" applyBorder="1" applyAlignment="1" applyProtection="1">
      <alignment horizontal="center" vertical="center" wrapText="1"/>
      <protection locked="0"/>
    </xf>
    <xf numFmtId="2" fontId="28" fillId="0" borderId="1" xfId="683" applyNumberFormat="1" applyFont="1" applyFill="1" applyBorder="1" applyAlignment="1" applyProtection="1">
      <alignment horizontal="center" vertical="center" wrapText="1"/>
      <protection locked="0"/>
    </xf>
    <xf numFmtId="2" fontId="78" fillId="54" borderId="8" xfId="0" applyNumberFormat="1" applyFont="1" applyFill="1" applyBorder="1" applyAlignment="1" applyProtection="1">
      <alignment horizontal="center" vertical="center" wrapText="1"/>
      <protection locked="0"/>
    </xf>
    <xf numFmtId="2" fontId="15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43" borderId="1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14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8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11" borderId="1" xfId="0" applyNumberFormat="1" applyFont="1" applyFill="1" applyBorder="1" applyAlignment="1" applyProtection="1">
      <alignment horizontal="center" vertical="center"/>
      <protection locked="0"/>
    </xf>
    <xf numFmtId="2" fontId="80" fillId="11" borderId="8" xfId="0" applyNumberFormat="1" applyFont="1" applyFill="1" applyBorder="1" applyAlignment="1" applyProtection="1">
      <alignment horizontal="center" vertical="center" wrapText="1"/>
      <protection locked="0"/>
    </xf>
    <xf numFmtId="2" fontId="15" fillId="43" borderId="3" xfId="5" applyNumberFormat="1" applyFont="1" applyFill="1" applyBorder="1" applyAlignment="1" applyProtection="1">
      <alignment horizontal="center" vertical="center" wrapText="1"/>
      <protection locked="0"/>
    </xf>
    <xf numFmtId="2" fontId="15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908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5" applyNumberFormat="1" applyFont="1" applyFill="1" applyBorder="1" applyAlignment="1" applyProtection="1">
      <alignment horizontal="center" vertical="center" wrapText="1"/>
      <protection locked="0"/>
    </xf>
    <xf numFmtId="2" fontId="15" fillId="2" borderId="1" xfId="908" applyNumberFormat="1" applyFont="1" applyFill="1" applyBorder="1" applyAlignment="1" applyProtection="1">
      <alignment horizontal="center" vertical="center" wrapText="1"/>
      <protection locked="0"/>
    </xf>
    <xf numFmtId="2" fontId="87" fillId="0" borderId="1" xfId="0" applyNumberFormat="1" applyFont="1" applyFill="1" applyBorder="1" applyAlignment="1" applyProtection="1">
      <alignment horizontal="center" vertical="center"/>
      <protection locked="0"/>
    </xf>
    <xf numFmtId="2" fontId="87" fillId="2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15" fillId="14" borderId="1" xfId="0" applyNumberFormat="1" applyFont="1" applyFill="1" applyBorder="1" applyAlignment="1" applyProtection="1">
      <alignment horizontal="center" vertical="center"/>
      <protection locked="0"/>
    </xf>
    <xf numFmtId="2" fontId="15" fillId="11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11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5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635" applyNumberFormat="1" applyFont="1" applyFill="1" applyBorder="1" applyAlignment="1" applyProtection="1">
      <alignment horizontal="center"/>
      <protection locked="0"/>
    </xf>
    <xf numFmtId="2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7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</cellXfs>
  <cellStyles count="911">
    <cellStyle name="20% - Accent1" xfId="7"/>
    <cellStyle name="20% - Accent1 2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_Q.W. ADMINISTRACIULI SENOBA" xfId="30"/>
    <cellStyle name="20% - Accent2" xfId="31"/>
    <cellStyle name="20% - Accent2 2" xfId="32"/>
    <cellStyle name="20% - Accent2 2 2" xfId="33"/>
    <cellStyle name="20% - Accent2 2 2 2" xfId="34"/>
    <cellStyle name="20% - Accent2 2 3" xfId="35"/>
    <cellStyle name="20% - Accent2 2 3 2" xfId="36"/>
    <cellStyle name="20% - Accent2 2 4" xfId="37"/>
    <cellStyle name="20% - Accent2 2 4 2" xfId="38"/>
    <cellStyle name="20% - Accent2 2 5" xfId="39"/>
    <cellStyle name="20% - Accent2 2 5 2" xfId="40"/>
    <cellStyle name="20% - Accent2 2 6" xfId="41"/>
    <cellStyle name="20% - Accent2 3" xfId="42"/>
    <cellStyle name="20% - Accent2 3 2" xfId="43"/>
    <cellStyle name="20% - Accent2 4" xfId="44"/>
    <cellStyle name="20% - Accent2 4 2" xfId="45"/>
    <cellStyle name="20% - Accent2 4 2 2" xfId="46"/>
    <cellStyle name="20% - Accent2 4 3" xfId="47"/>
    <cellStyle name="20% - Accent2 5" xfId="48"/>
    <cellStyle name="20% - Accent2 5 2" xfId="49"/>
    <cellStyle name="20% - Accent2 6" xfId="50"/>
    <cellStyle name="20% - Accent2 6 2" xfId="51"/>
    <cellStyle name="20% - Accent2 7" xfId="52"/>
    <cellStyle name="20% - Accent2 7 2" xfId="53"/>
    <cellStyle name="20% - Accent2_Q.W. ADMINISTRACIULI SENOBA" xfId="54"/>
    <cellStyle name="20% - Accent3" xfId="55"/>
    <cellStyle name="20% - Accent3 2" xfId="56"/>
    <cellStyle name="20% - Accent3 2 2" xfId="57"/>
    <cellStyle name="20% - Accent3 2 2 2" xfId="58"/>
    <cellStyle name="20% - Accent3 2 3" xfId="59"/>
    <cellStyle name="20% - Accent3 2 3 2" xfId="60"/>
    <cellStyle name="20% - Accent3 2 4" xfId="61"/>
    <cellStyle name="20% - Accent3 2 4 2" xfId="62"/>
    <cellStyle name="20% - Accent3 2 5" xfId="63"/>
    <cellStyle name="20% - Accent3 2 5 2" xfId="64"/>
    <cellStyle name="20% - Accent3 2 6" xfId="65"/>
    <cellStyle name="20% - Accent3 3" xfId="66"/>
    <cellStyle name="20% - Accent3 3 2" xfId="67"/>
    <cellStyle name="20% - Accent3 4" xfId="68"/>
    <cellStyle name="20% - Accent3 4 2" xfId="69"/>
    <cellStyle name="20% - Accent3 4 2 2" xfId="70"/>
    <cellStyle name="20% - Accent3 4 3" xfId="71"/>
    <cellStyle name="20% - Accent3 5" xfId="72"/>
    <cellStyle name="20% - Accent3 5 2" xfId="73"/>
    <cellStyle name="20% - Accent3 6" xfId="74"/>
    <cellStyle name="20% - Accent3 6 2" xfId="75"/>
    <cellStyle name="20% - Accent3 7" xfId="76"/>
    <cellStyle name="20% - Accent3 7 2" xfId="77"/>
    <cellStyle name="20% - Accent3_Q.W. ADMINISTRACIULI SENOBA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2 3 2" xfId="84"/>
    <cellStyle name="20% - Accent4 2 4" xfId="85"/>
    <cellStyle name="20% - Accent4 2 4 2" xfId="86"/>
    <cellStyle name="20% - Accent4 2 5" xfId="87"/>
    <cellStyle name="20% - Accent4 2 5 2" xfId="88"/>
    <cellStyle name="20% - Accent4 2 6" xfId="89"/>
    <cellStyle name="20% - Accent4 3" xfId="90"/>
    <cellStyle name="20% - Accent4 3 2" xfId="91"/>
    <cellStyle name="20% - Accent4 4" xfId="92"/>
    <cellStyle name="20% - Accent4 4 2" xfId="93"/>
    <cellStyle name="20% - Accent4 4 2 2" xfId="94"/>
    <cellStyle name="20% - Accent4 4 3" xfId="95"/>
    <cellStyle name="20% - Accent4 5" xfId="96"/>
    <cellStyle name="20% - Accent4 5 2" xfId="97"/>
    <cellStyle name="20% - Accent4 6" xfId="98"/>
    <cellStyle name="20% - Accent4 6 2" xfId="99"/>
    <cellStyle name="20% - Accent4 7" xfId="100"/>
    <cellStyle name="20% - Accent4 7 2" xfId="101"/>
    <cellStyle name="20% - Accent4_Q.W. ADMINISTRACIULI SENOBA" xfId="102"/>
    <cellStyle name="20% - Accent5" xfId="103"/>
    <cellStyle name="20% - Accent5 2" xfId="104"/>
    <cellStyle name="20% - Accent5 2 2" xfId="105"/>
    <cellStyle name="20% - Accent5 2 2 2" xfId="106"/>
    <cellStyle name="20% - Accent5 2 3" xfId="107"/>
    <cellStyle name="20% - Accent5 2 3 2" xfId="108"/>
    <cellStyle name="20% - Accent5 2 4" xfId="109"/>
    <cellStyle name="20% - Accent5 2 4 2" xfId="110"/>
    <cellStyle name="20% - Accent5 2 5" xfId="111"/>
    <cellStyle name="20% - Accent5 2 5 2" xfId="112"/>
    <cellStyle name="20% - Accent5 2 6" xfId="113"/>
    <cellStyle name="20% - Accent5 3" xfId="114"/>
    <cellStyle name="20% - Accent5 3 2" xfId="115"/>
    <cellStyle name="20% - Accent5 4" xfId="116"/>
    <cellStyle name="20% - Accent5 4 2" xfId="117"/>
    <cellStyle name="20% - Accent5 4 2 2" xfId="118"/>
    <cellStyle name="20% - Accent5 4 3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_Q.W. ADMINISTRACIULI SENOBA" xfId="126"/>
    <cellStyle name="20% - Accent6" xfId="127"/>
    <cellStyle name="20% - Accent6 2" xfId="128"/>
    <cellStyle name="20% - Accent6 2 2" xfId="129"/>
    <cellStyle name="20% - Accent6 2 2 2" xfId="130"/>
    <cellStyle name="20% - Accent6 2 3" xfId="131"/>
    <cellStyle name="20% - Accent6 2 3 2" xfId="132"/>
    <cellStyle name="20% - Accent6 2 4" xfId="133"/>
    <cellStyle name="20% - Accent6 2 4 2" xfId="134"/>
    <cellStyle name="20% - Accent6 2 5" xfId="135"/>
    <cellStyle name="20% - Accent6 2 5 2" xfId="136"/>
    <cellStyle name="20% - Accent6 2 6" xfId="137"/>
    <cellStyle name="20% - Accent6 3" xfId="138"/>
    <cellStyle name="20% - Accent6 3 2" xfId="139"/>
    <cellStyle name="20% - Accent6 4" xfId="140"/>
    <cellStyle name="20% - Accent6 4 2" xfId="141"/>
    <cellStyle name="20% - Accent6 4 2 2" xfId="142"/>
    <cellStyle name="20% - Accent6 4 3" xfId="143"/>
    <cellStyle name="20% - Accent6 5" xfId="144"/>
    <cellStyle name="20% - Accent6 5 2" xfId="145"/>
    <cellStyle name="20% - Accent6 6" xfId="146"/>
    <cellStyle name="20% - Accent6 6 2" xfId="147"/>
    <cellStyle name="20% - Accent6 7" xfId="148"/>
    <cellStyle name="20% - Accent6 7 2" xfId="149"/>
    <cellStyle name="20% - Accent6_Q.W. ADMINISTRACIULI SENOBA" xfId="150"/>
    <cellStyle name="40% - Accent1" xfId="151"/>
    <cellStyle name="40% - Accent1 2" xfId="152"/>
    <cellStyle name="40% - Accent1 2 2" xfId="153"/>
    <cellStyle name="40% - Accent1 2 2 2" xfId="154"/>
    <cellStyle name="40% - Accent1 2 3" xfId="155"/>
    <cellStyle name="40% - Accent1 2 3 2" xfId="156"/>
    <cellStyle name="40% - Accent1 2 4" xfId="157"/>
    <cellStyle name="40% - Accent1 2 4 2" xfId="158"/>
    <cellStyle name="40% - Accent1 2 5" xfId="159"/>
    <cellStyle name="40% - Accent1 2 5 2" xfId="160"/>
    <cellStyle name="40% - Accent1 2 6" xfId="161"/>
    <cellStyle name="40% - Accent1 3" xfId="162"/>
    <cellStyle name="40% - Accent1 3 2" xfId="163"/>
    <cellStyle name="40% - Accent1 4" xfId="164"/>
    <cellStyle name="40% - Accent1 4 2" xfId="165"/>
    <cellStyle name="40% - Accent1 4 2 2" xfId="166"/>
    <cellStyle name="40% - Accent1 4 3" xfId="167"/>
    <cellStyle name="40% - Accent1 5" xfId="168"/>
    <cellStyle name="40% - Accent1 5 2" xfId="169"/>
    <cellStyle name="40% - Accent1 6" xfId="170"/>
    <cellStyle name="40% - Accent1 6 2" xfId="171"/>
    <cellStyle name="40% - Accent1 7" xfId="172"/>
    <cellStyle name="40% - Accent1 7 2" xfId="173"/>
    <cellStyle name="40% - Accent1_Q.W. ADMINISTRACIULI SENOBA" xfId="174"/>
    <cellStyle name="40% - Accent2" xfId="175"/>
    <cellStyle name="40% - Accent2 2" xfId="176"/>
    <cellStyle name="40% - Accent2 2 2" xfId="177"/>
    <cellStyle name="40% - Accent2 2 2 2" xfId="178"/>
    <cellStyle name="40% - Accent2 2 3" xfId="179"/>
    <cellStyle name="40% - Accent2 2 3 2" xfId="180"/>
    <cellStyle name="40% - Accent2 2 4" xfId="181"/>
    <cellStyle name="40% - Accent2 2 4 2" xfId="182"/>
    <cellStyle name="40% - Accent2 2 5" xfId="183"/>
    <cellStyle name="40% - Accent2 2 5 2" xfId="184"/>
    <cellStyle name="40% - Accent2 2 6" xfId="185"/>
    <cellStyle name="40% - Accent2 3" xfId="186"/>
    <cellStyle name="40% - Accent2 3 2" xfId="187"/>
    <cellStyle name="40% - Accent2 4" xfId="188"/>
    <cellStyle name="40% - Accent2 4 2" xfId="189"/>
    <cellStyle name="40% - Accent2 4 2 2" xfId="190"/>
    <cellStyle name="40% - Accent2 4 3" xfId="191"/>
    <cellStyle name="40% - Accent2 5" xfId="192"/>
    <cellStyle name="40% - Accent2 5 2" xfId="193"/>
    <cellStyle name="40% - Accent2 6" xfId="194"/>
    <cellStyle name="40% - Accent2 6 2" xfId="195"/>
    <cellStyle name="40% - Accent2 7" xfId="196"/>
    <cellStyle name="40% - Accent2 7 2" xfId="197"/>
    <cellStyle name="40% - Accent2_Q.W. ADMINISTRACIULI SENOBA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3_Q.W. ADMINISTRACIULI SENOBA" xfId="222"/>
    <cellStyle name="40% - Accent4" xfId="223"/>
    <cellStyle name="40% - Accent4 2" xfId="224"/>
    <cellStyle name="40% - Accent4 2 2" xfId="225"/>
    <cellStyle name="40% - Accent4 2 2 2" xfId="226"/>
    <cellStyle name="40% - Accent4 2 3" xfId="227"/>
    <cellStyle name="40% - Accent4 2 3 2" xfId="228"/>
    <cellStyle name="40% - Accent4 2 4" xfId="229"/>
    <cellStyle name="40% - Accent4 2 4 2" xfId="230"/>
    <cellStyle name="40% - Accent4 2 5" xfId="231"/>
    <cellStyle name="40% - Accent4 2 5 2" xfId="232"/>
    <cellStyle name="40% - Accent4 2 6" xfId="233"/>
    <cellStyle name="40% - Accent4 3" xfId="234"/>
    <cellStyle name="40% - Accent4 3 2" xfId="235"/>
    <cellStyle name="40% - Accent4 4" xfId="236"/>
    <cellStyle name="40% - Accent4 4 2" xfId="237"/>
    <cellStyle name="40% - Accent4 4 2 2" xfId="238"/>
    <cellStyle name="40% - Accent4 4 3" xfId="239"/>
    <cellStyle name="40% - Accent4 5" xfId="240"/>
    <cellStyle name="40% - Accent4 5 2" xfId="241"/>
    <cellStyle name="40% - Accent4 6" xfId="242"/>
    <cellStyle name="40% - Accent4 6 2" xfId="243"/>
    <cellStyle name="40% - Accent4 7" xfId="244"/>
    <cellStyle name="40% - Accent4 7 2" xfId="245"/>
    <cellStyle name="40% - Accent4_Q.W. ADMINISTRACIULI SENOBA" xfId="246"/>
    <cellStyle name="40% - Accent5" xfId="247"/>
    <cellStyle name="40% - Accent5 2" xfId="248"/>
    <cellStyle name="40% - Accent5 2 2" xfId="249"/>
    <cellStyle name="40% - Accent5 2 2 2" xfId="250"/>
    <cellStyle name="40% - Accent5 2 3" xfId="251"/>
    <cellStyle name="40% - Accent5 2 3 2" xfId="252"/>
    <cellStyle name="40% - Accent5 2 4" xfId="253"/>
    <cellStyle name="40% - Accent5 2 4 2" xfId="254"/>
    <cellStyle name="40% - Accent5 2 5" xfId="255"/>
    <cellStyle name="40% - Accent5 2 5 2" xfId="256"/>
    <cellStyle name="40% - Accent5 2 6" xfId="257"/>
    <cellStyle name="40% - Accent5 3" xfId="258"/>
    <cellStyle name="40% - Accent5 3 2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6" xfId="266"/>
    <cellStyle name="40% - Accent5 6 2" xfId="267"/>
    <cellStyle name="40% - Accent5 7" xfId="268"/>
    <cellStyle name="40% - Accent5 7 2" xfId="269"/>
    <cellStyle name="40% - Accent5_Q.W. ADMINISTRACIULI SENOBA" xfId="270"/>
    <cellStyle name="40% - Accent6" xfId="271"/>
    <cellStyle name="40% - Accent6 2" xfId="272"/>
    <cellStyle name="40% - Accent6 2 2" xfId="273"/>
    <cellStyle name="40% - Accent6 2 2 2" xfId="274"/>
    <cellStyle name="40% - Accent6 2 3" xfId="275"/>
    <cellStyle name="40% - Accent6 2 3 2" xfId="276"/>
    <cellStyle name="40% - Accent6 2 4" xfId="277"/>
    <cellStyle name="40% - Accent6 2 4 2" xfId="278"/>
    <cellStyle name="40% - Accent6 2 5" xfId="279"/>
    <cellStyle name="40% - Accent6 2 5 2" xfId="280"/>
    <cellStyle name="40% - Accent6 2 6" xfId="281"/>
    <cellStyle name="40% - Accent6 3" xfId="282"/>
    <cellStyle name="40% - Accent6 3 2" xfId="283"/>
    <cellStyle name="40% - Accent6 4" xfId="284"/>
    <cellStyle name="40% - Accent6 4 2" xfId="285"/>
    <cellStyle name="40% - Accent6 4 2 2" xfId="286"/>
    <cellStyle name="40% - Accent6 4 3" xfId="287"/>
    <cellStyle name="40% - Accent6 5" xfId="288"/>
    <cellStyle name="40% - Accent6 5 2" xfId="289"/>
    <cellStyle name="40% - Accent6 6" xfId="290"/>
    <cellStyle name="40% - Accent6 6 2" xfId="291"/>
    <cellStyle name="40% - Accent6 7" xfId="292"/>
    <cellStyle name="40% - Accent6 7 2" xfId="293"/>
    <cellStyle name="40% - Accent6_Q.W. ADMINISTRACIULI SENOBA" xfId="294"/>
    <cellStyle name="60% - Accent1" xfId="295"/>
    <cellStyle name="60% - Accent1 2" xfId="296"/>
    <cellStyle name="60% - Accent1 2 2" xfId="297"/>
    <cellStyle name="60% - Accent1 2 3" xfId="298"/>
    <cellStyle name="60% - Accent1 2 4" xfId="299"/>
    <cellStyle name="60% - Accent1 2 5" xfId="300"/>
    <cellStyle name="60% - Accent1 3" xfId="301"/>
    <cellStyle name="60% - Accent1 4" xfId="302"/>
    <cellStyle name="60% - Accent1 4 2" xfId="303"/>
    <cellStyle name="60% - Accent1 5" xfId="304"/>
    <cellStyle name="60% - Accent1 6" xfId="305"/>
    <cellStyle name="60% - Accent1 7" xfId="306"/>
    <cellStyle name="60% - Accent2" xfId="307"/>
    <cellStyle name="60% - Accent2 2" xfId="308"/>
    <cellStyle name="60% - Accent2 2 2" xfId="309"/>
    <cellStyle name="60% - Accent2 2 3" xfId="310"/>
    <cellStyle name="60% - Accent2 2 4" xfId="311"/>
    <cellStyle name="60% - Accent2 2 5" xfId="312"/>
    <cellStyle name="60% - Accent2 3" xfId="313"/>
    <cellStyle name="60% - Accent2 4" xfId="314"/>
    <cellStyle name="60% - Accent2 4 2" xfId="315"/>
    <cellStyle name="60% - Accent2 5" xfId="316"/>
    <cellStyle name="60% - Accent2 6" xfId="317"/>
    <cellStyle name="60% - Accent2 7" xfId="318"/>
    <cellStyle name="60% - Accent3" xfId="319"/>
    <cellStyle name="60% - Accent3 2" xfId="320"/>
    <cellStyle name="60% - Accent3 2 2" xfId="321"/>
    <cellStyle name="60% - Accent3 2 3" xfId="322"/>
    <cellStyle name="60% - Accent3 2 4" xfId="323"/>
    <cellStyle name="60% - Accent3 2 5" xfId="324"/>
    <cellStyle name="60% - Accent3 3" xfId="325"/>
    <cellStyle name="60% - Accent3 4" xfId="326"/>
    <cellStyle name="60% - Accent3 4 2" xfId="327"/>
    <cellStyle name="60% - Accent3 5" xfId="328"/>
    <cellStyle name="60% - Accent3 6" xfId="329"/>
    <cellStyle name="60% - Accent3 7" xfId="330"/>
    <cellStyle name="60% - Accent4" xfId="331"/>
    <cellStyle name="60% - Accent4 2" xfId="332"/>
    <cellStyle name="60% - Accent4 2 2" xfId="333"/>
    <cellStyle name="60% - Accent4 2 3" xfId="334"/>
    <cellStyle name="60% - Accent4 2 4" xfId="335"/>
    <cellStyle name="60% - Accent4 2 5" xfId="336"/>
    <cellStyle name="60% - Accent4 3" xfId="337"/>
    <cellStyle name="60% - Accent4 4" xfId="338"/>
    <cellStyle name="60% - Accent4 4 2" xfId="339"/>
    <cellStyle name="60% - Accent4 5" xfId="340"/>
    <cellStyle name="60% - Accent4 6" xfId="341"/>
    <cellStyle name="60% - Accent4 7" xfId="342"/>
    <cellStyle name="60% - Accent5" xfId="343"/>
    <cellStyle name="60% - Accent5 2" xfId="344"/>
    <cellStyle name="60% - Accent5 2 2" xfId="345"/>
    <cellStyle name="60% - Accent5 2 3" xfId="346"/>
    <cellStyle name="60% - Accent5 2 4" xfId="347"/>
    <cellStyle name="60% - Accent5 2 5" xfId="348"/>
    <cellStyle name="60% - Accent5 3" xfId="349"/>
    <cellStyle name="60% - Accent5 4" xfId="350"/>
    <cellStyle name="60% - Accent5 4 2" xfId="351"/>
    <cellStyle name="60% - Accent5 5" xfId="352"/>
    <cellStyle name="60% - Accent5 6" xfId="353"/>
    <cellStyle name="60% - Accent5 7" xfId="354"/>
    <cellStyle name="60% - Accent6" xfId="355"/>
    <cellStyle name="60% - Accent6 2" xfId="356"/>
    <cellStyle name="60% - Accent6 2 2" xfId="357"/>
    <cellStyle name="60% - Accent6 2 3" xfId="358"/>
    <cellStyle name="60% - Accent6 2 4" xfId="359"/>
    <cellStyle name="60% - Accent6 2 5" xfId="360"/>
    <cellStyle name="60% - Accent6 3" xfId="361"/>
    <cellStyle name="60% - Accent6 4" xfId="362"/>
    <cellStyle name="60% - Accent6 4 2" xfId="363"/>
    <cellStyle name="60% - Accent6 5" xfId="364"/>
    <cellStyle name="60% - Accent6 6" xfId="365"/>
    <cellStyle name="60% - Accent6 7" xfId="366"/>
    <cellStyle name="Accent1" xfId="367"/>
    <cellStyle name="Accent1 2" xfId="368"/>
    <cellStyle name="Accent1 2 2" xfId="369"/>
    <cellStyle name="Accent1 2 3" xfId="370"/>
    <cellStyle name="Accent1 2 4" xfId="371"/>
    <cellStyle name="Accent1 2 5" xfId="372"/>
    <cellStyle name="Accent1 3" xfId="373"/>
    <cellStyle name="Accent1 4" xfId="374"/>
    <cellStyle name="Accent1 4 2" xfId="375"/>
    <cellStyle name="Accent1 5" xfId="376"/>
    <cellStyle name="Accent1 6" xfId="377"/>
    <cellStyle name="Accent1 7" xfId="378"/>
    <cellStyle name="Accent2" xfId="379"/>
    <cellStyle name="Accent2 2" xfId="380"/>
    <cellStyle name="Accent2 2 2" xfId="381"/>
    <cellStyle name="Accent2 2 3" xfId="382"/>
    <cellStyle name="Accent2 2 4" xfId="383"/>
    <cellStyle name="Accent2 2 5" xfId="384"/>
    <cellStyle name="Accent2 3" xfId="385"/>
    <cellStyle name="Accent2 4" xfId="386"/>
    <cellStyle name="Accent2 4 2" xfId="387"/>
    <cellStyle name="Accent2 5" xfId="388"/>
    <cellStyle name="Accent2 6" xfId="389"/>
    <cellStyle name="Accent2 7" xfId="390"/>
    <cellStyle name="Accent3" xfId="391"/>
    <cellStyle name="Accent3 2" xfId="392"/>
    <cellStyle name="Accent3 2 2" xfId="393"/>
    <cellStyle name="Accent3 2 3" xfId="394"/>
    <cellStyle name="Accent3 2 4" xfId="395"/>
    <cellStyle name="Accent3 2 5" xfId="396"/>
    <cellStyle name="Accent3 3" xfId="397"/>
    <cellStyle name="Accent3 4" xfId="398"/>
    <cellStyle name="Accent3 4 2" xfId="399"/>
    <cellStyle name="Accent3 5" xfId="400"/>
    <cellStyle name="Accent3 6" xfId="401"/>
    <cellStyle name="Accent3 7" xfId="402"/>
    <cellStyle name="Accent4" xfId="403"/>
    <cellStyle name="Accent4 2" xfId="404"/>
    <cellStyle name="Accent4 2 2" xfId="405"/>
    <cellStyle name="Accent4 2 3" xfId="406"/>
    <cellStyle name="Accent4 2 4" xfId="407"/>
    <cellStyle name="Accent4 2 5" xfId="408"/>
    <cellStyle name="Accent4 3" xfId="409"/>
    <cellStyle name="Accent4 4" xfId="410"/>
    <cellStyle name="Accent4 4 2" xfId="411"/>
    <cellStyle name="Accent4 5" xfId="412"/>
    <cellStyle name="Accent4 6" xfId="413"/>
    <cellStyle name="Accent4 7" xfId="414"/>
    <cellStyle name="Accent5" xfId="415"/>
    <cellStyle name="Accent5 2" xfId="416"/>
    <cellStyle name="Accent5 2 2" xfId="417"/>
    <cellStyle name="Accent5 2 3" xfId="418"/>
    <cellStyle name="Accent5 2 4" xfId="419"/>
    <cellStyle name="Accent5 2 5" xfId="420"/>
    <cellStyle name="Accent5 3" xfId="421"/>
    <cellStyle name="Accent5 4" xfId="422"/>
    <cellStyle name="Accent5 4 2" xfId="423"/>
    <cellStyle name="Accent5 5" xfId="424"/>
    <cellStyle name="Accent5 6" xfId="425"/>
    <cellStyle name="Accent5 7" xfId="426"/>
    <cellStyle name="Accent6" xfId="427"/>
    <cellStyle name="Accent6 2" xfId="428"/>
    <cellStyle name="Accent6 2 2" xfId="429"/>
    <cellStyle name="Accent6 2 3" xfId="430"/>
    <cellStyle name="Accent6 2 4" xfId="431"/>
    <cellStyle name="Accent6 2 5" xfId="432"/>
    <cellStyle name="Accent6 3" xfId="433"/>
    <cellStyle name="Accent6 4" xfId="434"/>
    <cellStyle name="Accent6 4 2" xfId="435"/>
    <cellStyle name="Accent6 5" xfId="436"/>
    <cellStyle name="Accent6 6" xfId="437"/>
    <cellStyle name="Accent6 7" xfId="438"/>
    <cellStyle name="Bad" xfId="439"/>
    <cellStyle name="Bad 2" xfId="440"/>
    <cellStyle name="Bad 2 2" xfId="441"/>
    <cellStyle name="Bad 2 3" xfId="442"/>
    <cellStyle name="Bad 2 4" xfId="443"/>
    <cellStyle name="Bad 2 5" xfId="444"/>
    <cellStyle name="Bad 3" xfId="445"/>
    <cellStyle name="Bad 4" xfId="446"/>
    <cellStyle name="Bad 4 2" xfId="447"/>
    <cellStyle name="Bad 5" xfId="448"/>
    <cellStyle name="Bad 6" xfId="449"/>
    <cellStyle name="Bad 7" xfId="450"/>
    <cellStyle name="Calculation" xfId="451"/>
    <cellStyle name="Calculation 2" xfId="452"/>
    <cellStyle name="Calculation 2 2" xfId="453"/>
    <cellStyle name="Calculation 2 3" xfId="454"/>
    <cellStyle name="Calculation 2 4" xfId="455"/>
    <cellStyle name="Calculation 2 5" xfId="456"/>
    <cellStyle name="Calculation 2_anakia II etapi.xls sm. defeqturi" xfId="457"/>
    <cellStyle name="Calculation 3" xfId="458"/>
    <cellStyle name="Calculation 4" xfId="459"/>
    <cellStyle name="Calculation 4 2" xfId="460"/>
    <cellStyle name="Calculation 4_anakia II etapi.xls sm. defeqturi" xfId="461"/>
    <cellStyle name="Calculation 5" xfId="462"/>
    <cellStyle name="Calculation 6" xfId="463"/>
    <cellStyle name="Calculation 7" xfId="464"/>
    <cellStyle name="Check Cell" xfId="465"/>
    <cellStyle name="Check Cell 2" xfId="466"/>
    <cellStyle name="Check Cell 2 2" xfId="467"/>
    <cellStyle name="Check Cell 2 3" xfId="468"/>
    <cellStyle name="Check Cell 2 4" xfId="469"/>
    <cellStyle name="Check Cell 2 5" xfId="470"/>
    <cellStyle name="Check Cell 2_anakia II etapi.xls sm. defeqturi" xfId="471"/>
    <cellStyle name="Check Cell 3" xfId="472"/>
    <cellStyle name="Check Cell 4" xfId="473"/>
    <cellStyle name="Check Cell 4 2" xfId="474"/>
    <cellStyle name="Check Cell 4_anakia II etapi.xls sm. defeqturi" xfId="475"/>
    <cellStyle name="Check Cell 5" xfId="476"/>
    <cellStyle name="Check Cell 6" xfId="477"/>
    <cellStyle name="Check Cell 7" xfId="478"/>
    <cellStyle name="Comma" xfId="1" builtinId="3"/>
    <cellStyle name="Comma 10" xfId="480"/>
    <cellStyle name="Comma 10 2" xfId="481"/>
    <cellStyle name="Comma 11" xfId="482"/>
    <cellStyle name="Comma 12" xfId="483"/>
    <cellStyle name="Comma 12 2" xfId="484"/>
    <cellStyle name="Comma 12 3" xfId="485"/>
    <cellStyle name="Comma 12 4" xfId="486"/>
    <cellStyle name="Comma 12 5" xfId="487"/>
    <cellStyle name="Comma 12 6" xfId="488"/>
    <cellStyle name="Comma 12 7" xfId="489"/>
    <cellStyle name="Comma 12 8" xfId="490"/>
    <cellStyle name="Comma 13" xfId="491"/>
    <cellStyle name="Comma 14" xfId="492"/>
    <cellStyle name="Comma 15" xfId="493"/>
    <cellStyle name="Comma 15 2" xfId="494"/>
    <cellStyle name="Comma 16" xfId="495"/>
    <cellStyle name="Comma 17" xfId="496"/>
    <cellStyle name="Comma 17 2" xfId="497"/>
    <cellStyle name="Comma 18" xfId="498"/>
    <cellStyle name="Comma 19" xfId="499"/>
    <cellStyle name="Comma 2" xfId="500"/>
    <cellStyle name="Comma 2 2" xfId="501"/>
    <cellStyle name="Comma 2 2 2" xfId="502"/>
    <cellStyle name="Comma 2 2 3" xfId="503"/>
    <cellStyle name="Comma 2 3" xfId="504"/>
    <cellStyle name="Comma 20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Explanatory Text" xfId="513"/>
    <cellStyle name="Explanatory Text 2" xfId="514"/>
    <cellStyle name="Explanatory Text 2 2" xfId="515"/>
    <cellStyle name="Explanatory Text 2 3" xfId="516"/>
    <cellStyle name="Explanatory Text 2 4" xfId="517"/>
    <cellStyle name="Explanatory Text 2 5" xfId="518"/>
    <cellStyle name="Explanatory Text 3" xfId="519"/>
    <cellStyle name="Explanatory Text 4" xfId="520"/>
    <cellStyle name="Explanatory Text 4 2" xfId="521"/>
    <cellStyle name="Explanatory Text 5" xfId="522"/>
    <cellStyle name="Explanatory Text 6" xfId="523"/>
    <cellStyle name="Explanatory Text 7" xfId="524"/>
    <cellStyle name="Good" xfId="525"/>
    <cellStyle name="Good 2" xfId="526"/>
    <cellStyle name="Good 2 2" xfId="527"/>
    <cellStyle name="Good 2 3" xfId="528"/>
    <cellStyle name="Good 2 4" xfId="529"/>
    <cellStyle name="Good 2 5" xfId="530"/>
    <cellStyle name="Good 3" xfId="531"/>
    <cellStyle name="Good 4" xfId="532"/>
    <cellStyle name="Good 4 2" xfId="533"/>
    <cellStyle name="Good 5" xfId="534"/>
    <cellStyle name="Good 6" xfId="535"/>
    <cellStyle name="Good 7" xfId="536"/>
    <cellStyle name="Heading 1" xfId="537"/>
    <cellStyle name="Heading 1 2" xfId="538"/>
    <cellStyle name="Heading 1 2 2" xfId="539"/>
    <cellStyle name="Heading 1 2 3" xfId="540"/>
    <cellStyle name="Heading 1 2 4" xfId="541"/>
    <cellStyle name="Heading 1 2 5" xfId="542"/>
    <cellStyle name="Heading 1 2_anakia II etapi.xls sm. defeqturi" xfId="543"/>
    <cellStyle name="Heading 1 3" xfId="544"/>
    <cellStyle name="Heading 1 4" xfId="545"/>
    <cellStyle name="Heading 1 4 2" xfId="546"/>
    <cellStyle name="Heading 1 4_anakia II etapi.xls sm. defeqturi" xfId="547"/>
    <cellStyle name="Heading 1 5" xfId="548"/>
    <cellStyle name="Heading 1 6" xfId="549"/>
    <cellStyle name="Heading 1 7" xfId="550"/>
    <cellStyle name="Heading 2" xfId="551"/>
    <cellStyle name="Heading 2 2" xfId="552"/>
    <cellStyle name="Heading 2 2 2" xfId="553"/>
    <cellStyle name="Heading 2 2 3" xfId="554"/>
    <cellStyle name="Heading 2 2 4" xfId="555"/>
    <cellStyle name="Heading 2 2 5" xfId="556"/>
    <cellStyle name="Heading 2 2_anakia II etapi.xls sm. defeqturi" xfId="557"/>
    <cellStyle name="Heading 2 3" xfId="558"/>
    <cellStyle name="Heading 2 4" xfId="559"/>
    <cellStyle name="Heading 2 4 2" xfId="560"/>
    <cellStyle name="Heading 2 4_anakia II etapi.xls sm. defeqturi" xfId="561"/>
    <cellStyle name="Heading 2 5" xfId="562"/>
    <cellStyle name="Heading 2 6" xfId="563"/>
    <cellStyle name="Heading 2 7" xfId="564"/>
    <cellStyle name="Heading 3" xfId="565"/>
    <cellStyle name="Heading 3 2" xfId="566"/>
    <cellStyle name="Heading 3 2 2" xfId="567"/>
    <cellStyle name="Heading 3 2 3" xfId="568"/>
    <cellStyle name="Heading 3 2 4" xfId="569"/>
    <cellStyle name="Heading 3 2 5" xfId="570"/>
    <cellStyle name="Heading 3 2_anakia II etapi.xls sm. defeqturi" xfId="571"/>
    <cellStyle name="Heading 3 3" xfId="572"/>
    <cellStyle name="Heading 3 4" xfId="573"/>
    <cellStyle name="Heading 3 4 2" xfId="574"/>
    <cellStyle name="Heading 3 4_anakia II etapi.xls sm. defeqturi" xfId="575"/>
    <cellStyle name="Heading 3 5" xfId="576"/>
    <cellStyle name="Heading 3 6" xfId="577"/>
    <cellStyle name="Heading 3 7" xfId="578"/>
    <cellStyle name="Heading 4" xfId="579"/>
    <cellStyle name="Heading 4 2" xfId="580"/>
    <cellStyle name="Heading 4 2 2" xfId="581"/>
    <cellStyle name="Heading 4 2 3" xfId="582"/>
    <cellStyle name="Heading 4 2 4" xfId="583"/>
    <cellStyle name="Heading 4 2 5" xfId="584"/>
    <cellStyle name="Heading 4 3" xfId="585"/>
    <cellStyle name="Heading 4 4" xfId="586"/>
    <cellStyle name="Heading 4 4 2" xfId="587"/>
    <cellStyle name="Heading 4 5" xfId="588"/>
    <cellStyle name="Heading 4 6" xfId="589"/>
    <cellStyle name="Heading 4 7" xfId="590"/>
    <cellStyle name="Hyperlink 2" xfId="591"/>
    <cellStyle name="Input" xfId="592"/>
    <cellStyle name="Input 2" xfId="593"/>
    <cellStyle name="Input 2 2" xfId="594"/>
    <cellStyle name="Input 2 3" xfId="595"/>
    <cellStyle name="Input 2 4" xfId="596"/>
    <cellStyle name="Input 2 5" xfId="597"/>
    <cellStyle name="Input 2_anakia II etapi.xls sm. defeqturi" xfId="598"/>
    <cellStyle name="Input 3" xfId="599"/>
    <cellStyle name="Input 4" xfId="600"/>
    <cellStyle name="Input 4 2" xfId="601"/>
    <cellStyle name="Input 4_anakia II etapi.xls sm. defeqturi" xfId="602"/>
    <cellStyle name="Input 5" xfId="603"/>
    <cellStyle name="Input 6" xfId="604"/>
    <cellStyle name="Input 7" xfId="605"/>
    <cellStyle name="Linked Cell" xfId="606"/>
    <cellStyle name="Linked Cell 2" xfId="607"/>
    <cellStyle name="Linked Cell 2 2" xfId="608"/>
    <cellStyle name="Linked Cell 2 3" xfId="609"/>
    <cellStyle name="Linked Cell 2 4" xfId="610"/>
    <cellStyle name="Linked Cell 2 5" xfId="611"/>
    <cellStyle name="Linked Cell 2_anakia II etapi.xls sm. defeqturi" xfId="612"/>
    <cellStyle name="Linked Cell 3" xfId="613"/>
    <cellStyle name="Linked Cell 4" xfId="614"/>
    <cellStyle name="Linked Cell 4 2" xfId="615"/>
    <cellStyle name="Linked Cell 4_anakia II etapi.xls sm. defeqturi" xfId="616"/>
    <cellStyle name="Linked Cell 5" xfId="617"/>
    <cellStyle name="Linked Cell 6" xfId="618"/>
    <cellStyle name="Linked Cell 7" xfId="619"/>
    <cellStyle name="Neutral" xfId="620"/>
    <cellStyle name="Neutral 2" xfId="621"/>
    <cellStyle name="Neutral 2 2" xfId="622"/>
    <cellStyle name="Neutral 2 3" xfId="623"/>
    <cellStyle name="Neutral 2 4" xfId="624"/>
    <cellStyle name="Neutral 2 5" xfId="625"/>
    <cellStyle name="Neutral 3" xfId="626"/>
    <cellStyle name="Neutral 4" xfId="627"/>
    <cellStyle name="Neutral 4 2" xfId="628"/>
    <cellStyle name="Neutral 5" xfId="629"/>
    <cellStyle name="Neutral 6" xfId="630"/>
    <cellStyle name="Neutral 7" xfId="631"/>
    <cellStyle name="Normal" xfId="0" builtinId="0"/>
    <cellStyle name="Normal 10" xfId="632"/>
    <cellStyle name="Normal 10 2" xfId="633"/>
    <cellStyle name="Normal 11" xfId="634"/>
    <cellStyle name="Normal 11 2" xfId="635"/>
    <cellStyle name="Normal 11 2 2" xfId="636"/>
    <cellStyle name="Normal 11 3" xfId="637"/>
    <cellStyle name="Normal 11_GAZI-2010" xfId="638"/>
    <cellStyle name="Normal 12" xfId="639"/>
    <cellStyle name="Normal 12 2" xfId="640"/>
    <cellStyle name="Normal 12_gazis gare qseli" xfId="641"/>
    <cellStyle name="Normal 13" xfId="642"/>
    <cellStyle name="Normal 13 2" xfId="643"/>
    <cellStyle name="Normal 13 2 2" xfId="644"/>
    <cellStyle name="Normal 13 2 3" xfId="645"/>
    <cellStyle name="Normal 13 3" xfId="646"/>
    <cellStyle name="Normal 13 3 2" xfId="647"/>
    <cellStyle name="Normal 13 3 3" xfId="648"/>
    <cellStyle name="Normal 13 3 3 2" xfId="649"/>
    <cellStyle name="Normal 13 3 3 3" xfId="650"/>
    <cellStyle name="Normal 13 3 4" xfId="651"/>
    <cellStyle name="Normal 13 3 5" xfId="652"/>
    <cellStyle name="Normal 13 4" xfId="653"/>
    <cellStyle name="Normal 13 5" xfId="654"/>
    <cellStyle name="Normal 13 5 2" xfId="655"/>
    <cellStyle name="Normal 13 5 3" xfId="656"/>
    <cellStyle name="Normal 13 5 3 2" xfId="657"/>
    <cellStyle name="Normal 13 5 3 3" xfId="658"/>
    <cellStyle name="Normal 13 5 3 4" xfId="659"/>
    <cellStyle name="Normal 13 5 4" xfId="660"/>
    <cellStyle name="Normal 13 6" xfId="661"/>
    <cellStyle name="Normal 13 7" xfId="662"/>
    <cellStyle name="Normal 13 8" xfId="663"/>
    <cellStyle name="Normal 13_# 6-1 27.01.12 - копия (1)" xfId="664"/>
    <cellStyle name="Normal 14" xfId="665"/>
    <cellStyle name="Normal 14 2" xfId="666"/>
    <cellStyle name="Normal 14 3" xfId="667"/>
    <cellStyle name="Normal 14 3 2" xfId="668"/>
    <cellStyle name="Normal 14 4" xfId="669"/>
    <cellStyle name="Normal 14 5" xfId="670"/>
    <cellStyle name="Normal 14 6" xfId="671"/>
    <cellStyle name="Normal 14_anakia II etapi.xls sm. defeqturi" xfId="672"/>
    <cellStyle name="Normal 15" xfId="673"/>
    <cellStyle name="Normal 16" xfId="674"/>
    <cellStyle name="Normal 16 2" xfId="675"/>
    <cellStyle name="Normal 16 3" xfId="676"/>
    <cellStyle name="Normal 16 4" xfId="677"/>
    <cellStyle name="Normal 16_# 6-1 27.01.12 - копия (1)" xfId="678"/>
    <cellStyle name="Normal 17" xfId="679"/>
    <cellStyle name="Normal 18" xfId="680"/>
    <cellStyle name="Normal 19" xfId="681"/>
    <cellStyle name="Normal 2" xfId="5"/>
    <cellStyle name="Normal 2 10" xfId="683"/>
    <cellStyle name="Normal 2 11" xfId="684"/>
    <cellStyle name="Normal 2 12" xfId="682"/>
    <cellStyle name="Normal 2 2" xfId="685"/>
    <cellStyle name="Normal 2 2 2" xfId="686"/>
    <cellStyle name="Normal 2 2 3" xfId="687"/>
    <cellStyle name="Normal 2 2 4" xfId="688"/>
    <cellStyle name="Normal 2 2 5" xfId="689"/>
    <cellStyle name="Normal 2 2 6" xfId="690"/>
    <cellStyle name="Normal 2 2 7" xfId="691"/>
    <cellStyle name="Normal 2 2_2D4CD000" xfId="692"/>
    <cellStyle name="Normal 2 3" xfId="693"/>
    <cellStyle name="Normal 2 4" xfId="694"/>
    <cellStyle name="Normal 2 5" xfId="695"/>
    <cellStyle name="Normal 2 6" xfId="696"/>
    <cellStyle name="Normal 2 7" xfId="697"/>
    <cellStyle name="Normal 2 7 2" xfId="698"/>
    <cellStyle name="Normal 2 7 3" xfId="699"/>
    <cellStyle name="Normal 2 7_anakia II etapi.xls sm. defeqturi" xfId="700"/>
    <cellStyle name="Normal 2 8" xfId="701"/>
    <cellStyle name="Normal 2 9" xfId="702"/>
    <cellStyle name="Normal 2_anakia II etapi.xls sm. defeqturi" xfId="703"/>
    <cellStyle name="Normal 20" xfId="704"/>
    <cellStyle name="Normal 21" xfId="705"/>
    <cellStyle name="Normal 22" xfId="706"/>
    <cellStyle name="Normal 23" xfId="707"/>
    <cellStyle name="Normal 24" xfId="708"/>
    <cellStyle name="Normal 25" xfId="709"/>
    <cellStyle name="Normal 26" xfId="710"/>
    <cellStyle name="Normal 27" xfId="711"/>
    <cellStyle name="Normal 28" xfId="712"/>
    <cellStyle name="Normal 29" xfId="713"/>
    <cellStyle name="Normal 29 2" xfId="714"/>
    <cellStyle name="Normal 3" xfId="2"/>
    <cellStyle name="Normal 3 2" xfId="715"/>
    <cellStyle name="Normal 3 2 2" xfId="716"/>
    <cellStyle name="Normal 3 2_anakia II etapi.xls sm. defeqturi" xfId="717"/>
    <cellStyle name="Normal 3 3" xfId="718"/>
    <cellStyle name="Normal 30" xfId="719"/>
    <cellStyle name="Normal 30 2" xfId="720"/>
    <cellStyle name="Normal 31" xfId="721"/>
    <cellStyle name="Normal 32" xfId="722"/>
    <cellStyle name="Normal 32 2" xfId="723"/>
    <cellStyle name="Normal 32 2 2" xfId="724"/>
    <cellStyle name="Normal 32 3" xfId="725"/>
    <cellStyle name="Normal 32 3 2" xfId="726"/>
    <cellStyle name="Normal 32 3 2 2" xfId="727"/>
    <cellStyle name="Normal 32 4" xfId="728"/>
    <cellStyle name="Normal 32_# 6-1 27.01.12 - копия (1)" xfId="729"/>
    <cellStyle name="Normal 33" xfId="730"/>
    <cellStyle name="Normal 33 2" xfId="731"/>
    <cellStyle name="Normal 34" xfId="732"/>
    <cellStyle name="Normal 35" xfId="733"/>
    <cellStyle name="Normal 35 2" xfId="734"/>
    <cellStyle name="Normal 35 3" xfId="735"/>
    <cellStyle name="Normal 36" xfId="736"/>
    <cellStyle name="Normal 36 2" xfId="737"/>
    <cellStyle name="Normal 36 2 2" xfId="738"/>
    <cellStyle name="Normal 36 2 2 2" xfId="909"/>
    <cellStyle name="Normal 36 2 3" xfId="739"/>
    <cellStyle name="Normal 36 2 4" xfId="740"/>
    <cellStyle name="Normal 36 3" xfId="741"/>
    <cellStyle name="Normal 36 4" xfId="742"/>
    <cellStyle name="Normal 37" xfId="743"/>
    <cellStyle name="Normal 37 2" xfId="744"/>
    <cellStyle name="Normal 38" xfId="745"/>
    <cellStyle name="Normal 38 2" xfId="746"/>
    <cellStyle name="Normal 38 2 2" xfId="747"/>
    <cellStyle name="Normal 38 3" xfId="748"/>
    <cellStyle name="Normal 38 3 2" xfId="749"/>
    <cellStyle name="Normal 38 4" xfId="750"/>
    <cellStyle name="Normal 39" xfId="751"/>
    <cellStyle name="Normal 39 2" xfId="752"/>
    <cellStyle name="Normal 4" xfId="753"/>
    <cellStyle name="Normal 4 2" xfId="754"/>
    <cellStyle name="Normal 4 3" xfId="755"/>
    <cellStyle name="Normal 40" xfId="756"/>
    <cellStyle name="Normal 40 2" xfId="757"/>
    <cellStyle name="Normal 40 3" xfId="758"/>
    <cellStyle name="Normal 41" xfId="759"/>
    <cellStyle name="Normal 41 2" xfId="760"/>
    <cellStyle name="Normal 42" xfId="761"/>
    <cellStyle name="Normal 42 2" xfId="762"/>
    <cellStyle name="Normal 42 3" xfId="763"/>
    <cellStyle name="Normal 43" xfId="764"/>
    <cellStyle name="Normal 44" xfId="765"/>
    <cellStyle name="Normal 45" xfId="766"/>
    <cellStyle name="Normal 46" xfId="767"/>
    <cellStyle name="Normal 47" xfId="768"/>
    <cellStyle name="Normal 47 2" xfId="769"/>
    <cellStyle name="Normal 47 3" xfId="770"/>
    <cellStyle name="Normal 47 3 2" xfId="771"/>
    <cellStyle name="Normal 47 3 3" xfId="772"/>
    <cellStyle name="Normal 47 4" xfId="773"/>
    <cellStyle name="Normal 5" xfId="774"/>
    <cellStyle name="Normal 5 2" xfId="775"/>
    <cellStyle name="Normal 5 2 2" xfId="776"/>
    <cellStyle name="Normal 5 3" xfId="777"/>
    <cellStyle name="Normal 5 4" xfId="778"/>
    <cellStyle name="Normal 5 4 2" xfId="779"/>
    <cellStyle name="Normal 5 4 3" xfId="780"/>
    <cellStyle name="Normal 5 5" xfId="781"/>
    <cellStyle name="Normal 5_Copy of SAN2010" xfId="782"/>
    <cellStyle name="Normal 50" xfId="910"/>
    <cellStyle name="Normal 6" xfId="783"/>
    <cellStyle name="Normal 7" xfId="784"/>
    <cellStyle name="Normal 75" xfId="785"/>
    <cellStyle name="Normal 8" xfId="786"/>
    <cellStyle name="Normal 8 2" xfId="787"/>
    <cellStyle name="Normal 8_2D4CD000" xfId="788"/>
    <cellStyle name="Normal 9" xfId="789"/>
    <cellStyle name="Normal 9 2" xfId="790"/>
    <cellStyle name="Normal 9 2 2" xfId="791"/>
    <cellStyle name="Normal 9 2 3" xfId="792"/>
    <cellStyle name="Normal 9 2 4" xfId="793"/>
    <cellStyle name="Normal 9 2_anakia II etapi.xls sm. defeqturi" xfId="794"/>
    <cellStyle name="Normal 9_2D4CD000" xfId="795"/>
    <cellStyle name="Normal_axalqalaqis skola  2" xfId="908"/>
    <cellStyle name="Normal_Book1 2" xfId="796"/>
    <cellStyle name="Normal_gare wyalsadfenigagarini 10" xfId="797"/>
    <cellStyle name="Normal_gare wyalsadfenigagarini 2 2" xfId="798"/>
    <cellStyle name="Normal_gare wyalsadfenigagarini_SUSTI DENEBI_axalqalaqis skola " xfId="906"/>
    <cellStyle name="Normal_qavtarazis mravalfunqciuri kompleqsis xarjTaRricxva" xfId="4"/>
    <cellStyle name="Normal_SUSTI DENEBI" xfId="905"/>
    <cellStyle name="Note" xfId="799"/>
    <cellStyle name="Note 2" xfId="800"/>
    <cellStyle name="Note 2 2" xfId="801"/>
    <cellStyle name="Note 2 3" xfId="802"/>
    <cellStyle name="Note 2 4" xfId="803"/>
    <cellStyle name="Note 2 5" xfId="804"/>
    <cellStyle name="Note 2_anakia II etapi.xls sm. defeqturi" xfId="805"/>
    <cellStyle name="Note 3" xfId="806"/>
    <cellStyle name="Note 4" xfId="807"/>
    <cellStyle name="Note 4 2" xfId="808"/>
    <cellStyle name="Note 4_anakia II etapi.xls sm. defeqturi" xfId="809"/>
    <cellStyle name="Note 5" xfId="810"/>
    <cellStyle name="Note 6" xfId="811"/>
    <cellStyle name="Note 7" xfId="812"/>
    <cellStyle name="Output" xfId="813"/>
    <cellStyle name="Output 2" xfId="814"/>
    <cellStyle name="Output 2 2" xfId="815"/>
    <cellStyle name="Output 2 3" xfId="816"/>
    <cellStyle name="Output 2 4" xfId="817"/>
    <cellStyle name="Output 2 5" xfId="818"/>
    <cellStyle name="Output 2_anakia II etapi.xls sm. defeqturi" xfId="819"/>
    <cellStyle name="Output 3" xfId="820"/>
    <cellStyle name="Output 4" xfId="821"/>
    <cellStyle name="Output 4 2" xfId="822"/>
    <cellStyle name="Output 4_anakia II etapi.xls sm. defeqturi" xfId="823"/>
    <cellStyle name="Output 5" xfId="824"/>
    <cellStyle name="Output 6" xfId="825"/>
    <cellStyle name="Output 7" xfId="826"/>
    <cellStyle name="Percent 2" xfId="827"/>
    <cellStyle name="Percent 3" xfId="828"/>
    <cellStyle name="Percent 3 2" xfId="829"/>
    <cellStyle name="Percent 4" xfId="830"/>
    <cellStyle name="Percent 5" xfId="831"/>
    <cellStyle name="Percent 6" xfId="832"/>
    <cellStyle name="Style 1" xfId="833"/>
    <cellStyle name="Title" xfId="834"/>
    <cellStyle name="Title 2" xfId="835"/>
    <cellStyle name="Title 2 2" xfId="836"/>
    <cellStyle name="Title 2 3" xfId="837"/>
    <cellStyle name="Title 2 4" xfId="838"/>
    <cellStyle name="Title 2 5" xfId="839"/>
    <cellStyle name="Title 3" xfId="840"/>
    <cellStyle name="Title 4" xfId="841"/>
    <cellStyle name="Title 4 2" xfId="842"/>
    <cellStyle name="Title 5" xfId="843"/>
    <cellStyle name="Title 6" xfId="844"/>
    <cellStyle name="Title 7" xfId="845"/>
    <cellStyle name="Total" xfId="846"/>
    <cellStyle name="Total 2" xfId="847"/>
    <cellStyle name="Total 2 2" xfId="848"/>
    <cellStyle name="Total 2 3" xfId="849"/>
    <cellStyle name="Total 2 4" xfId="850"/>
    <cellStyle name="Total 2 5" xfId="851"/>
    <cellStyle name="Total 2_anakia II etapi.xls sm. defeqturi" xfId="852"/>
    <cellStyle name="Total 3" xfId="853"/>
    <cellStyle name="Total 4" xfId="854"/>
    <cellStyle name="Total 4 2" xfId="855"/>
    <cellStyle name="Total 4_anakia II etapi.xls sm. defeqturi" xfId="856"/>
    <cellStyle name="Total 5" xfId="857"/>
    <cellStyle name="Total 6" xfId="858"/>
    <cellStyle name="Total 7" xfId="859"/>
    <cellStyle name="Warning Text" xfId="860"/>
    <cellStyle name="Warning Text 2" xfId="861"/>
    <cellStyle name="Warning Text 2 2" xfId="862"/>
    <cellStyle name="Warning Text 2 3" xfId="863"/>
    <cellStyle name="Warning Text 2 4" xfId="864"/>
    <cellStyle name="Warning Text 2 5" xfId="865"/>
    <cellStyle name="Warning Text 3" xfId="866"/>
    <cellStyle name="Warning Text 4" xfId="867"/>
    <cellStyle name="Warning Text 4 2" xfId="868"/>
    <cellStyle name="Warning Text 5" xfId="869"/>
    <cellStyle name="Warning Text 6" xfId="870"/>
    <cellStyle name="Warning Text 7" xfId="871"/>
    <cellStyle name="Обычный 10" xfId="872"/>
    <cellStyle name="Обычный 10 2" xfId="873"/>
    <cellStyle name="Обычный 11" xfId="6"/>
    <cellStyle name="Обычный 2" xfId="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_SUSTI DENEBI_axalqalaqis skola " xfId="904"/>
    <cellStyle name="Обычный_Лист1" xfId="907"/>
    <cellStyle name="Плохой 2" xfId="895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3" xfId="901"/>
    <cellStyle name="Финансовый 4" xfId="902"/>
    <cellStyle name="Финансовый 5" xfId="903"/>
    <cellStyle name="Финансовый 6" xfId="479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CCFF"/>
      <color rgb="FFFF99FF"/>
      <color rgb="FFCCFF33"/>
      <color rgb="FF008080"/>
      <color rgb="FF0000FF"/>
      <color rgb="FFFFFFCC"/>
      <color rgb="FFCCCCFF"/>
      <color rgb="FFFF6600"/>
      <color rgb="FFCCCC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31"/>
  <sheetViews>
    <sheetView view="pageBreakPreview" topLeftCell="A20" zoomScale="115" zoomScaleNormal="80" zoomScaleSheetLayoutView="115" workbookViewId="0">
      <selection activeCell="C33" sqref="C33"/>
    </sheetView>
  </sheetViews>
  <sheetFormatPr defaultColWidth="8.875" defaultRowHeight="15"/>
  <cols>
    <col min="1" max="1" width="5.875" style="12" customWidth="1"/>
    <col min="2" max="2" width="24" style="12" customWidth="1"/>
    <col min="3" max="3" width="73" style="12" customWidth="1"/>
    <col min="4" max="4" width="28.25" style="12" customWidth="1"/>
    <col min="5" max="5" width="21.25" style="367" customWidth="1"/>
    <col min="6" max="6" width="20.75" style="367" customWidth="1"/>
    <col min="7" max="7" width="14.375" style="367" customWidth="1"/>
    <col min="8" max="9" width="8.875" style="367"/>
    <col min="10" max="16384" width="8.875" style="12"/>
  </cols>
  <sheetData>
    <row r="1" spans="1:6" ht="25.15" customHeight="1">
      <c r="A1" s="1126" t="s">
        <v>1041</v>
      </c>
      <c r="B1" s="1126"/>
      <c r="C1" s="1126"/>
      <c r="D1" s="1126"/>
    </row>
    <row r="2" spans="1:6" ht="12.75" customHeight="1">
      <c r="A2" s="13"/>
      <c r="B2" s="13"/>
      <c r="C2" s="13"/>
      <c r="D2" s="132"/>
    </row>
    <row r="3" spans="1:6" ht="36.75" customHeight="1">
      <c r="A3" s="1127" t="s">
        <v>1088</v>
      </c>
      <c r="B3" s="1127"/>
      <c r="C3" s="1127"/>
      <c r="D3" s="1127"/>
    </row>
    <row r="4" spans="1:6" ht="27" customHeight="1" thickBot="1">
      <c r="A4" s="1128" t="s">
        <v>1024</v>
      </c>
      <c r="B4" s="1128"/>
      <c r="C4" s="1128"/>
      <c r="D4" s="1128"/>
    </row>
    <row r="5" spans="1:6" ht="44.25" customHeight="1" thickBot="1">
      <c r="A5" s="1040" t="s">
        <v>0</v>
      </c>
      <c r="B5" s="1042" t="s">
        <v>68</v>
      </c>
      <c r="C5" s="1044" t="s">
        <v>69</v>
      </c>
      <c r="D5" s="1281" t="s">
        <v>1047</v>
      </c>
    </row>
    <row r="6" spans="1:6" ht="17.25" thickBot="1">
      <c r="A6" s="1041">
        <v>1</v>
      </c>
      <c r="B6" s="1043">
        <v>2</v>
      </c>
      <c r="C6" s="1045">
        <v>3</v>
      </c>
      <c r="D6" s="1282">
        <v>4</v>
      </c>
    </row>
    <row r="7" spans="1:6" ht="16.5">
      <c r="A7" s="1124">
        <v>1</v>
      </c>
      <c r="B7" s="1038" t="s">
        <v>969</v>
      </c>
      <c r="C7" s="1039" t="s">
        <v>102</v>
      </c>
      <c r="D7" s="1283">
        <f>'#1'!M412</f>
        <v>0</v>
      </c>
    </row>
    <row r="8" spans="1:6" ht="16.5">
      <c r="A8" s="1124"/>
      <c r="B8" s="398" t="s">
        <v>973</v>
      </c>
      <c r="C8" s="403" t="s">
        <v>785</v>
      </c>
      <c r="D8" s="1284">
        <f>'#1'!M231</f>
        <v>0</v>
      </c>
    </row>
    <row r="9" spans="1:6" ht="16.5">
      <c r="A9" s="1125"/>
      <c r="B9" s="398" t="s">
        <v>974</v>
      </c>
      <c r="C9" s="403" t="s">
        <v>721</v>
      </c>
      <c r="D9" s="1284">
        <f>'#1'!M411</f>
        <v>0</v>
      </c>
      <c r="F9" s="969"/>
    </row>
    <row r="10" spans="1:6" ht="16.5">
      <c r="A10" s="1123">
        <v>2</v>
      </c>
      <c r="B10" s="980" t="s">
        <v>455</v>
      </c>
      <c r="C10" s="981" t="s">
        <v>65</v>
      </c>
      <c r="D10" s="1285">
        <f>'#2'!M138</f>
        <v>0</v>
      </c>
    </row>
    <row r="11" spans="1:6" ht="16.5">
      <c r="A11" s="1124"/>
      <c r="B11" s="398" t="s">
        <v>971</v>
      </c>
      <c r="C11" s="403" t="s">
        <v>785</v>
      </c>
      <c r="D11" s="1284">
        <f>'#2'!M75</f>
        <v>0</v>
      </c>
    </row>
    <row r="12" spans="1:6" ht="16.5">
      <c r="A12" s="1125"/>
      <c r="B12" s="398" t="s">
        <v>972</v>
      </c>
      <c r="C12" s="403" t="s">
        <v>721</v>
      </c>
      <c r="D12" s="1284">
        <f>'#2'!M137</f>
        <v>0</v>
      </c>
    </row>
    <row r="13" spans="1:6" ht="29.25" customHeight="1">
      <c r="A13" s="1123">
        <v>3</v>
      </c>
      <c r="B13" s="980" t="s">
        <v>968</v>
      </c>
      <c r="C13" s="981" t="s">
        <v>1085</v>
      </c>
      <c r="D13" s="1285">
        <f>'#3'!M198</f>
        <v>0</v>
      </c>
    </row>
    <row r="14" spans="1:6" ht="16.5">
      <c r="A14" s="1124"/>
      <c r="B14" s="398" t="s">
        <v>965</v>
      </c>
      <c r="C14" s="403" t="s">
        <v>785</v>
      </c>
      <c r="D14" s="1284">
        <f>'#3'!M113</f>
        <v>0</v>
      </c>
    </row>
    <row r="15" spans="1:6" ht="16.5">
      <c r="A15" s="1125"/>
      <c r="B15" s="398" t="s">
        <v>970</v>
      </c>
      <c r="C15" s="403" t="s">
        <v>721</v>
      </c>
      <c r="D15" s="1284">
        <f>'#3'!M197</f>
        <v>0</v>
      </c>
    </row>
    <row r="16" spans="1:6" ht="31.5">
      <c r="A16" s="1123">
        <v>4</v>
      </c>
      <c r="B16" s="980" t="s">
        <v>966</v>
      </c>
      <c r="C16" s="981" t="s">
        <v>329</v>
      </c>
      <c r="D16" s="1285">
        <f>'#4'!M213</f>
        <v>0</v>
      </c>
    </row>
    <row r="17" spans="1:6" ht="16.5">
      <c r="A17" s="1124"/>
      <c r="B17" s="398" t="s">
        <v>963</v>
      </c>
      <c r="C17" s="403" t="s">
        <v>785</v>
      </c>
      <c r="D17" s="1284">
        <f>'#4'!M137</f>
        <v>0</v>
      </c>
    </row>
    <row r="18" spans="1:6" ht="16.5">
      <c r="A18" s="1125"/>
      <c r="B18" s="398" t="s">
        <v>964</v>
      </c>
      <c r="C18" s="403" t="s">
        <v>721</v>
      </c>
      <c r="D18" s="1284">
        <f>'#4'!M212</f>
        <v>0</v>
      </c>
    </row>
    <row r="19" spans="1:6" ht="31.5">
      <c r="A19" s="1123">
        <v>5</v>
      </c>
      <c r="B19" s="980" t="s">
        <v>967</v>
      </c>
      <c r="C19" s="981" t="s">
        <v>1086</v>
      </c>
      <c r="D19" s="1285">
        <f>'#5'!M241</f>
        <v>0</v>
      </c>
    </row>
    <row r="20" spans="1:6" ht="16.5">
      <c r="A20" s="1124"/>
      <c r="B20" s="398" t="s">
        <v>961</v>
      </c>
      <c r="C20" s="403" t="s">
        <v>785</v>
      </c>
      <c r="D20" s="1284">
        <f>'#5'!M214</f>
        <v>0</v>
      </c>
    </row>
    <row r="21" spans="1:6" ht="16.5">
      <c r="A21" s="1125"/>
      <c r="B21" s="398" t="s">
        <v>962</v>
      </c>
      <c r="C21" s="403" t="s">
        <v>721</v>
      </c>
      <c r="D21" s="1284">
        <f>'#5'!M240</f>
        <v>0</v>
      </c>
    </row>
    <row r="22" spans="1:6" ht="16.5">
      <c r="A22" s="1046"/>
      <c r="B22" s="1046"/>
      <c r="C22" s="1047" t="s">
        <v>1083</v>
      </c>
      <c r="D22" s="1286">
        <f>D21+D18+D15+D12+D9</f>
        <v>0</v>
      </c>
    </row>
    <row r="23" spans="1:6" ht="16.5">
      <c r="A23" s="1046"/>
      <c r="B23" s="1046"/>
      <c r="C23" s="1047" t="s">
        <v>1084</v>
      </c>
      <c r="D23" s="1286">
        <f>D20+D8+D17+D14+D11</f>
        <v>0</v>
      </c>
    </row>
    <row r="24" spans="1:6" ht="16.5">
      <c r="A24" s="1046"/>
      <c r="B24" s="1046"/>
      <c r="C24" s="1047" t="s">
        <v>70</v>
      </c>
      <c r="D24" s="1286">
        <f>SUM(D22:D23)</f>
        <v>0</v>
      </c>
    </row>
    <row r="25" spans="1:6" ht="16.5">
      <c r="A25" s="14"/>
      <c r="B25" s="14"/>
      <c r="C25" s="236" t="s">
        <v>1079</v>
      </c>
      <c r="D25" s="1287">
        <f>D24*5%</f>
        <v>0</v>
      </c>
    </row>
    <row r="26" spans="1:6" ht="16.5">
      <c r="A26" s="1046"/>
      <c r="B26" s="1046"/>
      <c r="C26" s="1047" t="s">
        <v>1080</v>
      </c>
      <c r="D26" s="1286">
        <f>SUM(D24:D25)</f>
        <v>0</v>
      </c>
    </row>
    <row r="27" spans="1:6" ht="16.5">
      <c r="A27" s="14"/>
      <c r="B27" s="14"/>
      <c r="C27" s="236" t="s">
        <v>386</v>
      </c>
      <c r="D27" s="1287">
        <f>D26*18%</f>
        <v>0</v>
      </c>
    </row>
    <row r="28" spans="1:6" ht="16.5">
      <c r="A28" s="15"/>
      <c r="B28" s="15"/>
      <c r="C28" s="3" t="s">
        <v>71</v>
      </c>
      <c r="D28" s="1288">
        <f>SUM(D26:D27)</f>
        <v>0</v>
      </c>
    </row>
    <row r="29" spans="1:6" ht="9" customHeight="1">
      <c r="A29" s="13"/>
      <c r="B29" s="13"/>
      <c r="C29" s="13"/>
      <c r="D29" s="132"/>
      <c r="F29" s="633"/>
    </row>
    <row r="30" spans="1:6" ht="23.25" customHeight="1">
      <c r="A30" s="13"/>
      <c r="B30" s="397"/>
      <c r="C30" s="397"/>
      <c r="D30" s="397"/>
      <c r="F30" s="634"/>
    </row>
    <row r="31" spans="1:6" ht="45">
      <c r="B31" s="12" t="s">
        <v>1087</v>
      </c>
      <c r="C31" s="12" t="s">
        <v>1089</v>
      </c>
    </row>
  </sheetData>
  <sheetProtection algorithmName="SHA-512" hashValue="LIMM0bWp/XjS7s2WQKqwHDSIC7roXYgz6h2DMUlIb9CvE96ghmtxF8t+fmazwE8dcwr4f4DuF99Ffoz3FH0Djg==" saltValue="J3e9keA0Uq1t4+UVkVNn4A==" spinCount="100000" sheet="1" objects="1" scenarios="1"/>
  <mergeCells count="8">
    <mergeCell ref="A19:A21"/>
    <mergeCell ref="A13:A15"/>
    <mergeCell ref="A1:D1"/>
    <mergeCell ref="A3:D3"/>
    <mergeCell ref="A10:A12"/>
    <mergeCell ref="A7:A9"/>
    <mergeCell ref="A16:A18"/>
    <mergeCell ref="A4:D4"/>
  </mergeCells>
  <pageMargins left="0.85" right="0.31496062992125984" top="0.22" bottom="0.16" header="0.19685039370078741" footer="0.16"/>
  <pageSetup paperSize="9" scale="85" orientation="landscape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415"/>
  <sheetViews>
    <sheetView view="pageBreakPreview" zoomScale="80" zoomScaleNormal="80" zoomScaleSheetLayoutView="80" workbookViewId="0">
      <selection activeCell="F12" sqref="F12"/>
    </sheetView>
  </sheetViews>
  <sheetFormatPr defaultColWidth="8.875" defaultRowHeight="15.75"/>
  <cols>
    <col min="1" max="1" width="6.875" style="380" customWidth="1"/>
    <col min="2" max="2" width="12.375" style="79" customWidth="1"/>
    <col min="3" max="3" width="55.125" style="11" customWidth="1"/>
    <col min="4" max="4" width="8" style="79" customWidth="1"/>
    <col min="5" max="5" width="11.625" style="233" customWidth="1"/>
    <col min="6" max="6" width="14.25" style="233" customWidth="1"/>
    <col min="7" max="7" width="9.875" style="375" customWidth="1"/>
    <col min="8" max="8" width="11.625" style="375" customWidth="1"/>
    <col min="9" max="9" width="8.75" style="375" customWidth="1"/>
    <col min="10" max="10" width="12.25" style="375" customWidth="1"/>
    <col min="11" max="11" width="10.125" style="375" customWidth="1"/>
    <col min="12" max="12" width="12" style="375" customWidth="1"/>
    <col min="13" max="13" width="14.25" style="375" customWidth="1"/>
    <col min="14" max="14" width="21.125" style="33" customWidth="1"/>
    <col min="15" max="15" width="53.125" style="372" customWidth="1"/>
    <col min="16" max="16" width="11.25" style="33" bestFit="1" customWidth="1"/>
    <col min="17" max="16384" width="8.875" style="33"/>
  </cols>
  <sheetData>
    <row r="1" spans="1:15">
      <c r="A1" s="384"/>
      <c r="B1" s="47"/>
      <c r="C1" s="713"/>
      <c r="D1" s="713"/>
      <c r="E1" s="242"/>
      <c r="F1" s="242"/>
      <c r="G1" s="708"/>
      <c r="H1" s="708"/>
      <c r="I1" s="708"/>
      <c r="J1" s="708"/>
      <c r="K1" s="708"/>
      <c r="L1" s="708"/>
      <c r="M1" s="708"/>
    </row>
    <row r="2" spans="1:15">
      <c r="A2" s="1149" t="s">
        <v>1042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5">
      <c r="A3" s="384"/>
      <c r="B3" s="47"/>
      <c r="C3" s="713"/>
      <c r="D3" s="713"/>
      <c r="E3" s="242"/>
      <c r="F3" s="242"/>
      <c r="G3" s="708"/>
      <c r="H3" s="708"/>
      <c r="I3" s="708"/>
      <c r="J3" s="708"/>
      <c r="K3" s="708"/>
      <c r="L3" s="708"/>
      <c r="M3" s="708"/>
    </row>
    <row r="4" spans="1:15" ht="27" customHeight="1">
      <c r="A4" s="1150" t="s">
        <v>102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</row>
    <row r="5" spans="1:15" ht="27" customHeight="1">
      <c r="A5" s="1155" t="str">
        <f>krebsiti!A4</f>
        <v>Sedgenilia 2021 wlis IV kvartlis doneze</v>
      </c>
      <c r="B5" s="1156"/>
      <c r="C5" s="1156"/>
      <c r="D5" s="1156"/>
      <c r="E5" s="1029"/>
      <c r="F5" s="1030"/>
      <c r="G5" s="1031"/>
      <c r="H5" s="1157"/>
      <c r="I5" s="1157"/>
      <c r="J5" s="1157"/>
      <c r="K5" s="1157"/>
      <c r="L5" s="1032"/>
      <c r="M5" s="1032"/>
      <c r="O5" s="33"/>
    </row>
    <row r="6" spans="1:15" s="372" customFormat="1" ht="44.25" customHeight="1">
      <c r="A6" s="1143" t="s">
        <v>0</v>
      </c>
      <c r="B6" s="1151" t="s">
        <v>397</v>
      </c>
      <c r="C6" s="1151" t="s">
        <v>398</v>
      </c>
      <c r="D6" s="1151" t="s">
        <v>399</v>
      </c>
      <c r="E6" s="1153" t="s">
        <v>235</v>
      </c>
      <c r="F6" s="1154"/>
      <c r="G6" s="1289" t="s">
        <v>232</v>
      </c>
      <c r="H6" s="1290"/>
      <c r="I6" s="1289" t="s">
        <v>400</v>
      </c>
      <c r="J6" s="1290"/>
      <c r="K6" s="1289" t="s">
        <v>31</v>
      </c>
      <c r="L6" s="1290"/>
      <c r="M6" s="1291" t="s">
        <v>331</v>
      </c>
    </row>
    <row r="7" spans="1:15" s="372" customFormat="1" ht="31.5">
      <c r="A7" s="1145"/>
      <c r="B7" s="1152"/>
      <c r="C7" s="1152"/>
      <c r="D7" s="1152"/>
      <c r="E7" s="714" t="s">
        <v>236</v>
      </c>
      <c r="F7" s="714" t="s">
        <v>20</v>
      </c>
      <c r="G7" s="1284" t="s">
        <v>401</v>
      </c>
      <c r="H7" s="1284" t="s">
        <v>20</v>
      </c>
      <c r="I7" s="1284" t="s">
        <v>401</v>
      </c>
      <c r="J7" s="1284" t="s">
        <v>20</v>
      </c>
      <c r="K7" s="1284" t="s">
        <v>401</v>
      </c>
      <c r="L7" s="1284" t="s">
        <v>20</v>
      </c>
      <c r="M7" s="1292"/>
    </row>
    <row r="8" spans="1:15">
      <c r="A8" s="705">
        <v>1</v>
      </c>
      <c r="B8" s="86">
        <v>2</v>
      </c>
      <c r="C8" s="578">
        <v>3</v>
      </c>
      <c r="D8" s="618">
        <v>4</v>
      </c>
      <c r="E8" s="714">
        <v>5</v>
      </c>
      <c r="F8" s="714">
        <v>6</v>
      </c>
      <c r="G8" s="1293">
        <v>7</v>
      </c>
      <c r="H8" s="1294">
        <v>8</v>
      </c>
      <c r="I8" s="1294">
        <v>9</v>
      </c>
      <c r="J8" s="1294">
        <v>10</v>
      </c>
      <c r="K8" s="1294">
        <v>11</v>
      </c>
      <c r="L8" s="1294">
        <v>12</v>
      </c>
      <c r="M8" s="1294">
        <v>13</v>
      </c>
    </row>
    <row r="9" spans="1:15" s="1079" customFormat="1">
      <c r="A9" s="1081" t="s">
        <v>80</v>
      </c>
      <c r="B9" s="1076"/>
      <c r="C9" s="1077" t="s">
        <v>102</v>
      </c>
      <c r="D9" s="1076"/>
      <c r="E9" s="1078"/>
      <c r="F9" s="1078"/>
      <c r="G9" s="1295"/>
      <c r="H9" s="1295"/>
      <c r="I9" s="1295"/>
      <c r="J9" s="1295"/>
      <c r="K9" s="1295"/>
      <c r="L9" s="1295"/>
      <c r="M9" s="1295"/>
      <c r="O9" s="1080"/>
    </row>
    <row r="10" spans="1:15" ht="16.5">
      <c r="A10" s="923" t="s">
        <v>943</v>
      </c>
      <c r="B10" s="947"/>
      <c r="C10" s="923" t="s">
        <v>941</v>
      </c>
      <c r="D10" s="921"/>
      <c r="E10" s="922"/>
      <c r="F10" s="922"/>
      <c r="G10" s="1296"/>
      <c r="H10" s="1297"/>
      <c r="I10" s="1296"/>
      <c r="J10" s="1297"/>
      <c r="K10" s="1296"/>
      <c r="L10" s="1297"/>
      <c r="M10" s="1297"/>
    </row>
    <row r="11" spans="1:15" s="1082" customFormat="1">
      <c r="A11" s="855"/>
      <c r="B11" s="609"/>
      <c r="C11" s="610" t="s">
        <v>635</v>
      </c>
      <c r="D11" s="609"/>
      <c r="E11" s="611"/>
      <c r="F11" s="611"/>
      <c r="G11" s="1298"/>
      <c r="H11" s="1298"/>
      <c r="I11" s="1298"/>
      <c r="J11" s="1298"/>
      <c r="K11" s="1298"/>
      <c r="L11" s="1298"/>
      <c r="M11" s="1298"/>
      <c r="O11" s="1083"/>
    </row>
    <row r="12" spans="1:15" s="201" customFormat="1" ht="27">
      <c r="A12" s="1135" t="s">
        <v>334</v>
      </c>
      <c r="B12" s="86" t="s">
        <v>830</v>
      </c>
      <c r="C12" s="180" t="s">
        <v>831</v>
      </c>
      <c r="D12" s="856" t="s">
        <v>5</v>
      </c>
      <c r="E12" s="110"/>
      <c r="F12" s="146">
        <f>'77777'!AF113</f>
        <v>196</v>
      </c>
      <c r="G12" s="1299"/>
      <c r="H12" s="1299"/>
      <c r="I12" s="1299"/>
      <c r="J12" s="1299"/>
      <c r="K12" s="1299"/>
      <c r="L12" s="1284"/>
      <c r="M12" s="1284"/>
      <c r="O12" s="631"/>
    </row>
    <row r="13" spans="1:15" s="201" customFormat="1">
      <c r="A13" s="1136"/>
      <c r="B13" s="86"/>
      <c r="C13" s="221" t="s">
        <v>33</v>
      </c>
      <c r="D13" s="103" t="s">
        <v>29</v>
      </c>
      <c r="E13" s="110">
        <v>0.12</v>
      </c>
      <c r="F13" s="45">
        <f>F12*E13</f>
        <v>23.52</v>
      </c>
      <c r="G13" s="1299"/>
      <c r="H13" s="1299"/>
      <c r="I13" s="1300"/>
      <c r="J13" s="1299">
        <f>F13*I13</f>
        <v>0</v>
      </c>
      <c r="K13" s="1299"/>
      <c r="L13" s="1284"/>
      <c r="M13" s="1284">
        <f>H13+J13+L13</f>
        <v>0</v>
      </c>
      <c r="O13" s="631"/>
    </row>
    <row r="14" spans="1:15" s="201" customFormat="1" ht="31.5">
      <c r="A14" s="1135" t="s">
        <v>335</v>
      </c>
      <c r="B14" s="86" t="s">
        <v>832</v>
      </c>
      <c r="C14" s="180" t="s">
        <v>845</v>
      </c>
      <c r="D14" s="856" t="s">
        <v>5</v>
      </c>
      <c r="E14" s="110"/>
      <c r="F14" s="146">
        <f>'77777'!AB113+'77777'!AC113</f>
        <v>201</v>
      </c>
      <c r="G14" s="1299"/>
      <c r="H14" s="1299"/>
      <c r="I14" s="1299"/>
      <c r="J14" s="1299"/>
      <c r="K14" s="1299"/>
      <c r="L14" s="1284"/>
      <c r="M14" s="1284"/>
      <c r="O14" s="631"/>
    </row>
    <row r="15" spans="1:15" s="201" customFormat="1">
      <c r="A15" s="1136"/>
      <c r="B15" s="86"/>
      <c r="C15" s="221" t="s">
        <v>33</v>
      </c>
      <c r="D15" s="103" t="s">
        <v>29</v>
      </c>
      <c r="E15" s="110">
        <v>0.32300000000000001</v>
      </c>
      <c r="F15" s="45">
        <f>F14*E15</f>
        <v>64.923000000000002</v>
      </c>
      <c r="G15" s="1299"/>
      <c r="H15" s="1299"/>
      <c r="I15" s="1300"/>
      <c r="J15" s="1299">
        <f>F15*I15</f>
        <v>0</v>
      </c>
      <c r="K15" s="1299"/>
      <c r="L15" s="1284"/>
      <c r="M15" s="1284">
        <f>H15+J15+L15</f>
        <v>0</v>
      </c>
      <c r="O15" s="631"/>
    </row>
    <row r="16" spans="1:15" s="201" customFormat="1">
      <c r="A16" s="1137"/>
      <c r="B16" s="86"/>
      <c r="C16" s="173" t="s">
        <v>28</v>
      </c>
      <c r="D16" s="371" t="s">
        <v>24</v>
      </c>
      <c r="E16" s="110">
        <v>2.1499999999999998E-2</v>
      </c>
      <c r="F16" s="45">
        <f>F14*E16</f>
        <v>4.3214999999999995</v>
      </c>
      <c r="G16" s="1299"/>
      <c r="H16" s="1299"/>
      <c r="I16" s="1299"/>
      <c r="J16" s="1299"/>
      <c r="K16" s="1300"/>
      <c r="L16" s="1284">
        <f>F16*K16</f>
        <v>0</v>
      </c>
      <c r="M16" s="1284">
        <f>H16+J16+L16</f>
        <v>0</v>
      </c>
      <c r="O16" s="631"/>
    </row>
    <row r="17" spans="1:15" s="201" customFormat="1">
      <c r="A17" s="1135" t="s">
        <v>103</v>
      </c>
      <c r="B17" s="86" t="s">
        <v>833</v>
      </c>
      <c r="C17" s="180" t="s">
        <v>834</v>
      </c>
      <c r="D17" s="856" t="s">
        <v>5</v>
      </c>
      <c r="E17" s="110"/>
      <c r="F17" s="146">
        <f>'77777'!AA111</f>
        <v>444.57</v>
      </c>
      <c r="G17" s="1299"/>
      <c r="H17" s="1299"/>
      <c r="I17" s="1299"/>
      <c r="J17" s="1299"/>
      <c r="K17" s="1299"/>
      <c r="L17" s="1284"/>
      <c r="M17" s="1284"/>
      <c r="O17" s="631"/>
    </row>
    <row r="18" spans="1:15" s="201" customFormat="1">
      <c r="A18" s="1136"/>
      <c r="B18" s="86"/>
      <c r="C18" s="221" t="s">
        <v>33</v>
      </c>
      <c r="D18" s="103" t="s">
        <v>29</v>
      </c>
      <c r="E18" s="110">
        <f>0.238+0.0284</f>
        <v>0.26639999999999997</v>
      </c>
      <c r="F18" s="45">
        <f>F17*E18</f>
        <v>118.43344799999998</v>
      </c>
      <c r="G18" s="1299"/>
      <c r="H18" s="1299"/>
      <c r="I18" s="1300"/>
      <c r="J18" s="1299">
        <f>F18*I18</f>
        <v>0</v>
      </c>
      <c r="K18" s="1299"/>
      <c r="L18" s="1284"/>
      <c r="M18" s="1284">
        <f>H18+J18+L18</f>
        <v>0</v>
      </c>
      <c r="O18" s="631"/>
    </row>
    <row r="19" spans="1:15" s="201" customFormat="1">
      <c r="A19" s="1137"/>
      <c r="B19" s="86"/>
      <c r="C19" s="173" t="s">
        <v>28</v>
      </c>
      <c r="D19" s="371" t="s">
        <v>24</v>
      </c>
      <c r="E19" s="110">
        <f>0.0392+0.0078</f>
        <v>4.7E-2</v>
      </c>
      <c r="F19" s="45">
        <f>F17*E19</f>
        <v>20.89479</v>
      </c>
      <c r="G19" s="1299"/>
      <c r="H19" s="1299"/>
      <c r="I19" s="1299"/>
      <c r="J19" s="1299"/>
      <c r="K19" s="1300"/>
      <c r="L19" s="1284">
        <f>F19*K19</f>
        <v>0</v>
      </c>
      <c r="M19" s="1284">
        <f>H19+J19+L19</f>
        <v>0</v>
      </c>
      <c r="O19" s="631"/>
    </row>
    <row r="20" spans="1:15" s="201" customFormat="1" ht="27">
      <c r="A20" s="1135" t="s">
        <v>336</v>
      </c>
      <c r="B20" s="87" t="s">
        <v>835</v>
      </c>
      <c r="C20" s="312" t="s">
        <v>844</v>
      </c>
      <c r="D20" s="87" t="s">
        <v>5</v>
      </c>
      <c r="E20" s="146"/>
      <c r="F20" s="146">
        <f>'77777'!K113</f>
        <v>188</v>
      </c>
      <c r="G20" s="1299"/>
      <c r="H20" s="1299"/>
      <c r="I20" s="1299"/>
      <c r="J20" s="1299"/>
      <c r="K20" s="1299"/>
      <c r="L20" s="1299"/>
      <c r="M20" s="1299"/>
      <c r="O20" s="631"/>
    </row>
    <row r="21" spans="1:15" s="201" customFormat="1">
      <c r="A21" s="1136"/>
      <c r="B21" s="87"/>
      <c r="C21" s="221" t="s">
        <v>33</v>
      </c>
      <c r="D21" s="103" t="s">
        <v>29</v>
      </c>
      <c r="E21" s="110">
        <v>0.77</v>
      </c>
      <c r="F21" s="45">
        <f>F20*E21</f>
        <v>144.76</v>
      </c>
      <c r="G21" s="1299"/>
      <c r="H21" s="1299"/>
      <c r="I21" s="1300"/>
      <c r="J21" s="1299">
        <f>F21*I21</f>
        <v>0</v>
      </c>
      <c r="K21" s="1299"/>
      <c r="L21" s="1284"/>
      <c r="M21" s="1284">
        <f>H21+J21+L21</f>
        <v>0</v>
      </c>
      <c r="O21" s="631"/>
    </row>
    <row r="22" spans="1:15" s="201" customFormat="1">
      <c r="A22" s="1136"/>
      <c r="B22" s="87"/>
      <c r="C22" s="173" t="s">
        <v>28</v>
      </c>
      <c r="D22" s="371" t="s">
        <v>24</v>
      </c>
      <c r="E22" s="110">
        <v>4.2099999999999999E-2</v>
      </c>
      <c r="F22" s="45">
        <f>F20*E22</f>
        <v>7.9147999999999996</v>
      </c>
      <c r="G22" s="1299"/>
      <c r="H22" s="1299"/>
      <c r="I22" s="1299"/>
      <c r="J22" s="1299"/>
      <c r="K22" s="1300"/>
      <c r="L22" s="1284">
        <f>F22*K22</f>
        <v>0</v>
      </c>
      <c r="M22" s="1284">
        <f>H22+J22+L22</f>
        <v>0</v>
      </c>
      <c r="O22" s="631"/>
    </row>
    <row r="23" spans="1:15" s="201" customFormat="1">
      <c r="A23" s="1137"/>
      <c r="B23" s="87"/>
      <c r="C23" s="173" t="s">
        <v>32</v>
      </c>
      <c r="D23" s="371" t="s">
        <v>24</v>
      </c>
      <c r="E23" s="110">
        <v>7.4300000000000005E-2</v>
      </c>
      <c r="F23" s="45">
        <f>F20*E23</f>
        <v>13.968400000000001</v>
      </c>
      <c r="G23" s="1300"/>
      <c r="H23" s="1299">
        <f>F23*G23</f>
        <v>0</v>
      </c>
      <c r="I23" s="1299"/>
      <c r="J23" s="1299"/>
      <c r="K23" s="1299"/>
      <c r="L23" s="1284"/>
      <c r="M23" s="1284">
        <f>H23+J23+L23</f>
        <v>0</v>
      </c>
      <c r="O23" s="631"/>
    </row>
    <row r="24" spans="1:15" s="201" customFormat="1">
      <c r="A24" s="1135" t="s">
        <v>59</v>
      </c>
      <c r="B24" s="86" t="s">
        <v>836</v>
      </c>
      <c r="C24" s="180" t="s">
        <v>837</v>
      </c>
      <c r="D24" s="856" t="s">
        <v>5</v>
      </c>
      <c r="E24" s="110"/>
      <c r="F24" s="146">
        <f>'77777'!CR113</f>
        <v>24.3675</v>
      </c>
      <c r="G24" s="1299"/>
      <c r="H24" s="1299"/>
      <c r="I24" s="1299"/>
      <c r="J24" s="1299"/>
      <c r="K24" s="1299"/>
      <c r="L24" s="1284"/>
      <c r="M24" s="1284"/>
      <c r="O24" s="631"/>
    </row>
    <row r="25" spans="1:15" s="201" customFormat="1">
      <c r="A25" s="1136"/>
      <c r="B25" s="86"/>
      <c r="C25" s="221" t="s">
        <v>33</v>
      </c>
      <c r="D25" s="103" t="s">
        <v>29</v>
      </c>
      <c r="E25" s="110">
        <v>1.7</v>
      </c>
      <c r="F25" s="45">
        <f>F24*E25</f>
        <v>41.424749999999996</v>
      </c>
      <c r="G25" s="1299"/>
      <c r="H25" s="1299"/>
      <c r="I25" s="1300"/>
      <c r="J25" s="1299">
        <f>F25*I25</f>
        <v>0</v>
      </c>
      <c r="K25" s="1299"/>
      <c r="L25" s="1284"/>
      <c r="M25" s="1284">
        <f>H25+J25+L25</f>
        <v>0</v>
      </c>
      <c r="O25" s="631"/>
    </row>
    <row r="26" spans="1:15" s="201" customFormat="1">
      <c r="A26" s="1137"/>
      <c r="B26" s="86"/>
      <c r="C26" s="173" t="s">
        <v>28</v>
      </c>
      <c r="D26" s="371" t="s">
        <v>24</v>
      </c>
      <c r="E26" s="110">
        <f>0.0984</f>
        <v>9.8400000000000001E-2</v>
      </c>
      <c r="F26" s="45">
        <f>F24*E26</f>
        <v>2.3977620000000002</v>
      </c>
      <c r="G26" s="1299"/>
      <c r="H26" s="1299"/>
      <c r="I26" s="1299"/>
      <c r="J26" s="1299"/>
      <c r="K26" s="1300"/>
      <c r="L26" s="1284">
        <f>F26*K26</f>
        <v>0</v>
      </c>
      <c r="M26" s="1284">
        <f>H26+J26+L26</f>
        <v>0</v>
      </c>
      <c r="O26" s="631"/>
    </row>
    <row r="27" spans="1:15" s="201" customFormat="1">
      <c r="A27" s="1135" t="s">
        <v>324</v>
      </c>
      <c r="B27" s="86" t="s">
        <v>838</v>
      </c>
      <c r="C27" s="180" t="s">
        <v>839</v>
      </c>
      <c r="D27" s="856" t="s">
        <v>5</v>
      </c>
      <c r="E27" s="110"/>
      <c r="F27" s="146">
        <f>'77777'!CI113</f>
        <v>21.78</v>
      </c>
      <c r="G27" s="1299"/>
      <c r="H27" s="1299"/>
      <c r="I27" s="1299"/>
      <c r="J27" s="1299"/>
      <c r="K27" s="1299"/>
      <c r="L27" s="1284"/>
      <c r="M27" s="1284"/>
      <c r="O27" s="631"/>
    </row>
    <row r="28" spans="1:15" s="201" customFormat="1">
      <c r="A28" s="1136"/>
      <c r="B28" s="86"/>
      <c r="C28" s="221" t="s">
        <v>33</v>
      </c>
      <c r="D28" s="103" t="s">
        <v>29</v>
      </c>
      <c r="E28" s="110">
        <f>0.887</f>
        <v>0.88700000000000001</v>
      </c>
      <c r="F28" s="45">
        <f>F27*E28</f>
        <v>19.318860000000001</v>
      </c>
      <c r="G28" s="1299"/>
      <c r="H28" s="1299"/>
      <c r="I28" s="1300"/>
      <c r="J28" s="1299">
        <f>F28*I28</f>
        <v>0</v>
      </c>
      <c r="K28" s="1299"/>
      <c r="L28" s="1284"/>
      <c r="M28" s="1284">
        <f>H28+J28+L28</f>
        <v>0</v>
      </c>
      <c r="O28" s="631"/>
    </row>
    <row r="29" spans="1:15" s="201" customFormat="1">
      <c r="A29" s="1137"/>
      <c r="B29" s="86"/>
      <c r="C29" s="173" t="s">
        <v>28</v>
      </c>
      <c r="D29" s="371" t="s">
        <v>24</v>
      </c>
      <c r="E29" s="110">
        <f>0.0984</f>
        <v>9.8400000000000001E-2</v>
      </c>
      <c r="F29" s="45">
        <f>F27*E29</f>
        <v>2.1431520000000002</v>
      </c>
      <c r="G29" s="1299"/>
      <c r="H29" s="1299"/>
      <c r="I29" s="1299"/>
      <c r="J29" s="1299"/>
      <c r="K29" s="1300"/>
      <c r="L29" s="1284">
        <f>F29*K29</f>
        <v>0</v>
      </c>
      <c r="M29" s="1284">
        <f>H29+J29+L29</f>
        <v>0</v>
      </c>
      <c r="O29" s="631"/>
    </row>
    <row r="30" spans="1:15" s="201" customFormat="1">
      <c r="A30" s="1135" t="s">
        <v>337</v>
      </c>
      <c r="B30" s="86" t="s">
        <v>847</v>
      </c>
      <c r="C30" s="180" t="s">
        <v>846</v>
      </c>
      <c r="D30" s="856" t="s">
        <v>5</v>
      </c>
      <c r="E30" s="857"/>
      <c r="F30" s="146">
        <f>'77777'!BQ113</f>
        <v>2.4</v>
      </c>
      <c r="G30" s="1299"/>
      <c r="H30" s="1299"/>
      <c r="I30" s="1299"/>
      <c r="J30" s="1299"/>
      <c r="K30" s="1299"/>
      <c r="L30" s="1284"/>
      <c r="M30" s="1284"/>
      <c r="O30" s="631"/>
    </row>
    <row r="31" spans="1:15" s="201" customFormat="1">
      <c r="A31" s="1136"/>
      <c r="B31" s="86"/>
      <c r="C31" s="221" t="s">
        <v>33</v>
      </c>
      <c r="D31" s="103" t="s">
        <v>29</v>
      </c>
      <c r="E31" s="110">
        <v>0.56000000000000005</v>
      </c>
      <c r="F31" s="45">
        <f>F30*E31</f>
        <v>1.3440000000000001</v>
      </c>
      <c r="G31" s="1299"/>
      <c r="H31" s="1299"/>
      <c r="I31" s="1300"/>
      <c r="J31" s="1299">
        <f>F31*I31</f>
        <v>0</v>
      </c>
      <c r="K31" s="1299"/>
      <c r="L31" s="1284"/>
      <c r="M31" s="1284">
        <f>H31+J31+L31</f>
        <v>0</v>
      </c>
      <c r="O31" s="631"/>
    </row>
    <row r="32" spans="1:15" s="201" customFormat="1" ht="31.5">
      <c r="A32" s="1135" t="s">
        <v>60</v>
      </c>
      <c r="B32" s="86" t="s">
        <v>840</v>
      </c>
      <c r="C32" s="180" t="s">
        <v>841</v>
      </c>
      <c r="D32" s="856" t="s">
        <v>5</v>
      </c>
      <c r="E32" s="110"/>
      <c r="F32" s="146">
        <f>'77777'!BG111*50%</f>
        <v>588.10374999999999</v>
      </c>
      <c r="G32" s="1299"/>
      <c r="H32" s="1299"/>
      <c r="I32" s="1299"/>
      <c r="J32" s="1299"/>
      <c r="K32" s="1299"/>
      <c r="L32" s="1284"/>
      <c r="M32" s="1284"/>
      <c r="O32" s="631"/>
    </row>
    <row r="33" spans="1:15" s="201" customFormat="1">
      <c r="A33" s="1136"/>
      <c r="B33" s="86"/>
      <c r="C33" s="221" t="s">
        <v>33</v>
      </c>
      <c r="D33" s="103" t="s">
        <v>29</v>
      </c>
      <c r="E33" s="110">
        <v>0.186</v>
      </c>
      <c r="F33" s="45">
        <f>F32*E33</f>
        <v>109.3872975</v>
      </c>
      <c r="G33" s="1299"/>
      <c r="H33" s="1299"/>
      <c r="I33" s="1300"/>
      <c r="J33" s="1299">
        <f>F33*I33</f>
        <v>0</v>
      </c>
      <c r="K33" s="1299"/>
      <c r="L33" s="1284"/>
      <c r="M33" s="1284">
        <f>H33+J33+L33</f>
        <v>0</v>
      </c>
      <c r="O33" s="631"/>
    </row>
    <row r="34" spans="1:15" s="201" customFormat="1">
      <c r="A34" s="1137"/>
      <c r="B34" s="86"/>
      <c r="C34" s="173" t="s">
        <v>28</v>
      </c>
      <c r="D34" s="371" t="s">
        <v>24</v>
      </c>
      <c r="E34" s="110">
        <v>1.6000000000000001E-3</v>
      </c>
      <c r="F34" s="45">
        <f>F32*E34</f>
        <v>0.94096600000000008</v>
      </c>
      <c r="G34" s="1299"/>
      <c r="H34" s="1299"/>
      <c r="I34" s="1299"/>
      <c r="J34" s="1299"/>
      <c r="K34" s="1300"/>
      <c r="L34" s="1284">
        <f>F34*K34</f>
        <v>0</v>
      </c>
      <c r="M34" s="1284">
        <f>H34+J34+L34</f>
        <v>0</v>
      </c>
      <c r="O34" s="631"/>
    </row>
    <row r="35" spans="1:15" s="201" customFormat="1" ht="31.5">
      <c r="A35" s="1135" t="s">
        <v>74</v>
      </c>
      <c r="B35" s="87" t="s">
        <v>835</v>
      </c>
      <c r="C35" s="312" t="s">
        <v>848</v>
      </c>
      <c r="D35" s="87" t="s">
        <v>5</v>
      </c>
      <c r="E35" s="146"/>
      <c r="F35" s="146">
        <f>'77777'!BG111*50%</f>
        <v>588.10374999999999</v>
      </c>
      <c r="G35" s="1299"/>
      <c r="H35" s="1299"/>
      <c r="I35" s="1299"/>
      <c r="J35" s="1299"/>
      <c r="K35" s="1299"/>
      <c r="L35" s="1299"/>
      <c r="M35" s="1299"/>
      <c r="O35" s="631"/>
    </row>
    <row r="36" spans="1:15" s="201" customFormat="1">
      <c r="A36" s="1136"/>
      <c r="B36" s="87"/>
      <c r="C36" s="221" t="s">
        <v>33</v>
      </c>
      <c r="D36" s="103" t="s">
        <v>29</v>
      </c>
      <c r="E36" s="110">
        <v>0.77</v>
      </c>
      <c r="F36" s="45">
        <f>F35*E36</f>
        <v>452.83988750000003</v>
      </c>
      <c r="G36" s="1299"/>
      <c r="H36" s="1299"/>
      <c r="I36" s="1300"/>
      <c r="J36" s="1299">
        <f>F36*I36</f>
        <v>0</v>
      </c>
      <c r="K36" s="1299"/>
      <c r="L36" s="1284"/>
      <c r="M36" s="1284">
        <f>H36+J36+L36</f>
        <v>0</v>
      </c>
      <c r="O36" s="631"/>
    </row>
    <row r="37" spans="1:15" s="201" customFormat="1">
      <c r="A37" s="1136"/>
      <c r="B37" s="87"/>
      <c r="C37" s="173" t="s">
        <v>28</v>
      </c>
      <c r="D37" s="371" t="s">
        <v>24</v>
      </c>
      <c r="E37" s="110">
        <v>4.2099999999999999E-2</v>
      </c>
      <c r="F37" s="45">
        <f>F35*E37</f>
        <v>24.759167874999999</v>
      </c>
      <c r="G37" s="1299"/>
      <c r="H37" s="1299"/>
      <c r="I37" s="1299"/>
      <c r="J37" s="1299"/>
      <c r="K37" s="1300"/>
      <c r="L37" s="1284">
        <f>F37*K37</f>
        <v>0</v>
      </c>
      <c r="M37" s="1284">
        <f>H37+J37+L37</f>
        <v>0</v>
      </c>
      <c r="O37" s="631"/>
    </row>
    <row r="38" spans="1:15" s="201" customFormat="1">
      <c r="A38" s="1137"/>
      <c r="B38" s="87"/>
      <c r="C38" s="173" t="s">
        <v>32</v>
      </c>
      <c r="D38" s="371" t="s">
        <v>24</v>
      </c>
      <c r="E38" s="110">
        <v>7.4300000000000005E-2</v>
      </c>
      <c r="F38" s="45">
        <f>F35*E38</f>
        <v>43.696108625000001</v>
      </c>
      <c r="G38" s="1300"/>
      <c r="H38" s="1299">
        <f>F38*G38</f>
        <v>0</v>
      </c>
      <c r="I38" s="1299"/>
      <c r="J38" s="1299"/>
      <c r="K38" s="1299"/>
      <c r="L38" s="1284"/>
      <c r="M38" s="1284">
        <f>H38+J38+L38</f>
        <v>0</v>
      </c>
      <c r="O38" s="631"/>
    </row>
    <row r="39" spans="1:15" s="201" customFormat="1" ht="63">
      <c r="A39" s="1135" t="s">
        <v>338</v>
      </c>
      <c r="B39" s="86" t="s">
        <v>850</v>
      </c>
      <c r="C39" s="173" t="s">
        <v>851</v>
      </c>
      <c r="D39" s="856" t="s">
        <v>4</v>
      </c>
      <c r="E39" s="857"/>
      <c r="F39" s="146">
        <f>'77777'!E115+'77777'!E116</f>
        <v>30.214999999999996</v>
      </c>
      <c r="G39" s="1299"/>
      <c r="H39" s="1299"/>
      <c r="I39" s="1299"/>
      <c r="J39" s="1299"/>
      <c r="K39" s="1299"/>
      <c r="L39" s="1284"/>
      <c r="M39" s="1284"/>
      <c r="O39" s="631"/>
    </row>
    <row r="40" spans="1:15" s="201" customFormat="1">
      <c r="A40" s="1136"/>
      <c r="B40" s="86"/>
      <c r="C40" s="221" t="s">
        <v>33</v>
      </c>
      <c r="D40" s="103" t="s">
        <v>29</v>
      </c>
      <c r="E40" s="110">
        <v>6.5</v>
      </c>
      <c r="F40" s="45">
        <f>F39*E40</f>
        <v>196.39749999999998</v>
      </c>
      <c r="G40" s="1299"/>
      <c r="H40" s="1299"/>
      <c r="I40" s="1300"/>
      <c r="J40" s="1299">
        <f>F40*I40</f>
        <v>0</v>
      </c>
      <c r="K40" s="1299"/>
      <c r="L40" s="1284"/>
      <c r="M40" s="1284">
        <f>H40+J40+L40</f>
        <v>0</v>
      </c>
      <c r="O40" s="631"/>
    </row>
    <row r="41" spans="1:15" s="201" customFormat="1">
      <c r="A41" s="1136"/>
      <c r="B41" s="86"/>
      <c r="C41" s="173" t="s">
        <v>28</v>
      </c>
      <c r="D41" s="371" t="s">
        <v>24</v>
      </c>
      <c r="E41" s="110">
        <v>1.8</v>
      </c>
      <c r="F41" s="45">
        <f>F39*E41</f>
        <v>54.386999999999993</v>
      </c>
      <c r="G41" s="1299"/>
      <c r="H41" s="1299"/>
      <c r="I41" s="1299"/>
      <c r="J41" s="1299"/>
      <c r="K41" s="1300"/>
      <c r="L41" s="1284">
        <f>F41*K41</f>
        <v>0</v>
      </c>
      <c r="M41" s="1284">
        <f>H41+J41+L41</f>
        <v>0</v>
      </c>
      <c r="O41" s="631"/>
    </row>
    <row r="42" spans="1:15" s="201" customFormat="1" ht="31.5">
      <c r="A42" s="1135" t="s">
        <v>146</v>
      </c>
      <c r="B42" s="86" t="s">
        <v>45</v>
      </c>
      <c r="C42" s="180" t="s">
        <v>842</v>
      </c>
      <c r="D42" s="856" t="s">
        <v>5</v>
      </c>
      <c r="E42" s="858"/>
      <c r="F42" s="146">
        <v>400</v>
      </c>
      <c r="G42" s="1299"/>
      <c r="H42" s="1299"/>
      <c r="I42" s="1299"/>
      <c r="J42" s="1299"/>
      <c r="K42" s="1299"/>
      <c r="L42" s="1284"/>
      <c r="M42" s="1284"/>
      <c r="O42" s="631"/>
    </row>
    <row r="43" spans="1:15" s="201" customFormat="1">
      <c r="A43" s="1137"/>
      <c r="B43" s="86"/>
      <c r="C43" s="173" t="s">
        <v>39</v>
      </c>
      <c r="D43" s="371" t="s">
        <v>5</v>
      </c>
      <c r="E43" s="110">
        <v>0.5</v>
      </c>
      <c r="F43" s="45">
        <f>F42*E43</f>
        <v>200</v>
      </c>
      <c r="G43" s="1299"/>
      <c r="H43" s="1299"/>
      <c r="I43" s="1300"/>
      <c r="J43" s="1299">
        <f>F43*I43</f>
        <v>0</v>
      </c>
      <c r="K43" s="1299"/>
      <c r="L43" s="1284"/>
      <c r="M43" s="1284">
        <f>H43+J43+L43</f>
        <v>0</v>
      </c>
      <c r="O43" s="631"/>
    </row>
    <row r="44" spans="1:15" s="201" customFormat="1" ht="31.5">
      <c r="A44" s="1135" t="s">
        <v>264</v>
      </c>
      <c r="B44" s="86" t="s">
        <v>45</v>
      </c>
      <c r="C44" s="180" t="s">
        <v>855</v>
      </c>
      <c r="D44" s="856" t="s">
        <v>1</v>
      </c>
      <c r="E44" s="857"/>
      <c r="F44" s="146">
        <f>'77777'!E118</f>
        <v>10</v>
      </c>
      <c r="G44" s="1299"/>
      <c r="H44" s="1299"/>
      <c r="I44" s="1299"/>
      <c r="J44" s="1299"/>
      <c r="K44" s="1299"/>
      <c r="L44" s="1284"/>
      <c r="M44" s="1284"/>
      <c r="O44" s="631"/>
    </row>
    <row r="45" spans="1:15" s="201" customFormat="1">
      <c r="A45" s="1137"/>
      <c r="B45" s="86"/>
      <c r="C45" s="173" t="s">
        <v>39</v>
      </c>
      <c r="D45" s="371" t="s">
        <v>29</v>
      </c>
      <c r="E45" s="110">
        <v>1</v>
      </c>
      <c r="F45" s="45">
        <f>F44*E45</f>
        <v>10</v>
      </c>
      <c r="G45" s="1299"/>
      <c r="H45" s="1299"/>
      <c r="I45" s="1300"/>
      <c r="J45" s="1299">
        <f>F45*I45</f>
        <v>0</v>
      </c>
      <c r="K45" s="1299"/>
      <c r="L45" s="1284"/>
      <c r="M45" s="1284">
        <f>H45+J45+L45</f>
        <v>0</v>
      </c>
      <c r="O45" s="631"/>
    </row>
    <row r="46" spans="1:15" s="201" customFormat="1">
      <c r="A46" s="1135" t="s">
        <v>340</v>
      </c>
      <c r="B46" s="86" t="s">
        <v>45</v>
      </c>
      <c r="C46" s="180" t="s">
        <v>843</v>
      </c>
      <c r="D46" s="856" t="s">
        <v>5</v>
      </c>
      <c r="E46" s="858"/>
      <c r="F46" s="146">
        <v>400</v>
      </c>
      <c r="G46" s="1299"/>
      <c r="H46" s="1299"/>
      <c r="I46" s="1299"/>
      <c r="J46" s="1299"/>
      <c r="K46" s="1299"/>
      <c r="L46" s="1284"/>
      <c r="M46" s="1284"/>
      <c r="O46" s="631"/>
    </row>
    <row r="47" spans="1:15" s="201" customFormat="1">
      <c r="A47" s="1137"/>
      <c r="B47" s="86"/>
      <c r="C47" s="173" t="s">
        <v>39</v>
      </c>
      <c r="D47" s="371" t="s">
        <v>5</v>
      </c>
      <c r="E47" s="110">
        <v>0.5</v>
      </c>
      <c r="F47" s="45">
        <f>F46*E47</f>
        <v>200</v>
      </c>
      <c r="G47" s="1299"/>
      <c r="H47" s="1299"/>
      <c r="I47" s="1300"/>
      <c r="J47" s="1299">
        <f>F47*I47</f>
        <v>0</v>
      </c>
      <c r="K47" s="1299"/>
      <c r="L47" s="1284"/>
      <c r="M47" s="1284">
        <f>H47+J47+L47</f>
        <v>0</v>
      </c>
      <c r="O47" s="631"/>
    </row>
    <row r="48" spans="1:15" s="201" customFormat="1" ht="31.5">
      <c r="A48" s="1135" t="s">
        <v>330</v>
      </c>
      <c r="B48" s="86" t="s">
        <v>45</v>
      </c>
      <c r="C48" s="180" t="s">
        <v>856</v>
      </c>
      <c r="D48" s="856" t="s">
        <v>1</v>
      </c>
      <c r="E48" s="857"/>
      <c r="F48" s="146">
        <f>'77777'!E117</f>
        <v>4</v>
      </c>
      <c r="G48" s="1299"/>
      <c r="H48" s="1299"/>
      <c r="I48" s="1299"/>
      <c r="J48" s="1299"/>
      <c r="K48" s="1299"/>
      <c r="L48" s="1284"/>
      <c r="M48" s="1284"/>
      <c r="O48" s="631"/>
    </row>
    <row r="49" spans="1:15" s="201" customFormat="1">
      <c r="A49" s="1137"/>
      <c r="B49" s="86"/>
      <c r="C49" s="173" t="s">
        <v>39</v>
      </c>
      <c r="D49" s="371" t="s">
        <v>29</v>
      </c>
      <c r="E49" s="110">
        <v>1</v>
      </c>
      <c r="F49" s="45">
        <f>F48*E49</f>
        <v>4</v>
      </c>
      <c r="G49" s="1299"/>
      <c r="H49" s="1299"/>
      <c r="I49" s="1300"/>
      <c r="J49" s="1299">
        <f>F49*I49</f>
        <v>0</v>
      </c>
      <c r="K49" s="1299"/>
      <c r="L49" s="1284"/>
      <c r="M49" s="1284">
        <f>H49+J49+L49</f>
        <v>0</v>
      </c>
      <c r="O49" s="631"/>
    </row>
    <row r="50" spans="1:15" s="201" customFormat="1" ht="47.25">
      <c r="A50" s="882" t="s">
        <v>341</v>
      </c>
      <c r="B50" s="86" t="s">
        <v>45</v>
      </c>
      <c r="C50" s="180" t="s">
        <v>849</v>
      </c>
      <c r="D50" s="856" t="s">
        <v>75</v>
      </c>
      <c r="E50" s="110"/>
      <c r="F50" s="146">
        <v>1</v>
      </c>
      <c r="G50" s="1300"/>
      <c r="H50" s="1299">
        <f>F50*G50</f>
        <v>0</v>
      </c>
      <c r="I50" s="1300"/>
      <c r="J50" s="1299">
        <f>F50*I50</f>
        <v>0</v>
      </c>
      <c r="K50" s="1299"/>
      <c r="L50" s="1284"/>
      <c r="M50" s="1284">
        <f>H50+J50+L50</f>
        <v>0</v>
      </c>
      <c r="O50" s="631"/>
    </row>
    <row r="51" spans="1:15" s="201" customFormat="1" ht="63">
      <c r="A51" s="1135" t="s">
        <v>342</v>
      </c>
      <c r="B51" s="613" t="s">
        <v>594</v>
      </c>
      <c r="C51" s="180" t="s">
        <v>916</v>
      </c>
      <c r="D51" s="86" t="s">
        <v>4</v>
      </c>
      <c r="E51" s="851"/>
      <c r="F51" s="146">
        <f>F12*0.1+F14*0.03+F17*0.03+F20*0.1+F24*0.1+F27*0.1+F30*0.03+F32*0.03+F35*0.1+F39+50</f>
        <v>219.12233750000001</v>
      </c>
      <c r="G51" s="1299"/>
      <c r="H51" s="1299"/>
      <c r="I51" s="1299"/>
      <c r="J51" s="1299"/>
      <c r="K51" s="1299"/>
      <c r="L51" s="1284"/>
      <c r="M51" s="1284"/>
      <c r="O51" s="631"/>
    </row>
    <row r="52" spans="1:15" s="201" customFormat="1">
      <c r="A52" s="1137"/>
      <c r="B52" s="86"/>
      <c r="C52" s="174" t="s">
        <v>33</v>
      </c>
      <c r="D52" s="104" t="s">
        <v>29</v>
      </c>
      <c r="E52" s="387">
        <v>0.6</v>
      </c>
      <c r="F52" s="45">
        <f>F51*E52</f>
        <v>131.47340249999999</v>
      </c>
      <c r="G52" s="1301"/>
      <c r="H52" s="1299"/>
      <c r="I52" s="1302"/>
      <c r="J52" s="1299">
        <f>F52*I52</f>
        <v>0</v>
      </c>
      <c r="K52" s="1299"/>
      <c r="L52" s="1284"/>
      <c r="M52" s="1284">
        <f>H52+J52+L52</f>
        <v>0</v>
      </c>
      <c r="O52" s="631"/>
    </row>
    <row r="53" spans="1:15" s="201" customFormat="1" ht="31.5">
      <c r="A53" s="1141" t="s">
        <v>428</v>
      </c>
      <c r="B53" s="356" t="s">
        <v>418</v>
      </c>
      <c r="C53" s="357" t="s">
        <v>133</v>
      </c>
      <c r="D53" s="849" t="s">
        <v>7</v>
      </c>
      <c r="E53" s="235"/>
      <c r="F53" s="147">
        <f>F12*0.1*0.65+F14*0.03*2.4+F17*0.03*2.4+F20*0.1*0.65+F24*0.1*0.65+F27*0.1*0.65+F30*0.03*2.4+F32*0.03*2.4+F35*0.1*0.65+F39*2.4+50*1.95</f>
        <v>325.19964125000001</v>
      </c>
      <c r="G53" s="1301"/>
      <c r="H53" s="1303"/>
      <c r="I53" s="1301"/>
      <c r="J53" s="1303"/>
      <c r="K53" s="1301"/>
      <c r="L53" s="1303"/>
      <c r="M53" s="1303"/>
      <c r="O53" s="631"/>
    </row>
    <row r="54" spans="1:15" s="201" customFormat="1">
      <c r="A54" s="1142"/>
      <c r="B54" s="84"/>
      <c r="C54" s="358" t="s">
        <v>39</v>
      </c>
      <c r="D54" s="104" t="s">
        <v>29</v>
      </c>
      <c r="E54" s="235">
        <v>0.53</v>
      </c>
      <c r="F54" s="116">
        <f>F53*E54</f>
        <v>172.35580986250002</v>
      </c>
      <c r="G54" s="1301"/>
      <c r="H54" s="1303"/>
      <c r="I54" s="1302"/>
      <c r="J54" s="1303">
        <f>F54*I54</f>
        <v>0</v>
      </c>
      <c r="K54" s="1301"/>
      <c r="L54" s="1303"/>
      <c r="M54" s="1303">
        <f>H54+J54+L54</f>
        <v>0</v>
      </c>
      <c r="O54" s="631"/>
    </row>
    <row r="55" spans="1:15" s="201" customFormat="1">
      <c r="A55" s="1052" t="s">
        <v>429</v>
      </c>
      <c r="B55" s="84"/>
      <c r="C55" s="850" t="s">
        <v>857</v>
      </c>
      <c r="D55" s="849" t="s">
        <v>238</v>
      </c>
      <c r="E55" s="49"/>
      <c r="F55" s="147">
        <f>F53</f>
        <v>325.19964125000001</v>
      </c>
      <c r="G55" s="1304"/>
      <c r="H55" s="1299"/>
      <c r="I55" s="1304"/>
      <c r="J55" s="1299"/>
      <c r="K55" s="1302"/>
      <c r="L55" s="1299">
        <f>F55*K55</f>
        <v>0</v>
      </c>
      <c r="M55" s="1299">
        <f>H55+J55+L55</f>
        <v>0</v>
      </c>
      <c r="O55" s="716"/>
    </row>
    <row r="56" spans="1:15">
      <c r="A56" s="1049"/>
      <c r="B56" s="195"/>
      <c r="C56" s="181"/>
      <c r="D56" s="195"/>
      <c r="E56" s="89"/>
      <c r="F56" s="117"/>
      <c r="G56" s="1305"/>
      <c r="H56" s="1299"/>
      <c r="I56" s="1305"/>
      <c r="J56" s="1299"/>
      <c r="K56" s="1305"/>
      <c r="L56" s="1299"/>
      <c r="M56" s="1299"/>
    </row>
    <row r="57" spans="1:15" s="1082" customFormat="1" ht="31.5">
      <c r="A57" s="608"/>
      <c r="B57" s="609"/>
      <c r="C57" s="610" t="s">
        <v>596</v>
      </c>
      <c r="D57" s="609"/>
      <c r="E57" s="611"/>
      <c r="F57" s="611"/>
      <c r="G57" s="1298"/>
      <c r="H57" s="1298"/>
      <c r="I57" s="1298"/>
      <c r="J57" s="1298"/>
      <c r="K57" s="1298"/>
      <c r="L57" s="1298"/>
      <c r="M57" s="1298"/>
      <c r="O57" s="1083"/>
    </row>
    <row r="58" spans="1:15" s="201" customFormat="1">
      <c r="A58" s="607"/>
      <c r="B58" s="87"/>
      <c r="C58" s="163"/>
      <c r="D58" s="87"/>
      <c r="E58" s="146"/>
      <c r="F58" s="146"/>
      <c r="G58" s="1299"/>
      <c r="H58" s="1299"/>
      <c r="I58" s="1299"/>
      <c r="J58" s="1299"/>
      <c r="K58" s="1299"/>
      <c r="L58" s="1299"/>
      <c r="M58" s="1299"/>
      <c r="O58" s="631"/>
    </row>
    <row r="59" spans="1:15" ht="31.5">
      <c r="A59" s="1140" t="s">
        <v>324</v>
      </c>
      <c r="B59" s="86" t="s">
        <v>38</v>
      </c>
      <c r="C59" s="246" t="s">
        <v>607</v>
      </c>
      <c r="D59" s="86" t="s">
        <v>4</v>
      </c>
      <c r="E59" s="715"/>
      <c r="F59" s="49">
        <f>'77777'!D222</f>
        <v>17.672000000000004</v>
      </c>
      <c r="G59" s="1299"/>
      <c r="H59" s="1299"/>
      <c r="I59" s="1299"/>
      <c r="J59" s="1299"/>
      <c r="K59" s="1299"/>
      <c r="L59" s="1299"/>
      <c r="M59" s="1299"/>
    </row>
    <row r="60" spans="1:15">
      <c r="A60" s="1140"/>
      <c r="B60" s="711"/>
      <c r="C60" s="172" t="s">
        <v>27</v>
      </c>
      <c r="D60" s="618" t="s">
        <v>29</v>
      </c>
      <c r="E60" s="239">
        <v>3.36</v>
      </c>
      <c r="F60" s="239">
        <f>F59*E60</f>
        <v>59.37792000000001</v>
      </c>
      <c r="G60" s="1299"/>
      <c r="H60" s="1299"/>
      <c r="I60" s="1300"/>
      <c r="J60" s="1299">
        <f>F60*I60</f>
        <v>0</v>
      </c>
      <c r="K60" s="1299"/>
      <c r="L60" s="1299"/>
      <c r="M60" s="1299">
        <f>H60+J60+L60</f>
        <v>0</v>
      </c>
    </row>
    <row r="61" spans="1:15">
      <c r="A61" s="1140"/>
      <c r="B61" s="711"/>
      <c r="C61" s="184" t="s">
        <v>36</v>
      </c>
      <c r="D61" s="711" t="s">
        <v>30</v>
      </c>
      <c r="E61" s="239">
        <v>0.92</v>
      </c>
      <c r="F61" s="239">
        <f>F59*E61</f>
        <v>16.258240000000004</v>
      </c>
      <c r="G61" s="1299"/>
      <c r="H61" s="1299"/>
      <c r="I61" s="1299"/>
      <c r="J61" s="1299"/>
      <c r="K61" s="1300"/>
      <c r="L61" s="1299">
        <f>F61*K61</f>
        <v>0</v>
      </c>
      <c r="M61" s="1299">
        <f>H61+J61+L61</f>
        <v>0</v>
      </c>
    </row>
    <row r="62" spans="1:15">
      <c r="A62" s="1140"/>
      <c r="B62" s="76"/>
      <c r="C62" s="186" t="s">
        <v>599</v>
      </c>
      <c r="D62" s="711" t="s">
        <v>4</v>
      </c>
      <c r="E62" s="239">
        <v>0.92</v>
      </c>
      <c r="F62" s="239">
        <f>F59*E62</f>
        <v>16.258240000000004</v>
      </c>
      <c r="G62" s="1299"/>
      <c r="H62" s="1299"/>
      <c r="I62" s="1299"/>
      <c r="J62" s="1299"/>
      <c r="K62" s="1299"/>
      <c r="L62" s="1299"/>
      <c r="M62" s="1299"/>
    </row>
    <row r="63" spans="1:15">
      <c r="A63" s="1140"/>
      <c r="B63" s="618"/>
      <c r="C63" s="187"/>
      <c r="D63" s="618" t="s">
        <v>2</v>
      </c>
      <c r="E63" s="239">
        <f>1/(0.4*0.2*0.2)</f>
        <v>62.499999999999986</v>
      </c>
      <c r="F63" s="239">
        <f>F62*E63</f>
        <v>1016.14</v>
      </c>
      <c r="G63" s="1300"/>
      <c r="H63" s="1299">
        <f>F63*G63</f>
        <v>0</v>
      </c>
      <c r="I63" s="1299"/>
      <c r="J63" s="1299"/>
      <c r="K63" s="1299"/>
      <c r="L63" s="1299"/>
      <c r="M63" s="1299">
        <f>H63+J63+L63</f>
        <v>0</v>
      </c>
    </row>
    <row r="64" spans="1:15">
      <c r="A64" s="1140"/>
      <c r="B64" s="618"/>
      <c r="C64" s="172" t="s">
        <v>130</v>
      </c>
      <c r="D64" s="618" t="s">
        <v>4</v>
      </c>
      <c r="E64" s="239">
        <v>0.11</v>
      </c>
      <c r="F64" s="239">
        <f>F59*E64</f>
        <v>1.9439200000000005</v>
      </c>
      <c r="G64" s="1300"/>
      <c r="H64" s="1299">
        <f>F64*G64</f>
        <v>0</v>
      </c>
      <c r="I64" s="1299"/>
      <c r="J64" s="1299"/>
      <c r="K64" s="1299"/>
      <c r="L64" s="1299"/>
      <c r="M64" s="1299">
        <f>H64+J64+L64</f>
        <v>0</v>
      </c>
    </row>
    <row r="65" spans="1:13">
      <c r="A65" s="1140"/>
      <c r="B65" s="711"/>
      <c r="C65" s="172" t="s">
        <v>37</v>
      </c>
      <c r="D65" s="618" t="s">
        <v>24</v>
      </c>
      <c r="E65" s="239">
        <v>0.16</v>
      </c>
      <c r="F65" s="239">
        <f>F59*E65</f>
        <v>2.8275200000000007</v>
      </c>
      <c r="G65" s="1300"/>
      <c r="H65" s="1299">
        <f>F65*G65</f>
        <v>0</v>
      </c>
      <c r="I65" s="1299"/>
      <c r="J65" s="1299"/>
      <c r="K65" s="1299"/>
      <c r="L65" s="1299"/>
      <c r="M65" s="1299">
        <f>H65+J65+L65</f>
        <v>0</v>
      </c>
    </row>
    <row r="66" spans="1:13" ht="31.5">
      <c r="A66" s="1140" t="s">
        <v>337</v>
      </c>
      <c r="B66" s="86" t="s">
        <v>38</v>
      </c>
      <c r="C66" s="246" t="s">
        <v>598</v>
      </c>
      <c r="D66" s="86" t="s">
        <v>4</v>
      </c>
      <c r="E66" s="715"/>
      <c r="F66" s="49">
        <f>'77777'!D217+'77777'!D218</f>
        <v>30.827999999999996</v>
      </c>
      <c r="G66" s="1299"/>
      <c r="H66" s="1299"/>
      <c r="I66" s="1299"/>
      <c r="J66" s="1299"/>
      <c r="K66" s="1299"/>
      <c r="L66" s="1299"/>
      <c r="M66" s="1299"/>
    </row>
    <row r="67" spans="1:13">
      <c r="A67" s="1140"/>
      <c r="B67" s="711"/>
      <c r="C67" s="172" t="s">
        <v>27</v>
      </c>
      <c r="D67" s="618" t="s">
        <v>29</v>
      </c>
      <c r="E67" s="239">
        <v>3.36</v>
      </c>
      <c r="F67" s="239">
        <f>F66*E67</f>
        <v>103.58207999999998</v>
      </c>
      <c r="G67" s="1299"/>
      <c r="H67" s="1299"/>
      <c r="I67" s="1300"/>
      <c r="J67" s="1299">
        <f>F67*I67</f>
        <v>0</v>
      </c>
      <c r="K67" s="1299"/>
      <c r="L67" s="1299"/>
      <c r="M67" s="1299">
        <f>H67+J67+L67</f>
        <v>0</v>
      </c>
    </row>
    <row r="68" spans="1:13">
      <c r="A68" s="1140"/>
      <c r="B68" s="711"/>
      <c r="C68" s="184" t="s">
        <v>36</v>
      </c>
      <c r="D68" s="711" t="s">
        <v>30</v>
      </c>
      <c r="E68" s="239">
        <v>0.92</v>
      </c>
      <c r="F68" s="239">
        <f>F66*E68</f>
        <v>28.361759999999997</v>
      </c>
      <c r="G68" s="1299"/>
      <c r="H68" s="1299"/>
      <c r="I68" s="1299"/>
      <c r="J68" s="1299"/>
      <c r="K68" s="1300"/>
      <c r="L68" s="1299">
        <f>F68*K68</f>
        <v>0</v>
      </c>
      <c r="M68" s="1299">
        <f>H68+J68+L68</f>
        <v>0</v>
      </c>
    </row>
    <row r="69" spans="1:13">
      <c r="A69" s="1140"/>
      <c r="B69" s="76"/>
      <c r="C69" s="186" t="s">
        <v>600</v>
      </c>
      <c r="D69" s="711" t="s">
        <v>4</v>
      </c>
      <c r="E69" s="239">
        <v>0.92</v>
      </c>
      <c r="F69" s="239">
        <f>F66*E69</f>
        <v>28.361759999999997</v>
      </c>
      <c r="G69" s="1299"/>
      <c r="H69" s="1299"/>
      <c r="I69" s="1299"/>
      <c r="J69" s="1299"/>
      <c r="K69" s="1299"/>
      <c r="L69" s="1299"/>
      <c r="M69" s="1299"/>
    </row>
    <row r="70" spans="1:13">
      <c r="A70" s="1140"/>
      <c r="B70" s="618"/>
      <c r="C70" s="187"/>
      <c r="D70" s="618" t="s">
        <v>2</v>
      </c>
      <c r="E70" s="239">
        <f>1/(0.4*0.2*0.15)</f>
        <v>83.333333333333314</v>
      </c>
      <c r="F70" s="239">
        <f>F69*E70</f>
        <v>2363.4799999999991</v>
      </c>
      <c r="G70" s="1300"/>
      <c r="H70" s="1299">
        <f>F70*G70</f>
        <v>0</v>
      </c>
      <c r="I70" s="1299"/>
      <c r="J70" s="1299"/>
      <c r="K70" s="1299"/>
      <c r="L70" s="1299"/>
      <c r="M70" s="1299">
        <f>H70+J70+L70</f>
        <v>0</v>
      </c>
    </row>
    <row r="71" spans="1:13">
      <c r="A71" s="1140"/>
      <c r="B71" s="618"/>
      <c r="C71" s="172" t="s">
        <v>130</v>
      </c>
      <c r="D71" s="618" t="s">
        <v>4</v>
      </c>
      <c r="E71" s="239">
        <v>0.11</v>
      </c>
      <c r="F71" s="239">
        <f>F66*E71</f>
        <v>3.3910799999999997</v>
      </c>
      <c r="G71" s="1300"/>
      <c r="H71" s="1299">
        <f>F71*G71</f>
        <v>0</v>
      </c>
      <c r="I71" s="1299"/>
      <c r="J71" s="1299"/>
      <c r="K71" s="1299"/>
      <c r="L71" s="1299"/>
      <c r="M71" s="1299">
        <f>H71+J71+L71</f>
        <v>0</v>
      </c>
    </row>
    <row r="72" spans="1:13">
      <c r="A72" s="1140"/>
      <c r="B72" s="711"/>
      <c r="C72" s="172" t="s">
        <v>37</v>
      </c>
      <c r="D72" s="618" t="s">
        <v>24</v>
      </c>
      <c r="E72" s="239">
        <v>0.16</v>
      </c>
      <c r="F72" s="239">
        <f>F66*E72</f>
        <v>4.9324799999999991</v>
      </c>
      <c r="G72" s="1300"/>
      <c r="H72" s="1299">
        <f>F72*G72</f>
        <v>0</v>
      </c>
      <c r="I72" s="1299"/>
      <c r="J72" s="1299"/>
      <c r="K72" s="1299"/>
      <c r="L72" s="1299"/>
      <c r="M72" s="1299">
        <f>H72+J72+L72</f>
        <v>0</v>
      </c>
    </row>
    <row r="73" spans="1:13" ht="47.25">
      <c r="A73" s="1130" t="s">
        <v>74</v>
      </c>
      <c r="B73" s="87" t="s">
        <v>435</v>
      </c>
      <c r="C73" s="312" t="s">
        <v>437</v>
      </c>
      <c r="D73" s="385" t="s">
        <v>5</v>
      </c>
      <c r="E73" s="365"/>
      <c r="F73" s="911">
        <f>F78</f>
        <v>14.559999999999999</v>
      </c>
      <c r="G73" s="1306"/>
      <c r="H73" s="1299"/>
      <c r="I73" s="1299"/>
      <c r="J73" s="1299"/>
      <c r="K73" s="1299"/>
      <c r="L73" s="1299"/>
      <c r="M73" s="1299"/>
    </row>
    <row r="74" spans="1:13">
      <c r="A74" s="1131"/>
      <c r="B74" s="87"/>
      <c r="C74" s="184" t="s">
        <v>27</v>
      </c>
      <c r="D74" s="107" t="s">
        <v>29</v>
      </c>
      <c r="E74" s="365">
        <v>7.65</v>
      </c>
      <c r="F74" s="45">
        <f>F73*E74</f>
        <v>111.384</v>
      </c>
      <c r="G74" s="1299"/>
      <c r="H74" s="1299"/>
      <c r="I74" s="1300"/>
      <c r="J74" s="1299">
        <f>F74*I74</f>
        <v>0</v>
      </c>
      <c r="K74" s="1299"/>
      <c r="L74" s="1299"/>
      <c r="M74" s="1299">
        <f t="shared" ref="M74:M80" si="0">H74+J74+L74</f>
        <v>0</v>
      </c>
    </row>
    <row r="75" spans="1:13">
      <c r="A75" s="1131"/>
      <c r="B75" s="87" t="s">
        <v>326</v>
      </c>
      <c r="C75" s="184" t="s">
        <v>436</v>
      </c>
      <c r="D75" s="107" t="s">
        <v>30</v>
      </c>
      <c r="E75" s="365">
        <v>3.6400000000000002E-2</v>
      </c>
      <c r="F75" s="45">
        <f>F73*E75</f>
        <v>0.52998400000000001</v>
      </c>
      <c r="G75" s="1299"/>
      <c r="H75" s="1299"/>
      <c r="I75" s="1299"/>
      <c r="J75" s="1299"/>
      <c r="K75" s="1300"/>
      <c r="L75" s="1299">
        <f>F75*K75</f>
        <v>0</v>
      </c>
      <c r="M75" s="1299">
        <f t="shared" si="0"/>
        <v>0</v>
      </c>
    </row>
    <row r="76" spans="1:13">
      <c r="A76" s="1131"/>
      <c r="B76" s="87" t="s">
        <v>597</v>
      </c>
      <c r="C76" s="184" t="s">
        <v>121</v>
      </c>
      <c r="D76" s="107" t="s">
        <v>30</v>
      </c>
      <c r="E76" s="365">
        <v>0.156</v>
      </c>
      <c r="F76" s="45">
        <f>F73*E76</f>
        <v>2.2713599999999996</v>
      </c>
      <c r="G76" s="1299"/>
      <c r="H76" s="1299"/>
      <c r="I76" s="1299"/>
      <c r="J76" s="1299"/>
      <c r="K76" s="1300"/>
      <c r="L76" s="1299">
        <f>F76*K76</f>
        <v>0</v>
      </c>
      <c r="M76" s="1299">
        <f t="shared" si="0"/>
        <v>0</v>
      </c>
    </row>
    <row r="77" spans="1:13">
      <c r="A77" s="1131"/>
      <c r="B77" s="87"/>
      <c r="C77" s="184" t="s">
        <v>28</v>
      </c>
      <c r="D77" s="107" t="s">
        <v>24</v>
      </c>
      <c r="E77" s="365">
        <v>0.34799999999999998</v>
      </c>
      <c r="F77" s="45">
        <f>F73*E77</f>
        <v>5.0668799999999994</v>
      </c>
      <c r="G77" s="1299"/>
      <c r="H77" s="1299"/>
      <c r="I77" s="1299"/>
      <c r="J77" s="1299"/>
      <c r="K77" s="1300"/>
      <c r="L77" s="1299">
        <f>F77*K77</f>
        <v>0</v>
      </c>
      <c r="M77" s="1299">
        <f t="shared" si="0"/>
        <v>0</v>
      </c>
    </row>
    <row r="78" spans="1:13" ht="31.5">
      <c r="A78" s="1131"/>
      <c r="B78" s="87"/>
      <c r="C78" s="184" t="s">
        <v>438</v>
      </c>
      <c r="D78" s="711" t="s">
        <v>5</v>
      </c>
      <c r="E78" s="54"/>
      <c r="F78" s="146">
        <f>'77777'!F276</f>
        <v>14.559999999999999</v>
      </c>
      <c r="G78" s="1300"/>
      <c r="H78" s="1299">
        <f>F78*G78</f>
        <v>0</v>
      </c>
      <c r="I78" s="1299"/>
      <c r="J78" s="1299"/>
      <c r="K78" s="1299"/>
      <c r="L78" s="1299"/>
      <c r="M78" s="1299">
        <f t="shared" si="0"/>
        <v>0</v>
      </c>
    </row>
    <row r="79" spans="1:13">
      <c r="A79" s="1131"/>
      <c r="B79" s="87"/>
      <c r="C79" s="184" t="s">
        <v>82</v>
      </c>
      <c r="D79" s="107" t="s">
        <v>6</v>
      </c>
      <c r="E79" s="365">
        <v>0.04</v>
      </c>
      <c r="F79" s="45">
        <f>F73*E79</f>
        <v>0.58239999999999992</v>
      </c>
      <c r="G79" s="1300"/>
      <c r="H79" s="1299">
        <f>F79*G79</f>
        <v>0</v>
      </c>
      <c r="I79" s="1299"/>
      <c r="J79" s="1299"/>
      <c r="K79" s="1299"/>
      <c r="L79" s="1299"/>
      <c r="M79" s="1299">
        <f t="shared" si="0"/>
        <v>0</v>
      </c>
    </row>
    <row r="80" spans="1:13">
      <c r="A80" s="1132"/>
      <c r="B80" s="386"/>
      <c r="C80" s="184" t="s">
        <v>32</v>
      </c>
      <c r="D80" s="711" t="s">
        <v>24</v>
      </c>
      <c r="E80" s="54">
        <v>0.65600000000000003</v>
      </c>
      <c r="F80" s="153">
        <f>F73*E80</f>
        <v>9.551359999999999</v>
      </c>
      <c r="G80" s="1300"/>
      <c r="H80" s="1299">
        <f>F80*G80</f>
        <v>0</v>
      </c>
      <c r="I80" s="1299"/>
      <c r="J80" s="1299"/>
      <c r="K80" s="1299"/>
      <c r="L80" s="1299"/>
      <c r="M80" s="1299">
        <f t="shared" si="0"/>
        <v>0</v>
      </c>
    </row>
    <row r="81" spans="1:14" ht="47.25">
      <c r="A81" s="1143" t="s">
        <v>338</v>
      </c>
      <c r="B81" s="86" t="s">
        <v>46</v>
      </c>
      <c r="C81" s="246" t="s">
        <v>449</v>
      </c>
      <c r="D81" s="374" t="s">
        <v>344</v>
      </c>
      <c r="E81" s="376"/>
      <c r="F81" s="264">
        <f>F85+F86</f>
        <v>69.462499999999991</v>
      </c>
      <c r="G81" s="1299"/>
      <c r="H81" s="1299"/>
      <c r="I81" s="1299"/>
      <c r="J81" s="1299"/>
      <c r="K81" s="1299"/>
      <c r="L81" s="1299"/>
      <c r="M81" s="1299"/>
    </row>
    <row r="82" spans="1:14">
      <c r="A82" s="1144"/>
      <c r="B82" s="618"/>
      <c r="C82" s="172" t="s">
        <v>27</v>
      </c>
      <c r="D82" s="106" t="s">
        <v>29</v>
      </c>
      <c r="E82" s="376">
        <v>2.72</v>
      </c>
      <c r="F82" s="239">
        <f>F81*E82</f>
        <v>188.93799999999999</v>
      </c>
      <c r="G82" s="1299"/>
      <c r="H82" s="1299"/>
      <c r="I82" s="1300"/>
      <c r="J82" s="1299">
        <f>F82*I82</f>
        <v>0</v>
      </c>
      <c r="K82" s="1299"/>
      <c r="L82" s="1299"/>
      <c r="M82" s="1299">
        <f>H82+J82+L82</f>
        <v>0</v>
      </c>
    </row>
    <row r="83" spans="1:14">
      <c r="A83" s="1144"/>
      <c r="B83" s="86" t="s">
        <v>122</v>
      </c>
      <c r="C83" s="172" t="s">
        <v>123</v>
      </c>
      <c r="D83" s="106" t="s">
        <v>30</v>
      </c>
      <c r="E83" s="376">
        <v>2.4E-2</v>
      </c>
      <c r="F83" s="239">
        <f>F81*E83</f>
        <v>1.6670999999999998</v>
      </c>
      <c r="G83" s="1299"/>
      <c r="H83" s="1299"/>
      <c r="I83" s="1299"/>
      <c r="J83" s="1299"/>
      <c r="K83" s="1300"/>
      <c r="L83" s="1299">
        <f>F83*K83</f>
        <v>0</v>
      </c>
      <c r="M83" s="1299">
        <f>H83+J83+L83</f>
        <v>0</v>
      </c>
    </row>
    <row r="84" spans="1:14">
      <c r="A84" s="1144"/>
      <c r="B84" s="86" t="s">
        <v>124</v>
      </c>
      <c r="C84" s="172" t="s">
        <v>125</v>
      </c>
      <c r="D84" s="106" t="s">
        <v>30</v>
      </c>
      <c r="E84" s="376">
        <v>0.628</v>
      </c>
      <c r="F84" s="239">
        <f>F81*E84</f>
        <v>43.622449999999994</v>
      </c>
      <c r="G84" s="1299"/>
      <c r="H84" s="1299"/>
      <c r="I84" s="1299"/>
      <c r="J84" s="1299"/>
      <c r="K84" s="1300"/>
      <c r="L84" s="1299">
        <f>F84*K84</f>
        <v>0</v>
      </c>
      <c r="M84" s="1299">
        <f>H84+J84+L84</f>
        <v>0</v>
      </c>
    </row>
    <row r="85" spans="1:14" ht="31.5">
      <c r="A85" s="1144"/>
      <c r="B85" s="618"/>
      <c r="C85" s="172" t="s">
        <v>901</v>
      </c>
      <c r="D85" s="106" t="s">
        <v>5</v>
      </c>
      <c r="E85" s="376">
        <v>1</v>
      </c>
      <c r="F85" s="264">
        <f>'77777'!F297+'77777'!F298+'77777'!F299</f>
        <v>50.492499999999993</v>
      </c>
      <c r="G85" s="1300"/>
      <c r="H85" s="1299">
        <f>F85*G85</f>
        <v>0</v>
      </c>
      <c r="I85" s="1299"/>
      <c r="J85" s="1299"/>
      <c r="K85" s="1299"/>
      <c r="L85" s="1299"/>
      <c r="M85" s="1299">
        <f>H85+J85+L85</f>
        <v>0</v>
      </c>
    </row>
    <row r="86" spans="1:14" ht="31.5">
      <c r="A86" s="1145"/>
      <c r="B86" s="618"/>
      <c r="C86" s="172" t="s">
        <v>902</v>
      </c>
      <c r="D86" s="106" t="s">
        <v>5</v>
      </c>
      <c r="E86" s="376">
        <v>1</v>
      </c>
      <c r="F86" s="49">
        <f>'77777'!F272+'77777'!F273+'77777'!F274+'77777'!F275</f>
        <v>18.970000000000002</v>
      </c>
      <c r="G86" s="1300"/>
      <c r="H86" s="1299">
        <f>F86*G86</f>
        <v>0</v>
      </c>
      <c r="I86" s="1299"/>
      <c r="J86" s="1299"/>
      <c r="K86" s="1299"/>
      <c r="L86" s="1299"/>
      <c r="M86" s="1299">
        <f>H86+J86+L86</f>
        <v>0</v>
      </c>
      <c r="N86" s="18"/>
    </row>
    <row r="87" spans="1:14">
      <c r="A87" s="1135" t="s">
        <v>339</v>
      </c>
      <c r="B87" s="87" t="s">
        <v>132</v>
      </c>
      <c r="C87" s="312" t="s">
        <v>439</v>
      </c>
      <c r="D87" s="87" t="s">
        <v>5</v>
      </c>
      <c r="E87" s="98"/>
      <c r="F87" s="146">
        <f>F90</f>
        <v>40.700000000000003</v>
      </c>
      <c r="G87" s="1299"/>
      <c r="H87" s="1299"/>
      <c r="I87" s="1299"/>
      <c r="J87" s="1299"/>
      <c r="K87" s="1299"/>
      <c r="L87" s="1299"/>
      <c r="M87" s="1299"/>
    </row>
    <row r="88" spans="1:14">
      <c r="A88" s="1136"/>
      <c r="B88" s="711"/>
      <c r="C88" s="184" t="s">
        <v>33</v>
      </c>
      <c r="D88" s="107" t="s">
        <v>29</v>
      </c>
      <c r="E88" s="98">
        <v>0.91400000000000003</v>
      </c>
      <c r="F88" s="45">
        <f>F87*E88</f>
        <v>37.199800000000003</v>
      </c>
      <c r="G88" s="1299"/>
      <c r="H88" s="1299"/>
      <c r="I88" s="1300"/>
      <c r="J88" s="1299">
        <f>F88*I88</f>
        <v>0</v>
      </c>
      <c r="K88" s="1299"/>
      <c r="L88" s="1299"/>
      <c r="M88" s="1299">
        <f t="shared" ref="M88:M93" si="1">H88+J88+L88</f>
        <v>0</v>
      </c>
    </row>
    <row r="89" spans="1:14">
      <c r="A89" s="1136"/>
      <c r="B89" s="711"/>
      <c r="C89" s="184" t="s">
        <v>34</v>
      </c>
      <c r="D89" s="107" t="s">
        <v>24</v>
      </c>
      <c r="E89" s="365">
        <v>0.35299999999999998</v>
      </c>
      <c r="F89" s="45">
        <f>F87*E89</f>
        <v>14.367100000000001</v>
      </c>
      <c r="G89" s="1299"/>
      <c r="H89" s="1299"/>
      <c r="I89" s="1299"/>
      <c r="J89" s="1299"/>
      <c r="K89" s="1300"/>
      <c r="L89" s="1299">
        <f>F89*K89</f>
        <v>0</v>
      </c>
      <c r="M89" s="1299">
        <f t="shared" si="1"/>
        <v>0</v>
      </c>
    </row>
    <row r="90" spans="1:14" ht="31.5">
      <c r="A90" s="1136"/>
      <c r="B90" s="711"/>
      <c r="C90" s="184" t="s">
        <v>440</v>
      </c>
      <c r="D90" s="107" t="s">
        <v>5</v>
      </c>
      <c r="E90" s="365">
        <v>1</v>
      </c>
      <c r="F90" s="146">
        <f>'77777'!F270+'77777'!F271</f>
        <v>40.700000000000003</v>
      </c>
      <c r="G90" s="1300"/>
      <c r="H90" s="1299">
        <f>F90*G90</f>
        <v>0</v>
      </c>
      <c r="I90" s="1299"/>
      <c r="J90" s="1299"/>
      <c r="K90" s="1299"/>
      <c r="L90" s="1299"/>
      <c r="M90" s="1299">
        <f t="shared" si="1"/>
        <v>0</v>
      </c>
    </row>
    <row r="91" spans="1:14">
      <c r="A91" s="1136"/>
      <c r="B91" s="711"/>
      <c r="C91" s="184" t="s">
        <v>259</v>
      </c>
      <c r="D91" s="107" t="s">
        <v>4</v>
      </c>
      <c r="E91" s="365">
        <v>8.0000000000000004E-4</v>
      </c>
      <c r="F91" s="45">
        <f>F87*E91</f>
        <v>3.2560000000000006E-2</v>
      </c>
      <c r="G91" s="1300"/>
      <c r="H91" s="1299">
        <f>F91*G91</f>
        <v>0</v>
      </c>
      <c r="I91" s="1299"/>
      <c r="J91" s="1299"/>
      <c r="K91" s="1299"/>
      <c r="L91" s="1299"/>
      <c r="M91" s="1299">
        <f t="shared" si="1"/>
        <v>0</v>
      </c>
    </row>
    <row r="92" spans="1:14">
      <c r="A92" s="1136"/>
      <c r="B92" s="711"/>
      <c r="C92" s="184" t="s">
        <v>129</v>
      </c>
      <c r="D92" s="107" t="s">
        <v>5</v>
      </c>
      <c r="E92" s="365">
        <v>0.89</v>
      </c>
      <c r="F92" s="45">
        <f>F87*E92</f>
        <v>36.223000000000006</v>
      </c>
      <c r="G92" s="1300"/>
      <c r="H92" s="1299">
        <f>F92*G92</f>
        <v>0</v>
      </c>
      <c r="I92" s="1299"/>
      <c r="J92" s="1299"/>
      <c r="K92" s="1299"/>
      <c r="L92" s="1299"/>
      <c r="M92" s="1299">
        <f t="shared" si="1"/>
        <v>0</v>
      </c>
    </row>
    <row r="93" spans="1:14">
      <c r="A93" s="1137"/>
      <c r="B93" s="711"/>
      <c r="C93" s="184" t="s">
        <v>32</v>
      </c>
      <c r="D93" s="107" t="s">
        <v>24</v>
      </c>
      <c r="E93" s="365">
        <v>0.27600000000000002</v>
      </c>
      <c r="F93" s="45">
        <f>F87*E93</f>
        <v>11.233200000000002</v>
      </c>
      <c r="G93" s="1300"/>
      <c r="H93" s="1299">
        <f>F93*G93</f>
        <v>0</v>
      </c>
      <c r="I93" s="1299"/>
      <c r="J93" s="1299"/>
      <c r="K93" s="1299"/>
      <c r="L93" s="1299"/>
      <c r="M93" s="1299">
        <f t="shared" si="1"/>
        <v>0</v>
      </c>
    </row>
    <row r="94" spans="1:14">
      <c r="A94" s="1146" t="s">
        <v>264</v>
      </c>
      <c r="B94" s="85" t="s">
        <v>277</v>
      </c>
      <c r="C94" s="234" t="s">
        <v>279</v>
      </c>
      <c r="D94" s="85" t="s">
        <v>265</v>
      </c>
      <c r="E94" s="100"/>
      <c r="F94" s="49">
        <f>(F97)*0.3</f>
        <v>9.9</v>
      </c>
      <c r="G94" s="1299"/>
      <c r="H94" s="1299"/>
      <c r="I94" s="1299"/>
      <c r="J94" s="1299"/>
      <c r="K94" s="1299"/>
      <c r="L94" s="1299"/>
      <c r="M94" s="1299"/>
    </row>
    <row r="95" spans="1:14">
      <c r="A95" s="1147"/>
      <c r="B95" s="53"/>
      <c r="C95" s="183" t="s">
        <v>27</v>
      </c>
      <c r="D95" s="53" t="s">
        <v>268</v>
      </c>
      <c r="E95" s="119">
        <f>59.4*0.01</f>
        <v>0.59399999999999997</v>
      </c>
      <c r="F95" s="239">
        <f>F94*E95</f>
        <v>5.8806000000000003</v>
      </c>
      <c r="G95" s="1299"/>
      <c r="H95" s="1299"/>
      <c r="I95" s="1300"/>
      <c r="J95" s="1299">
        <f>F95*I95</f>
        <v>0</v>
      </c>
      <c r="K95" s="1299"/>
      <c r="L95" s="1299"/>
      <c r="M95" s="1299">
        <f>H95+J95+L95</f>
        <v>0</v>
      </c>
    </row>
    <row r="96" spans="1:14">
      <c r="A96" s="1147"/>
      <c r="B96" s="90"/>
      <c r="C96" s="182" t="s">
        <v>28</v>
      </c>
      <c r="D96" s="90" t="s">
        <v>24</v>
      </c>
      <c r="E96" s="119">
        <f>2.66*0.01</f>
        <v>2.6600000000000002E-2</v>
      </c>
      <c r="F96" s="196">
        <f>F94*E96</f>
        <v>0.26334000000000002</v>
      </c>
      <c r="G96" s="1299"/>
      <c r="H96" s="1299"/>
      <c r="I96" s="1299"/>
      <c r="J96" s="1299"/>
      <c r="K96" s="1300"/>
      <c r="L96" s="1299">
        <f>F96*K96</f>
        <v>0</v>
      </c>
      <c r="M96" s="1299">
        <f>H96+J96+L96</f>
        <v>0</v>
      </c>
    </row>
    <row r="97" spans="1:13">
      <c r="A97" s="1147"/>
      <c r="B97" s="618"/>
      <c r="C97" s="172" t="s">
        <v>145</v>
      </c>
      <c r="D97" s="711" t="s">
        <v>1</v>
      </c>
      <c r="E97" s="119"/>
      <c r="F97" s="49">
        <f>'77777'!J297+'77777'!J298+'77777'!J299</f>
        <v>33</v>
      </c>
      <c r="G97" s="1300"/>
      <c r="H97" s="1299">
        <f>F97*G97</f>
        <v>0</v>
      </c>
      <c r="I97" s="1299"/>
      <c r="J97" s="1299"/>
      <c r="K97" s="1299"/>
      <c r="L97" s="1299"/>
      <c r="M97" s="1299">
        <f>H97+J97+L97</f>
        <v>0</v>
      </c>
    </row>
    <row r="98" spans="1:13">
      <c r="A98" s="1148"/>
      <c r="B98" s="53"/>
      <c r="C98" s="183" t="s">
        <v>278</v>
      </c>
      <c r="D98" s="53" t="s">
        <v>262</v>
      </c>
      <c r="E98" s="119">
        <f>0.3*0.01</f>
        <v>3.0000000000000001E-3</v>
      </c>
      <c r="F98" s="239">
        <f>E98*F94</f>
        <v>2.9700000000000001E-2</v>
      </c>
      <c r="G98" s="1300"/>
      <c r="H98" s="1299">
        <f>F98*G98</f>
        <v>0</v>
      </c>
      <c r="I98" s="1299"/>
      <c r="J98" s="1299"/>
      <c r="K98" s="1299"/>
      <c r="L98" s="1299"/>
      <c r="M98" s="1299">
        <f>H98+J98+L98</f>
        <v>0</v>
      </c>
    </row>
    <row r="99" spans="1:13" ht="31.5">
      <c r="A99" s="1146" t="s">
        <v>340</v>
      </c>
      <c r="B99" s="112" t="s">
        <v>267</v>
      </c>
      <c r="C99" s="176" t="s">
        <v>281</v>
      </c>
      <c r="D99" s="712" t="s">
        <v>1</v>
      </c>
      <c r="E99" s="239"/>
      <c r="F99" s="49">
        <f>('77777'!O270+'77777'!O271+'77777'!O272+'77777'!O273+'77777'!O274+'77777'!O275+'77777'!O276   +   '77777'!O297+'77777'!O298+'77777'!O299)+('77777'!R270+'77777'!R271+'77777'!R272+'77777'!R273+'77777'!R274+'77777'!R275+'77777'!R276   +   '77777'!R297+'77777'!R298+'77777'!R299)*2</f>
        <v>453.7</v>
      </c>
      <c r="G99" s="1299"/>
      <c r="H99" s="1299"/>
      <c r="I99" s="1299"/>
      <c r="J99" s="1299"/>
      <c r="K99" s="1299"/>
      <c r="L99" s="1299"/>
      <c r="M99" s="1299"/>
    </row>
    <row r="100" spans="1:13">
      <c r="A100" s="1147"/>
      <c r="B100" s="112"/>
      <c r="C100" s="179" t="s">
        <v>79</v>
      </c>
      <c r="D100" s="195" t="s">
        <v>137</v>
      </c>
      <c r="E100" s="89">
        <v>0.49</v>
      </c>
      <c r="F100" s="89">
        <f>E100*F99</f>
        <v>222.31299999999999</v>
      </c>
      <c r="G100" s="1299"/>
      <c r="H100" s="1299"/>
      <c r="I100" s="1300"/>
      <c r="J100" s="1299">
        <f>F100*I100</f>
        <v>0</v>
      </c>
      <c r="K100" s="1299"/>
      <c r="L100" s="1299"/>
      <c r="M100" s="1299">
        <f>H100+J100+L100</f>
        <v>0</v>
      </c>
    </row>
    <row r="101" spans="1:13">
      <c r="A101" s="1147"/>
      <c r="B101" s="112"/>
      <c r="C101" s="179" t="s">
        <v>28</v>
      </c>
      <c r="D101" s="195" t="s">
        <v>24</v>
      </c>
      <c r="E101" s="89">
        <v>1.7999999999999999E-2</v>
      </c>
      <c r="F101" s="89">
        <f>E101*F99</f>
        <v>8.166599999999999</v>
      </c>
      <c r="G101" s="1299"/>
      <c r="H101" s="1299"/>
      <c r="I101" s="1299"/>
      <c r="J101" s="1299"/>
      <c r="K101" s="1300"/>
      <c r="L101" s="1299">
        <f>F101*K101</f>
        <v>0</v>
      </c>
      <c r="M101" s="1299">
        <f>H101+J101+L101</f>
        <v>0</v>
      </c>
    </row>
    <row r="102" spans="1:13">
      <c r="A102" s="1148"/>
      <c r="B102" s="195"/>
      <c r="C102" s="179" t="s">
        <v>442</v>
      </c>
      <c r="D102" s="195" t="s">
        <v>288</v>
      </c>
      <c r="E102" s="89">
        <v>1.06E-2</v>
      </c>
      <c r="F102" s="89">
        <f>E102*F99</f>
        <v>4.8092199999999998</v>
      </c>
      <c r="G102" s="1300"/>
      <c r="H102" s="1299">
        <f>F102*G102</f>
        <v>0</v>
      </c>
      <c r="I102" s="1299"/>
      <c r="J102" s="1299"/>
      <c r="K102" s="1299"/>
      <c r="L102" s="1299"/>
      <c r="M102" s="1299">
        <f>H102+J102+L102</f>
        <v>0</v>
      </c>
    </row>
    <row r="103" spans="1:13" ht="31.5">
      <c r="A103" s="1146" t="s">
        <v>330</v>
      </c>
      <c r="B103" s="112" t="s">
        <v>283</v>
      </c>
      <c r="C103" s="176" t="s">
        <v>282</v>
      </c>
      <c r="D103" s="712" t="s">
        <v>258</v>
      </c>
      <c r="E103" s="239"/>
      <c r="F103" s="49">
        <f>'77777'!BH111</f>
        <v>1176.2075</v>
      </c>
      <c r="G103" s="1299"/>
      <c r="H103" s="1299"/>
      <c r="I103" s="1299"/>
      <c r="J103" s="1299"/>
      <c r="K103" s="1299"/>
      <c r="L103" s="1299"/>
      <c r="M103" s="1299"/>
    </row>
    <row r="104" spans="1:13">
      <c r="A104" s="1147"/>
      <c r="B104" s="112"/>
      <c r="C104" s="179" t="s">
        <v>79</v>
      </c>
      <c r="D104" s="195" t="s">
        <v>137</v>
      </c>
      <c r="E104" s="89">
        <v>1.01</v>
      </c>
      <c r="F104" s="89">
        <f>E104*F103</f>
        <v>1187.9695750000001</v>
      </c>
      <c r="G104" s="1299"/>
      <c r="H104" s="1299"/>
      <c r="I104" s="1300"/>
      <c r="J104" s="1299">
        <f>F104*I104</f>
        <v>0</v>
      </c>
      <c r="K104" s="1299"/>
      <c r="L104" s="1299"/>
      <c r="M104" s="1299">
        <f t="shared" ref="M104:M109" si="2">H104+J104+L104</f>
        <v>0</v>
      </c>
    </row>
    <row r="105" spans="1:13">
      <c r="A105" s="1147"/>
      <c r="B105" s="112" t="s">
        <v>320</v>
      </c>
      <c r="C105" s="179" t="s">
        <v>319</v>
      </c>
      <c r="D105" s="195" t="s">
        <v>237</v>
      </c>
      <c r="E105" s="89">
        <v>4.1000000000000002E-2</v>
      </c>
      <c r="F105" s="89">
        <f>E105*F103</f>
        <v>48.224507500000001</v>
      </c>
      <c r="G105" s="1299"/>
      <c r="H105" s="1299"/>
      <c r="I105" s="1299"/>
      <c r="J105" s="1299"/>
      <c r="K105" s="1300"/>
      <c r="L105" s="1299">
        <f>F105*K105</f>
        <v>0</v>
      </c>
      <c r="M105" s="1299">
        <f t="shared" si="2"/>
        <v>0</v>
      </c>
    </row>
    <row r="106" spans="1:13">
      <c r="A106" s="1147"/>
      <c r="B106" s="112"/>
      <c r="C106" s="179" t="s">
        <v>28</v>
      </c>
      <c r="D106" s="195" t="s">
        <v>24</v>
      </c>
      <c r="E106" s="89">
        <v>2.7E-2</v>
      </c>
      <c r="F106" s="89">
        <f>E106*F103</f>
        <v>31.757602500000001</v>
      </c>
      <c r="G106" s="1299"/>
      <c r="H106" s="1299"/>
      <c r="I106" s="1299"/>
      <c r="J106" s="1299"/>
      <c r="K106" s="1300"/>
      <c r="L106" s="1299">
        <f>F106*K106</f>
        <v>0</v>
      </c>
      <c r="M106" s="1299">
        <f t="shared" si="2"/>
        <v>0</v>
      </c>
    </row>
    <row r="107" spans="1:13">
      <c r="A107" s="1147"/>
      <c r="B107" s="195"/>
      <c r="C107" s="179" t="s">
        <v>441</v>
      </c>
      <c r="D107" s="195" t="s">
        <v>288</v>
      </c>
      <c r="E107" s="89">
        <f>0.0212+0.0026</f>
        <v>2.3800000000000002E-2</v>
      </c>
      <c r="F107" s="89">
        <f>E107*F103</f>
        <v>27.993738500000003</v>
      </c>
      <c r="G107" s="1300"/>
      <c r="H107" s="1299">
        <f>F107*G107</f>
        <v>0</v>
      </c>
      <c r="I107" s="1299"/>
      <c r="J107" s="1299"/>
      <c r="K107" s="1299"/>
      <c r="L107" s="1299"/>
      <c r="M107" s="1299">
        <f t="shared" si="2"/>
        <v>0</v>
      </c>
    </row>
    <row r="108" spans="1:13">
      <c r="A108" s="1147"/>
      <c r="B108" s="618"/>
      <c r="C108" s="185" t="s">
        <v>452</v>
      </c>
      <c r="D108" s="103" t="s">
        <v>5</v>
      </c>
      <c r="E108" s="364">
        <v>5.28E-2</v>
      </c>
      <c r="F108" s="116">
        <f>F103*E108</f>
        <v>62.103755999999997</v>
      </c>
      <c r="G108" s="1300"/>
      <c r="H108" s="1299">
        <f>F108*G108</f>
        <v>0</v>
      </c>
      <c r="I108" s="1299"/>
      <c r="J108" s="1299"/>
      <c r="K108" s="1299"/>
      <c r="L108" s="1299"/>
      <c r="M108" s="1299">
        <f t="shared" si="2"/>
        <v>0</v>
      </c>
    </row>
    <row r="109" spans="1:13">
      <c r="A109" s="1148"/>
      <c r="B109" s="618"/>
      <c r="C109" s="178" t="s">
        <v>37</v>
      </c>
      <c r="D109" s="103" t="s">
        <v>24</v>
      </c>
      <c r="E109" s="364">
        <v>3.0000000000000001E-3</v>
      </c>
      <c r="F109" s="116">
        <f>F103*E109</f>
        <v>3.5286225</v>
      </c>
      <c r="G109" s="1300"/>
      <c r="H109" s="1299">
        <f>F109*G109</f>
        <v>0</v>
      </c>
      <c r="I109" s="1299"/>
      <c r="J109" s="1299"/>
      <c r="K109" s="1299"/>
      <c r="L109" s="1299"/>
      <c r="M109" s="1299">
        <f t="shared" si="2"/>
        <v>0</v>
      </c>
    </row>
    <row r="110" spans="1:13">
      <c r="A110" s="1146" t="s">
        <v>341</v>
      </c>
      <c r="B110" s="86" t="s">
        <v>602</v>
      </c>
      <c r="C110" s="175" t="s">
        <v>603</v>
      </c>
      <c r="D110" s="712" t="s">
        <v>258</v>
      </c>
      <c r="E110" s="617"/>
      <c r="F110" s="147">
        <f>'77777'!M111</f>
        <v>25.959999999999997</v>
      </c>
      <c r="G110" s="1299"/>
      <c r="H110" s="1299"/>
      <c r="I110" s="1299"/>
      <c r="J110" s="1299"/>
      <c r="K110" s="1299"/>
      <c r="L110" s="1299"/>
      <c r="M110" s="1299"/>
    </row>
    <row r="111" spans="1:13">
      <c r="A111" s="1147"/>
      <c r="B111" s="112"/>
      <c r="C111" s="179" t="s">
        <v>79</v>
      </c>
      <c r="D111" s="195" t="s">
        <v>137</v>
      </c>
      <c r="E111" s="89">
        <v>1.06</v>
      </c>
      <c r="F111" s="89">
        <f>E111*F110</f>
        <v>27.517599999999998</v>
      </c>
      <c r="G111" s="1299"/>
      <c r="H111" s="1299"/>
      <c r="I111" s="1300"/>
      <c r="J111" s="1299">
        <f>F111*I111</f>
        <v>0</v>
      </c>
      <c r="K111" s="1299"/>
      <c r="L111" s="1299"/>
      <c r="M111" s="1299">
        <f t="shared" ref="M111:M116" si="3">H111+J111+L111</f>
        <v>0</v>
      </c>
    </row>
    <row r="112" spans="1:13">
      <c r="A112" s="1147"/>
      <c r="B112" s="112" t="s">
        <v>320</v>
      </c>
      <c r="C112" s="179" t="s">
        <v>319</v>
      </c>
      <c r="D112" s="195" t="s">
        <v>237</v>
      </c>
      <c r="E112" s="89">
        <v>4.1000000000000002E-2</v>
      </c>
      <c r="F112" s="89">
        <f>E112*F110</f>
        <v>1.06436</v>
      </c>
      <c r="G112" s="1299"/>
      <c r="H112" s="1299"/>
      <c r="I112" s="1299"/>
      <c r="J112" s="1299"/>
      <c r="K112" s="1300"/>
      <c r="L112" s="1299">
        <f>F112*K112</f>
        <v>0</v>
      </c>
      <c r="M112" s="1299">
        <f t="shared" si="3"/>
        <v>0</v>
      </c>
    </row>
    <row r="113" spans="1:13">
      <c r="A113" s="1147"/>
      <c r="B113" s="112"/>
      <c r="C113" s="179" t="s">
        <v>28</v>
      </c>
      <c r="D113" s="195" t="s">
        <v>24</v>
      </c>
      <c r="E113" s="89">
        <v>2.7E-2</v>
      </c>
      <c r="F113" s="89">
        <f>E113*F110</f>
        <v>0.70091999999999988</v>
      </c>
      <c r="G113" s="1299"/>
      <c r="H113" s="1299"/>
      <c r="I113" s="1299"/>
      <c r="J113" s="1299"/>
      <c r="K113" s="1300"/>
      <c r="L113" s="1299">
        <f>F113*K113</f>
        <v>0</v>
      </c>
      <c r="M113" s="1299">
        <f t="shared" si="3"/>
        <v>0</v>
      </c>
    </row>
    <row r="114" spans="1:13">
      <c r="A114" s="1147"/>
      <c r="B114" s="195"/>
      <c r="C114" s="179" t="s">
        <v>441</v>
      </c>
      <c r="D114" s="195" t="s">
        <v>288</v>
      </c>
      <c r="E114" s="89">
        <f>0.023+0.0014</f>
        <v>2.4399999999999998E-2</v>
      </c>
      <c r="F114" s="89">
        <f>E114*F110</f>
        <v>0.63342399999999988</v>
      </c>
      <c r="G114" s="1300"/>
      <c r="H114" s="1299">
        <f>F114*G114</f>
        <v>0</v>
      </c>
      <c r="I114" s="1299"/>
      <c r="J114" s="1299"/>
      <c r="K114" s="1299"/>
      <c r="L114" s="1299"/>
      <c r="M114" s="1299">
        <f t="shared" si="3"/>
        <v>0</v>
      </c>
    </row>
    <row r="115" spans="1:13">
      <c r="A115" s="1147"/>
      <c r="B115" s="618"/>
      <c r="C115" s="185" t="s">
        <v>452</v>
      </c>
      <c r="D115" s="103" t="s">
        <v>5</v>
      </c>
      <c r="E115" s="364">
        <v>5.28E-2</v>
      </c>
      <c r="F115" s="116">
        <f>F110*E115</f>
        <v>1.3706879999999999</v>
      </c>
      <c r="G115" s="1300"/>
      <c r="H115" s="1299">
        <f>F115*G115</f>
        <v>0</v>
      </c>
      <c r="I115" s="1299"/>
      <c r="J115" s="1299"/>
      <c r="K115" s="1299"/>
      <c r="L115" s="1299"/>
      <c r="M115" s="1299">
        <f t="shared" si="3"/>
        <v>0</v>
      </c>
    </row>
    <row r="116" spans="1:13">
      <c r="A116" s="1148"/>
      <c r="B116" s="618"/>
      <c r="C116" s="178" t="s">
        <v>37</v>
      </c>
      <c r="D116" s="103" t="s">
        <v>24</v>
      </c>
      <c r="E116" s="364">
        <v>2E-3</v>
      </c>
      <c r="F116" s="116">
        <f>F110*E116</f>
        <v>5.1919999999999994E-2</v>
      </c>
      <c r="G116" s="1300"/>
      <c r="H116" s="1299">
        <f>F116*G116</f>
        <v>0</v>
      </c>
      <c r="I116" s="1299"/>
      <c r="J116" s="1299"/>
      <c r="K116" s="1299"/>
      <c r="L116" s="1299"/>
      <c r="M116" s="1299">
        <f t="shared" si="3"/>
        <v>0</v>
      </c>
    </row>
    <row r="117" spans="1:13" ht="31.5">
      <c r="A117" s="1143" t="s">
        <v>342</v>
      </c>
      <c r="B117" s="86" t="s">
        <v>40</v>
      </c>
      <c r="C117" s="246" t="s">
        <v>298</v>
      </c>
      <c r="D117" s="86" t="s">
        <v>5</v>
      </c>
      <c r="E117" s="715"/>
      <c r="F117" s="49">
        <f>'77777'!AJ111</f>
        <v>444.57</v>
      </c>
      <c r="G117" s="1299"/>
      <c r="H117" s="1299"/>
      <c r="I117" s="1299"/>
      <c r="J117" s="1299"/>
      <c r="K117" s="1299"/>
      <c r="L117" s="1299"/>
      <c r="M117" s="1299"/>
    </row>
    <row r="118" spans="1:13">
      <c r="A118" s="1144"/>
      <c r="B118" s="618"/>
      <c r="C118" s="174" t="s">
        <v>39</v>
      </c>
      <c r="D118" s="103" t="s">
        <v>29</v>
      </c>
      <c r="E118" s="235">
        <f>0.188+0.0034*2</f>
        <v>0.1948</v>
      </c>
      <c r="F118" s="239">
        <f>F117*E118</f>
        <v>86.602236000000005</v>
      </c>
      <c r="G118" s="1299"/>
      <c r="H118" s="1299"/>
      <c r="I118" s="1300"/>
      <c r="J118" s="1299">
        <f>F118*I118</f>
        <v>0</v>
      </c>
      <c r="K118" s="1299"/>
      <c r="L118" s="1299"/>
      <c r="M118" s="1299">
        <f>H118+J118+L118</f>
        <v>0</v>
      </c>
    </row>
    <row r="119" spans="1:13">
      <c r="A119" s="1144"/>
      <c r="B119" s="618"/>
      <c r="C119" s="174" t="s">
        <v>34</v>
      </c>
      <c r="D119" s="103" t="s">
        <v>24</v>
      </c>
      <c r="E119" s="235">
        <f>0.0095+0.0023*2</f>
        <v>1.41E-2</v>
      </c>
      <c r="F119" s="239">
        <f>F117*E119</f>
        <v>6.2684369999999996</v>
      </c>
      <c r="G119" s="1299"/>
      <c r="H119" s="1299"/>
      <c r="I119" s="1299"/>
      <c r="J119" s="1299"/>
      <c r="K119" s="1300"/>
      <c r="L119" s="1299">
        <f>F119*K119</f>
        <v>0</v>
      </c>
      <c r="M119" s="1299">
        <f>H119+J119+L119</f>
        <v>0</v>
      </c>
    </row>
    <row r="120" spans="1:13">
      <c r="A120" s="1144"/>
      <c r="B120" s="618"/>
      <c r="C120" s="188" t="s">
        <v>131</v>
      </c>
      <c r="D120" s="618" t="s">
        <v>4</v>
      </c>
      <c r="E120" s="715">
        <f>0.0204+0.0051*2</f>
        <v>3.0600000000000002E-2</v>
      </c>
      <c r="F120" s="239">
        <f>F117*E120</f>
        <v>13.603842</v>
      </c>
      <c r="G120" s="1300"/>
      <c r="H120" s="1299">
        <f>F120*G120</f>
        <v>0</v>
      </c>
      <c r="I120" s="1299"/>
      <c r="J120" s="1299"/>
      <c r="K120" s="1299"/>
      <c r="L120" s="1299"/>
      <c r="M120" s="1299">
        <f>H120+J120+L120</f>
        <v>0</v>
      </c>
    </row>
    <row r="121" spans="1:13">
      <c r="A121" s="1145"/>
      <c r="B121" s="618"/>
      <c r="C121" s="178" t="s">
        <v>32</v>
      </c>
      <c r="D121" s="103" t="s">
        <v>24</v>
      </c>
      <c r="E121" s="364">
        <f>0.0636</f>
        <v>6.3600000000000004E-2</v>
      </c>
      <c r="F121" s="239">
        <f>F117*E121</f>
        <v>28.274652</v>
      </c>
      <c r="G121" s="1300"/>
      <c r="H121" s="1299">
        <f>F121*G121</f>
        <v>0</v>
      </c>
      <c r="I121" s="1299"/>
      <c r="J121" s="1299"/>
      <c r="K121" s="1299"/>
      <c r="L121" s="1299"/>
      <c r="M121" s="1299">
        <f>H121+J121+L121</f>
        <v>0</v>
      </c>
    </row>
    <row r="122" spans="1:13">
      <c r="A122" s="1143" t="s">
        <v>428</v>
      </c>
      <c r="B122" s="86" t="s">
        <v>41</v>
      </c>
      <c r="C122" s="246" t="s">
        <v>85</v>
      </c>
      <c r="D122" s="86" t="s">
        <v>5</v>
      </c>
      <c r="E122" s="715"/>
      <c r="F122" s="49">
        <f>'77777'!AZ111</f>
        <v>112.5</v>
      </c>
      <c r="G122" s="1299"/>
      <c r="H122" s="1299"/>
      <c r="I122" s="1299"/>
      <c r="J122" s="1299"/>
      <c r="K122" s="1299"/>
      <c r="L122" s="1299"/>
      <c r="M122" s="1299"/>
    </row>
    <row r="123" spans="1:13">
      <c r="A123" s="1144"/>
      <c r="B123" s="618"/>
      <c r="C123" s="172" t="s">
        <v>27</v>
      </c>
      <c r="D123" s="618" t="s">
        <v>29</v>
      </c>
      <c r="E123" s="239">
        <v>1.08</v>
      </c>
      <c r="F123" s="239">
        <f>F122*E123</f>
        <v>121.50000000000001</v>
      </c>
      <c r="G123" s="1299"/>
      <c r="H123" s="1299"/>
      <c r="I123" s="1300"/>
      <c r="J123" s="1299">
        <f>F123*I123</f>
        <v>0</v>
      </c>
      <c r="K123" s="1299"/>
      <c r="L123" s="1299"/>
      <c r="M123" s="1299">
        <f t="shared" ref="M123:M128" si="4">H123+J123+L123</f>
        <v>0</v>
      </c>
    </row>
    <row r="124" spans="1:13">
      <c r="A124" s="1144"/>
      <c r="B124" s="618"/>
      <c r="C124" s="189" t="s">
        <v>28</v>
      </c>
      <c r="D124" s="711" t="s">
        <v>30</v>
      </c>
      <c r="E124" s="239">
        <v>4.5199999999999997E-2</v>
      </c>
      <c r="F124" s="239">
        <f>F122*E124</f>
        <v>5.085</v>
      </c>
      <c r="G124" s="1299"/>
      <c r="H124" s="1299"/>
      <c r="I124" s="1299"/>
      <c r="J124" s="1299"/>
      <c r="K124" s="1300"/>
      <c r="L124" s="1299">
        <f>F124*K124</f>
        <v>0</v>
      </c>
      <c r="M124" s="1299">
        <f t="shared" si="4"/>
        <v>0</v>
      </c>
    </row>
    <row r="125" spans="1:13">
      <c r="A125" s="1144"/>
      <c r="B125" s="618"/>
      <c r="C125" s="172" t="s">
        <v>638</v>
      </c>
      <c r="D125" s="618" t="s">
        <v>5</v>
      </c>
      <c r="E125" s="715">
        <v>1.05</v>
      </c>
      <c r="F125" s="239">
        <f>F122*E125</f>
        <v>118.125</v>
      </c>
      <c r="G125" s="1300"/>
      <c r="H125" s="1299">
        <f>F125*G125</f>
        <v>0</v>
      </c>
      <c r="I125" s="1299"/>
      <c r="J125" s="1299"/>
      <c r="K125" s="1299"/>
      <c r="L125" s="1299"/>
      <c r="M125" s="1299">
        <f t="shared" si="4"/>
        <v>0</v>
      </c>
    </row>
    <row r="126" spans="1:13">
      <c r="A126" s="1144"/>
      <c r="B126" s="618"/>
      <c r="C126" s="190" t="s">
        <v>299</v>
      </c>
      <c r="D126" s="171" t="s">
        <v>141</v>
      </c>
      <c r="E126" s="381">
        <v>0.3</v>
      </c>
      <c r="F126" s="267">
        <f>F122*E126</f>
        <v>33.75</v>
      </c>
      <c r="G126" s="1307"/>
      <c r="H126" s="1299">
        <f>F126*G126</f>
        <v>0</v>
      </c>
      <c r="I126" s="1308"/>
      <c r="J126" s="1299"/>
      <c r="K126" s="1308"/>
      <c r="L126" s="1299"/>
      <c r="M126" s="1299">
        <f t="shared" si="4"/>
        <v>0</v>
      </c>
    </row>
    <row r="127" spans="1:13">
      <c r="A127" s="1144"/>
      <c r="B127" s="618"/>
      <c r="C127" s="172" t="s">
        <v>64</v>
      </c>
      <c r="D127" s="618" t="s">
        <v>6</v>
      </c>
      <c r="E127" s="715">
        <v>5</v>
      </c>
      <c r="F127" s="239">
        <f>F122*E127</f>
        <v>562.5</v>
      </c>
      <c r="G127" s="1300"/>
      <c r="H127" s="1299">
        <f>F127*G127</f>
        <v>0</v>
      </c>
      <c r="I127" s="1299"/>
      <c r="J127" s="1299"/>
      <c r="K127" s="1299"/>
      <c r="L127" s="1299"/>
      <c r="M127" s="1299">
        <f t="shared" si="4"/>
        <v>0</v>
      </c>
    </row>
    <row r="128" spans="1:13">
      <c r="A128" s="1145"/>
      <c r="B128" s="618"/>
      <c r="C128" s="184" t="s">
        <v>37</v>
      </c>
      <c r="D128" s="711" t="s">
        <v>24</v>
      </c>
      <c r="E128" s="239">
        <v>4.6600000000000003E-2</v>
      </c>
      <c r="F128" s="239">
        <f>F122*E128</f>
        <v>5.2425000000000006</v>
      </c>
      <c r="G128" s="1300"/>
      <c r="H128" s="1299">
        <f>F128*G128</f>
        <v>0</v>
      </c>
      <c r="I128" s="1299"/>
      <c r="J128" s="1299"/>
      <c r="K128" s="1299"/>
      <c r="L128" s="1299"/>
      <c r="M128" s="1299">
        <f t="shared" si="4"/>
        <v>0</v>
      </c>
    </row>
    <row r="129" spans="1:13" ht="31.5">
      <c r="A129" s="1143" t="s">
        <v>429</v>
      </c>
      <c r="B129" s="86" t="s">
        <v>41</v>
      </c>
      <c r="C129" s="246" t="s">
        <v>942</v>
      </c>
      <c r="D129" s="86" t="s">
        <v>5</v>
      </c>
      <c r="E129" s="715"/>
      <c r="F129" s="49">
        <f>'77777'!BA111</f>
        <v>3.3000000000000003</v>
      </c>
      <c r="G129" s="1299"/>
      <c r="H129" s="1299"/>
      <c r="I129" s="1299"/>
      <c r="J129" s="1299"/>
      <c r="K129" s="1299"/>
      <c r="L129" s="1299"/>
      <c r="M129" s="1299"/>
    </row>
    <row r="130" spans="1:13">
      <c r="A130" s="1144"/>
      <c r="B130" s="618"/>
      <c r="C130" s="172" t="s">
        <v>27</v>
      </c>
      <c r="D130" s="618" t="s">
        <v>29</v>
      </c>
      <c r="E130" s="239">
        <v>1.08</v>
      </c>
      <c r="F130" s="239">
        <f>F129*E130</f>
        <v>3.5640000000000005</v>
      </c>
      <c r="G130" s="1299"/>
      <c r="H130" s="1299"/>
      <c r="I130" s="1300"/>
      <c r="J130" s="1299">
        <f>F130*I130</f>
        <v>0</v>
      </c>
      <c r="K130" s="1299"/>
      <c r="L130" s="1299"/>
      <c r="M130" s="1299">
        <f t="shared" ref="M130:M135" si="5">H130+J130+L130</f>
        <v>0</v>
      </c>
    </row>
    <row r="131" spans="1:13">
      <c r="A131" s="1144"/>
      <c r="B131" s="618"/>
      <c r="C131" s="189" t="s">
        <v>28</v>
      </c>
      <c r="D131" s="711" t="s">
        <v>30</v>
      </c>
      <c r="E131" s="239">
        <v>4.5199999999999997E-2</v>
      </c>
      <c r="F131" s="239">
        <f>F129*E131</f>
        <v>0.14916000000000001</v>
      </c>
      <c r="G131" s="1299"/>
      <c r="H131" s="1299"/>
      <c r="I131" s="1299"/>
      <c r="J131" s="1299"/>
      <c r="K131" s="1300"/>
      <c r="L131" s="1299">
        <f>F131*K131</f>
        <v>0</v>
      </c>
      <c r="M131" s="1299">
        <f t="shared" si="5"/>
        <v>0</v>
      </c>
    </row>
    <row r="132" spans="1:13">
      <c r="A132" s="1144"/>
      <c r="B132" s="618"/>
      <c r="C132" s="172" t="s">
        <v>450</v>
      </c>
      <c r="D132" s="618" t="s">
        <v>5</v>
      </c>
      <c r="E132" s="715">
        <v>1.05</v>
      </c>
      <c r="F132" s="239">
        <f>F129*E132</f>
        <v>3.4650000000000003</v>
      </c>
      <c r="G132" s="1300"/>
      <c r="H132" s="1299">
        <f>F132*G132</f>
        <v>0</v>
      </c>
      <c r="I132" s="1299"/>
      <c r="J132" s="1299"/>
      <c r="K132" s="1299"/>
      <c r="L132" s="1299"/>
      <c r="M132" s="1299">
        <f t="shared" si="5"/>
        <v>0</v>
      </c>
    </row>
    <row r="133" spans="1:13">
      <c r="A133" s="1144"/>
      <c r="B133" s="618"/>
      <c r="C133" s="190" t="s">
        <v>299</v>
      </c>
      <c r="D133" s="171" t="s">
        <v>141</v>
      </c>
      <c r="E133" s="381">
        <v>0.3</v>
      </c>
      <c r="F133" s="267">
        <f>F129*E133</f>
        <v>0.99</v>
      </c>
      <c r="G133" s="1307"/>
      <c r="H133" s="1299">
        <f>F133*G133</f>
        <v>0</v>
      </c>
      <c r="I133" s="1308"/>
      <c r="J133" s="1299"/>
      <c r="K133" s="1308"/>
      <c r="L133" s="1299"/>
      <c r="M133" s="1299">
        <f t="shared" si="5"/>
        <v>0</v>
      </c>
    </row>
    <row r="134" spans="1:13">
      <c r="A134" s="1144"/>
      <c r="B134" s="618"/>
      <c r="C134" s="172" t="s">
        <v>64</v>
      </c>
      <c r="D134" s="618" t="s">
        <v>6</v>
      </c>
      <c r="E134" s="715">
        <v>5</v>
      </c>
      <c r="F134" s="239">
        <f>F129*E134</f>
        <v>16.5</v>
      </c>
      <c r="G134" s="1300"/>
      <c r="H134" s="1299">
        <f>F134*G134</f>
        <v>0</v>
      </c>
      <c r="I134" s="1299"/>
      <c r="J134" s="1299"/>
      <c r="K134" s="1299"/>
      <c r="L134" s="1299"/>
      <c r="M134" s="1299">
        <f t="shared" si="5"/>
        <v>0</v>
      </c>
    </row>
    <row r="135" spans="1:13">
      <c r="A135" s="1145"/>
      <c r="B135" s="618"/>
      <c r="C135" s="184" t="s">
        <v>37</v>
      </c>
      <c r="D135" s="711" t="s">
        <v>24</v>
      </c>
      <c r="E135" s="239">
        <v>4.6600000000000003E-2</v>
      </c>
      <c r="F135" s="239">
        <f>F129*E135</f>
        <v>0.15378000000000003</v>
      </c>
      <c r="G135" s="1300"/>
      <c r="H135" s="1299">
        <f>F135*G135</f>
        <v>0</v>
      </c>
      <c r="I135" s="1299"/>
      <c r="J135" s="1299"/>
      <c r="K135" s="1299"/>
      <c r="L135" s="1299"/>
      <c r="M135" s="1299">
        <f t="shared" si="5"/>
        <v>0</v>
      </c>
    </row>
    <row r="136" spans="1:13">
      <c r="A136" s="1143" t="s">
        <v>430</v>
      </c>
      <c r="B136" s="86" t="s">
        <v>41</v>
      </c>
      <c r="C136" s="246" t="s">
        <v>113</v>
      </c>
      <c r="D136" s="86" t="s">
        <v>5</v>
      </c>
      <c r="E136" s="715"/>
      <c r="F136" s="49">
        <f>'77777'!AX111</f>
        <v>48.1</v>
      </c>
      <c r="G136" s="1299"/>
      <c r="H136" s="1299"/>
      <c r="I136" s="1299"/>
      <c r="J136" s="1299"/>
      <c r="K136" s="1299"/>
      <c r="L136" s="1299"/>
      <c r="M136" s="1299"/>
    </row>
    <row r="137" spans="1:13">
      <c r="A137" s="1144"/>
      <c r="B137" s="618"/>
      <c r="C137" s="172" t="s">
        <v>27</v>
      </c>
      <c r="D137" s="618" t="s">
        <v>29</v>
      </c>
      <c r="E137" s="239">
        <v>1.08</v>
      </c>
      <c r="F137" s="239">
        <f>F136*E137</f>
        <v>51.948000000000008</v>
      </c>
      <c r="G137" s="1299"/>
      <c r="H137" s="1299"/>
      <c r="I137" s="1300"/>
      <c r="J137" s="1299">
        <f>F137*I137</f>
        <v>0</v>
      </c>
      <c r="K137" s="1299"/>
      <c r="L137" s="1299"/>
      <c r="M137" s="1299">
        <f t="shared" ref="M137:M142" si="6">H137+J137+L137</f>
        <v>0</v>
      </c>
    </row>
    <row r="138" spans="1:13">
      <c r="A138" s="1144"/>
      <c r="B138" s="618"/>
      <c r="C138" s="189" t="s">
        <v>28</v>
      </c>
      <c r="D138" s="711" t="s">
        <v>30</v>
      </c>
      <c r="E138" s="239">
        <v>4.5199999999999997E-2</v>
      </c>
      <c r="F138" s="239">
        <f>F136*E138</f>
        <v>2.1741199999999998</v>
      </c>
      <c r="G138" s="1299"/>
      <c r="H138" s="1299"/>
      <c r="I138" s="1299"/>
      <c r="J138" s="1299"/>
      <c r="K138" s="1300"/>
      <c r="L138" s="1299">
        <f>F138*K138</f>
        <v>0</v>
      </c>
      <c r="M138" s="1299">
        <f t="shared" si="6"/>
        <v>0</v>
      </c>
    </row>
    <row r="139" spans="1:13">
      <c r="A139" s="1144"/>
      <c r="B139" s="618"/>
      <c r="C139" s="172" t="s">
        <v>385</v>
      </c>
      <c r="D139" s="618" t="s">
        <v>5</v>
      </c>
      <c r="E139" s="715">
        <v>1.05</v>
      </c>
      <c r="F139" s="239">
        <f>F136*E139</f>
        <v>50.505000000000003</v>
      </c>
      <c r="G139" s="1300"/>
      <c r="H139" s="1299">
        <f>F139*G139</f>
        <v>0</v>
      </c>
      <c r="I139" s="1299"/>
      <c r="J139" s="1299"/>
      <c r="K139" s="1299"/>
      <c r="L139" s="1299"/>
      <c r="M139" s="1299">
        <f t="shared" si="6"/>
        <v>0</v>
      </c>
    </row>
    <row r="140" spans="1:13">
      <c r="A140" s="1144"/>
      <c r="B140" s="618"/>
      <c r="C140" s="172" t="s">
        <v>64</v>
      </c>
      <c r="D140" s="618" t="s">
        <v>6</v>
      </c>
      <c r="E140" s="715">
        <v>5</v>
      </c>
      <c r="F140" s="239">
        <f>F136*E140</f>
        <v>240.5</v>
      </c>
      <c r="G140" s="1300"/>
      <c r="H140" s="1299">
        <f>F140*G140</f>
        <v>0</v>
      </c>
      <c r="I140" s="1299"/>
      <c r="J140" s="1299"/>
      <c r="K140" s="1299"/>
      <c r="L140" s="1299"/>
      <c r="M140" s="1299">
        <f t="shared" si="6"/>
        <v>0</v>
      </c>
    </row>
    <row r="141" spans="1:13">
      <c r="A141" s="1144"/>
      <c r="B141" s="618"/>
      <c r="C141" s="190" t="s">
        <v>299</v>
      </c>
      <c r="D141" s="171" t="s">
        <v>141</v>
      </c>
      <c r="E141" s="381">
        <v>0.3</v>
      </c>
      <c r="F141" s="267">
        <f>F136*E141</f>
        <v>14.43</v>
      </c>
      <c r="G141" s="1307"/>
      <c r="H141" s="1299">
        <f>F141*G141</f>
        <v>0</v>
      </c>
      <c r="I141" s="1308"/>
      <c r="J141" s="1299"/>
      <c r="K141" s="1308"/>
      <c r="L141" s="1299"/>
      <c r="M141" s="1299">
        <f t="shared" si="6"/>
        <v>0</v>
      </c>
    </row>
    <row r="142" spans="1:13">
      <c r="A142" s="1145"/>
      <c r="B142" s="618"/>
      <c r="C142" s="184" t="s">
        <v>37</v>
      </c>
      <c r="D142" s="711" t="s">
        <v>24</v>
      </c>
      <c r="E142" s="239">
        <v>4.6600000000000003E-2</v>
      </c>
      <c r="F142" s="239">
        <f>F136*E142</f>
        <v>2.24146</v>
      </c>
      <c r="G142" s="1300"/>
      <c r="H142" s="1299">
        <f>F142*G142</f>
        <v>0</v>
      </c>
      <c r="I142" s="1299"/>
      <c r="J142" s="1299"/>
      <c r="K142" s="1299"/>
      <c r="L142" s="1299"/>
      <c r="M142" s="1299">
        <f t="shared" si="6"/>
        <v>0</v>
      </c>
    </row>
    <row r="143" spans="1:13">
      <c r="A143" s="1143" t="s">
        <v>273</v>
      </c>
      <c r="B143" s="87" t="s">
        <v>47</v>
      </c>
      <c r="C143" s="246" t="s">
        <v>23</v>
      </c>
      <c r="D143" s="86" t="s">
        <v>5</v>
      </c>
      <c r="E143" s="715"/>
      <c r="F143" s="49">
        <f>'77777'!AU111</f>
        <v>280.66999999999996</v>
      </c>
      <c r="G143" s="1299"/>
      <c r="H143" s="1299"/>
      <c r="I143" s="1299"/>
      <c r="J143" s="1299"/>
      <c r="K143" s="1299"/>
      <c r="L143" s="1299"/>
      <c r="M143" s="1299"/>
    </row>
    <row r="144" spans="1:13">
      <c r="A144" s="1144"/>
      <c r="B144" s="711"/>
      <c r="C144" s="172" t="s">
        <v>27</v>
      </c>
      <c r="D144" s="107" t="s">
        <v>29</v>
      </c>
      <c r="E144" s="239">
        <v>0.71</v>
      </c>
      <c r="F144" s="239">
        <f>F143*E144</f>
        <v>199.27569999999997</v>
      </c>
      <c r="G144" s="1299"/>
      <c r="H144" s="1299"/>
      <c r="I144" s="1300"/>
      <c r="J144" s="1299">
        <f>F144*I144</f>
        <v>0</v>
      </c>
      <c r="K144" s="1299"/>
      <c r="L144" s="1299"/>
      <c r="M144" s="1299">
        <f>H144+J144+L144</f>
        <v>0</v>
      </c>
    </row>
    <row r="145" spans="1:13">
      <c r="A145" s="1144"/>
      <c r="B145" s="711"/>
      <c r="C145" s="184" t="s">
        <v>28</v>
      </c>
      <c r="D145" s="107" t="s">
        <v>30</v>
      </c>
      <c r="E145" s="239">
        <v>3.0099999999999998E-2</v>
      </c>
      <c r="F145" s="239">
        <f>F143*E145</f>
        <v>8.448166999999998</v>
      </c>
      <c r="G145" s="1299"/>
      <c r="H145" s="1299"/>
      <c r="I145" s="1299"/>
      <c r="J145" s="1299"/>
      <c r="K145" s="1300"/>
      <c r="L145" s="1299">
        <f>F145*K145</f>
        <v>0</v>
      </c>
      <c r="M145" s="1299">
        <f>H145+J145+L145</f>
        <v>0</v>
      </c>
    </row>
    <row r="146" spans="1:13" ht="30.75">
      <c r="A146" s="1144"/>
      <c r="B146" s="711"/>
      <c r="C146" s="187" t="s">
        <v>443</v>
      </c>
      <c r="D146" s="107" t="s">
        <v>5</v>
      </c>
      <c r="E146" s="239">
        <v>1.03</v>
      </c>
      <c r="F146" s="239">
        <f>F143*E146</f>
        <v>289.09009999999995</v>
      </c>
      <c r="G146" s="1300"/>
      <c r="H146" s="1299">
        <f>F146*G146</f>
        <v>0</v>
      </c>
      <c r="I146" s="1299"/>
      <c r="J146" s="1299"/>
      <c r="K146" s="1299"/>
      <c r="L146" s="1299"/>
      <c r="M146" s="1299">
        <f>H146+J146+L146</f>
        <v>0</v>
      </c>
    </row>
    <row r="147" spans="1:13">
      <c r="A147" s="1145"/>
      <c r="B147" s="711"/>
      <c r="C147" s="187" t="s">
        <v>37</v>
      </c>
      <c r="D147" s="107" t="s">
        <v>24</v>
      </c>
      <c r="E147" s="239">
        <v>0.107</v>
      </c>
      <c r="F147" s="239">
        <f>F143*E147</f>
        <v>30.031689999999994</v>
      </c>
      <c r="G147" s="1300"/>
      <c r="H147" s="1299">
        <f>F147*G147</f>
        <v>0</v>
      </c>
      <c r="I147" s="1299"/>
      <c r="J147" s="1299"/>
      <c r="K147" s="1299"/>
      <c r="L147" s="1299"/>
      <c r="M147" s="1299">
        <f>H147+J147+L147</f>
        <v>0</v>
      </c>
    </row>
    <row r="148" spans="1:13">
      <c r="A148" s="1143" t="s">
        <v>431</v>
      </c>
      <c r="B148" s="86" t="s">
        <v>61</v>
      </c>
      <c r="C148" s="312" t="s">
        <v>930</v>
      </c>
      <c r="D148" s="86" t="s">
        <v>1</v>
      </c>
      <c r="E148" s="715"/>
      <c r="F148" s="49">
        <f>'77777'!BD111</f>
        <v>260.59999999999997</v>
      </c>
      <c r="G148" s="1299"/>
      <c r="H148" s="1299"/>
      <c r="I148" s="1299"/>
      <c r="J148" s="1299"/>
      <c r="K148" s="1299"/>
      <c r="L148" s="1299"/>
      <c r="M148" s="1299"/>
    </row>
    <row r="149" spans="1:13">
      <c r="A149" s="1144"/>
      <c r="B149" s="618"/>
      <c r="C149" s="174" t="s">
        <v>33</v>
      </c>
      <c r="D149" s="104" t="s">
        <v>29</v>
      </c>
      <c r="E149" s="235">
        <v>0.15</v>
      </c>
      <c r="F149" s="239">
        <f>F148*E149</f>
        <v>39.089999999999996</v>
      </c>
      <c r="G149" s="1299"/>
      <c r="H149" s="1299"/>
      <c r="I149" s="1300"/>
      <c r="J149" s="1299">
        <f>F149*I149</f>
        <v>0</v>
      </c>
      <c r="K149" s="1299"/>
      <c r="L149" s="1299"/>
      <c r="M149" s="1299">
        <f>H149+J149+L149</f>
        <v>0</v>
      </c>
    </row>
    <row r="150" spans="1:13">
      <c r="A150" s="1144"/>
      <c r="B150" s="618"/>
      <c r="C150" s="174" t="s">
        <v>34</v>
      </c>
      <c r="D150" s="103" t="s">
        <v>24</v>
      </c>
      <c r="E150" s="235">
        <v>2E-3</v>
      </c>
      <c r="F150" s="239">
        <f>F148*E150</f>
        <v>0.5212</v>
      </c>
      <c r="G150" s="1299"/>
      <c r="H150" s="1299"/>
      <c r="I150" s="1299"/>
      <c r="J150" s="1299"/>
      <c r="K150" s="1300"/>
      <c r="L150" s="1299">
        <f>F150*K150</f>
        <v>0</v>
      </c>
      <c r="M150" s="1299">
        <f>H150+J150+L150</f>
        <v>0</v>
      </c>
    </row>
    <row r="151" spans="1:13">
      <c r="A151" s="1144"/>
      <c r="B151" s="711"/>
      <c r="C151" s="184" t="s">
        <v>931</v>
      </c>
      <c r="D151" s="107" t="s">
        <v>1</v>
      </c>
      <c r="E151" s="235">
        <v>1.01</v>
      </c>
      <c r="F151" s="239">
        <f>F148*E151</f>
        <v>263.20599999999996</v>
      </c>
      <c r="G151" s="1300"/>
      <c r="H151" s="1299">
        <f>F151*G151</f>
        <v>0</v>
      </c>
      <c r="I151" s="1299"/>
      <c r="J151" s="1299"/>
      <c r="K151" s="1299"/>
      <c r="L151" s="1299"/>
      <c r="M151" s="1299">
        <f>H151+J151+L151</f>
        <v>0</v>
      </c>
    </row>
    <row r="152" spans="1:13">
      <c r="A152" s="1145"/>
      <c r="B152" s="618"/>
      <c r="C152" s="174" t="s">
        <v>32</v>
      </c>
      <c r="D152" s="103" t="s">
        <v>24</v>
      </c>
      <c r="E152" s="235">
        <v>2E-3</v>
      </c>
      <c r="F152" s="239">
        <f>F148*E152</f>
        <v>0.5212</v>
      </c>
      <c r="G152" s="1300"/>
      <c r="H152" s="1299">
        <f>F152*G152</f>
        <v>0</v>
      </c>
      <c r="I152" s="1299"/>
      <c r="J152" s="1299"/>
      <c r="K152" s="1299"/>
      <c r="L152" s="1299"/>
      <c r="M152" s="1299">
        <f>H152+J152+L152</f>
        <v>0</v>
      </c>
    </row>
    <row r="153" spans="1:13">
      <c r="A153" s="1143" t="s">
        <v>432</v>
      </c>
      <c r="B153" s="86" t="s">
        <v>135</v>
      </c>
      <c r="C153" s="246" t="s">
        <v>114</v>
      </c>
      <c r="D153" s="87" t="s">
        <v>1</v>
      </c>
      <c r="E153" s="239"/>
      <c r="F153" s="49">
        <f>'77777'!BC111</f>
        <v>189.79999999999998</v>
      </c>
      <c r="G153" s="1299"/>
      <c r="H153" s="1299"/>
      <c r="I153" s="1299"/>
      <c r="J153" s="1299"/>
      <c r="K153" s="1299"/>
      <c r="L153" s="1299"/>
      <c r="M153" s="1299"/>
    </row>
    <row r="154" spans="1:13">
      <c r="A154" s="1144"/>
      <c r="B154" s="618"/>
      <c r="C154" s="174" t="s">
        <v>33</v>
      </c>
      <c r="D154" s="104" t="s">
        <v>29</v>
      </c>
      <c r="E154" s="235">
        <v>0.26900000000000002</v>
      </c>
      <c r="F154" s="239">
        <f>F153*E154</f>
        <v>51.056199999999997</v>
      </c>
      <c r="G154" s="1299"/>
      <c r="H154" s="1299"/>
      <c r="I154" s="1300"/>
      <c r="J154" s="1299">
        <f>F154*I154</f>
        <v>0</v>
      </c>
      <c r="K154" s="1299"/>
      <c r="L154" s="1299"/>
      <c r="M154" s="1299">
        <f>H154+J154+L154</f>
        <v>0</v>
      </c>
    </row>
    <row r="155" spans="1:13">
      <c r="A155" s="1144"/>
      <c r="B155" s="618"/>
      <c r="C155" s="174" t="s">
        <v>34</v>
      </c>
      <c r="D155" s="103" t="s">
        <v>24</v>
      </c>
      <c r="E155" s="235">
        <v>1.1599999999999999E-2</v>
      </c>
      <c r="F155" s="239">
        <f>F153*E155</f>
        <v>2.2016799999999996</v>
      </c>
      <c r="G155" s="1299"/>
      <c r="H155" s="1299"/>
      <c r="I155" s="1299"/>
      <c r="J155" s="1299"/>
      <c r="K155" s="1300"/>
      <c r="L155" s="1299">
        <f>F155*K155</f>
        <v>0</v>
      </c>
      <c r="M155" s="1299">
        <f>H155+J155+L155</f>
        <v>0</v>
      </c>
    </row>
    <row r="156" spans="1:13">
      <c r="A156" s="1144"/>
      <c r="B156" s="618"/>
      <c r="C156" s="174" t="s">
        <v>134</v>
      </c>
      <c r="D156" s="103" t="s">
        <v>5</v>
      </c>
      <c r="E156" s="235">
        <v>0.157</v>
      </c>
      <c r="F156" s="239">
        <f>F153*E156</f>
        <v>29.798599999999997</v>
      </c>
      <c r="G156" s="1300"/>
      <c r="H156" s="1299">
        <f>F156*G156</f>
        <v>0</v>
      </c>
      <c r="I156" s="1299"/>
      <c r="J156" s="1299"/>
      <c r="K156" s="1299"/>
      <c r="L156" s="1299"/>
      <c r="M156" s="1299">
        <f>H156+J156+L156</f>
        <v>0</v>
      </c>
    </row>
    <row r="157" spans="1:13">
      <c r="A157" s="1145"/>
      <c r="B157" s="618"/>
      <c r="C157" s="184" t="s">
        <v>131</v>
      </c>
      <c r="D157" s="103" t="s">
        <v>4</v>
      </c>
      <c r="E157" s="235">
        <v>1.8E-3</v>
      </c>
      <c r="F157" s="239">
        <f>F153*E157</f>
        <v>0.34163999999999994</v>
      </c>
      <c r="G157" s="1300"/>
      <c r="H157" s="1299">
        <f>F157*G157</f>
        <v>0</v>
      </c>
      <c r="I157" s="1299"/>
      <c r="J157" s="1299"/>
      <c r="K157" s="1299"/>
      <c r="L157" s="1299"/>
      <c r="M157" s="1299">
        <f>H157+J157+L157</f>
        <v>0</v>
      </c>
    </row>
    <row r="158" spans="1:13" ht="40.5">
      <c r="A158" s="1143" t="s">
        <v>433</v>
      </c>
      <c r="B158" s="86" t="s">
        <v>605</v>
      </c>
      <c r="C158" s="246" t="s">
        <v>444</v>
      </c>
      <c r="D158" s="87" t="s">
        <v>5</v>
      </c>
      <c r="E158" s="98"/>
      <c r="F158" s="146">
        <f>'77777'!R111</f>
        <v>40.300000000000004</v>
      </c>
      <c r="G158" s="1299"/>
      <c r="H158" s="1299"/>
      <c r="I158" s="1299"/>
      <c r="J158" s="1299"/>
      <c r="K158" s="1299"/>
      <c r="L158" s="1299"/>
      <c r="M158" s="1299"/>
    </row>
    <row r="159" spans="1:13">
      <c r="A159" s="1144"/>
      <c r="B159" s="86"/>
      <c r="C159" s="179" t="s">
        <v>79</v>
      </c>
      <c r="D159" s="195" t="s">
        <v>137</v>
      </c>
      <c r="E159" s="161">
        <f>(261+98.5)*0.01</f>
        <v>3.5950000000000002</v>
      </c>
      <c r="F159" s="89">
        <f>E159*F158</f>
        <v>144.87850000000003</v>
      </c>
      <c r="G159" s="1299"/>
      <c r="H159" s="1299"/>
      <c r="I159" s="1300"/>
      <c r="J159" s="1299">
        <f>F159*I159</f>
        <v>0</v>
      </c>
      <c r="K159" s="1299"/>
      <c r="L159" s="1299"/>
      <c r="M159" s="1299">
        <f t="shared" ref="M159:M164" si="7">H159+J159+L159</f>
        <v>0</v>
      </c>
    </row>
    <row r="160" spans="1:13">
      <c r="A160" s="1144"/>
      <c r="B160" s="86"/>
      <c r="C160" s="174" t="s">
        <v>34</v>
      </c>
      <c r="D160" s="195" t="s">
        <v>24</v>
      </c>
      <c r="E160" s="161">
        <f>(3.5+0.39)*0.01</f>
        <v>3.8900000000000004E-2</v>
      </c>
      <c r="F160" s="89">
        <f>E160*F158</f>
        <v>1.5676700000000003</v>
      </c>
      <c r="G160" s="1299"/>
      <c r="H160" s="1299"/>
      <c r="I160" s="1299"/>
      <c r="J160" s="1299"/>
      <c r="K160" s="1300"/>
      <c r="L160" s="1299">
        <f>F160*K160</f>
        <v>0</v>
      </c>
      <c r="M160" s="1299">
        <f t="shared" si="7"/>
        <v>0</v>
      </c>
    </row>
    <row r="161" spans="1:13">
      <c r="A161" s="1144"/>
      <c r="B161" s="86"/>
      <c r="C161" s="179" t="s">
        <v>138</v>
      </c>
      <c r="D161" s="195" t="s">
        <v>139</v>
      </c>
      <c r="E161" s="161">
        <v>6.6</v>
      </c>
      <c r="F161" s="89">
        <f>E161*F158</f>
        <v>265.98</v>
      </c>
      <c r="G161" s="1300"/>
      <c r="H161" s="1299">
        <f>F161*G161</f>
        <v>0</v>
      </c>
      <c r="I161" s="1299"/>
      <c r="J161" s="1299"/>
      <c r="K161" s="1299"/>
      <c r="L161" s="1299"/>
      <c r="M161" s="1299">
        <f t="shared" si="7"/>
        <v>0</v>
      </c>
    </row>
    <row r="162" spans="1:13">
      <c r="A162" s="1144"/>
      <c r="B162" s="86"/>
      <c r="C162" s="179" t="s">
        <v>140</v>
      </c>
      <c r="D162" s="195" t="s">
        <v>141</v>
      </c>
      <c r="E162" s="161">
        <v>0.06</v>
      </c>
      <c r="F162" s="89">
        <f>E162*F158</f>
        <v>2.4180000000000001</v>
      </c>
      <c r="G162" s="1300"/>
      <c r="H162" s="1299">
        <f>F162*G162</f>
        <v>0</v>
      </c>
      <c r="I162" s="1299"/>
      <c r="J162" s="1299"/>
      <c r="K162" s="1299"/>
      <c r="L162" s="1299"/>
      <c r="M162" s="1299">
        <f t="shared" si="7"/>
        <v>0</v>
      </c>
    </row>
    <row r="163" spans="1:13">
      <c r="A163" s="1144"/>
      <c r="B163" s="86"/>
      <c r="C163" s="179" t="s">
        <v>445</v>
      </c>
      <c r="D163" s="195" t="s">
        <v>258</v>
      </c>
      <c r="E163" s="161">
        <v>1.03</v>
      </c>
      <c r="F163" s="89">
        <f>E163*F158</f>
        <v>41.509000000000007</v>
      </c>
      <c r="G163" s="1300"/>
      <c r="H163" s="1299">
        <f>F163*G163</f>
        <v>0</v>
      </c>
      <c r="I163" s="1299"/>
      <c r="J163" s="1299"/>
      <c r="K163" s="1299"/>
      <c r="L163" s="1299"/>
      <c r="M163" s="1299">
        <f t="shared" si="7"/>
        <v>0</v>
      </c>
    </row>
    <row r="164" spans="1:13">
      <c r="A164" s="1145"/>
      <c r="B164" s="86"/>
      <c r="C164" s="179" t="s">
        <v>143</v>
      </c>
      <c r="D164" s="195" t="s">
        <v>24</v>
      </c>
      <c r="E164" s="161">
        <f>(38.9+1.6)*0.01</f>
        <v>0.40500000000000003</v>
      </c>
      <c r="F164" s="89">
        <f>E164*F158</f>
        <v>16.321500000000004</v>
      </c>
      <c r="G164" s="1300"/>
      <c r="H164" s="1299">
        <f>F164*G164</f>
        <v>0</v>
      </c>
      <c r="I164" s="1299"/>
      <c r="J164" s="1299"/>
      <c r="K164" s="1299"/>
      <c r="L164" s="1299"/>
      <c r="M164" s="1299">
        <f t="shared" si="7"/>
        <v>0</v>
      </c>
    </row>
    <row r="165" spans="1:13" ht="40.5">
      <c r="A165" s="1143" t="s">
        <v>458</v>
      </c>
      <c r="B165" s="86" t="s">
        <v>605</v>
      </c>
      <c r="C165" s="246" t="s">
        <v>115</v>
      </c>
      <c r="D165" s="711" t="s">
        <v>5</v>
      </c>
      <c r="E165" s="239"/>
      <c r="F165" s="49">
        <f>'77777'!S111</f>
        <v>285.60999999999996</v>
      </c>
      <c r="G165" s="1299"/>
      <c r="H165" s="1299"/>
      <c r="I165" s="1299"/>
      <c r="J165" s="1299"/>
      <c r="K165" s="1299"/>
      <c r="L165" s="1299"/>
      <c r="M165" s="1299"/>
    </row>
    <row r="166" spans="1:13">
      <c r="A166" s="1144"/>
      <c r="B166" s="86"/>
      <c r="C166" s="179" t="s">
        <v>79</v>
      </c>
      <c r="D166" s="195" t="s">
        <v>137</v>
      </c>
      <c r="E166" s="161">
        <f>(261+98.5)*0.01</f>
        <v>3.5950000000000002</v>
      </c>
      <c r="F166" s="89">
        <f>E166*F165</f>
        <v>1026.7679499999999</v>
      </c>
      <c r="G166" s="1299"/>
      <c r="H166" s="1299"/>
      <c r="I166" s="1300"/>
      <c r="J166" s="1299">
        <f>F166*I166</f>
        <v>0</v>
      </c>
      <c r="K166" s="1299"/>
      <c r="L166" s="1299"/>
      <c r="M166" s="1299">
        <f t="shared" ref="M166:M171" si="8">H166+J166+L166</f>
        <v>0</v>
      </c>
    </row>
    <row r="167" spans="1:13">
      <c r="A167" s="1144"/>
      <c r="B167" s="86"/>
      <c r="C167" s="174" t="s">
        <v>34</v>
      </c>
      <c r="D167" s="195" t="s">
        <v>24</v>
      </c>
      <c r="E167" s="161">
        <f>(3.5+0.39)*0.01</f>
        <v>3.8900000000000004E-2</v>
      </c>
      <c r="F167" s="89">
        <f>E167*F165</f>
        <v>11.110229</v>
      </c>
      <c r="G167" s="1299"/>
      <c r="H167" s="1299"/>
      <c r="I167" s="1299"/>
      <c r="J167" s="1299"/>
      <c r="K167" s="1300"/>
      <c r="L167" s="1299">
        <f>F167*K167</f>
        <v>0</v>
      </c>
      <c r="M167" s="1299">
        <f t="shared" si="8"/>
        <v>0</v>
      </c>
    </row>
    <row r="168" spans="1:13">
      <c r="A168" s="1144"/>
      <c r="B168" s="86"/>
      <c r="C168" s="179" t="s">
        <v>138</v>
      </c>
      <c r="D168" s="195" t="s">
        <v>139</v>
      </c>
      <c r="E168" s="161">
        <v>6.6</v>
      </c>
      <c r="F168" s="89">
        <f>E168*F165</f>
        <v>1885.0259999999996</v>
      </c>
      <c r="G168" s="1300"/>
      <c r="H168" s="1299">
        <f>F168*G168</f>
        <v>0</v>
      </c>
      <c r="I168" s="1299"/>
      <c r="J168" s="1299"/>
      <c r="K168" s="1299"/>
      <c r="L168" s="1299"/>
      <c r="M168" s="1299">
        <f t="shared" si="8"/>
        <v>0</v>
      </c>
    </row>
    <row r="169" spans="1:13">
      <c r="A169" s="1144"/>
      <c r="B169" s="86"/>
      <c r="C169" s="179" t="s">
        <v>140</v>
      </c>
      <c r="D169" s="195" t="s">
        <v>141</v>
      </c>
      <c r="E169" s="161">
        <v>0.06</v>
      </c>
      <c r="F169" s="89">
        <f>E169*F165</f>
        <v>17.136599999999998</v>
      </c>
      <c r="G169" s="1300"/>
      <c r="H169" s="1299">
        <f>F169*G169</f>
        <v>0</v>
      </c>
      <c r="I169" s="1299"/>
      <c r="J169" s="1299"/>
      <c r="K169" s="1299"/>
      <c r="L169" s="1299"/>
      <c r="M169" s="1299">
        <f t="shared" si="8"/>
        <v>0</v>
      </c>
    </row>
    <row r="170" spans="1:13">
      <c r="A170" s="1144"/>
      <c r="B170" s="86"/>
      <c r="C170" s="179" t="s">
        <v>142</v>
      </c>
      <c r="D170" s="195" t="s">
        <v>258</v>
      </c>
      <c r="E170" s="161">
        <v>1.03</v>
      </c>
      <c r="F170" s="89">
        <f>E170*F165</f>
        <v>294.17829999999998</v>
      </c>
      <c r="G170" s="1300"/>
      <c r="H170" s="1299">
        <f>F170*G170</f>
        <v>0</v>
      </c>
      <c r="I170" s="1299"/>
      <c r="J170" s="1299"/>
      <c r="K170" s="1299"/>
      <c r="L170" s="1299"/>
      <c r="M170" s="1299">
        <f t="shared" si="8"/>
        <v>0</v>
      </c>
    </row>
    <row r="171" spans="1:13">
      <c r="A171" s="1145"/>
      <c r="B171" s="86"/>
      <c r="C171" s="179" t="s">
        <v>143</v>
      </c>
      <c r="D171" s="195" t="s">
        <v>24</v>
      </c>
      <c r="E171" s="161">
        <f>(38.9+1.6)*0.01</f>
        <v>0.40500000000000003</v>
      </c>
      <c r="F171" s="89">
        <f>E171*F165</f>
        <v>115.67204999999998</v>
      </c>
      <c r="G171" s="1300"/>
      <c r="H171" s="1299">
        <f>F171*G171</f>
        <v>0</v>
      </c>
      <c r="I171" s="1299"/>
      <c r="J171" s="1299"/>
      <c r="K171" s="1299"/>
      <c r="L171" s="1299"/>
      <c r="M171" s="1299">
        <f t="shared" si="8"/>
        <v>0</v>
      </c>
    </row>
    <row r="172" spans="1:13" ht="40.5">
      <c r="A172" s="1143" t="s">
        <v>459</v>
      </c>
      <c r="B172" s="86" t="s">
        <v>605</v>
      </c>
      <c r="C172" s="246" t="s">
        <v>116</v>
      </c>
      <c r="D172" s="87" t="s">
        <v>5</v>
      </c>
      <c r="E172" s="239"/>
      <c r="F172" s="49">
        <f>'77777'!U111</f>
        <v>71</v>
      </c>
      <c r="G172" s="1299"/>
      <c r="H172" s="1299"/>
      <c r="I172" s="1299"/>
      <c r="J172" s="1299"/>
      <c r="K172" s="1299"/>
      <c r="L172" s="1299"/>
      <c r="M172" s="1299"/>
    </row>
    <row r="173" spans="1:13">
      <c r="A173" s="1144"/>
      <c r="B173" s="86"/>
      <c r="C173" s="179" t="s">
        <v>79</v>
      </c>
      <c r="D173" s="195" t="s">
        <v>137</v>
      </c>
      <c r="E173" s="161">
        <f>(261+98.5)*0.01</f>
        <v>3.5950000000000002</v>
      </c>
      <c r="F173" s="89">
        <f>E173*F172</f>
        <v>255.245</v>
      </c>
      <c r="G173" s="1299"/>
      <c r="H173" s="1299"/>
      <c r="I173" s="1300"/>
      <c r="J173" s="1299">
        <f>F173*I173</f>
        <v>0</v>
      </c>
      <c r="K173" s="1299"/>
      <c r="L173" s="1299"/>
      <c r="M173" s="1299">
        <f t="shared" ref="M173:M178" si="9">H173+J173+L173</f>
        <v>0</v>
      </c>
    </row>
    <row r="174" spans="1:13">
      <c r="A174" s="1144"/>
      <c r="B174" s="86"/>
      <c r="C174" s="174" t="s">
        <v>34</v>
      </c>
      <c r="D174" s="195" t="s">
        <v>24</v>
      </c>
      <c r="E174" s="161">
        <f>(3.5+0.39)*0.01</f>
        <v>3.8900000000000004E-2</v>
      </c>
      <c r="F174" s="89">
        <f>E174*F172</f>
        <v>2.7619000000000002</v>
      </c>
      <c r="G174" s="1299"/>
      <c r="H174" s="1299"/>
      <c r="I174" s="1299"/>
      <c r="J174" s="1299"/>
      <c r="K174" s="1300"/>
      <c r="L174" s="1299">
        <f>F174*K174</f>
        <v>0</v>
      </c>
      <c r="M174" s="1299">
        <f t="shared" si="9"/>
        <v>0</v>
      </c>
    </row>
    <row r="175" spans="1:13">
      <c r="A175" s="1144"/>
      <c r="B175" s="86"/>
      <c r="C175" s="179" t="s">
        <v>138</v>
      </c>
      <c r="D175" s="195" t="s">
        <v>139</v>
      </c>
      <c r="E175" s="161">
        <v>6.6</v>
      </c>
      <c r="F175" s="89">
        <f>E175*F172</f>
        <v>468.59999999999997</v>
      </c>
      <c r="G175" s="1300"/>
      <c r="H175" s="1299">
        <f>F175*G175</f>
        <v>0</v>
      </c>
      <c r="I175" s="1299"/>
      <c r="J175" s="1299"/>
      <c r="K175" s="1299"/>
      <c r="L175" s="1299"/>
      <c r="M175" s="1299">
        <f t="shared" si="9"/>
        <v>0</v>
      </c>
    </row>
    <row r="176" spans="1:13">
      <c r="A176" s="1144"/>
      <c r="B176" s="86"/>
      <c r="C176" s="179" t="s">
        <v>140</v>
      </c>
      <c r="D176" s="195" t="s">
        <v>141</v>
      </c>
      <c r="E176" s="161">
        <v>0.06</v>
      </c>
      <c r="F176" s="89">
        <f>E176*F172</f>
        <v>4.26</v>
      </c>
      <c r="G176" s="1300"/>
      <c r="H176" s="1299">
        <f>F176*G176</f>
        <v>0</v>
      </c>
      <c r="I176" s="1299"/>
      <c r="J176" s="1299"/>
      <c r="K176" s="1299"/>
      <c r="L176" s="1299"/>
      <c r="M176" s="1299">
        <f t="shared" si="9"/>
        <v>0</v>
      </c>
    </row>
    <row r="177" spans="1:13">
      <c r="A177" s="1144"/>
      <c r="B177" s="86"/>
      <c r="C177" s="179" t="s">
        <v>144</v>
      </c>
      <c r="D177" s="195" t="s">
        <v>258</v>
      </c>
      <c r="E177" s="161">
        <v>1.03</v>
      </c>
      <c r="F177" s="89">
        <f>E177*F172</f>
        <v>73.13</v>
      </c>
      <c r="G177" s="1300"/>
      <c r="H177" s="1299">
        <f>F177*G177</f>
        <v>0</v>
      </c>
      <c r="I177" s="1299"/>
      <c r="J177" s="1299"/>
      <c r="K177" s="1299"/>
      <c r="L177" s="1299"/>
      <c r="M177" s="1299">
        <f t="shared" si="9"/>
        <v>0</v>
      </c>
    </row>
    <row r="178" spans="1:13">
      <c r="A178" s="1145"/>
      <c r="B178" s="86"/>
      <c r="C178" s="179" t="s">
        <v>143</v>
      </c>
      <c r="D178" s="195" t="s">
        <v>24</v>
      </c>
      <c r="E178" s="161">
        <f>(38.9+1.6)*0.01</f>
        <v>0.40500000000000003</v>
      </c>
      <c r="F178" s="89">
        <f>E178*F172</f>
        <v>28.755000000000003</v>
      </c>
      <c r="G178" s="1300"/>
      <c r="H178" s="1299">
        <f>F178*G178</f>
        <v>0</v>
      </c>
      <c r="I178" s="1299"/>
      <c r="J178" s="1299"/>
      <c r="K178" s="1299"/>
      <c r="L178" s="1299"/>
      <c r="M178" s="1299">
        <f t="shared" si="9"/>
        <v>0</v>
      </c>
    </row>
    <row r="179" spans="1:13" ht="31.5">
      <c r="A179" s="1143" t="s">
        <v>460</v>
      </c>
      <c r="B179" s="712" t="s">
        <v>62</v>
      </c>
      <c r="C179" s="246" t="s">
        <v>903</v>
      </c>
      <c r="D179" s="87" t="s">
        <v>5</v>
      </c>
      <c r="E179" s="239"/>
      <c r="F179" s="49">
        <f>F158+F165</f>
        <v>325.90999999999997</v>
      </c>
      <c r="G179" s="1299"/>
      <c r="H179" s="1299"/>
      <c r="I179" s="1299"/>
      <c r="J179" s="1299"/>
      <c r="K179" s="1299"/>
      <c r="L179" s="1299"/>
      <c r="M179" s="1299"/>
    </row>
    <row r="180" spans="1:13">
      <c r="A180" s="1144"/>
      <c r="B180" s="711"/>
      <c r="C180" s="184" t="s">
        <v>27</v>
      </c>
      <c r="D180" s="711" t="s">
        <v>29</v>
      </c>
      <c r="E180" s="239">
        <v>0.53500000000000003</v>
      </c>
      <c r="F180" s="239">
        <f>F179*E180</f>
        <v>174.36185</v>
      </c>
      <c r="G180" s="1299"/>
      <c r="H180" s="1299"/>
      <c r="I180" s="1300"/>
      <c r="J180" s="1299">
        <f>F180*I180</f>
        <v>0</v>
      </c>
      <c r="K180" s="1299"/>
      <c r="L180" s="1299"/>
      <c r="M180" s="1299">
        <f t="shared" ref="M180:M185" si="10">H180+J180+L180</f>
        <v>0</v>
      </c>
    </row>
    <row r="181" spans="1:13">
      <c r="A181" s="1144"/>
      <c r="B181" s="711"/>
      <c r="C181" s="184" t="s">
        <v>28</v>
      </c>
      <c r="D181" s="711" t="s">
        <v>30</v>
      </c>
      <c r="E181" s="239">
        <v>1.2E-2</v>
      </c>
      <c r="F181" s="239">
        <f>F179*E181</f>
        <v>3.9109199999999995</v>
      </c>
      <c r="G181" s="1299"/>
      <c r="H181" s="1299"/>
      <c r="I181" s="1299"/>
      <c r="J181" s="1299"/>
      <c r="K181" s="1300"/>
      <c r="L181" s="1299">
        <f>F181*K181</f>
        <v>0</v>
      </c>
      <c r="M181" s="1299">
        <f t="shared" si="10"/>
        <v>0</v>
      </c>
    </row>
    <row r="182" spans="1:13">
      <c r="A182" s="1144"/>
      <c r="B182" s="711"/>
      <c r="C182" s="184" t="s">
        <v>173</v>
      </c>
      <c r="D182" s="711" t="s">
        <v>6</v>
      </c>
      <c r="E182" s="239">
        <v>0.85</v>
      </c>
      <c r="F182" s="239">
        <f>F179*E182</f>
        <v>277.02349999999996</v>
      </c>
      <c r="G182" s="1300"/>
      <c r="H182" s="1299">
        <f>F182*G182</f>
        <v>0</v>
      </c>
      <c r="I182" s="1299"/>
      <c r="J182" s="1299"/>
      <c r="K182" s="1299"/>
      <c r="L182" s="1299"/>
      <c r="M182" s="1299">
        <f t="shared" si="10"/>
        <v>0</v>
      </c>
    </row>
    <row r="183" spans="1:13">
      <c r="A183" s="1144"/>
      <c r="B183" s="711"/>
      <c r="C183" s="184" t="s">
        <v>8</v>
      </c>
      <c r="D183" s="711" t="s">
        <v>5</v>
      </c>
      <c r="E183" s="239">
        <v>0.05</v>
      </c>
      <c r="F183" s="239">
        <f>F179*E183</f>
        <v>16.295500000000001</v>
      </c>
      <c r="G183" s="1300"/>
      <c r="H183" s="1299">
        <f>F183*G183</f>
        <v>0</v>
      </c>
      <c r="I183" s="1299"/>
      <c r="J183" s="1299"/>
      <c r="K183" s="1299"/>
      <c r="L183" s="1299"/>
      <c r="M183" s="1299">
        <f t="shared" si="10"/>
        <v>0</v>
      </c>
    </row>
    <row r="184" spans="1:13">
      <c r="A184" s="1144"/>
      <c r="B184" s="618"/>
      <c r="C184" s="172" t="s">
        <v>42</v>
      </c>
      <c r="D184" s="618" t="s">
        <v>6</v>
      </c>
      <c r="E184" s="715">
        <v>0.35</v>
      </c>
      <c r="F184" s="239">
        <f>F179*E184</f>
        <v>114.06849999999999</v>
      </c>
      <c r="G184" s="1300"/>
      <c r="H184" s="1299">
        <f>F184*G184</f>
        <v>0</v>
      </c>
      <c r="I184" s="1299"/>
      <c r="J184" s="1299"/>
      <c r="K184" s="1299"/>
      <c r="L184" s="1299"/>
      <c r="M184" s="1299">
        <f t="shared" si="10"/>
        <v>0</v>
      </c>
    </row>
    <row r="185" spans="1:13">
      <c r="A185" s="1145"/>
      <c r="B185" s="711"/>
      <c r="C185" s="184" t="s">
        <v>37</v>
      </c>
      <c r="D185" s="711" t="s">
        <v>24</v>
      </c>
      <c r="E185" s="239">
        <v>1.6E-2</v>
      </c>
      <c r="F185" s="239">
        <f>F179*E185</f>
        <v>5.2145599999999996</v>
      </c>
      <c r="G185" s="1300"/>
      <c r="H185" s="1299">
        <f>F185*G185</f>
        <v>0</v>
      </c>
      <c r="I185" s="1299"/>
      <c r="J185" s="1299"/>
      <c r="K185" s="1299"/>
      <c r="L185" s="1299"/>
      <c r="M185" s="1299">
        <f t="shared" si="10"/>
        <v>0</v>
      </c>
    </row>
    <row r="186" spans="1:13" ht="31.5">
      <c r="A186" s="1143" t="s">
        <v>461</v>
      </c>
      <c r="B186" s="862" t="s">
        <v>62</v>
      </c>
      <c r="C186" s="246" t="s">
        <v>904</v>
      </c>
      <c r="D186" s="87" t="s">
        <v>5</v>
      </c>
      <c r="E186" s="239"/>
      <c r="F186" s="49">
        <f>F110</f>
        <v>25.959999999999997</v>
      </c>
      <c r="G186" s="1299"/>
      <c r="H186" s="1299"/>
      <c r="I186" s="1299"/>
      <c r="J186" s="1299"/>
      <c r="K186" s="1299"/>
      <c r="L186" s="1299"/>
      <c r="M186" s="1299"/>
    </row>
    <row r="187" spans="1:13">
      <c r="A187" s="1144"/>
      <c r="B187" s="860"/>
      <c r="C187" s="184" t="s">
        <v>27</v>
      </c>
      <c r="D187" s="860" t="s">
        <v>29</v>
      </c>
      <c r="E187" s="239">
        <v>0.53500000000000003</v>
      </c>
      <c r="F187" s="239">
        <f>F186*E187</f>
        <v>13.888599999999999</v>
      </c>
      <c r="G187" s="1299"/>
      <c r="H187" s="1299"/>
      <c r="I187" s="1300"/>
      <c r="J187" s="1299">
        <f>F187*I187</f>
        <v>0</v>
      </c>
      <c r="K187" s="1299"/>
      <c r="L187" s="1299"/>
      <c r="M187" s="1299">
        <f t="shared" ref="M187:M192" si="11">H187+J187+L187</f>
        <v>0</v>
      </c>
    </row>
    <row r="188" spans="1:13">
      <c r="A188" s="1144"/>
      <c r="B188" s="860"/>
      <c r="C188" s="184" t="s">
        <v>28</v>
      </c>
      <c r="D188" s="860" t="s">
        <v>30</v>
      </c>
      <c r="E188" s="239">
        <v>1.2E-2</v>
      </c>
      <c r="F188" s="239">
        <f>F186*E188</f>
        <v>0.31151999999999996</v>
      </c>
      <c r="G188" s="1299"/>
      <c r="H188" s="1299"/>
      <c r="I188" s="1299"/>
      <c r="J188" s="1299"/>
      <c r="K188" s="1300"/>
      <c r="L188" s="1299">
        <f>F188*K188</f>
        <v>0</v>
      </c>
      <c r="M188" s="1299">
        <f t="shared" si="11"/>
        <v>0</v>
      </c>
    </row>
    <row r="189" spans="1:13">
      <c r="A189" s="1144"/>
      <c r="B189" s="860"/>
      <c r="C189" s="184" t="s">
        <v>173</v>
      </c>
      <c r="D189" s="860" t="s">
        <v>6</v>
      </c>
      <c r="E189" s="239">
        <v>0.85</v>
      </c>
      <c r="F189" s="239">
        <f>F186*E189</f>
        <v>22.065999999999995</v>
      </c>
      <c r="G189" s="1300"/>
      <c r="H189" s="1299">
        <f>F189*G189</f>
        <v>0</v>
      </c>
      <c r="I189" s="1299"/>
      <c r="J189" s="1299"/>
      <c r="K189" s="1299"/>
      <c r="L189" s="1299"/>
      <c r="M189" s="1299">
        <f t="shared" si="11"/>
        <v>0</v>
      </c>
    </row>
    <row r="190" spans="1:13">
      <c r="A190" s="1144"/>
      <c r="B190" s="860"/>
      <c r="C190" s="184" t="s">
        <v>8</v>
      </c>
      <c r="D190" s="860" t="s">
        <v>5</v>
      </c>
      <c r="E190" s="239">
        <v>0.05</v>
      </c>
      <c r="F190" s="239">
        <f>F186*E190</f>
        <v>1.298</v>
      </c>
      <c r="G190" s="1300"/>
      <c r="H190" s="1299">
        <f>F190*G190</f>
        <v>0</v>
      </c>
      <c r="I190" s="1299"/>
      <c r="J190" s="1299"/>
      <c r="K190" s="1299"/>
      <c r="L190" s="1299"/>
      <c r="M190" s="1299">
        <f t="shared" si="11"/>
        <v>0</v>
      </c>
    </row>
    <row r="191" spans="1:13">
      <c r="A191" s="1144"/>
      <c r="B191" s="618"/>
      <c r="C191" s="172" t="s">
        <v>42</v>
      </c>
      <c r="D191" s="618" t="s">
        <v>6</v>
      </c>
      <c r="E191" s="865">
        <v>0.35</v>
      </c>
      <c r="F191" s="239">
        <f>F186*E191</f>
        <v>9.0859999999999985</v>
      </c>
      <c r="G191" s="1300"/>
      <c r="H191" s="1299">
        <f>F191*G191</f>
        <v>0</v>
      </c>
      <c r="I191" s="1299"/>
      <c r="J191" s="1299"/>
      <c r="K191" s="1299"/>
      <c r="L191" s="1299"/>
      <c r="M191" s="1299">
        <f t="shared" si="11"/>
        <v>0</v>
      </c>
    </row>
    <row r="192" spans="1:13">
      <c r="A192" s="1145"/>
      <c r="B192" s="860"/>
      <c r="C192" s="184" t="s">
        <v>37</v>
      </c>
      <c r="D192" s="860" t="s">
        <v>24</v>
      </c>
      <c r="E192" s="239">
        <v>1.6E-2</v>
      </c>
      <c r="F192" s="239">
        <f>F186*E192</f>
        <v>0.41535999999999995</v>
      </c>
      <c r="G192" s="1300"/>
      <c r="H192" s="1299">
        <f>F192*G192</f>
        <v>0</v>
      </c>
      <c r="I192" s="1299"/>
      <c r="J192" s="1299"/>
      <c r="K192" s="1299"/>
      <c r="L192" s="1299"/>
      <c r="M192" s="1299">
        <f t="shared" si="11"/>
        <v>0</v>
      </c>
    </row>
    <row r="193" spans="1:13" ht="31.5">
      <c r="A193" s="1146" t="s">
        <v>462</v>
      </c>
      <c r="B193" s="86" t="s">
        <v>388</v>
      </c>
      <c r="C193" s="234" t="s">
        <v>345</v>
      </c>
      <c r="D193" s="85" t="s">
        <v>139</v>
      </c>
      <c r="E193" s="100"/>
      <c r="F193" s="49">
        <f>('77777'!O270+'77777'!O271+'77777'!O272+'77777'!O273+'77777'!O274+'77777'!O275+'77777'!O276   +   '77777'!O297+'77777'!O298+'77777'!O299)+('77777'!R270+'77777'!R271+'77777'!R272+'77777'!R273+'77777'!R274+'77777'!R275+'77777'!R276   +   '77777'!R297+'77777'!R298+'77777'!R299)*2</f>
        <v>453.7</v>
      </c>
      <c r="G193" s="1299"/>
      <c r="H193" s="1299"/>
      <c r="I193" s="1299"/>
      <c r="J193" s="1299"/>
      <c r="K193" s="1299"/>
      <c r="L193" s="1299"/>
      <c r="M193" s="1299"/>
    </row>
    <row r="194" spans="1:13">
      <c r="A194" s="1147"/>
      <c r="B194" s="618"/>
      <c r="C194" s="174" t="s">
        <v>33</v>
      </c>
      <c r="D194" s="104" t="s">
        <v>29</v>
      </c>
      <c r="E194" s="235">
        <v>0.15</v>
      </c>
      <c r="F194" s="239">
        <f>F193*E194</f>
        <v>68.054999999999993</v>
      </c>
      <c r="G194" s="1299"/>
      <c r="H194" s="1299"/>
      <c r="I194" s="1300"/>
      <c r="J194" s="1299">
        <f>F194*I194</f>
        <v>0</v>
      </c>
      <c r="K194" s="1299"/>
      <c r="L194" s="1299"/>
      <c r="M194" s="1299">
        <f>H194+J194+L194</f>
        <v>0</v>
      </c>
    </row>
    <row r="195" spans="1:13">
      <c r="A195" s="1147"/>
      <c r="B195" s="618"/>
      <c r="C195" s="174" t="s">
        <v>34</v>
      </c>
      <c r="D195" s="103" t="s">
        <v>24</v>
      </c>
      <c r="E195" s="235">
        <v>2E-3</v>
      </c>
      <c r="F195" s="239">
        <f>F193*E195</f>
        <v>0.90739999999999998</v>
      </c>
      <c r="G195" s="1299"/>
      <c r="H195" s="1299"/>
      <c r="I195" s="1299"/>
      <c r="J195" s="1299"/>
      <c r="K195" s="1300"/>
      <c r="L195" s="1299">
        <f>F195*K195</f>
        <v>0</v>
      </c>
      <c r="M195" s="1299">
        <f>H195+J195+L195</f>
        <v>0</v>
      </c>
    </row>
    <row r="196" spans="1:13">
      <c r="A196" s="1147"/>
      <c r="B196" s="53"/>
      <c r="C196" s="183" t="s">
        <v>285</v>
      </c>
      <c r="D196" s="53" t="str">
        <f>D193</f>
        <v>grZ.m.</v>
      </c>
      <c r="E196" s="119">
        <v>1.05</v>
      </c>
      <c r="F196" s="239">
        <f>F193*E196</f>
        <v>476.38499999999999</v>
      </c>
      <c r="G196" s="1300"/>
      <c r="H196" s="1299">
        <f>F196*G196</f>
        <v>0</v>
      </c>
      <c r="I196" s="1299"/>
      <c r="J196" s="1299"/>
      <c r="K196" s="1299"/>
      <c r="L196" s="1299"/>
      <c r="M196" s="1299">
        <f>H196+J196+L196</f>
        <v>0</v>
      </c>
    </row>
    <row r="197" spans="1:13">
      <c r="A197" s="1148"/>
      <c r="B197" s="618"/>
      <c r="C197" s="174" t="s">
        <v>32</v>
      </c>
      <c r="D197" s="103" t="s">
        <v>24</v>
      </c>
      <c r="E197" s="235">
        <v>2E-3</v>
      </c>
      <c r="F197" s="239">
        <f>F193*E197</f>
        <v>0.90739999999999998</v>
      </c>
      <c r="G197" s="1300"/>
      <c r="H197" s="1299">
        <f>F197*G197</f>
        <v>0</v>
      </c>
      <c r="I197" s="1299"/>
      <c r="J197" s="1299"/>
      <c r="K197" s="1299"/>
      <c r="L197" s="1299"/>
      <c r="M197" s="1299">
        <f>H197+J197+L197</f>
        <v>0</v>
      </c>
    </row>
    <row r="198" spans="1:13" ht="31.5">
      <c r="A198" s="1143" t="s">
        <v>463</v>
      </c>
      <c r="B198" s="86" t="s">
        <v>43</v>
      </c>
      <c r="C198" s="246" t="s">
        <v>284</v>
      </c>
      <c r="D198" s="86" t="s">
        <v>5</v>
      </c>
      <c r="E198" s="715"/>
      <c r="F198" s="49">
        <f>'77777'!BL111+F99*0.2</f>
        <v>1071.9475</v>
      </c>
      <c r="G198" s="1299"/>
      <c r="H198" s="1299"/>
      <c r="I198" s="1299"/>
      <c r="J198" s="1299"/>
      <c r="K198" s="1299"/>
      <c r="L198" s="1299"/>
      <c r="M198" s="1299"/>
    </row>
    <row r="199" spans="1:13">
      <c r="A199" s="1144"/>
      <c r="B199" s="618"/>
      <c r="C199" s="172" t="s">
        <v>27</v>
      </c>
      <c r="D199" s="618" t="s">
        <v>29</v>
      </c>
      <c r="E199" s="239">
        <v>0.65800000000000003</v>
      </c>
      <c r="F199" s="239">
        <f>F198*E199</f>
        <v>705.341455</v>
      </c>
      <c r="G199" s="1299"/>
      <c r="H199" s="1299"/>
      <c r="I199" s="1300"/>
      <c r="J199" s="1299">
        <f>F199*I199</f>
        <v>0</v>
      </c>
      <c r="K199" s="1299"/>
      <c r="L199" s="1299"/>
      <c r="M199" s="1299">
        <f t="shared" ref="M199:M204" si="12">H199+J199+L199</f>
        <v>0</v>
      </c>
    </row>
    <row r="200" spans="1:13">
      <c r="A200" s="1144"/>
      <c r="B200" s="618"/>
      <c r="C200" s="184" t="s">
        <v>28</v>
      </c>
      <c r="D200" s="711" t="s">
        <v>30</v>
      </c>
      <c r="E200" s="239">
        <v>0.01</v>
      </c>
      <c r="F200" s="239">
        <f>F198*E200</f>
        <v>10.719475000000001</v>
      </c>
      <c r="G200" s="1299"/>
      <c r="H200" s="1299"/>
      <c r="I200" s="1299"/>
      <c r="J200" s="1299"/>
      <c r="K200" s="1300"/>
      <c r="L200" s="1299">
        <f>F200*K200</f>
        <v>0</v>
      </c>
      <c r="M200" s="1299">
        <f t="shared" si="12"/>
        <v>0</v>
      </c>
    </row>
    <row r="201" spans="1:13">
      <c r="A201" s="1144"/>
      <c r="B201" s="618"/>
      <c r="C201" s="172" t="s">
        <v>44</v>
      </c>
      <c r="D201" s="618" t="s">
        <v>6</v>
      </c>
      <c r="E201" s="715">
        <v>0.85</v>
      </c>
      <c r="F201" s="239">
        <f>F198*E201</f>
        <v>911.15537499999994</v>
      </c>
      <c r="G201" s="1300"/>
      <c r="H201" s="1299">
        <f>F201*G201</f>
        <v>0</v>
      </c>
      <c r="I201" s="1299"/>
      <c r="J201" s="1299"/>
      <c r="K201" s="1299"/>
      <c r="L201" s="1299"/>
      <c r="M201" s="1299">
        <f t="shared" si="12"/>
        <v>0</v>
      </c>
    </row>
    <row r="202" spans="1:13">
      <c r="A202" s="1144"/>
      <c r="B202" s="618"/>
      <c r="C202" s="172" t="s">
        <v>8</v>
      </c>
      <c r="D202" s="618" t="s">
        <v>5</v>
      </c>
      <c r="E202" s="715">
        <v>0.05</v>
      </c>
      <c r="F202" s="239">
        <f>F198*E202</f>
        <v>53.597375</v>
      </c>
      <c r="G202" s="1300"/>
      <c r="H202" s="1299">
        <f>F202*G202</f>
        <v>0</v>
      </c>
      <c r="I202" s="1299"/>
      <c r="J202" s="1299"/>
      <c r="K202" s="1299"/>
      <c r="L202" s="1299"/>
      <c r="M202" s="1299">
        <f t="shared" si="12"/>
        <v>0</v>
      </c>
    </row>
    <row r="203" spans="1:13">
      <c r="A203" s="1144"/>
      <c r="B203" s="618"/>
      <c r="C203" s="172" t="s">
        <v>42</v>
      </c>
      <c r="D203" s="618" t="s">
        <v>6</v>
      </c>
      <c r="E203" s="715">
        <v>0.35</v>
      </c>
      <c r="F203" s="239">
        <f>F198*E203</f>
        <v>375.181625</v>
      </c>
      <c r="G203" s="1300"/>
      <c r="H203" s="1299">
        <f>F203*G203</f>
        <v>0</v>
      </c>
      <c r="I203" s="1299"/>
      <c r="J203" s="1299"/>
      <c r="K203" s="1299"/>
      <c r="L203" s="1299"/>
      <c r="M203" s="1299">
        <f t="shared" si="12"/>
        <v>0</v>
      </c>
    </row>
    <row r="204" spans="1:13">
      <c r="A204" s="1145"/>
      <c r="B204" s="618"/>
      <c r="C204" s="184" t="s">
        <v>37</v>
      </c>
      <c r="D204" s="711" t="s">
        <v>24</v>
      </c>
      <c r="E204" s="239">
        <v>1.6E-2</v>
      </c>
      <c r="F204" s="239">
        <f>F198*E204</f>
        <v>17.151160000000001</v>
      </c>
      <c r="G204" s="1300"/>
      <c r="H204" s="1299">
        <f>F204*G204</f>
        <v>0</v>
      </c>
      <c r="I204" s="1299"/>
      <c r="J204" s="1299"/>
      <c r="K204" s="1299"/>
      <c r="L204" s="1299"/>
      <c r="M204" s="1299">
        <f t="shared" si="12"/>
        <v>0</v>
      </c>
    </row>
    <row r="205" spans="1:13">
      <c r="A205" s="1146" t="s">
        <v>464</v>
      </c>
      <c r="B205" s="86" t="s">
        <v>447</v>
      </c>
      <c r="C205" s="246" t="s">
        <v>318</v>
      </c>
      <c r="D205" s="86" t="s">
        <v>1</v>
      </c>
      <c r="E205" s="239"/>
      <c r="F205" s="49">
        <f>'77777'!X111</f>
        <v>360.29999999999995</v>
      </c>
      <c r="G205" s="1299"/>
      <c r="H205" s="1299"/>
      <c r="I205" s="1299"/>
      <c r="J205" s="1299"/>
      <c r="K205" s="1299"/>
      <c r="L205" s="1299"/>
      <c r="M205" s="1299"/>
    </row>
    <row r="206" spans="1:13">
      <c r="A206" s="1147"/>
      <c r="B206" s="86"/>
      <c r="C206" s="174" t="s">
        <v>33</v>
      </c>
      <c r="D206" s="104" t="s">
        <v>29</v>
      </c>
      <c r="E206" s="387">
        <v>0.15</v>
      </c>
      <c r="F206" s="45">
        <f>F205*E206</f>
        <v>54.044999999999995</v>
      </c>
      <c r="G206" s="1299"/>
      <c r="H206" s="1299"/>
      <c r="I206" s="1300"/>
      <c r="J206" s="1299">
        <f>F206*I206</f>
        <v>0</v>
      </c>
      <c r="K206" s="1299"/>
      <c r="L206" s="1299"/>
      <c r="M206" s="1299">
        <f>H206+J206+L206</f>
        <v>0</v>
      </c>
    </row>
    <row r="207" spans="1:13">
      <c r="A207" s="1147"/>
      <c r="B207" s="86"/>
      <c r="C207" s="174" t="s">
        <v>34</v>
      </c>
      <c r="D207" s="103" t="s">
        <v>24</v>
      </c>
      <c r="E207" s="387">
        <v>2E-3</v>
      </c>
      <c r="F207" s="45">
        <f>F205*E207</f>
        <v>0.72059999999999991</v>
      </c>
      <c r="G207" s="1299"/>
      <c r="H207" s="1299"/>
      <c r="I207" s="1299"/>
      <c r="J207" s="1299"/>
      <c r="K207" s="1300"/>
      <c r="L207" s="1299">
        <f>F207*K207</f>
        <v>0</v>
      </c>
      <c r="M207" s="1299">
        <f>H207+J207+L207</f>
        <v>0</v>
      </c>
    </row>
    <row r="208" spans="1:13">
      <c r="A208" s="1147"/>
      <c r="B208" s="87"/>
      <c r="C208" s="184" t="s">
        <v>446</v>
      </c>
      <c r="D208" s="107" t="s">
        <v>1</v>
      </c>
      <c r="E208" s="387">
        <v>1.01</v>
      </c>
      <c r="F208" s="45">
        <f>F205*E208</f>
        <v>363.90299999999996</v>
      </c>
      <c r="G208" s="1300"/>
      <c r="H208" s="1299">
        <f>F208*G208</f>
        <v>0</v>
      </c>
      <c r="I208" s="1299"/>
      <c r="J208" s="1299"/>
      <c r="K208" s="1299"/>
      <c r="L208" s="1299"/>
      <c r="M208" s="1299">
        <f>H208+J208+L208</f>
        <v>0</v>
      </c>
    </row>
    <row r="209" spans="1:13">
      <c r="A209" s="1148"/>
      <c r="B209" s="86"/>
      <c r="C209" s="174" t="s">
        <v>32</v>
      </c>
      <c r="D209" s="103" t="s">
        <v>24</v>
      </c>
      <c r="E209" s="387">
        <v>2E-3</v>
      </c>
      <c r="F209" s="45">
        <f>F205*E209</f>
        <v>0.72059999999999991</v>
      </c>
      <c r="G209" s="1300"/>
      <c r="H209" s="1299">
        <f>F209*G209</f>
        <v>0</v>
      </c>
      <c r="I209" s="1299"/>
      <c r="J209" s="1299"/>
      <c r="K209" s="1299"/>
      <c r="L209" s="1299"/>
      <c r="M209" s="1299">
        <f>H209+J209+L209</f>
        <v>0</v>
      </c>
    </row>
    <row r="210" spans="1:13" ht="31.5">
      <c r="A210" s="1143" t="s">
        <v>465</v>
      </c>
      <c r="B210" s="86" t="s">
        <v>136</v>
      </c>
      <c r="C210" s="312" t="s">
        <v>343</v>
      </c>
      <c r="D210" s="87" t="s">
        <v>5</v>
      </c>
      <c r="E210" s="239"/>
      <c r="F210" s="49">
        <f>'77777'!BR111</f>
        <v>194.99999999999994</v>
      </c>
      <c r="G210" s="1299"/>
      <c r="H210" s="1299"/>
      <c r="I210" s="1299"/>
      <c r="J210" s="1299"/>
      <c r="K210" s="1299"/>
      <c r="L210" s="1299"/>
      <c r="M210" s="1299"/>
    </row>
    <row r="211" spans="1:13">
      <c r="A211" s="1144"/>
      <c r="B211" s="618"/>
      <c r="C211" s="172" t="s">
        <v>27</v>
      </c>
      <c r="D211" s="618" t="s">
        <v>29</v>
      </c>
      <c r="E211" s="239">
        <v>2.19</v>
      </c>
      <c r="F211" s="239">
        <f>F210*E211</f>
        <v>427.04999999999984</v>
      </c>
      <c r="G211" s="1299"/>
      <c r="H211" s="1299"/>
      <c r="I211" s="1300"/>
      <c r="J211" s="1299">
        <f>F211*I211</f>
        <v>0</v>
      </c>
      <c r="K211" s="1299"/>
      <c r="L211" s="1299"/>
      <c r="M211" s="1299">
        <f t="shared" ref="M211:M216" si="13">H211+J211+L211</f>
        <v>0</v>
      </c>
    </row>
    <row r="212" spans="1:13">
      <c r="A212" s="1144"/>
      <c r="B212" s="618"/>
      <c r="C212" s="184" t="s">
        <v>28</v>
      </c>
      <c r="D212" s="711" t="s">
        <v>30</v>
      </c>
      <c r="E212" s="239">
        <v>0.02</v>
      </c>
      <c r="F212" s="239">
        <f>F210*E212</f>
        <v>3.899999999999999</v>
      </c>
      <c r="G212" s="1299"/>
      <c r="H212" s="1299"/>
      <c r="I212" s="1299"/>
      <c r="J212" s="1299"/>
      <c r="K212" s="1300"/>
      <c r="L212" s="1299">
        <f>F212*K212</f>
        <v>0</v>
      </c>
      <c r="M212" s="1299">
        <f t="shared" si="13"/>
        <v>0</v>
      </c>
    </row>
    <row r="213" spans="1:13">
      <c r="A213" s="1144"/>
      <c r="B213" s="618"/>
      <c r="C213" s="172" t="s">
        <v>63</v>
      </c>
      <c r="D213" s="618" t="s">
        <v>5</v>
      </c>
      <c r="E213" s="715">
        <v>1.05</v>
      </c>
      <c r="F213" s="239">
        <f>F210*E213</f>
        <v>204.74999999999994</v>
      </c>
      <c r="G213" s="1300"/>
      <c r="H213" s="1299">
        <f>F213*G213</f>
        <v>0</v>
      </c>
      <c r="I213" s="1299"/>
      <c r="J213" s="1299"/>
      <c r="K213" s="1299"/>
      <c r="L213" s="1299"/>
      <c r="M213" s="1299">
        <f t="shared" si="13"/>
        <v>0</v>
      </c>
    </row>
    <row r="214" spans="1:13">
      <c r="A214" s="1144"/>
      <c r="B214" s="618"/>
      <c r="C214" s="172" t="s">
        <v>64</v>
      </c>
      <c r="D214" s="618" t="s">
        <v>6</v>
      </c>
      <c r="E214" s="715">
        <v>5</v>
      </c>
      <c r="F214" s="239">
        <f>F210*E214</f>
        <v>974.99999999999977</v>
      </c>
      <c r="G214" s="1300"/>
      <c r="H214" s="1299">
        <f>F214*G214</f>
        <v>0</v>
      </c>
      <c r="I214" s="1299"/>
      <c r="J214" s="1299"/>
      <c r="K214" s="1299"/>
      <c r="L214" s="1299"/>
      <c r="M214" s="1299">
        <f t="shared" si="13"/>
        <v>0</v>
      </c>
    </row>
    <row r="215" spans="1:13">
      <c r="A215" s="1144"/>
      <c r="B215" s="618"/>
      <c r="C215" s="183" t="s">
        <v>299</v>
      </c>
      <c r="D215" s="53" t="s">
        <v>141</v>
      </c>
      <c r="E215" s="119">
        <v>0.3</v>
      </c>
      <c r="F215" s="196">
        <f>F210*E215</f>
        <v>58.499999999999979</v>
      </c>
      <c r="G215" s="1300"/>
      <c r="H215" s="1299">
        <f>F215*G215</f>
        <v>0</v>
      </c>
      <c r="I215" s="1299"/>
      <c r="J215" s="1299"/>
      <c r="K215" s="1299"/>
      <c r="L215" s="1299"/>
      <c r="M215" s="1299">
        <f t="shared" si="13"/>
        <v>0</v>
      </c>
    </row>
    <row r="216" spans="1:13">
      <c r="A216" s="1145"/>
      <c r="B216" s="618"/>
      <c r="C216" s="184" t="s">
        <v>37</v>
      </c>
      <c r="D216" s="711" t="s">
        <v>24</v>
      </c>
      <c r="E216" s="239">
        <v>7.0000000000000001E-3</v>
      </c>
      <c r="F216" s="239">
        <f>F210*E216</f>
        <v>1.3649999999999995</v>
      </c>
      <c r="G216" s="1300"/>
      <c r="H216" s="1299">
        <f>F216*G216</f>
        <v>0</v>
      </c>
      <c r="I216" s="1299"/>
      <c r="J216" s="1299"/>
      <c r="K216" s="1299"/>
      <c r="L216" s="1299"/>
      <c r="M216" s="1299">
        <f t="shared" si="13"/>
        <v>0</v>
      </c>
    </row>
    <row r="217" spans="1:13">
      <c r="A217" s="704"/>
      <c r="B217" s="388"/>
      <c r="C217" s="373"/>
      <c r="D217" s="709"/>
      <c r="E217" s="389"/>
      <c r="F217" s="1018"/>
      <c r="G217" s="1309"/>
      <c r="H217" s="1299"/>
      <c r="I217" s="1299"/>
      <c r="J217" s="1299"/>
      <c r="K217" s="1299"/>
      <c r="L217" s="1299"/>
      <c r="M217" s="1299"/>
    </row>
    <row r="218" spans="1:13" ht="47.25">
      <c r="A218" s="894" t="s">
        <v>470</v>
      </c>
      <c r="B218" s="87"/>
      <c r="C218" s="312" t="s">
        <v>935</v>
      </c>
      <c r="D218" s="87" t="s">
        <v>75</v>
      </c>
      <c r="E218" s="154"/>
      <c r="F218" s="146">
        <v>1</v>
      </c>
      <c r="G218" s="1284"/>
      <c r="H218" s="1299"/>
      <c r="I218" s="1310"/>
      <c r="J218" s="1299">
        <f>F218*I218</f>
        <v>0</v>
      </c>
      <c r="K218" s="1311"/>
      <c r="L218" s="1284"/>
      <c r="M218" s="1284">
        <f>H218+J218+L218</f>
        <v>0</v>
      </c>
    </row>
    <row r="219" spans="1:13">
      <c r="A219" s="706"/>
      <c r="B219" s="112"/>
      <c r="C219" s="179"/>
      <c r="D219" s="195"/>
      <c r="E219" s="89"/>
      <c r="F219" s="89"/>
      <c r="G219" s="1299"/>
      <c r="H219" s="1299"/>
      <c r="I219" s="1299"/>
      <c r="J219" s="1299"/>
      <c r="K219" s="1299"/>
      <c r="L219" s="1299"/>
      <c r="M219" s="1299"/>
    </row>
    <row r="220" spans="1:13" ht="74.25" customHeight="1">
      <c r="A220" s="1129" t="s">
        <v>471</v>
      </c>
      <c r="B220" s="717" t="s">
        <v>594</v>
      </c>
      <c r="C220" s="176" t="s">
        <v>639</v>
      </c>
      <c r="D220" s="712" t="s">
        <v>128</v>
      </c>
      <c r="E220" s="239"/>
      <c r="F220" s="49">
        <v>20</v>
      </c>
      <c r="G220" s="1303"/>
      <c r="H220" s="1303"/>
      <c r="I220" s="1303"/>
      <c r="J220" s="1303"/>
      <c r="K220" s="1303"/>
      <c r="L220" s="1303"/>
      <c r="M220" s="1303"/>
    </row>
    <row r="221" spans="1:13">
      <c r="A221" s="1129"/>
      <c r="B221" s="712"/>
      <c r="C221" s="174" t="s">
        <v>33</v>
      </c>
      <c r="D221" s="104" t="s">
        <v>29</v>
      </c>
      <c r="E221" s="235">
        <v>0.6</v>
      </c>
      <c r="F221" s="116">
        <f>F220*E221</f>
        <v>12</v>
      </c>
      <c r="G221" s="1301"/>
      <c r="H221" s="1303"/>
      <c r="I221" s="1302"/>
      <c r="J221" s="1303">
        <f>F221*I221</f>
        <v>0</v>
      </c>
      <c r="K221" s="1303"/>
      <c r="L221" s="1303"/>
      <c r="M221" s="1303">
        <f>H221+J221+L221</f>
        <v>0</v>
      </c>
    </row>
    <row r="222" spans="1:13" ht="31.5">
      <c r="A222" s="1129"/>
      <c r="B222" s="356" t="s">
        <v>418</v>
      </c>
      <c r="C222" s="357" t="s">
        <v>133</v>
      </c>
      <c r="D222" s="712" t="s">
        <v>7</v>
      </c>
      <c r="E222" s="235"/>
      <c r="F222" s="147">
        <f>F220*1.95</f>
        <v>39</v>
      </c>
      <c r="G222" s="1301"/>
      <c r="H222" s="1303"/>
      <c r="I222" s="1301"/>
      <c r="J222" s="1303"/>
      <c r="K222" s="1301"/>
      <c r="L222" s="1303"/>
      <c r="M222" s="1303"/>
    </row>
    <row r="223" spans="1:13">
      <c r="A223" s="1129"/>
      <c r="B223" s="84"/>
      <c r="C223" s="358" t="s">
        <v>39</v>
      </c>
      <c r="D223" s="104" t="s">
        <v>29</v>
      </c>
      <c r="E223" s="235">
        <v>0.53</v>
      </c>
      <c r="F223" s="116">
        <f>F222*E223</f>
        <v>20.67</v>
      </c>
      <c r="G223" s="1301"/>
      <c r="H223" s="1303"/>
      <c r="I223" s="1302"/>
      <c r="J223" s="1303">
        <f>F223*I223</f>
        <v>0</v>
      </c>
      <c r="K223" s="1301"/>
      <c r="L223" s="1303"/>
      <c r="M223" s="1303">
        <f>H223+J223+L223</f>
        <v>0</v>
      </c>
    </row>
    <row r="224" spans="1:13">
      <c r="A224" s="1129"/>
      <c r="B224" s="712" t="s">
        <v>346</v>
      </c>
      <c r="C224" s="396" t="s">
        <v>932</v>
      </c>
      <c r="D224" s="712" t="s">
        <v>7</v>
      </c>
      <c r="E224" s="235"/>
      <c r="F224" s="147">
        <f>F222</f>
        <v>39</v>
      </c>
      <c r="G224" s="1301"/>
      <c r="H224" s="1303"/>
      <c r="I224" s="1301"/>
      <c r="J224" s="1303"/>
      <c r="K224" s="1312"/>
      <c r="L224" s="1303">
        <f>F224*K224</f>
        <v>0</v>
      </c>
      <c r="M224" s="1303">
        <f>H224+J224+L224</f>
        <v>0</v>
      </c>
    </row>
    <row r="225" spans="1:15">
      <c r="A225" s="982"/>
      <c r="B225" s="983"/>
      <c r="C225" s="984" t="s">
        <v>958</v>
      </c>
      <c r="D225" s="985"/>
      <c r="E225" s="986"/>
      <c r="F225" s="987"/>
      <c r="G225" s="1313"/>
      <c r="H225" s="1313">
        <f>SUM(H10:H224)</f>
        <v>0</v>
      </c>
      <c r="I225" s="1313"/>
      <c r="J225" s="1313">
        <f>SUM(J10:J224)</f>
        <v>0</v>
      </c>
      <c r="K225" s="1313"/>
      <c r="L225" s="1313">
        <f>SUM(L10:L224)</f>
        <v>0</v>
      </c>
      <c r="M225" s="1313">
        <f>SUM(M10:M224)</f>
        <v>0</v>
      </c>
      <c r="N225" s="632"/>
    </row>
    <row r="226" spans="1:15" ht="31.5">
      <c r="A226" s="707"/>
      <c r="B226" s="263"/>
      <c r="C226" s="390" t="s">
        <v>456</v>
      </c>
      <c r="D226" s="263"/>
      <c r="E226" s="269"/>
      <c r="F226" s="1110"/>
      <c r="G226" s="1314"/>
      <c r="H226" s="1314"/>
      <c r="I226" s="1314"/>
      <c r="J226" s="1314"/>
      <c r="K226" s="1314"/>
      <c r="L226" s="1314"/>
      <c r="M226" s="1315">
        <f>H225*F226</f>
        <v>0</v>
      </c>
    </row>
    <row r="227" spans="1:15">
      <c r="A227" s="707"/>
      <c r="B227" s="263"/>
      <c r="C227" s="261" t="s">
        <v>70</v>
      </c>
      <c r="D227" s="263"/>
      <c r="E227" s="269"/>
      <c r="F227" s="269"/>
      <c r="G227" s="1314"/>
      <c r="H227" s="1314"/>
      <c r="I227" s="1314"/>
      <c r="J227" s="1314"/>
      <c r="K227" s="1314"/>
      <c r="L227" s="1314"/>
      <c r="M227" s="1315">
        <f>M225+M226</f>
        <v>0</v>
      </c>
    </row>
    <row r="228" spans="1:15">
      <c r="A228" s="270"/>
      <c r="B228" s="271"/>
      <c r="C228" s="94" t="s">
        <v>73</v>
      </c>
      <c r="D228" s="77"/>
      <c r="E228" s="382"/>
      <c r="F228" s="1111"/>
      <c r="G228" s="1316"/>
      <c r="H228" s="1316"/>
      <c r="I228" s="1316"/>
      <c r="J228" s="1316"/>
      <c r="K228" s="1316"/>
      <c r="L228" s="1316"/>
      <c r="M228" s="1316">
        <f>M227*F228</f>
        <v>0</v>
      </c>
    </row>
    <row r="229" spans="1:15">
      <c r="A229" s="273"/>
      <c r="B229" s="274"/>
      <c r="C229" s="261" t="s">
        <v>70</v>
      </c>
      <c r="D229" s="78"/>
      <c r="E229" s="383"/>
      <c r="F229" s="275"/>
      <c r="G229" s="1317"/>
      <c r="H229" s="1317"/>
      <c r="I229" s="1317"/>
      <c r="J229" s="1317"/>
      <c r="K229" s="1317"/>
      <c r="L229" s="1317"/>
      <c r="M229" s="1317">
        <f>M227+M228</f>
        <v>0</v>
      </c>
    </row>
    <row r="230" spans="1:15">
      <c r="A230" s="273"/>
      <c r="B230" s="274"/>
      <c r="C230" s="95" t="s">
        <v>66</v>
      </c>
      <c r="D230" s="78"/>
      <c r="E230" s="383"/>
      <c r="F230" s="1112"/>
      <c r="G230" s="1317"/>
      <c r="H230" s="1317"/>
      <c r="I230" s="1317"/>
      <c r="J230" s="1317"/>
      <c r="K230" s="1317"/>
      <c r="L230" s="1317"/>
      <c r="M230" s="1317">
        <f>M229*F230</f>
        <v>0</v>
      </c>
    </row>
    <row r="231" spans="1:15" s="1103" customFormat="1">
      <c r="A231" s="1104"/>
      <c r="B231" s="143"/>
      <c r="C231" s="142" t="s">
        <v>1075</v>
      </c>
      <c r="D231" s="143"/>
      <c r="E231" s="282"/>
      <c r="F231" s="282"/>
      <c r="G231" s="1318"/>
      <c r="H231" s="1318"/>
      <c r="I231" s="1318"/>
      <c r="J231" s="1318"/>
      <c r="K231" s="1318"/>
      <c r="L231" s="1318"/>
      <c r="M231" s="1319">
        <f>M230+M229</f>
        <v>0</v>
      </c>
      <c r="O231" s="1105"/>
    </row>
    <row r="232" spans="1:15">
      <c r="G232" s="1320"/>
      <c r="H232" s="1320"/>
      <c r="I232" s="1320"/>
      <c r="J232" s="1320"/>
      <c r="K232" s="1320"/>
      <c r="L232" s="1320"/>
      <c r="M232" s="1320"/>
    </row>
    <row r="233" spans="1:15" ht="27.75" customHeight="1">
      <c r="A233" s="948" t="s">
        <v>944</v>
      </c>
      <c r="B233" s="921"/>
      <c r="C233" s="939" t="s">
        <v>721</v>
      </c>
      <c r="D233" s="921"/>
      <c r="E233" s="922"/>
      <c r="F233" s="922"/>
      <c r="G233" s="1296"/>
      <c r="H233" s="1297"/>
      <c r="I233" s="1296"/>
      <c r="J233" s="1297"/>
      <c r="K233" s="1296"/>
      <c r="L233" s="1297"/>
      <c r="M233" s="1297"/>
    </row>
    <row r="234" spans="1:15" s="1082" customFormat="1" ht="26.25" customHeight="1">
      <c r="A234" s="855"/>
      <c r="B234" s="609"/>
      <c r="C234" s="610" t="s">
        <v>635</v>
      </c>
      <c r="D234" s="609"/>
      <c r="E234" s="611"/>
      <c r="F234" s="611"/>
      <c r="G234" s="1298"/>
      <c r="H234" s="1298"/>
      <c r="I234" s="1298"/>
      <c r="J234" s="1298"/>
      <c r="K234" s="1298"/>
      <c r="L234" s="1298"/>
      <c r="M234" s="1298"/>
      <c r="O234" s="1083"/>
    </row>
    <row r="235" spans="1:15" s="201" customFormat="1">
      <c r="A235" s="1135" t="s">
        <v>324</v>
      </c>
      <c r="B235" s="86" t="s">
        <v>838</v>
      </c>
      <c r="C235" s="180" t="s">
        <v>839</v>
      </c>
      <c r="D235" s="856" t="s">
        <v>5</v>
      </c>
      <c r="E235" s="110"/>
      <c r="F235" s="146">
        <f>'77777'!CI172</f>
        <v>1.8900000000000001</v>
      </c>
      <c r="G235" s="1299"/>
      <c r="H235" s="1299"/>
      <c r="I235" s="1299"/>
      <c r="J235" s="1299"/>
      <c r="K235" s="1299"/>
      <c r="L235" s="1284"/>
      <c r="M235" s="1284"/>
      <c r="O235" s="631"/>
    </row>
    <row r="236" spans="1:15" s="201" customFormat="1">
      <c r="A236" s="1136"/>
      <c r="B236" s="86"/>
      <c r="C236" s="221" t="s">
        <v>33</v>
      </c>
      <c r="D236" s="103" t="s">
        <v>29</v>
      </c>
      <c r="E236" s="110">
        <f>0.887</f>
        <v>0.88700000000000001</v>
      </c>
      <c r="F236" s="45">
        <f>F235*E236</f>
        <v>1.6764300000000001</v>
      </c>
      <c r="G236" s="1299"/>
      <c r="H236" s="1299"/>
      <c r="I236" s="1300"/>
      <c r="J236" s="1299">
        <f>F236*I236</f>
        <v>0</v>
      </c>
      <c r="K236" s="1299"/>
      <c r="L236" s="1284"/>
      <c r="M236" s="1284">
        <f>H236+J236+L236</f>
        <v>0</v>
      </c>
      <c r="O236" s="631"/>
    </row>
    <row r="237" spans="1:15" s="201" customFormat="1">
      <c r="A237" s="1137"/>
      <c r="B237" s="86"/>
      <c r="C237" s="173" t="s">
        <v>28</v>
      </c>
      <c r="D237" s="371" t="s">
        <v>24</v>
      </c>
      <c r="E237" s="110">
        <f>0.0984</f>
        <v>9.8400000000000001E-2</v>
      </c>
      <c r="F237" s="45">
        <f>F235*E237</f>
        <v>0.185976</v>
      </c>
      <c r="G237" s="1299"/>
      <c r="H237" s="1299"/>
      <c r="I237" s="1299"/>
      <c r="J237" s="1299"/>
      <c r="K237" s="1300"/>
      <c r="L237" s="1284">
        <f>F237*K237</f>
        <v>0</v>
      </c>
      <c r="M237" s="1284">
        <f>H237+J237+L237</f>
        <v>0</v>
      </c>
      <c r="O237" s="631"/>
    </row>
    <row r="238" spans="1:15" s="201" customFormat="1">
      <c r="A238" s="1135" t="s">
        <v>337</v>
      </c>
      <c r="B238" s="86" t="s">
        <v>847</v>
      </c>
      <c r="C238" s="180" t="s">
        <v>846</v>
      </c>
      <c r="D238" s="856" t="s">
        <v>5</v>
      </c>
      <c r="E238" s="857"/>
      <c r="F238" s="146">
        <f>'77777'!BQ170</f>
        <v>0</v>
      </c>
      <c r="G238" s="1299"/>
      <c r="H238" s="1299"/>
      <c r="I238" s="1299"/>
      <c r="J238" s="1299"/>
      <c r="K238" s="1299"/>
      <c r="L238" s="1284"/>
      <c r="M238" s="1284"/>
      <c r="O238" s="631"/>
    </row>
    <row r="239" spans="1:15" s="201" customFormat="1">
      <c r="A239" s="1136"/>
      <c r="B239" s="86"/>
      <c r="C239" s="221" t="s">
        <v>33</v>
      </c>
      <c r="D239" s="103" t="s">
        <v>29</v>
      </c>
      <c r="E239" s="110">
        <v>0.56000000000000005</v>
      </c>
      <c r="F239" s="45">
        <f>F238*E239</f>
        <v>0</v>
      </c>
      <c r="G239" s="1299"/>
      <c r="H239" s="1299"/>
      <c r="I239" s="1300"/>
      <c r="J239" s="1299">
        <f>F239*I239</f>
        <v>0</v>
      </c>
      <c r="K239" s="1299"/>
      <c r="L239" s="1284"/>
      <c r="M239" s="1284">
        <f>H239+J239+L239</f>
        <v>0</v>
      </c>
      <c r="O239" s="631"/>
    </row>
    <row r="240" spans="1:15" s="201" customFormat="1" ht="31.5">
      <c r="A240" s="1135" t="s">
        <v>60</v>
      </c>
      <c r="B240" s="86" t="s">
        <v>840</v>
      </c>
      <c r="C240" s="180" t="s">
        <v>841</v>
      </c>
      <c r="D240" s="856" t="s">
        <v>5</v>
      </c>
      <c r="E240" s="110"/>
      <c r="F240" s="146">
        <f>'77777'!BG170</f>
        <v>666.23</v>
      </c>
      <c r="G240" s="1299"/>
      <c r="H240" s="1299"/>
      <c r="I240" s="1299"/>
      <c r="J240" s="1299"/>
      <c r="K240" s="1299"/>
      <c r="L240" s="1284"/>
      <c r="M240" s="1284"/>
      <c r="O240" s="631"/>
    </row>
    <row r="241" spans="1:15" s="201" customFormat="1">
      <c r="A241" s="1136"/>
      <c r="B241" s="86"/>
      <c r="C241" s="221" t="s">
        <v>33</v>
      </c>
      <c r="D241" s="103" t="s">
        <v>29</v>
      </c>
      <c r="E241" s="110">
        <v>0.186</v>
      </c>
      <c r="F241" s="45">
        <f>F240*E241</f>
        <v>123.91878</v>
      </c>
      <c r="G241" s="1299"/>
      <c r="H241" s="1299"/>
      <c r="I241" s="1300"/>
      <c r="J241" s="1299">
        <f>F241*I241</f>
        <v>0</v>
      </c>
      <c r="K241" s="1299"/>
      <c r="L241" s="1284"/>
      <c r="M241" s="1284">
        <f>H241+J241+L241</f>
        <v>0</v>
      </c>
      <c r="O241" s="631"/>
    </row>
    <row r="242" spans="1:15" s="201" customFormat="1">
      <c r="A242" s="1137"/>
      <c r="B242" s="86"/>
      <c r="C242" s="173" t="s">
        <v>28</v>
      </c>
      <c r="D242" s="371" t="s">
        <v>24</v>
      </c>
      <c r="E242" s="110">
        <v>1.6000000000000001E-3</v>
      </c>
      <c r="F242" s="45">
        <f>F240*E242</f>
        <v>1.065968</v>
      </c>
      <c r="G242" s="1299"/>
      <c r="H242" s="1299"/>
      <c r="I242" s="1299"/>
      <c r="J242" s="1299"/>
      <c r="K242" s="1300"/>
      <c r="L242" s="1284">
        <f>F242*K242</f>
        <v>0</v>
      </c>
      <c r="M242" s="1284">
        <f>H242+J242+L242</f>
        <v>0</v>
      </c>
      <c r="O242" s="631"/>
    </row>
    <row r="243" spans="1:15" s="201" customFormat="1" ht="31.5">
      <c r="A243" s="1136" t="s">
        <v>339</v>
      </c>
      <c r="B243" s="86" t="s">
        <v>850</v>
      </c>
      <c r="C243" s="180" t="s">
        <v>852</v>
      </c>
      <c r="D243" s="856" t="s">
        <v>4</v>
      </c>
      <c r="E243" s="857"/>
      <c r="F243" s="146">
        <f>'77777'!E174</f>
        <v>5.8049999999999997</v>
      </c>
      <c r="G243" s="1299"/>
      <c r="H243" s="1299"/>
      <c r="I243" s="1299"/>
      <c r="J243" s="1299"/>
      <c r="K243" s="1299"/>
      <c r="L243" s="1284"/>
      <c r="M243" s="1284"/>
      <c r="O243" s="631"/>
    </row>
    <row r="244" spans="1:15" s="201" customFormat="1">
      <c r="A244" s="1136"/>
      <c r="B244" s="86"/>
      <c r="C244" s="221" t="s">
        <v>33</v>
      </c>
      <c r="D244" s="103" t="s">
        <v>29</v>
      </c>
      <c r="E244" s="110">
        <v>6.5</v>
      </c>
      <c r="F244" s="45">
        <f>F243*E244</f>
        <v>37.732500000000002</v>
      </c>
      <c r="G244" s="1299"/>
      <c r="H244" s="1299"/>
      <c r="I244" s="1300"/>
      <c r="J244" s="1299">
        <f>F244*I244</f>
        <v>0</v>
      </c>
      <c r="K244" s="1299"/>
      <c r="L244" s="1284"/>
      <c r="M244" s="1284">
        <f>H244+J244+L244</f>
        <v>0</v>
      </c>
      <c r="O244" s="631"/>
    </row>
    <row r="245" spans="1:15" s="201" customFormat="1">
      <c r="A245" s="1137"/>
      <c r="B245" s="86"/>
      <c r="C245" s="173" t="s">
        <v>28</v>
      </c>
      <c r="D245" s="371" t="s">
        <v>24</v>
      </c>
      <c r="E245" s="110">
        <v>1.8</v>
      </c>
      <c r="F245" s="45">
        <f>F243*E245</f>
        <v>10.449</v>
      </c>
      <c r="G245" s="1299"/>
      <c r="H245" s="1299"/>
      <c r="I245" s="1299"/>
      <c r="J245" s="1299"/>
      <c r="K245" s="1300"/>
      <c r="L245" s="1284">
        <f>F245*K245</f>
        <v>0</v>
      </c>
      <c r="M245" s="1284">
        <f>H245+J245+L245</f>
        <v>0</v>
      </c>
      <c r="O245" s="631"/>
    </row>
    <row r="246" spans="1:15" s="201" customFormat="1" ht="31.5">
      <c r="A246" s="1135" t="s">
        <v>81</v>
      </c>
      <c r="B246" s="913" t="s">
        <v>595</v>
      </c>
      <c r="C246" s="176" t="s">
        <v>949</v>
      </c>
      <c r="D246" s="308" t="s">
        <v>4</v>
      </c>
      <c r="E246" s="208"/>
      <c r="F246" s="249">
        <f>'77777'!E175</f>
        <v>1.62</v>
      </c>
      <c r="G246" s="1299"/>
      <c r="H246" s="1299"/>
      <c r="I246" s="1299"/>
      <c r="J246" s="1299"/>
      <c r="K246" s="1299"/>
      <c r="L246" s="1299"/>
      <c r="M246" s="1299"/>
      <c r="O246" s="631"/>
    </row>
    <row r="247" spans="1:15" s="201" customFormat="1">
      <c r="A247" s="1136"/>
      <c r="B247" s="913"/>
      <c r="C247" s="361" t="s">
        <v>27</v>
      </c>
      <c r="D247" s="359" t="s">
        <v>29</v>
      </c>
      <c r="E247" s="209">
        <v>13.2</v>
      </c>
      <c r="F247" s="262">
        <f>F246*E247</f>
        <v>21.384</v>
      </c>
      <c r="G247" s="1299"/>
      <c r="H247" s="1299"/>
      <c r="I247" s="1300"/>
      <c r="J247" s="1299">
        <f>F247*I247</f>
        <v>0</v>
      </c>
      <c r="K247" s="1299"/>
      <c r="L247" s="1299"/>
      <c r="M247" s="1299">
        <f>H247+J247+L247</f>
        <v>0</v>
      </c>
      <c r="O247" s="631"/>
    </row>
    <row r="248" spans="1:15" s="201" customFormat="1">
      <c r="A248" s="1137"/>
      <c r="B248" s="913"/>
      <c r="C248" s="177" t="s">
        <v>28</v>
      </c>
      <c r="D248" s="914" t="s">
        <v>24</v>
      </c>
      <c r="E248" s="209">
        <v>9.6300000000000008</v>
      </c>
      <c r="F248" s="196">
        <f>F246*E248</f>
        <v>15.600600000000002</v>
      </c>
      <c r="G248" s="1299"/>
      <c r="H248" s="1299"/>
      <c r="I248" s="1299"/>
      <c r="J248" s="1299"/>
      <c r="K248" s="1300"/>
      <c r="L248" s="1299">
        <f>F248*K248</f>
        <v>0</v>
      </c>
      <c r="M248" s="1299">
        <f>H248+J248+L248</f>
        <v>0</v>
      </c>
      <c r="O248" s="631"/>
    </row>
    <row r="249" spans="1:15" s="201" customFormat="1" ht="31.5">
      <c r="A249" s="1135" t="s">
        <v>146</v>
      </c>
      <c r="B249" s="86" t="s">
        <v>45</v>
      </c>
      <c r="C249" s="180" t="s">
        <v>842</v>
      </c>
      <c r="D249" s="856" t="s">
        <v>5</v>
      </c>
      <c r="E249" s="858"/>
      <c r="F249" s="146">
        <v>320</v>
      </c>
      <c r="G249" s="1299"/>
      <c r="H249" s="1299"/>
      <c r="I249" s="1299"/>
      <c r="J249" s="1299"/>
      <c r="K249" s="1299"/>
      <c r="L249" s="1284"/>
      <c r="M249" s="1284"/>
      <c r="O249" s="631"/>
    </row>
    <row r="250" spans="1:15" s="201" customFormat="1">
      <c r="A250" s="1137"/>
      <c r="B250" s="86"/>
      <c r="C250" s="173" t="s">
        <v>39</v>
      </c>
      <c r="D250" s="371" t="s">
        <v>5</v>
      </c>
      <c r="E250" s="110">
        <v>0.5</v>
      </c>
      <c r="F250" s="45">
        <f>F249*E250</f>
        <v>160</v>
      </c>
      <c r="G250" s="1299"/>
      <c r="H250" s="1299"/>
      <c r="I250" s="1300"/>
      <c r="J250" s="1299">
        <f>F250*I250</f>
        <v>0</v>
      </c>
      <c r="K250" s="1299"/>
      <c r="L250" s="1284"/>
      <c r="M250" s="1284">
        <f>H250+J250+L250</f>
        <v>0</v>
      </c>
      <c r="O250" s="631"/>
    </row>
    <row r="251" spans="1:15" s="201" customFormat="1" ht="31.5">
      <c r="A251" s="920" t="s">
        <v>341</v>
      </c>
      <c r="B251" s="86" t="s">
        <v>45</v>
      </c>
      <c r="C251" s="180" t="s">
        <v>947</v>
      </c>
      <c r="D251" s="856" t="s">
        <v>75</v>
      </c>
      <c r="E251" s="110"/>
      <c r="F251" s="146">
        <v>2</v>
      </c>
      <c r="G251" s="1299"/>
      <c r="H251" s="1299"/>
      <c r="I251" s="1300"/>
      <c r="J251" s="1299">
        <f>F251*I251</f>
        <v>0</v>
      </c>
      <c r="K251" s="1300"/>
      <c r="L251" s="1284">
        <f>F251*K251</f>
        <v>0</v>
      </c>
      <c r="M251" s="1284">
        <f>H251+J251+L251</f>
        <v>0</v>
      </c>
      <c r="O251" s="631"/>
    </row>
    <row r="252" spans="1:15" s="201" customFormat="1">
      <c r="A252" s="612"/>
      <c r="B252" s="87"/>
      <c r="C252" s="163"/>
      <c r="D252" s="263"/>
      <c r="E252" s="146"/>
      <c r="F252" s="146"/>
      <c r="G252" s="1299"/>
      <c r="H252" s="1299"/>
      <c r="I252" s="1299"/>
      <c r="J252" s="1299"/>
      <c r="K252" s="1299"/>
      <c r="L252" s="1299"/>
      <c r="M252" s="1299"/>
      <c r="O252" s="631"/>
    </row>
    <row r="253" spans="1:15" s="201" customFormat="1" ht="63">
      <c r="A253" s="1135" t="s">
        <v>429</v>
      </c>
      <c r="B253" s="613" t="s">
        <v>594</v>
      </c>
      <c r="C253" s="180" t="s">
        <v>916</v>
      </c>
      <c r="D253" s="86" t="s">
        <v>4</v>
      </c>
      <c r="E253" s="892"/>
      <c r="F253" s="146">
        <f>F235*0.1+F238*0.03+F240*0.03+F243+F246+10</f>
        <v>37.600899999999996</v>
      </c>
      <c r="G253" s="1299"/>
      <c r="H253" s="1299"/>
      <c r="I253" s="1299"/>
      <c r="J253" s="1299"/>
      <c r="K253" s="1299"/>
      <c r="L253" s="1284"/>
      <c r="M253" s="1284"/>
      <c r="O253" s="631"/>
    </row>
    <row r="254" spans="1:15" s="201" customFormat="1">
      <c r="A254" s="1136"/>
      <c r="B254" s="86"/>
      <c r="C254" s="174" t="s">
        <v>33</v>
      </c>
      <c r="D254" s="104" t="s">
        <v>29</v>
      </c>
      <c r="E254" s="387">
        <v>0.6</v>
      </c>
      <c r="F254" s="45">
        <f>F253*E254</f>
        <v>22.560539999999996</v>
      </c>
      <c r="G254" s="1301"/>
      <c r="H254" s="1299"/>
      <c r="I254" s="1302"/>
      <c r="J254" s="1299">
        <f>F254*I254</f>
        <v>0</v>
      </c>
      <c r="K254" s="1299"/>
      <c r="L254" s="1284"/>
      <c r="M254" s="1284">
        <f>H254+J254+L254</f>
        <v>0</v>
      </c>
      <c r="O254" s="631"/>
    </row>
    <row r="255" spans="1:15" s="201" customFormat="1" ht="31.5">
      <c r="A255" s="1136"/>
      <c r="B255" s="356" t="s">
        <v>418</v>
      </c>
      <c r="C255" s="357" t="s">
        <v>133</v>
      </c>
      <c r="D255" s="913" t="s">
        <v>7</v>
      </c>
      <c r="E255" s="235"/>
      <c r="F255" s="147">
        <f>F235*0.1*0.65+F238*0.03*2.4+F240*0.03*2.4+F243*2.4+F246*2.4+10*1.95</f>
        <v>85.411410000000004</v>
      </c>
      <c r="G255" s="1301"/>
      <c r="H255" s="1303"/>
      <c r="I255" s="1301"/>
      <c r="J255" s="1303"/>
      <c r="K255" s="1301"/>
      <c r="L255" s="1303"/>
      <c r="M255" s="1303"/>
      <c r="O255" s="631"/>
    </row>
    <row r="256" spans="1:15" s="201" customFormat="1">
      <c r="A256" s="1136"/>
      <c r="B256" s="84"/>
      <c r="C256" s="358" t="s">
        <v>39</v>
      </c>
      <c r="D256" s="104" t="s">
        <v>29</v>
      </c>
      <c r="E256" s="235">
        <v>0.53</v>
      </c>
      <c r="F256" s="116">
        <f>F255*E256</f>
        <v>45.268047300000006</v>
      </c>
      <c r="G256" s="1301"/>
      <c r="H256" s="1303"/>
      <c r="I256" s="1302"/>
      <c r="J256" s="1303">
        <f>F256*I256</f>
        <v>0</v>
      </c>
      <c r="K256" s="1301"/>
      <c r="L256" s="1303"/>
      <c r="M256" s="1303">
        <f>H256+J256+L256</f>
        <v>0</v>
      </c>
      <c r="O256" s="631"/>
    </row>
    <row r="257" spans="1:15" s="201" customFormat="1">
      <c r="A257" s="1137"/>
      <c r="B257" s="84"/>
      <c r="C257" s="912" t="s">
        <v>857</v>
      </c>
      <c r="D257" s="913" t="s">
        <v>238</v>
      </c>
      <c r="E257" s="49"/>
      <c r="F257" s="147">
        <f>F255</f>
        <v>85.411410000000004</v>
      </c>
      <c r="G257" s="1304"/>
      <c r="H257" s="1299"/>
      <c r="I257" s="1304"/>
      <c r="J257" s="1299"/>
      <c r="K257" s="1302"/>
      <c r="L257" s="1299">
        <f>F257*K257</f>
        <v>0</v>
      </c>
      <c r="M257" s="1299">
        <f>H257+J257+L257</f>
        <v>0</v>
      </c>
      <c r="O257" s="716"/>
    </row>
    <row r="258" spans="1:15">
      <c r="A258" s="854"/>
      <c r="B258" s="195"/>
      <c r="C258" s="181"/>
      <c r="D258" s="195"/>
      <c r="E258" s="89"/>
      <c r="F258" s="117"/>
      <c r="G258" s="1305"/>
      <c r="H258" s="1299"/>
      <c r="I258" s="1305"/>
      <c r="J258" s="1299"/>
      <c r="K258" s="1305"/>
      <c r="L258" s="1299"/>
      <c r="M258" s="1299"/>
    </row>
    <row r="259" spans="1:15" s="1082" customFormat="1" ht="31.5">
      <c r="A259" s="608"/>
      <c r="B259" s="609"/>
      <c r="C259" s="610" t="s">
        <v>596</v>
      </c>
      <c r="D259" s="609"/>
      <c r="E259" s="611"/>
      <c r="F259" s="611"/>
      <c r="G259" s="1298"/>
      <c r="H259" s="1298"/>
      <c r="I259" s="1298"/>
      <c r="J259" s="1298"/>
      <c r="K259" s="1298"/>
      <c r="L259" s="1298"/>
      <c r="M259" s="1298"/>
      <c r="O259" s="1083"/>
    </row>
    <row r="260" spans="1:15" s="201" customFormat="1">
      <c r="A260" s="607"/>
      <c r="B260" s="87"/>
      <c r="C260" s="163"/>
      <c r="D260" s="87"/>
      <c r="E260" s="146"/>
      <c r="F260" s="146"/>
      <c r="G260" s="1299"/>
      <c r="H260" s="1299"/>
      <c r="I260" s="1299"/>
      <c r="J260" s="1299"/>
      <c r="K260" s="1299"/>
      <c r="L260" s="1299"/>
      <c r="M260" s="1299"/>
      <c r="O260" s="631"/>
    </row>
    <row r="261" spans="1:15" s="201" customFormat="1" ht="31.5">
      <c r="A261" s="1066"/>
      <c r="B261" s="1055"/>
      <c r="C261" s="1067" t="s">
        <v>911</v>
      </c>
      <c r="D261" s="1055" t="s">
        <v>5</v>
      </c>
      <c r="E261" s="49"/>
      <c r="F261" s="49">
        <f>'77777'!AI170</f>
        <v>272.60500000000002</v>
      </c>
      <c r="G261" s="1303"/>
      <c r="H261" s="1303"/>
      <c r="I261" s="1303"/>
      <c r="J261" s="1303"/>
      <c r="K261" s="1303"/>
      <c r="L261" s="1303"/>
      <c r="M261" s="1303"/>
      <c r="O261" s="631"/>
    </row>
    <row r="262" spans="1:15" s="201" customFormat="1" ht="31.5">
      <c r="A262" s="1138" t="s">
        <v>334</v>
      </c>
      <c r="B262" s="1053" t="s">
        <v>323</v>
      </c>
      <c r="C262" s="872" t="s">
        <v>912</v>
      </c>
      <c r="D262" s="1055" t="s">
        <v>4</v>
      </c>
      <c r="E262" s="99"/>
      <c r="F262" s="49">
        <f>F261*0.1</f>
        <v>27.260500000000004</v>
      </c>
      <c r="G262" s="1303"/>
      <c r="H262" s="1303"/>
      <c r="I262" s="1303"/>
      <c r="J262" s="1303"/>
      <c r="K262" s="1303"/>
      <c r="L262" s="1303"/>
      <c r="M262" s="1303"/>
      <c r="O262" s="631"/>
    </row>
    <row r="263" spans="1:15" s="201" customFormat="1">
      <c r="A263" s="1138"/>
      <c r="B263" s="1055"/>
      <c r="C263" s="164" t="s">
        <v>27</v>
      </c>
      <c r="D263" s="1050" t="s">
        <v>5</v>
      </c>
      <c r="E263" s="209">
        <v>1.37</v>
      </c>
      <c r="F263" s="196">
        <f>F262*E263</f>
        <v>37.346885000000007</v>
      </c>
      <c r="G263" s="1303"/>
      <c r="H263" s="1303"/>
      <c r="I263" s="1310"/>
      <c r="J263" s="1303">
        <f>F263*I263</f>
        <v>0</v>
      </c>
      <c r="K263" s="1303"/>
      <c r="L263" s="1303"/>
      <c r="M263" s="1303">
        <f>H262+J263+L263</f>
        <v>0</v>
      </c>
      <c r="O263" s="631"/>
    </row>
    <row r="264" spans="1:15" s="201" customFormat="1">
      <c r="A264" s="1138"/>
      <c r="B264" s="1050"/>
      <c r="C264" s="177" t="s">
        <v>36</v>
      </c>
      <c r="D264" s="1050" t="s">
        <v>24</v>
      </c>
      <c r="E264" s="54">
        <v>0.28299999999999997</v>
      </c>
      <c r="F264" s="239">
        <f>F262*E264</f>
        <v>7.7147215000000005</v>
      </c>
      <c r="G264" s="1303"/>
      <c r="H264" s="1303"/>
      <c r="I264" s="1303"/>
      <c r="J264" s="1303"/>
      <c r="K264" s="1310"/>
      <c r="L264" s="1303">
        <f>F264*K264</f>
        <v>0</v>
      </c>
      <c r="M264" s="1303">
        <f>H264+J264+L264</f>
        <v>0</v>
      </c>
      <c r="O264" s="631"/>
    </row>
    <row r="265" spans="1:15" s="201" customFormat="1">
      <c r="A265" s="1138"/>
      <c r="B265" s="1050"/>
      <c r="C265" s="177" t="s">
        <v>610</v>
      </c>
      <c r="D265" s="1050" t="s">
        <v>4</v>
      </c>
      <c r="E265" s="54">
        <v>1.02</v>
      </c>
      <c r="F265" s="239">
        <f>F262*E265</f>
        <v>27.805710000000005</v>
      </c>
      <c r="G265" s="1310"/>
      <c r="H265" s="1303">
        <f>F265*G265</f>
        <v>0</v>
      </c>
      <c r="I265" s="1303"/>
      <c r="J265" s="1303"/>
      <c r="K265" s="1303"/>
      <c r="L265" s="1303"/>
      <c r="M265" s="1303">
        <f>H265+J265+L265</f>
        <v>0</v>
      </c>
      <c r="O265" s="631"/>
    </row>
    <row r="266" spans="1:15" s="201" customFormat="1">
      <c r="A266" s="1138"/>
      <c r="B266" s="1050"/>
      <c r="C266" s="177" t="s">
        <v>32</v>
      </c>
      <c r="D266" s="1050" t="s">
        <v>24</v>
      </c>
      <c r="E266" s="54">
        <v>0.62</v>
      </c>
      <c r="F266" s="239">
        <f>F262*E266</f>
        <v>16.901510000000002</v>
      </c>
      <c r="G266" s="1310"/>
      <c r="H266" s="1303">
        <f>F266*G266</f>
        <v>0</v>
      </c>
      <c r="I266" s="1303"/>
      <c r="J266" s="1303"/>
      <c r="K266" s="1303"/>
      <c r="L266" s="1303"/>
      <c r="M266" s="1303">
        <f>H266+J266+L266</f>
        <v>0</v>
      </c>
      <c r="O266" s="631"/>
    </row>
    <row r="267" spans="1:15" s="201" customFormat="1">
      <c r="A267" s="1133" t="s">
        <v>335</v>
      </c>
      <c r="B267" s="1053" t="s">
        <v>243</v>
      </c>
      <c r="C267" s="872" t="s">
        <v>913</v>
      </c>
      <c r="D267" s="1055" t="s">
        <v>4</v>
      </c>
      <c r="E267" s="99"/>
      <c r="F267" s="49">
        <f>F261*0.15</f>
        <v>40.890750000000004</v>
      </c>
      <c r="G267" s="1303"/>
      <c r="H267" s="1303"/>
      <c r="I267" s="1303"/>
      <c r="J267" s="1303"/>
      <c r="K267" s="1303"/>
      <c r="L267" s="1303"/>
      <c r="M267" s="1303"/>
      <c r="O267" s="631"/>
    </row>
    <row r="268" spans="1:15" s="201" customFormat="1">
      <c r="A268" s="1134"/>
      <c r="B268" s="1050"/>
      <c r="C268" s="177" t="s">
        <v>27</v>
      </c>
      <c r="D268" s="1050" t="s">
        <v>29</v>
      </c>
      <c r="E268" s="239">
        <v>8.4</v>
      </c>
      <c r="F268" s="239">
        <f>F267*E268</f>
        <v>343.48230000000007</v>
      </c>
      <c r="G268" s="1303"/>
      <c r="H268" s="1303"/>
      <c r="I268" s="1310"/>
      <c r="J268" s="1303">
        <f>F268*I268</f>
        <v>0</v>
      </c>
      <c r="K268" s="1303"/>
      <c r="L268" s="1303"/>
      <c r="M268" s="1303">
        <f t="shared" ref="M268:M275" si="14">H268+J268+L268</f>
        <v>0</v>
      </c>
      <c r="O268" s="631"/>
    </row>
    <row r="269" spans="1:15" s="201" customFormat="1">
      <c r="A269" s="1134"/>
      <c r="B269" s="1050"/>
      <c r="C269" s="177" t="s">
        <v>36</v>
      </c>
      <c r="D269" s="1050" t="s">
        <v>30</v>
      </c>
      <c r="E269" s="239">
        <v>0.81</v>
      </c>
      <c r="F269" s="239">
        <f>F267*E269</f>
        <v>33.121507500000007</v>
      </c>
      <c r="G269" s="1303"/>
      <c r="H269" s="1303"/>
      <c r="I269" s="1303"/>
      <c r="J269" s="1303"/>
      <c r="K269" s="1310"/>
      <c r="L269" s="1303">
        <f>F269*K269</f>
        <v>0</v>
      </c>
      <c r="M269" s="1303">
        <f t="shared" si="14"/>
        <v>0</v>
      </c>
      <c r="O269" s="631"/>
    </row>
    <row r="270" spans="1:15" s="201" customFormat="1">
      <c r="A270" s="1134"/>
      <c r="B270" s="1050"/>
      <c r="C270" s="177" t="s">
        <v>119</v>
      </c>
      <c r="D270" s="1050" t="s">
        <v>4</v>
      </c>
      <c r="E270" s="239">
        <v>1.0149999999999999</v>
      </c>
      <c r="F270" s="239">
        <f>F267*E270</f>
        <v>41.504111250000001</v>
      </c>
      <c r="G270" s="1310"/>
      <c r="H270" s="1303">
        <f t="shared" ref="H270:H275" si="15">F270*G270</f>
        <v>0</v>
      </c>
      <c r="I270" s="1303"/>
      <c r="J270" s="1303"/>
      <c r="K270" s="1303"/>
      <c r="L270" s="1303"/>
      <c r="M270" s="1303">
        <f t="shared" si="14"/>
        <v>0</v>
      </c>
      <c r="O270" s="631"/>
    </row>
    <row r="271" spans="1:15" s="201" customFormat="1">
      <c r="A271" s="1134"/>
      <c r="B271" s="1050"/>
      <c r="C271" s="177" t="s">
        <v>718</v>
      </c>
      <c r="D271" s="1050" t="s">
        <v>5</v>
      </c>
      <c r="E271" s="239">
        <v>1.37</v>
      </c>
      <c r="F271" s="239">
        <f>F267*E271</f>
        <v>56.020327500000008</v>
      </c>
      <c r="G271" s="1310"/>
      <c r="H271" s="1303">
        <f t="shared" si="15"/>
        <v>0</v>
      </c>
      <c r="I271" s="1303"/>
      <c r="J271" s="1303"/>
      <c r="K271" s="1303"/>
      <c r="L271" s="1303"/>
      <c r="M271" s="1303">
        <f t="shared" si="14"/>
        <v>0</v>
      </c>
      <c r="O271" s="631"/>
    </row>
    <row r="272" spans="1:15" s="201" customFormat="1">
      <c r="A272" s="1134"/>
      <c r="B272" s="1050"/>
      <c r="C272" s="177" t="s">
        <v>259</v>
      </c>
      <c r="D272" s="1050" t="s">
        <v>4</v>
      </c>
      <c r="E272" s="239">
        <f>(0.84+2.56+0.26)/100</f>
        <v>3.6600000000000001E-2</v>
      </c>
      <c r="F272" s="239">
        <f>F267*E272</f>
        <v>1.4966014500000002</v>
      </c>
      <c r="G272" s="1310"/>
      <c r="H272" s="1303">
        <f t="shared" si="15"/>
        <v>0</v>
      </c>
      <c r="I272" s="1303"/>
      <c r="J272" s="1303"/>
      <c r="K272" s="1303"/>
      <c r="L272" s="1303"/>
      <c r="M272" s="1303">
        <f t="shared" si="14"/>
        <v>0</v>
      </c>
      <c r="O272" s="631"/>
    </row>
    <row r="273" spans="1:15" s="201" customFormat="1">
      <c r="A273" s="1134"/>
      <c r="B273" s="1050"/>
      <c r="C273" s="177" t="s">
        <v>32</v>
      </c>
      <c r="D273" s="1050" t="s">
        <v>24</v>
      </c>
      <c r="E273" s="239">
        <v>0.39</v>
      </c>
      <c r="F273" s="239">
        <f>F267*E273</f>
        <v>15.947392500000003</v>
      </c>
      <c r="G273" s="1310"/>
      <c r="H273" s="1303">
        <f t="shared" si="15"/>
        <v>0</v>
      </c>
      <c r="I273" s="1303"/>
      <c r="J273" s="1303"/>
      <c r="K273" s="1303"/>
      <c r="L273" s="1303"/>
      <c r="M273" s="1303">
        <f t="shared" si="14"/>
        <v>0</v>
      </c>
      <c r="O273" s="631"/>
    </row>
    <row r="274" spans="1:15" s="201" customFormat="1">
      <c r="A274" s="1134"/>
      <c r="B274" s="1051"/>
      <c r="C274" s="788" t="s">
        <v>1071</v>
      </c>
      <c r="D274" s="1050" t="s">
        <v>257</v>
      </c>
      <c r="E274" s="209"/>
      <c r="F274" s="196">
        <f>(F261+0.6*2)*16*1.05*0.395/1000</f>
        <v>1.8169699800000001</v>
      </c>
      <c r="G274" s="1321"/>
      <c r="H274" s="1303">
        <f t="shared" si="15"/>
        <v>0</v>
      </c>
      <c r="I274" s="1303"/>
      <c r="J274" s="1303"/>
      <c r="K274" s="1303"/>
      <c r="L274" s="1303"/>
      <c r="M274" s="1303">
        <f t="shared" si="14"/>
        <v>0</v>
      </c>
      <c r="O274" s="631"/>
    </row>
    <row r="275" spans="1:15" s="201" customFormat="1">
      <c r="A275" s="1139"/>
      <c r="B275" s="1050"/>
      <c r="C275" s="788" t="s">
        <v>1072</v>
      </c>
      <c r="D275" s="1050" t="s">
        <v>257</v>
      </c>
      <c r="E275" s="209"/>
      <c r="F275" s="196">
        <f>36*3*2*0.2*0.222/1000</f>
        <v>9.5904000000000007E-3</v>
      </c>
      <c r="G275" s="1310"/>
      <c r="H275" s="1303">
        <f t="shared" si="15"/>
        <v>0</v>
      </c>
      <c r="I275" s="1303"/>
      <c r="J275" s="1303"/>
      <c r="K275" s="1303"/>
      <c r="L275" s="1303"/>
      <c r="M275" s="1303">
        <f t="shared" si="14"/>
        <v>0</v>
      </c>
      <c r="O275" s="631"/>
    </row>
    <row r="276" spans="1:15" s="201" customFormat="1">
      <c r="A276" s="1133" t="s">
        <v>103</v>
      </c>
      <c r="B276" s="1055" t="s">
        <v>914</v>
      </c>
      <c r="C276" s="888" t="s">
        <v>915</v>
      </c>
      <c r="D276" s="1055" t="s">
        <v>5</v>
      </c>
      <c r="E276" s="208"/>
      <c r="F276" s="249">
        <f>F261</f>
        <v>272.60500000000002</v>
      </c>
      <c r="G276" s="1303"/>
      <c r="H276" s="1303"/>
      <c r="I276" s="1303"/>
      <c r="J276" s="1303"/>
      <c r="K276" s="1303"/>
      <c r="L276" s="1303"/>
      <c r="M276" s="1303"/>
      <c r="O276" s="631"/>
    </row>
    <row r="277" spans="1:15" s="201" customFormat="1">
      <c r="A277" s="1134"/>
      <c r="B277" s="1050"/>
      <c r="C277" s="177" t="s">
        <v>27</v>
      </c>
      <c r="D277" s="1050" t="s">
        <v>29</v>
      </c>
      <c r="E277" s="239">
        <f>(12.6+81.1)/100</f>
        <v>0.93699999999999983</v>
      </c>
      <c r="F277" s="239">
        <f>F276*E277</f>
        <v>255.43088499999996</v>
      </c>
      <c r="G277" s="1303"/>
      <c r="H277" s="1303"/>
      <c r="I277" s="1310"/>
      <c r="J277" s="1303">
        <f>F277*I277</f>
        <v>0</v>
      </c>
      <c r="K277" s="1303"/>
      <c r="L277" s="1303"/>
      <c r="M277" s="1303">
        <f>H277+J277+L277</f>
        <v>0</v>
      </c>
      <c r="O277" s="631"/>
    </row>
    <row r="278" spans="1:15" s="201" customFormat="1">
      <c r="A278" s="1134"/>
      <c r="B278" s="1050"/>
      <c r="C278" s="177" t="s">
        <v>36</v>
      </c>
      <c r="D278" s="1050" t="s">
        <v>30</v>
      </c>
      <c r="E278" s="239">
        <f>(0.08+1.3)/100</f>
        <v>1.3800000000000002E-2</v>
      </c>
      <c r="F278" s="239">
        <f>F276*E278</f>
        <v>3.7619490000000009</v>
      </c>
      <c r="G278" s="1303"/>
      <c r="H278" s="1303"/>
      <c r="I278" s="1303"/>
      <c r="J278" s="1303"/>
      <c r="K278" s="1310"/>
      <c r="L278" s="1303">
        <f>F278*K278</f>
        <v>0</v>
      </c>
      <c r="M278" s="1303">
        <f>H278+J278+L278</f>
        <v>0</v>
      </c>
      <c r="O278" s="631"/>
    </row>
    <row r="279" spans="1:15" s="201" customFormat="1">
      <c r="A279" s="1134"/>
      <c r="B279" s="1050"/>
      <c r="C279" s="788" t="s">
        <v>269</v>
      </c>
      <c r="D279" s="1050" t="s">
        <v>7</v>
      </c>
      <c r="E279" s="209">
        <f>(0.06+0.05)/100</f>
        <v>1.1000000000000001E-3</v>
      </c>
      <c r="F279" s="196">
        <f>F276*E279</f>
        <v>0.29986550000000006</v>
      </c>
      <c r="G279" s="1310"/>
      <c r="H279" s="1303">
        <f>F279*G279</f>
        <v>0</v>
      </c>
      <c r="I279" s="1303"/>
      <c r="J279" s="1303"/>
      <c r="K279" s="1303"/>
      <c r="L279" s="1303"/>
      <c r="M279" s="1303">
        <f>H279+J279+L279</f>
        <v>0</v>
      </c>
      <c r="O279" s="631"/>
    </row>
    <row r="280" spans="1:15" s="201" customFormat="1">
      <c r="A280" s="1134"/>
      <c r="B280" s="1050"/>
      <c r="C280" s="177" t="s">
        <v>32</v>
      </c>
      <c r="D280" s="1050" t="s">
        <v>24</v>
      </c>
      <c r="E280" s="239">
        <f>15.6/100</f>
        <v>0.156</v>
      </c>
      <c r="F280" s="239">
        <f>F276*E280</f>
        <v>42.526380000000003</v>
      </c>
      <c r="G280" s="1310"/>
      <c r="H280" s="1303">
        <f>F280*G280</f>
        <v>0</v>
      </c>
      <c r="I280" s="1303"/>
      <c r="J280" s="1303"/>
      <c r="K280" s="1303"/>
      <c r="L280" s="1303"/>
      <c r="M280" s="1303">
        <f>H280+J280+L280</f>
        <v>0</v>
      </c>
      <c r="O280" s="631"/>
    </row>
    <row r="281" spans="1:15" s="201" customFormat="1" ht="47.25">
      <c r="A281" s="1133" t="s">
        <v>336</v>
      </c>
      <c r="B281" s="1055" t="s">
        <v>636</v>
      </c>
      <c r="C281" s="176" t="s">
        <v>910</v>
      </c>
      <c r="D281" s="1055" t="s">
        <v>4</v>
      </c>
      <c r="E281" s="49"/>
      <c r="F281" s="49">
        <f>0.4*0.4*16</f>
        <v>2.5600000000000005</v>
      </c>
      <c r="G281" s="1303"/>
      <c r="H281" s="1303"/>
      <c r="I281" s="1303"/>
      <c r="J281" s="1303"/>
      <c r="K281" s="1303"/>
      <c r="L281" s="1303"/>
      <c r="M281" s="1303"/>
      <c r="O281" s="631"/>
    </row>
    <row r="282" spans="1:15" s="201" customFormat="1">
      <c r="A282" s="1134"/>
      <c r="B282" s="1055"/>
      <c r="C282" s="177" t="s">
        <v>27</v>
      </c>
      <c r="D282" s="1050" t="s">
        <v>29</v>
      </c>
      <c r="E282" s="239">
        <v>9.25</v>
      </c>
      <c r="F282" s="239">
        <f>F281*E282</f>
        <v>23.680000000000003</v>
      </c>
      <c r="G282" s="1303"/>
      <c r="H282" s="1303"/>
      <c r="I282" s="1310"/>
      <c r="J282" s="1303">
        <f>F282*I282</f>
        <v>0</v>
      </c>
      <c r="K282" s="1303"/>
      <c r="L282" s="1303"/>
      <c r="M282" s="1303">
        <f t="shared" ref="M282:M290" si="16">H282+J282+L282</f>
        <v>0</v>
      </c>
      <c r="O282" s="631"/>
    </row>
    <row r="283" spans="1:15" s="201" customFormat="1">
      <c r="A283" s="1134"/>
      <c r="B283" s="1055"/>
      <c r="C283" s="177" t="s">
        <v>36</v>
      </c>
      <c r="D283" s="1050" t="s">
        <v>30</v>
      </c>
      <c r="E283" s="239">
        <v>1.1399999999999999</v>
      </c>
      <c r="F283" s="239">
        <f>F281*E283</f>
        <v>2.9184000000000001</v>
      </c>
      <c r="G283" s="1303"/>
      <c r="H283" s="1303"/>
      <c r="I283" s="1303"/>
      <c r="J283" s="1303"/>
      <c r="K283" s="1310"/>
      <c r="L283" s="1303">
        <f>F283*K283</f>
        <v>0</v>
      </c>
      <c r="M283" s="1303">
        <f t="shared" si="16"/>
        <v>0</v>
      </c>
      <c r="O283" s="631"/>
    </row>
    <row r="284" spans="1:15" s="201" customFormat="1">
      <c r="A284" s="1134"/>
      <c r="B284" s="1055"/>
      <c r="C284" s="177" t="s">
        <v>119</v>
      </c>
      <c r="D284" s="1050" t="s">
        <v>4</v>
      </c>
      <c r="E284" s="239">
        <v>1</v>
      </c>
      <c r="F284" s="239">
        <f>F281*E284</f>
        <v>2.5600000000000005</v>
      </c>
      <c r="G284" s="1310"/>
      <c r="H284" s="1303">
        <f t="shared" ref="H284:H290" si="17">F284*G284</f>
        <v>0</v>
      </c>
      <c r="I284" s="1303"/>
      <c r="J284" s="1303"/>
      <c r="K284" s="1303"/>
      <c r="L284" s="1303"/>
      <c r="M284" s="1303">
        <f t="shared" si="16"/>
        <v>0</v>
      </c>
      <c r="O284" s="631"/>
    </row>
    <row r="285" spans="1:15" s="201" customFormat="1">
      <c r="A285" s="1134"/>
      <c r="B285" s="1055"/>
      <c r="C285" s="177" t="s">
        <v>718</v>
      </c>
      <c r="D285" s="1050" t="s">
        <v>5</v>
      </c>
      <c r="E285" s="239">
        <v>1.76</v>
      </c>
      <c r="F285" s="239">
        <f>F281*E285</f>
        <v>4.5056000000000012</v>
      </c>
      <c r="G285" s="1310"/>
      <c r="H285" s="1303">
        <f t="shared" si="17"/>
        <v>0</v>
      </c>
      <c r="I285" s="1303"/>
      <c r="J285" s="1303"/>
      <c r="K285" s="1303"/>
      <c r="L285" s="1303"/>
      <c r="M285" s="1303">
        <f t="shared" si="16"/>
        <v>0</v>
      </c>
      <c r="O285" s="631"/>
    </row>
    <row r="286" spans="1:15" s="201" customFormat="1">
      <c r="A286" s="1134"/>
      <c r="B286" s="1055"/>
      <c r="C286" s="177" t="s">
        <v>259</v>
      </c>
      <c r="D286" s="1050" t="s">
        <v>4</v>
      </c>
      <c r="E286" s="239">
        <f>(0.33+3.66)/100</f>
        <v>3.9900000000000005E-2</v>
      </c>
      <c r="F286" s="239">
        <f>F281*E286</f>
        <v>0.10214400000000003</v>
      </c>
      <c r="G286" s="1310"/>
      <c r="H286" s="1303">
        <f t="shared" si="17"/>
        <v>0</v>
      </c>
      <c r="I286" s="1303"/>
      <c r="J286" s="1303"/>
      <c r="K286" s="1303"/>
      <c r="L286" s="1303"/>
      <c r="M286" s="1303">
        <f t="shared" si="16"/>
        <v>0</v>
      </c>
      <c r="O286" s="631"/>
    </row>
    <row r="287" spans="1:15" s="201" customFormat="1">
      <c r="A287" s="1134"/>
      <c r="B287" s="1055"/>
      <c r="C287" s="177" t="s">
        <v>260</v>
      </c>
      <c r="D287" s="1050" t="s">
        <v>6</v>
      </c>
      <c r="E287" s="239">
        <v>2.1</v>
      </c>
      <c r="F287" s="239">
        <f>F281*E287</f>
        <v>5.3760000000000012</v>
      </c>
      <c r="G287" s="1310"/>
      <c r="H287" s="1303">
        <f t="shared" si="17"/>
        <v>0</v>
      </c>
      <c r="I287" s="1303"/>
      <c r="J287" s="1303"/>
      <c r="K287" s="1303"/>
      <c r="L287" s="1303"/>
      <c r="M287" s="1303">
        <f t="shared" si="16"/>
        <v>0</v>
      </c>
      <c r="O287" s="631"/>
    </row>
    <row r="288" spans="1:15" s="201" customFormat="1">
      <c r="A288" s="1134"/>
      <c r="B288" s="1055"/>
      <c r="C288" s="177" t="s">
        <v>82</v>
      </c>
      <c r="D288" s="1050" t="s">
        <v>6</v>
      </c>
      <c r="E288" s="239">
        <v>2.7</v>
      </c>
      <c r="F288" s="239">
        <f>F281*E288</f>
        <v>6.9120000000000017</v>
      </c>
      <c r="G288" s="1310"/>
      <c r="H288" s="1303">
        <f t="shared" si="17"/>
        <v>0</v>
      </c>
      <c r="I288" s="1303"/>
      <c r="J288" s="1303"/>
      <c r="K288" s="1303"/>
      <c r="L288" s="1303"/>
      <c r="M288" s="1303">
        <f t="shared" si="16"/>
        <v>0</v>
      </c>
      <c r="O288" s="631"/>
    </row>
    <row r="289" spans="1:15" s="201" customFormat="1">
      <c r="A289" s="1134"/>
      <c r="B289" s="1055"/>
      <c r="C289" s="177" t="s">
        <v>32</v>
      </c>
      <c r="D289" s="1050" t="s">
        <v>24</v>
      </c>
      <c r="E289" s="239">
        <v>0.32</v>
      </c>
      <c r="F289" s="239">
        <f>F281*E289</f>
        <v>0.81920000000000015</v>
      </c>
      <c r="G289" s="1310"/>
      <c r="H289" s="1303">
        <f t="shared" si="17"/>
        <v>0</v>
      </c>
      <c r="I289" s="1303"/>
      <c r="J289" s="1303"/>
      <c r="K289" s="1303"/>
      <c r="L289" s="1303"/>
      <c r="M289" s="1303">
        <f t="shared" si="16"/>
        <v>0</v>
      </c>
      <c r="O289" s="631"/>
    </row>
    <row r="290" spans="1:15" s="201" customFormat="1">
      <c r="A290" s="1134"/>
      <c r="B290" s="1051"/>
      <c r="C290" s="788" t="s">
        <v>1071</v>
      </c>
      <c r="D290" s="1050" t="s">
        <v>257</v>
      </c>
      <c r="E290" s="209"/>
      <c r="F290" s="196">
        <f>(6*16+(0.4+0.55)*2*(16/0.15+1))*1.05*0.395/1000</f>
        <v>0.12466002500000004</v>
      </c>
      <c r="G290" s="1321"/>
      <c r="H290" s="1303">
        <f t="shared" si="17"/>
        <v>0</v>
      </c>
      <c r="I290" s="1303"/>
      <c r="J290" s="1303"/>
      <c r="K290" s="1303"/>
      <c r="L290" s="1303"/>
      <c r="M290" s="1303">
        <f t="shared" si="16"/>
        <v>0</v>
      </c>
      <c r="O290" s="631"/>
    </row>
    <row r="291" spans="1:15" ht="31.5">
      <c r="A291" s="1129" t="s">
        <v>59</v>
      </c>
      <c r="B291" s="1055" t="s">
        <v>38</v>
      </c>
      <c r="C291" s="176" t="s">
        <v>897</v>
      </c>
      <c r="D291" s="1055" t="s">
        <v>4</v>
      </c>
      <c r="E291" s="239"/>
      <c r="F291" s="49">
        <f>'77777'!D227</f>
        <v>18</v>
      </c>
      <c r="G291" s="1303"/>
      <c r="H291" s="1303"/>
      <c r="I291" s="1303"/>
      <c r="J291" s="1303"/>
      <c r="K291" s="1303"/>
      <c r="L291" s="1303"/>
      <c r="M291" s="1303"/>
    </row>
    <row r="292" spans="1:15">
      <c r="A292" s="1129"/>
      <c r="B292" s="1050"/>
      <c r="C292" s="177" t="s">
        <v>27</v>
      </c>
      <c r="D292" s="1050" t="s">
        <v>29</v>
      </c>
      <c r="E292" s="239">
        <v>3.36</v>
      </c>
      <c r="F292" s="239">
        <f>F291*E292</f>
        <v>60.48</v>
      </c>
      <c r="G292" s="1303"/>
      <c r="H292" s="1303"/>
      <c r="I292" s="1310"/>
      <c r="J292" s="1303">
        <f>F292*I292</f>
        <v>0</v>
      </c>
      <c r="K292" s="1303"/>
      <c r="L292" s="1303"/>
      <c r="M292" s="1303">
        <f>H292+J292+L292</f>
        <v>0</v>
      </c>
    </row>
    <row r="293" spans="1:15">
      <c r="A293" s="1129"/>
      <c r="B293" s="1050"/>
      <c r="C293" s="177" t="s">
        <v>36</v>
      </c>
      <c r="D293" s="1050" t="s">
        <v>30</v>
      </c>
      <c r="E293" s="239">
        <v>0.92</v>
      </c>
      <c r="F293" s="239">
        <f>F291*E293</f>
        <v>16.560000000000002</v>
      </c>
      <c r="G293" s="1303"/>
      <c r="H293" s="1303"/>
      <c r="I293" s="1303"/>
      <c r="J293" s="1303"/>
      <c r="K293" s="1310"/>
      <c r="L293" s="1303">
        <f>F293*K293</f>
        <v>0</v>
      </c>
      <c r="M293" s="1303">
        <f>H293+J293+L293</f>
        <v>0</v>
      </c>
    </row>
    <row r="294" spans="1:15">
      <c r="A294" s="1129"/>
      <c r="B294" s="310"/>
      <c r="C294" s="1068" t="s">
        <v>637</v>
      </c>
      <c r="D294" s="1050" t="s">
        <v>4</v>
      </c>
      <c r="E294" s="239">
        <v>0.92</v>
      </c>
      <c r="F294" s="239">
        <f>F291*E294</f>
        <v>16.560000000000002</v>
      </c>
      <c r="G294" s="1303"/>
      <c r="H294" s="1303"/>
      <c r="I294" s="1303"/>
      <c r="J294" s="1303"/>
      <c r="K294" s="1303"/>
      <c r="L294" s="1303"/>
      <c r="M294" s="1303"/>
    </row>
    <row r="295" spans="1:15">
      <c r="A295" s="1129"/>
      <c r="B295" s="1050"/>
      <c r="C295" s="361"/>
      <c r="D295" s="1050" t="s">
        <v>2</v>
      </c>
      <c r="E295" s="239">
        <f>1/(0.4*0.2*0.3)</f>
        <v>41.666666666666657</v>
      </c>
      <c r="F295" s="239">
        <f>F294*E295</f>
        <v>689.99999999999989</v>
      </c>
      <c r="G295" s="1310"/>
      <c r="H295" s="1303">
        <f>F295*G295</f>
        <v>0</v>
      </c>
      <c r="I295" s="1303"/>
      <c r="J295" s="1303"/>
      <c r="K295" s="1303"/>
      <c r="L295" s="1303"/>
      <c r="M295" s="1303">
        <f>H295+J295+L295</f>
        <v>0</v>
      </c>
    </row>
    <row r="296" spans="1:15">
      <c r="A296" s="1129"/>
      <c r="B296" s="1050"/>
      <c r="C296" s="177" t="s">
        <v>130</v>
      </c>
      <c r="D296" s="1050" t="s">
        <v>4</v>
      </c>
      <c r="E296" s="239">
        <v>0.11</v>
      </c>
      <c r="F296" s="239">
        <f>F291*E296</f>
        <v>1.98</v>
      </c>
      <c r="G296" s="1310"/>
      <c r="H296" s="1303">
        <f>F296*G296</f>
        <v>0</v>
      </c>
      <c r="I296" s="1303"/>
      <c r="J296" s="1303"/>
      <c r="K296" s="1303"/>
      <c r="L296" s="1303"/>
      <c r="M296" s="1303">
        <f>H296+J296+L296</f>
        <v>0</v>
      </c>
    </row>
    <row r="297" spans="1:15">
      <c r="A297" s="1129"/>
      <c r="B297" s="1050"/>
      <c r="C297" s="177" t="s">
        <v>37</v>
      </c>
      <c r="D297" s="1050" t="s">
        <v>24</v>
      </c>
      <c r="E297" s="239">
        <v>0.16</v>
      </c>
      <c r="F297" s="239">
        <f>F291*E297</f>
        <v>2.88</v>
      </c>
      <c r="G297" s="1310"/>
      <c r="H297" s="1303">
        <f>F297*G297</f>
        <v>0</v>
      </c>
      <c r="I297" s="1303"/>
      <c r="J297" s="1303"/>
      <c r="K297" s="1303"/>
      <c r="L297" s="1303"/>
      <c r="M297" s="1303">
        <f>H297+J297+L297</f>
        <v>0</v>
      </c>
    </row>
    <row r="298" spans="1:15" ht="30.75">
      <c r="A298" s="1129" t="s">
        <v>60</v>
      </c>
      <c r="B298" s="1055" t="s">
        <v>434</v>
      </c>
      <c r="C298" s="176" t="s">
        <v>1073</v>
      </c>
      <c r="D298" s="1069" t="s">
        <v>7</v>
      </c>
      <c r="E298" s="265"/>
      <c r="F298" s="49">
        <f>F301</f>
        <v>0.11797191000000003</v>
      </c>
      <c r="G298" s="1303"/>
      <c r="H298" s="1303"/>
      <c r="I298" s="1303"/>
      <c r="J298" s="1303"/>
      <c r="K298" s="1303"/>
      <c r="L298" s="1303"/>
      <c r="M298" s="1303"/>
    </row>
    <row r="299" spans="1:15">
      <c r="A299" s="1129"/>
      <c r="B299" s="1050"/>
      <c r="C299" s="177" t="s">
        <v>27</v>
      </c>
      <c r="D299" s="1050" t="s">
        <v>29</v>
      </c>
      <c r="E299" s="239">
        <v>0.54300000000000004</v>
      </c>
      <c r="F299" s="239">
        <f>F298*E299</f>
        <v>6.4058747130000024E-2</v>
      </c>
      <c r="G299" s="1303"/>
      <c r="H299" s="1303"/>
      <c r="I299" s="1310"/>
      <c r="J299" s="1303">
        <f>F299*I299</f>
        <v>0</v>
      </c>
      <c r="K299" s="1303"/>
      <c r="L299" s="1303"/>
      <c r="M299" s="1303">
        <f>H299+J299+L299</f>
        <v>0</v>
      </c>
    </row>
    <row r="300" spans="1:15">
      <c r="A300" s="1129"/>
      <c r="B300" s="1050"/>
      <c r="C300" s="177" t="s">
        <v>36</v>
      </c>
      <c r="D300" s="1050" t="s">
        <v>30</v>
      </c>
      <c r="E300" s="239">
        <v>1.38E-2</v>
      </c>
      <c r="F300" s="239">
        <f>F298*E300</f>
        <v>1.6280123580000004E-3</v>
      </c>
      <c r="G300" s="1303"/>
      <c r="H300" s="1303"/>
      <c r="I300" s="1303"/>
      <c r="J300" s="1303"/>
      <c r="K300" s="1310"/>
      <c r="L300" s="1303">
        <f>F300*K300</f>
        <v>0</v>
      </c>
      <c r="M300" s="1303">
        <f>H300+J300+L300</f>
        <v>0</v>
      </c>
    </row>
    <row r="301" spans="1:15">
      <c r="A301" s="1129"/>
      <c r="B301" s="1050"/>
      <c r="C301" s="1070" t="s">
        <v>1074</v>
      </c>
      <c r="D301" s="1071" t="s">
        <v>7</v>
      </c>
      <c r="E301" s="240" t="s">
        <v>120</v>
      </c>
      <c r="F301" s="239">
        <f>'77777'!D228</f>
        <v>0.11797191000000003</v>
      </c>
      <c r="G301" s="1310"/>
      <c r="H301" s="1303">
        <f>F301*G301</f>
        <v>0</v>
      </c>
      <c r="I301" s="1303"/>
      <c r="J301" s="1303"/>
      <c r="K301" s="1303"/>
      <c r="L301" s="1303"/>
      <c r="M301" s="1303">
        <f>H301+J301+L301</f>
        <v>0</v>
      </c>
    </row>
    <row r="302" spans="1:15" ht="27">
      <c r="A302" s="1130" t="s">
        <v>81</v>
      </c>
      <c r="B302" s="1055" t="s">
        <v>274</v>
      </c>
      <c r="C302" s="176" t="s">
        <v>280</v>
      </c>
      <c r="D302" s="1055" t="s">
        <v>265</v>
      </c>
      <c r="E302" s="239"/>
      <c r="F302" s="49">
        <f>F306</f>
        <v>9.3600000000000012</v>
      </c>
      <c r="G302" s="1303"/>
      <c r="H302" s="1303"/>
      <c r="I302" s="1303"/>
      <c r="J302" s="1303"/>
      <c r="K302" s="1303"/>
      <c r="L302" s="1303"/>
      <c r="M302" s="1303"/>
    </row>
    <row r="303" spans="1:15">
      <c r="A303" s="1131"/>
      <c r="B303" s="1051"/>
      <c r="C303" s="361" t="s">
        <v>27</v>
      </c>
      <c r="D303" s="1051" t="s">
        <v>268</v>
      </c>
      <c r="E303" s="196">
        <f>111*0.01</f>
        <v>1.1100000000000001</v>
      </c>
      <c r="F303" s="239">
        <f>F302*E303</f>
        <v>10.389600000000002</v>
      </c>
      <c r="G303" s="1303"/>
      <c r="H303" s="1303"/>
      <c r="I303" s="1310"/>
      <c r="J303" s="1303">
        <f>F303*I303</f>
        <v>0</v>
      </c>
      <c r="K303" s="1303"/>
      <c r="L303" s="1303"/>
      <c r="M303" s="1303">
        <f t="shared" ref="M303:M308" si="18">H303+J303+L303</f>
        <v>0</v>
      </c>
    </row>
    <row r="304" spans="1:15">
      <c r="A304" s="1131"/>
      <c r="B304" s="1051" t="s">
        <v>597</v>
      </c>
      <c r="C304" s="361" t="s">
        <v>121</v>
      </c>
      <c r="D304" s="1051" t="s">
        <v>30</v>
      </c>
      <c r="E304" s="196">
        <f>15.1*0.01</f>
        <v>0.151</v>
      </c>
      <c r="F304" s="239">
        <f>E304*F302</f>
        <v>1.4133600000000002</v>
      </c>
      <c r="G304" s="1303"/>
      <c r="H304" s="1303"/>
      <c r="I304" s="1303"/>
      <c r="J304" s="1303"/>
      <c r="K304" s="1310"/>
      <c r="L304" s="1303">
        <f>F304*K304</f>
        <v>0</v>
      </c>
      <c r="M304" s="1303">
        <f t="shared" si="18"/>
        <v>0</v>
      </c>
    </row>
    <row r="305" spans="1:13">
      <c r="A305" s="1131"/>
      <c r="B305" s="1050"/>
      <c r="C305" s="177" t="s">
        <v>28</v>
      </c>
      <c r="D305" s="1050" t="s">
        <v>24</v>
      </c>
      <c r="E305" s="196">
        <f>51.6*0.01</f>
        <v>0.51600000000000001</v>
      </c>
      <c r="F305" s="196">
        <f>F302*E305</f>
        <v>4.8297600000000012</v>
      </c>
      <c r="G305" s="1303"/>
      <c r="H305" s="1303"/>
      <c r="I305" s="1303"/>
      <c r="J305" s="1303"/>
      <c r="K305" s="1310"/>
      <c r="L305" s="1303">
        <f>F305*K305</f>
        <v>0</v>
      </c>
      <c r="M305" s="1303">
        <f t="shared" si="18"/>
        <v>0</v>
      </c>
    </row>
    <row r="306" spans="1:13">
      <c r="A306" s="1131"/>
      <c r="B306" s="1051"/>
      <c r="C306" s="361" t="s">
        <v>275</v>
      </c>
      <c r="D306" s="1051" t="s">
        <v>258</v>
      </c>
      <c r="E306" s="196">
        <v>1</v>
      </c>
      <c r="F306" s="49">
        <f>'77777'!F282+'77777'!F283+'77777'!F284</f>
        <v>9.3600000000000012</v>
      </c>
      <c r="G306" s="1310"/>
      <c r="H306" s="1303">
        <f>F306*G306</f>
        <v>0</v>
      </c>
      <c r="I306" s="1303"/>
      <c r="J306" s="1303"/>
      <c r="K306" s="1303"/>
      <c r="L306" s="1303"/>
      <c r="M306" s="1303">
        <f t="shared" si="18"/>
        <v>0</v>
      </c>
    </row>
    <row r="307" spans="1:13">
      <c r="A307" s="1131"/>
      <c r="B307" s="1051"/>
      <c r="C307" s="361" t="s">
        <v>276</v>
      </c>
      <c r="D307" s="1051" t="s">
        <v>141</v>
      </c>
      <c r="E307" s="196">
        <f>6*0.01</f>
        <v>0.06</v>
      </c>
      <c r="F307" s="239">
        <f>E307*F302</f>
        <v>0.5616000000000001</v>
      </c>
      <c r="G307" s="1310"/>
      <c r="H307" s="1303">
        <f>F307*G307</f>
        <v>0</v>
      </c>
      <c r="I307" s="1303"/>
      <c r="J307" s="1303"/>
      <c r="K307" s="1303"/>
      <c r="L307" s="1303"/>
      <c r="M307" s="1303">
        <f t="shared" si="18"/>
        <v>0</v>
      </c>
    </row>
    <row r="308" spans="1:13">
      <c r="A308" s="1132"/>
      <c r="B308" s="1051"/>
      <c r="C308" s="361" t="s">
        <v>37</v>
      </c>
      <c r="D308" s="1051" t="s">
        <v>24</v>
      </c>
      <c r="E308" s="196">
        <f>5.4*0.01</f>
        <v>5.4000000000000006E-2</v>
      </c>
      <c r="F308" s="239">
        <f>E308*F302</f>
        <v>0.50544000000000011</v>
      </c>
      <c r="G308" s="1310"/>
      <c r="H308" s="1303">
        <f>F308*G308</f>
        <v>0</v>
      </c>
      <c r="I308" s="1303"/>
      <c r="J308" s="1303"/>
      <c r="K308" s="1303"/>
      <c r="L308" s="1303"/>
      <c r="M308" s="1303">
        <f t="shared" si="18"/>
        <v>0</v>
      </c>
    </row>
    <row r="309" spans="1:13" ht="31.5">
      <c r="A309" s="1129" t="s">
        <v>146</v>
      </c>
      <c r="B309" s="1054" t="s">
        <v>300</v>
      </c>
      <c r="C309" s="887" t="s">
        <v>611</v>
      </c>
      <c r="D309" s="1054" t="s">
        <v>5</v>
      </c>
      <c r="E309" s="196"/>
      <c r="F309" s="266">
        <f>F302*2</f>
        <v>18.720000000000002</v>
      </c>
      <c r="G309" s="1303"/>
      <c r="H309" s="1303"/>
      <c r="I309" s="1303"/>
      <c r="J309" s="1303"/>
      <c r="K309" s="1303"/>
      <c r="L309" s="1303"/>
      <c r="M309" s="1303"/>
    </row>
    <row r="310" spans="1:13">
      <c r="A310" s="1129"/>
      <c r="B310" s="1057"/>
      <c r="C310" s="1058" t="s">
        <v>27</v>
      </c>
      <c r="D310" s="359" t="s">
        <v>29</v>
      </c>
      <c r="E310" s="196">
        <f>68*0.01</f>
        <v>0.68</v>
      </c>
      <c r="F310" s="262">
        <f>F309*E310</f>
        <v>12.729600000000003</v>
      </c>
      <c r="G310" s="1303"/>
      <c r="H310" s="1303"/>
      <c r="I310" s="1310"/>
      <c r="J310" s="1303">
        <f>F310*I310</f>
        <v>0</v>
      </c>
      <c r="K310" s="1303"/>
      <c r="L310" s="1303"/>
      <c r="M310" s="1303">
        <f>H310+J310+L310</f>
        <v>0</v>
      </c>
    </row>
    <row r="311" spans="1:13">
      <c r="A311" s="1129"/>
      <c r="B311" s="229"/>
      <c r="C311" s="1059" t="s">
        <v>28</v>
      </c>
      <c r="D311" s="193" t="s">
        <v>24</v>
      </c>
      <c r="E311" s="231">
        <f>0.03*0.01</f>
        <v>2.9999999999999997E-4</v>
      </c>
      <c r="F311" s="231">
        <f>F309*E311</f>
        <v>5.6160000000000003E-3</v>
      </c>
      <c r="G311" s="1303"/>
      <c r="H311" s="1303"/>
      <c r="I311" s="1303"/>
      <c r="J311" s="1303"/>
      <c r="K311" s="1310"/>
      <c r="L311" s="1303">
        <f>F311*K311</f>
        <v>0</v>
      </c>
      <c r="M311" s="1303">
        <f>H311+J311+L311</f>
        <v>0</v>
      </c>
    </row>
    <row r="312" spans="1:13">
      <c r="A312" s="1129"/>
      <c r="B312" s="229"/>
      <c r="C312" s="1059" t="s">
        <v>302</v>
      </c>
      <c r="D312" s="1060" t="s">
        <v>141</v>
      </c>
      <c r="E312" s="156">
        <v>0.35</v>
      </c>
      <c r="F312" s="156">
        <f>E312*F309</f>
        <v>6.5520000000000005</v>
      </c>
      <c r="G312" s="1310"/>
      <c r="H312" s="1303">
        <f>F312*G312</f>
        <v>0</v>
      </c>
      <c r="I312" s="1303"/>
      <c r="J312" s="1303"/>
      <c r="K312" s="1303"/>
      <c r="L312" s="1303"/>
      <c r="M312" s="1303">
        <f>H312+J312+L312</f>
        <v>0</v>
      </c>
    </row>
    <row r="313" spans="1:13">
      <c r="A313" s="1129"/>
      <c r="B313" s="229"/>
      <c r="C313" s="1059" t="s">
        <v>448</v>
      </c>
      <c r="D313" s="1060" t="s">
        <v>141</v>
      </c>
      <c r="E313" s="156">
        <v>2.7E-2</v>
      </c>
      <c r="F313" s="156">
        <f>E313*F309</f>
        <v>0.50544000000000011</v>
      </c>
      <c r="G313" s="1310"/>
      <c r="H313" s="1303">
        <f>F313*G313</f>
        <v>0</v>
      </c>
      <c r="I313" s="1303"/>
      <c r="J313" s="1303"/>
      <c r="K313" s="1303"/>
      <c r="L313" s="1303"/>
      <c r="M313" s="1303">
        <f>H313+J313+L313</f>
        <v>0</v>
      </c>
    </row>
    <row r="314" spans="1:13">
      <c r="A314" s="1129"/>
      <c r="B314" s="229"/>
      <c r="C314" s="1059" t="s">
        <v>37</v>
      </c>
      <c r="D314" s="193" t="s">
        <v>24</v>
      </c>
      <c r="E314" s="231">
        <v>1.9E-3</v>
      </c>
      <c r="F314" s="231">
        <f>F309*E314</f>
        <v>3.5568000000000002E-2</v>
      </c>
      <c r="G314" s="1310"/>
      <c r="H314" s="1303">
        <f>F314*G314</f>
        <v>0</v>
      </c>
      <c r="I314" s="1303"/>
      <c r="J314" s="1303"/>
      <c r="K314" s="1303"/>
      <c r="L314" s="1303"/>
      <c r="M314" s="1303">
        <f>H314+J314+L314</f>
        <v>0</v>
      </c>
    </row>
    <row r="315" spans="1:13" ht="31.5">
      <c r="A315" s="1130" t="s">
        <v>340</v>
      </c>
      <c r="B315" s="112" t="s">
        <v>267</v>
      </c>
      <c r="C315" s="176" t="s">
        <v>281</v>
      </c>
      <c r="D315" s="1055" t="s">
        <v>1</v>
      </c>
      <c r="E315" s="239"/>
      <c r="F315" s="49">
        <f>('77777'!O282+'77777'!O283+'77777'!O284+'77777'!O288+'77777'!O289+'77777'!O290   +  '77777'!O309)      +    ('77777'!R282+'77777'!R283+'77777'!R284+'77777'!R288+'77777'!R289+'77777'!R290   +   '77777'!R309)*2</f>
        <v>95.699999999999989</v>
      </c>
      <c r="G315" s="1303"/>
      <c r="H315" s="1303"/>
      <c r="I315" s="1303"/>
      <c r="J315" s="1303"/>
      <c r="K315" s="1303"/>
      <c r="L315" s="1303"/>
      <c r="M315" s="1303"/>
    </row>
    <row r="316" spans="1:13">
      <c r="A316" s="1131"/>
      <c r="B316" s="112"/>
      <c r="C316" s="179" t="s">
        <v>79</v>
      </c>
      <c r="D316" s="195" t="s">
        <v>137</v>
      </c>
      <c r="E316" s="89">
        <v>0.49</v>
      </c>
      <c r="F316" s="89">
        <f>E316*F315</f>
        <v>46.892999999999994</v>
      </c>
      <c r="G316" s="1303"/>
      <c r="H316" s="1303"/>
      <c r="I316" s="1310"/>
      <c r="J316" s="1303">
        <f>F316*I316</f>
        <v>0</v>
      </c>
      <c r="K316" s="1303"/>
      <c r="L316" s="1303"/>
      <c r="M316" s="1303">
        <f>H316+J316+L316</f>
        <v>0</v>
      </c>
    </row>
    <row r="317" spans="1:13">
      <c r="A317" s="1131"/>
      <c r="B317" s="112"/>
      <c r="C317" s="179" t="s">
        <v>28</v>
      </c>
      <c r="D317" s="195" t="s">
        <v>24</v>
      </c>
      <c r="E317" s="89">
        <v>1.7999999999999999E-2</v>
      </c>
      <c r="F317" s="89">
        <f>E317*F315</f>
        <v>1.7225999999999997</v>
      </c>
      <c r="G317" s="1303"/>
      <c r="H317" s="1303"/>
      <c r="I317" s="1303"/>
      <c r="J317" s="1303"/>
      <c r="K317" s="1310"/>
      <c r="L317" s="1303">
        <f>F317*K317</f>
        <v>0</v>
      </c>
      <c r="M317" s="1303">
        <f>H317+J317+L317</f>
        <v>0</v>
      </c>
    </row>
    <row r="318" spans="1:13">
      <c r="A318" s="1132"/>
      <c r="B318" s="195"/>
      <c r="C318" s="179" t="s">
        <v>442</v>
      </c>
      <c r="D318" s="195" t="s">
        <v>288</v>
      </c>
      <c r="E318" s="89">
        <v>1.06E-2</v>
      </c>
      <c r="F318" s="89">
        <f>E318*F315</f>
        <v>1.0144199999999999</v>
      </c>
      <c r="G318" s="1310"/>
      <c r="H318" s="1303">
        <f>F318*G318</f>
        <v>0</v>
      </c>
      <c r="I318" s="1303"/>
      <c r="J318" s="1303"/>
      <c r="K318" s="1303"/>
      <c r="L318" s="1303"/>
      <c r="M318" s="1303">
        <f>H318+J318+L318</f>
        <v>0</v>
      </c>
    </row>
    <row r="319" spans="1:13" ht="31.5">
      <c r="A319" s="1130" t="s">
        <v>330</v>
      </c>
      <c r="B319" s="112" t="s">
        <v>283</v>
      </c>
      <c r="C319" s="176" t="s">
        <v>282</v>
      </c>
      <c r="D319" s="1055" t="s">
        <v>258</v>
      </c>
      <c r="E319" s="239"/>
      <c r="F319" s="49">
        <f>'77777'!BH170</f>
        <v>666.23</v>
      </c>
      <c r="G319" s="1303"/>
      <c r="H319" s="1303"/>
      <c r="I319" s="1303"/>
      <c r="J319" s="1303"/>
      <c r="K319" s="1303"/>
      <c r="L319" s="1303"/>
      <c r="M319" s="1303"/>
    </row>
    <row r="320" spans="1:13">
      <c r="A320" s="1131"/>
      <c r="B320" s="112"/>
      <c r="C320" s="179" t="s">
        <v>79</v>
      </c>
      <c r="D320" s="195" t="s">
        <v>137</v>
      </c>
      <c r="E320" s="89">
        <v>1.01</v>
      </c>
      <c r="F320" s="89">
        <f>E320*F319</f>
        <v>672.89229999999998</v>
      </c>
      <c r="G320" s="1303"/>
      <c r="H320" s="1303"/>
      <c r="I320" s="1310"/>
      <c r="J320" s="1303">
        <f>F320*I320</f>
        <v>0</v>
      </c>
      <c r="K320" s="1303"/>
      <c r="L320" s="1303"/>
      <c r="M320" s="1303">
        <f t="shared" ref="M320:M325" si="19">H320+J320+L320</f>
        <v>0</v>
      </c>
    </row>
    <row r="321" spans="1:13">
      <c r="A321" s="1131"/>
      <c r="B321" s="112" t="s">
        <v>320</v>
      </c>
      <c r="C321" s="179" t="s">
        <v>319</v>
      </c>
      <c r="D321" s="195" t="s">
        <v>237</v>
      </c>
      <c r="E321" s="89">
        <v>4.1000000000000002E-2</v>
      </c>
      <c r="F321" s="89">
        <f>E321*F319</f>
        <v>27.315430000000003</v>
      </c>
      <c r="G321" s="1303"/>
      <c r="H321" s="1303"/>
      <c r="I321" s="1303"/>
      <c r="J321" s="1303"/>
      <c r="K321" s="1310"/>
      <c r="L321" s="1303">
        <f>F321*K321</f>
        <v>0</v>
      </c>
      <c r="M321" s="1303">
        <f t="shared" si="19"/>
        <v>0</v>
      </c>
    </row>
    <row r="322" spans="1:13">
      <c r="A322" s="1131"/>
      <c r="B322" s="112"/>
      <c r="C322" s="179" t="s">
        <v>28</v>
      </c>
      <c r="D322" s="195" t="s">
        <v>24</v>
      </c>
      <c r="E322" s="89">
        <v>2.7E-2</v>
      </c>
      <c r="F322" s="89">
        <f>E322*F319</f>
        <v>17.988209999999999</v>
      </c>
      <c r="G322" s="1303"/>
      <c r="H322" s="1303"/>
      <c r="I322" s="1303"/>
      <c r="J322" s="1303"/>
      <c r="K322" s="1310"/>
      <c r="L322" s="1303">
        <f>F322*K322</f>
        <v>0</v>
      </c>
      <c r="M322" s="1303">
        <f t="shared" si="19"/>
        <v>0</v>
      </c>
    </row>
    <row r="323" spans="1:13">
      <c r="A323" s="1131"/>
      <c r="B323" s="195"/>
      <c r="C323" s="179" t="s">
        <v>441</v>
      </c>
      <c r="D323" s="195" t="s">
        <v>288</v>
      </c>
      <c r="E323" s="89">
        <f>0.0212+0.0026</f>
        <v>2.3800000000000002E-2</v>
      </c>
      <c r="F323" s="89">
        <f>E323*F319</f>
        <v>15.856274000000001</v>
      </c>
      <c r="G323" s="1310"/>
      <c r="H323" s="1303">
        <f>F323*G323</f>
        <v>0</v>
      </c>
      <c r="I323" s="1303"/>
      <c r="J323" s="1303"/>
      <c r="K323" s="1303"/>
      <c r="L323" s="1303"/>
      <c r="M323" s="1303">
        <f t="shared" si="19"/>
        <v>0</v>
      </c>
    </row>
    <row r="324" spans="1:13">
      <c r="A324" s="1131"/>
      <c r="B324" s="1050"/>
      <c r="C324" s="177" t="s">
        <v>452</v>
      </c>
      <c r="D324" s="103" t="s">
        <v>5</v>
      </c>
      <c r="E324" s="364">
        <v>5.28E-2</v>
      </c>
      <c r="F324" s="116">
        <f>F319*E324</f>
        <v>35.176943999999999</v>
      </c>
      <c r="G324" s="1310"/>
      <c r="H324" s="1303">
        <f>F324*G324</f>
        <v>0</v>
      </c>
      <c r="I324" s="1303"/>
      <c r="J324" s="1303"/>
      <c r="K324" s="1303"/>
      <c r="L324" s="1303"/>
      <c r="M324" s="1303">
        <f t="shared" si="19"/>
        <v>0</v>
      </c>
    </row>
    <row r="325" spans="1:13">
      <c r="A325" s="1132"/>
      <c r="B325" s="1050"/>
      <c r="C325" s="178" t="s">
        <v>37</v>
      </c>
      <c r="D325" s="103" t="s">
        <v>24</v>
      </c>
      <c r="E325" s="364">
        <v>3.0000000000000001E-3</v>
      </c>
      <c r="F325" s="116">
        <f>F319*E325</f>
        <v>1.9986900000000001</v>
      </c>
      <c r="G325" s="1310"/>
      <c r="H325" s="1303">
        <f>F325*G325</f>
        <v>0</v>
      </c>
      <c r="I325" s="1303"/>
      <c r="J325" s="1303"/>
      <c r="K325" s="1303"/>
      <c r="L325" s="1303"/>
      <c r="M325" s="1303">
        <f t="shared" si="19"/>
        <v>0</v>
      </c>
    </row>
    <row r="326" spans="1:13">
      <c r="A326" s="1130" t="s">
        <v>341</v>
      </c>
      <c r="B326" s="1055" t="s">
        <v>602</v>
      </c>
      <c r="C326" s="175" t="s">
        <v>603</v>
      </c>
      <c r="D326" s="1055" t="s">
        <v>258</v>
      </c>
      <c r="E326" s="617"/>
      <c r="F326" s="147">
        <f>'77777'!M170</f>
        <v>272.60500000000002</v>
      </c>
      <c r="G326" s="1303"/>
      <c r="H326" s="1303"/>
      <c r="I326" s="1303"/>
      <c r="J326" s="1303"/>
      <c r="K326" s="1303"/>
      <c r="L326" s="1303"/>
      <c r="M326" s="1303"/>
    </row>
    <row r="327" spans="1:13">
      <c r="A327" s="1131"/>
      <c r="B327" s="112"/>
      <c r="C327" s="179" t="s">
        <v>79</v>
      </c>
      <c r="D327" s="195" t="s">
        <v>137</v>
      </c>
      <c r="E327" s="89">
        <v>1.06</v>
      </c>
      <c r="F327" s="89">
        <f>E327*F326</f>
        <v>288.96130000000005</v>
      </c>
      <c r="G327" s="1303"/>
      <c r="H327" s="1303"/>
      <c r="I327" s="1310"/>
      <c r="J327" s="1303">
        <f>F327*I327</f>
        <v>0</v>
      </c>
      <c r="K327" s="1303"/>
      <c r="L327" s="1303"/>
      <c r="M327" s="1303">
        <f t="shared" ref="M327:M332" si="20">H327+J327+L327</f>
        <v>0</v>
      </c>
    </row>
    <row r="328" spans="1:13">
      <c r="A328" s="1131"/>
      <c r="B328" s="112" t="s">
        <v>320</v>
      </c>
      <c r="C328" s="179" t="s">
        <v>319</v>
      </c>
      <c r="D328" s="195" t="s">
        <v>237</v>
      </c>
      <c r="E328" s="89">
        <v>4.1000000000000002E-2</v>
      </c>
      <c r="F328" s="89">
        <f>E328*F326</f>
        <v>11.176805000000002</v>
      </c>
      <c r="G328" s="1303"/>
      <c r="H328" s="1303"/>
      <c r="I328" s="1303"/>
      <c r="J328" s="1303"/>
      <c r="K328" s="1310"/>
      <c r="L328" s="1303">
        <f>F328*K328</f>
        <v>0</v>
      </c>
      <c r="M328" s="1303">
        <f t="shared" si="20"/>
        <v>0</v>
      </c>
    </row>
    <row r="329" spans="1:13">
      <c r="A329" s="1131"/>
      <c r="B329" s="112"/>
      <c r="C329" s="179" t="s">
        <v>28</v>
      </c>
      <c r="D329" s="195" t="s">
        <v>24</v>
      </c>
      <c r="E329" s="89">
        <v>2.7E-2</v>
      </c>
      <c r="F329" s="89">
        <f>E329*F326</f>
        <v>7.3603350000000001</v>
      </c>
      <c r="G329" s="1303"/>
      <c r="H329" s="1303"/>
      <c r="I329" s="1303"/>
      <c r="J329" s="1303"/>
      <c r="K329" s="1310"/>
      <c r="L329" s="1303">
        <f>F329*K329</f>
        <v>0</v>
      </c>
      <c r="M329" s="1303">
        <f t="shared" si="20"/>
        <v>0</v>
      </c>
    </row>
    <row r="330" spans="1:13">
      <c r="A330" s="1131"/>
      <c r="B330" s="195"/>
      <c r="C330" s="179" t="s">
        <v>441</v>
      </c>
      <c r="D330" s="195" t="s">
        <v>288</v>
      </c>
      <c r="E330" s="89">
        <f>0.023+0.0014</f>
        <v>2.4399999999999998E-2</v>
      </c>
      <c r="F330" s="89">
        <f>E330*F326</f>
        <v>6.6515620000000002</v>
      </c>
      <c r="G330" s="1310"/>
      <c r="H330" s="1303">
        <f>F330*G330</f>
        <v>0</v>
      </c>
      <c r="I330" s="1303"/>
      <c r="J330" s="1303"/>
      <c r="K330" s="1303"/>
      <c r="L330" s="1303"/>
      <c r="M330" s="1303">
        <f t="shared" si="20"/>
        <v>0</v>
      </c>
    </row>
    <row r="331" spans="1:13">
      <c r="A331" s="1131"/>
      <c r="B331" s="1050"/>
      <c r="C331" s="177" t="s">
        <v>452</v>
      </c>
      <c r="D331" s="103" t="s">
        <v>5</v>
      </c>
      <c r="E331" s="364">
        <v>5.28E-2</v>
      </c>
      <c r="F331" s="116">
        <f>F326*E331</f>
        <v>14.393544</v>
      </c>
      <c r="G331" s="1310"/>
      <c r="H331" s="1303">
        <f>F331*G331</f>
        <v>0</v>
      </c>
      <c r="I331" s="1303"/>
      <c r="J331" s="1303"/>
      <c r="K331" s="1303"/>
      <c r="L331" s="1303"/>
      <c r="M331" s="1303">
        <f t="shared" si="20"/>
        <v>0</v>
      </c>
    </row>
    <row r="332" spans="1:13">
      <c r="A332" s="1132"/>
      <c r="B332" s="1050"/>
      <c r="C332" s="178" t="s">
        <v>37</v>
      </c>
      <c r="D332" s="103" t="s">
        <v>24</v>
      </c>
      <c r="E332" s="364">
        <v>2E-3</v>
      </c>
      <c r="F332" s="116">
        <f>F326*E332</f>
        <v>0.54521000000000008</v>
      </c>
      <c r="G332" s="1310"/>
      <c r="H332" s="1303">
        <f>F332*G332</f>
        <v>0</v>
      </c>
      <c r="I332" s="1303"/>
      <c r="J332" s="1303"/>
      <c r="K332" s="1303"/>
      <c r="L332" s="1303"/>
      <c r="M332" s="1303">
        <f t="shared" si="20"/>
        <v>0</v>
      </c>
    </row>
    <row r="333" spans="1:13" ht="31.5">
      <c r="A333" s="1130" t="s">
        <v>461</v>
      </c>
      <c r="B333" s="1055" t="s">
        <v>62</v>
      </c>
      <c r="C333" s="176" t="s">
        <v>904</v>
      </c>
      <c r="D333" s="1055" t="s">
        <v>5</v>
      </c>
      <c r="E333" s="239"/>
      <c r="F333" s="49">
        <f>F326</f>
        <v>272.60500000000002</v>
      </c>
      <c r="G333" s="1303"/>
      <c r="H333" s="1303"/>
      <c r="I333" s="1303"/>
      <c r="J333" s="1303"/>
      <c r="K333" s="1303"/>
      <c r="L333" s="1303"/>
      <c r="M333" s="1303"/>
    </row>
    <row r="334" spans="1:13">
      <c r="A334" s="1131"/>
      <c r="B334" s="1050"/>
      <c r="C334" s="177" t="s">
        <v>27</v>
      </c>
      <c r="D334" s="1050" t="s">
        <v>29</v>
      </c>
      <c r="E334" s="239">
        <v>0.53500000000000003</v>
      </c>
      <c r="F334" s="239">
        <f>F333*E334</f>
        <v>145.84367500000002</v>
      </c>
      <c r="G334" s="1303"/>
      <c r="H334" s="1303"/>
      <c r="I334" s="1310"/>
      <c r="J334" s="1303">
        <f>F334*I334</f>
        <v>0</v>
      </c>
      <c r="K334" s="1303"/>
      <c r="L334" s="1303"/>
      <c r="M334" s="1303">
        <f t="shared" ref="M334:M339" si="21">H334+J334+L334</f>
        <v>0</v>
      </c>
    </row>
    <row r="335" spans="1:13">
      <c r="A335" s="1131"/>
      <c r="B335" s="1050"/>
      <c r="C335" s="177" t="s">
        <v>28</v>
      </c>
      <c r="D335" s="1050" t="s">
        <v>30</v>
      </c>
      <c r="E335" s="239">
        <v>1.2E-2</v>
      </c>
      <c r="F335" s="239">
        <f>F333*E335</f>
        <v>3.2712600000000003</v>
      </c>
      <c r="G335" s="1303"/>
      <c r="H335" s="1303"/>
      <c r="I335" s="1303"/>
      <c r="J335" s="1303"/>
      <c r="K335" s="1310"/>
      <c r="L335" s="1303">
        <f>F335*K335</f>
        <v>0</v>
      </c>
      <c r="M335" s="1303">
        <f t="shared" si="21"/>
        <v>0</v>
      </c>
    </row>
    <row r="336" spans="1:13">
      <c r="A336" s="1131"/>
      <c r="B336" s="1050"/>
      <c r="C336" s="177" t="s">
        <v>173</v>
      </c>
      <c r="D336" s="1050" t="s">
        <v>6</v>
      </c>
      <c r="E336" s="239">
        <v>0.85</v>
      </c>
      <c r="F336" s="239">
        <f>F333*E336</f>
        <v>231.71425000000002</v>
      </c>
      <c r="G336" s="1310"/>
      <c r="H336" s="1303">
        <f>F336*G336</f>
        <v>0</v>
      </c>
      <c r="I336" s="1303"/>
      <c r="J336" s="1303"/>
      <c r="K336" s="1303"/>
      <c r="L336" s="1303"/>
      <c r="M336" s="1303">
        <f t="shared" si="21"/>
        <v>0</v>
      </c>
    </row>
    <row r="337" spans="1:13">
      <c r="A337" s="1131"/>
      <c r="B337" s="1050"/>
      <c r="C337" s="177" t="s">
        <v>8</v>
      </c>
      <c r="D337" s="1050" t="s">
        <v>5</v>
      </c>
      <c r="E337" s="239">
        <v>0.05</v>
      </c>
      <c r="F337" s="239">
        <f>F333*E337</f>
        <v>13.630250000000002</v>
      </c>
      <c r="G337" s="1310"/>
      <c r="H337" s="1303">
        <f>F337*G337</f>
        <v>0</v>
      </c>
      <c r="I337" s="1303"/>
      <c r="J337" s="1303"/>
      <c r="K337" s="1303"/>
      <c r="L337" s="1303"/>
      <c r="M337" s="1303">
        <f t="shared" si="21"/>
        <v>0</v>
      </c>
    </row>
    <row r="338" spans="1:13">
      <c r="A338" s="1131"/>
      <c r="B338" s="1050"/>
      <c r="C338" s="177" t="s">
        <v>42</v>
      </c>
      <c r="D338" s="1050" t="s">
        <v>6</v>
      </c>
      <c r="E338" s="239">
        <v>0.35</v>
      </c>
      <c r="F338" s="239">
        <f>F333*E338</f>
        <v>95.411749999999998</v>
      </c>
      <c r="G338" s="1310"/>
      <c r="H338" s="1303">
        <f>F338*G338</f>
        <v>0</v>
      </c>
      <c r="I338" s="1303"/>
      <c r="J338" s="1303"/>
      <c r="K338" s="1303"/>
      <c r="L338" s="1303"/>
      <c r="M338" s="1303">
        <f t="shared" si="21"/>
        <v>0</v>
      </c>
    </row>
    <row r="339" spans="1:13">
      <c r="A339" s="1132"/>
      <c r="B339" s="1050"/>
      <c r="C339" s="177" t="s">
        <v>37</v>
      </c>
      <c r="D339" s="1050" t="s">
        <v>24</v>
      </c>
      <c r="E339" s="239">
        <v>1.6E-2</v>
      </c>
      <c r="F339" s="239">
        <f>F333*E339</f>
        <v>4.3616800000000007</v>
      </c>
      <c r="G339" s="1310"/>
      <c r="H339" s="1303">
        <f>F339*G339</f>
        <v>0</v>
      </c>
      <c r="I339" s="1303"/>
      <c r="J339" s="1303"/>
      <c r="K339" s="1303"/>
      <c r="L339" s="1303"/>
      <c r="M339" s="1303">
        <f t="shared" si="21"/>
        <v>0</v>
      </c>
    </row>
    <row r="340" spans="1:13" ht="31.5">
      <c r="A340" s="1130" t="s">
        <v>462</v>
      </c>
      <c r="B340" s="1055" t="s">
        <v>388</v>
      </c>
      <c r="C340" s="176" t="s">
        <v>345</v>
      </c>
      <c r="D340" s="1055" t="s">
        <v>139</v>
      </c>
      <c r="E340" s="239"/>
      <c r="F340" s="49">
        <f>('77777'!O282+'77777'!O283+'77777'!O284+'77777'!O288+'77777'!O289+'77777'!O290   +  '77777'!O309)      +    ('77777'!R282+'77777'!R283+'77777'!R284+'77777'!R288+'77777'!R289+'77777'!R290   +   '77777'!R309)*2</f>
        <v>95.699999999999989</v>
      </c>
      <c r="G340" s="1303"/>
      <c r="H340" s="1303"/>
      <c r="I340" s="1303"/>
      <c r="J340" s="1303"/>
      <c r="K340" s="1303"/>
      <c r="L340" s="1303"/>
      <c r="M340" s="1303"/>
    </row>
    <row r="341" spans="1:13">
      <c r="A341" s="1131"/>
      <c r="B341" s="1050"/>
      <c r="C341" s="174" t="s">
        <v>33</v>
      </c>
      <c r="D341" s="104" t="s">
        <v>29</v>
      </c>
      <c r="E341" s="235">
        <v>0.15</v>
      </c>
      <c r="F341" s="239">
        <f>F340*E341</f>
        <v>14.354999999999999</v>
      </c>
      <c r="G341" s="1303"/>
      <c r="H341" s="1303"/>
      <c r="I341" s="1310"/>
      <c r="J341" s="1303">
        <f>F341*I341</f>
        <v>0</v>
      </c>
      <c r="K341" s="1303"/>
      <c r="L341" s="1303"/>
      <c r="M341" s="1303">
        <f>H341+J341+L341</f>
        <v>0</v>
      </c>
    </row>
    <row r="342" spans="1:13">
      <c r="A342" s="1131"/>
      <c r="B342" s="1050"/>
      <c r="C342" s="174" t="s">
        <v>34</v>
      </c>
      <c r="D342" s="103" t="s">
        <v>24</v>
      </c>
      <c r="E342" s="235">
        <v>2E-3</v>
      </c>
      <c r="F342" s="239">
        <f>F340*E342</f>
        <v>0.19139999999999999</v>
      </c>
      <c r="G342" s="1303"/>
      <c r="H342" s="1303"/>
      <c r="I342" s="1303"/>
      <c r="J342" s="1303"/>
      <c r="K342" s="1310"/>
      <c r="L342" s="1303">
        <f>F342*K342</f>
        <v>0</v>
      </c>
      <c r="M342" s="1303">
        <f>H342+J342+L342</f>
        <v>0</v>
      </c>
    </row>
    <row r="343" spans="1:13">
      <c r="A343" s="1131"/>
      <c r="B343" s="1051"/>
      <c r="C343" s="361" t="s">
        <v>285</v>
      </c>
      <c r="D343" s="1051" t="str">
        <f>D340</f>
        <v>grZ.m.</v>
      </c>
      <c r="E343" s="196">
        <v>1.05</v>
      </c>
      <c r="F343" s="239">
        <f>F340*E343</f>
        <v>100.48499999999999</v>
      </c>
      <c r="G343" s="1310"/>
      <c r="H343" s="1303">
        <f>F343*G343</f>
        <v>0</v>
      </c>
      <c r="I343" s="1303"/>
      <c r="J343" s="1303"/>
      <c r="K343" s="1303"/>
      <c r="L343" s="1303"/>
      <c r="M343" s="1303">
        <f>H343+J343+L343</f>
        <v>0</v>
      </c>
    </row>
    <row r="344" spans="1:13">
      <c r="A344" s="1132"/>
      <c r="B344" s="1050"/>
      <c r="C344" s="174" t="s">
        <v>32</v>
      </c>
      <c r="D344" s="103" t="s">
        <v>24</v>
      </c>
      <c r="E344" s="235">
        <v>2E-3</v>
      </c>
      <c r="F344" s="239">
        <f>F340*E344</f>
        <v>0.19139999999999999</v>
      </c>
      <c r="G344" s="1310"/>
      <c r="H344" s="1303">
        <f>F344*G344</f>
        <v>0</v>
      </c>
      <c r="I344" s="1303"/>
      <c r="J344" s="1303"/>
      <c r="K344" s="1303"/>
      <c r="L344" s="1303"/>
      <c r="M344" s="1303">
        <f>H344+J344+L344</f>
        <v>0</v>
      </c>
    </row>
    <row r="345" spans="1:13" ht="31.5">
      <c r="A345" s="1130" t="s">
        <v>463</v>
      </c>
      <c r="B345" s="1055" t="s">
        <v>43</v>
      </c>
      <c r="C345" s="176" t="s">
        <v>284</v>
      </c>
      <c r="D345" s="1055" t="s">
        <v>5</v>
      </c>
      <c r="E345" s="239"/>
      <c r="F345" s="49">
        <f>'77777'!BL170+F315*0.2</f>
        <v>685.37</v>
      </c>
      <c r="G345" s="1303"/>
      <c r="H345" s="1303"/>
      <c r="I345" s="1303"/>
      <c r="J345" s="1303"/>
      <c r="K345" s="1303"/>
      <c r="L345" s="1303"/>
      <c r="M345" s="1303"/>
    </row>
    <row r="346" spans="1:13">
      <c r="A346" s="1131"/>
      <c r="B346" s="1050"/>
      <c r="C346" s="177" t="s">
        <v>27</v>
      </c>
      <c r="D346" s="1050" t="s">
        <v>29</v>
      </c>
      <c r="E346" s="239">
        <v>0.65800000000000003</v>
      </c>
      <c r="F346" s="239">
        <f>F345*E346</f>
        <v>450.97346000000005</v>
      </c>
      <c r="G346" s="1303"/>
      <c r="H346" s="1303"/>
      <c r="I346" s="1310"/>
      <c r="J346" s="1303">
        <f>F346*I346</f>
        <v>0</v>
      </c>
      <c r="K346" s="1303"/>
      <c r="L346" s="1303"/>
      <c r="M346" s="1303">
        <f t="shared" ref="M346:M351" si="22">H346+J346+L346</f>
        <v>0</v>
      </c>
    </row>
    <row r="347" spans="1:13">
      <c r="A347" s="1131"/>
      <c r="B347" s="1050"/>
      <c r="C347" s="177" t="s">
        <v>28</v>
      </c>
      <c r="D347" s="1050" t="s">
        <v>30</v>
      </c>
      <c r="E347" s="239">
        <v>0.01</v>
      </c>
      <c r="F347" s="239">
        <f>F345*E347</f>
        <v>6.8536999999999999</v>
      </c>
      <c r="G347" s="1303"/>
      <c r="H347" s="1303"/>
      <c r="I347" s="1303"/>
      <c r="J347" s="1303"/>
      <c r="K347" s="1310"/>
      <c r="L347" s="1303">
        <f>F347*K347</f>
        <v>0</v>
      </c>
      <c r="M347" s="1303">
        <f t="shared" si="22"/>
        <v>0</v>
      </c>
    </row>
    <row r="348" spans="1:13">
      <c r="A348" s="1131"/>
      <c r="B348" s="1050"/>
      <c r="C348" s="177" t="s">
        <v>44</v>
      </c>
      <c r="D348" s="1050" t="s">
        <v>6</v>
      </c>
      <c r="E348" s="239">
        <v>0.85</v>
      </c>
      <c r="F348" s="239">
        <f>F345*E348</f>
        <v>582.56449999999995</v>
      </c>
      <c r="G348" s="1310"/>
      <c r="H348" s="1303">
        <f>F348*G348</f>
        <v>0</v>
      </c>
      <c r="I348" s="1303"/>
      <c r="J348" s="1303"/>
      <c r="K348" s="1303"/>
      <c r="L348" s="1303"/>
      <c r="M348" s="1303">
        <f t="shared" si="22"/>
        <v>0</v>
      </c>
    </row>
    <row r="349" spans="1:13">
      <c r="A349" s="1131"/>
      <c r="B349" s="1050"/>
      <c r="C349" s="177" t="s">
        <v>8</v>
      </c>
      <c r="D349" s="1050" t="s">
        <v>5</v>
      </c>
      <c r="E349" s="239">
        <v>0.05</v>
      </c>
      <c r="F349" s="239">
        <f>F345*E349</f>
        <v>34.268500000000003</v>
      </c>
      <c r="G349" s="1310"/>
      <c r="H349" s="1303">
        <f>F349*G349</f>
        <v>0</v>
      </c>
      <c r="I349" s="1303"/>
      <c r="J349" s="1303"/>
      <c r="K349" s="1303"/>
      <c r="L349" s="1303"/>
      <c r="M349" s="1303">
        <f t="shared" si="22"/>
        <v>0</v>
      </c>
    </row>
    <row r="350" spans="1:13">
      <c r="A350" s="1131"/>
      <c r="B350" s="1050"/>
      <c r="C350" s="177" t="s">
        <v>42</v>
      </c>
      <c r="D350" s="1050" t="s">
        <v>6</v>
      </c>
      <c r="E350" s="239">
        <v>0.35</v>
      </c>
      <c r="F350" s="239">
        <f>F345*E350</f>
        <v>239.87949999999998</v>
      </c>
      <c r="G350" s="1310"/>
      <c r="H350" s="1303">
        <f>F350*G350</f>
        <v>0</v>
      </c>
      <c r="I350" s="1303"/>
      <c r="J350" s="1303"/>
      <c r="K350" s="1303"/>
      <c r="L350" s="1303"/>
      <c r="M350" s="1303">
        <f t="shared" si="22"/>
        <v>0</v>
      </c>
    </row>
    <row r="351" spans="1:13">
      <c r="A351" s="1132"/>
      <c r="B351" s="1050"/>
      <c r="C351" s="177" t="s">
        <v>37</v>
      </c>
      <c r="D351" s="1050" t="s">
        <v>24</v>
      </c>
      <c r="E351" s="239">
        <v>1.6E-2</v>
      </c>
      <c r="F351" s="239">
        <f>F345*E351</f>
        <v>10.965920000000001</v>
      </c>
      <c r="G351" s="1310"/>
      <c r="H351" s="1303">
        <f>F351*G351</f>
        <v>0</v>
      </c>
      <c r="I351" s="1303"/>
      <c r="J351" s="1303"/>
      <c r="K351" s="1303"/>
      <c r="L351" s="1303"/>
      <c r="M351" s="1303">
        <f t="shared" si="22"/>
        <v>0</v>
      </c>
    </row>
    <row r="352" spans="1:13" ht="47.25">
      <c r="A352" s="1130" t="s">
        <v>466</v>
      </c>
      <c r="B352" s="1055" t="s">
        <v>918</v>
      </c>
      <c r="C352" s="887" t="s">
        <v>917</v>
      </c>
      <c r="D352" s="1055" t="s">
        <v>4</v>
      </c>
      <c r="E352" s="249"/>
      <c r="F352" s="249">
        <f>3.6*1.3*0.2+   (1.8*0.95*1.2)/2+(0.3*0.16)/2*1.2*6</f>
        <v>2.1348000000000003</v>
      </c>
      <c r="G352" s="1303"/>
      <c r="H352" s="1303"/>
      <c r="I352" s="1303"/>
      <c r="J352" s="1303"/>
      <c r="K352" s="1303"/>
      <c r="L352" s="1303"/>
      <c r="M352" s="1303"/>
    </row>
    <row r="353" spans="1:13">
      <c r="A353" s="1131"/>
      <c r="B353" s="1050"/>
      <c r="C353" s="361" t="s">
        <v>27</v>
      </c>
      <c r="D353" s="1051" t="s">
        <v>266</v>
      </c>
      <c r="E353" s="196">
        <v>13.9</v>
      </c>
      <c r="F353" s="196">
        <f>F352*E353</f>
        <v>29.673720000000003</v>
      </c>
      <c r="G353" s="1303"/>
      <c r="H353" s="1303"/>
      <c r="I353" s="1310"/>
      <c r="J353" s="1303">
        <f>F353*I353</f>
        <v>0</v>
      </c>
      <c r="K353" s="1303"/>
      <c r="L353" s="1303"/>
      <c r="M353" s="1303">
        <f t="shared" ref="M353:M360" si="23">H353+J353+L353</f>
        <v>0</v>
      </c>
    </row>
    <row r="354" spans="1:13">
      <c r="A354" s="1131"/>
      <c r="B354" s="1050"/>
      <c r="C354" s="177" t="s">
        <v>28</v>
      </c>
      <c r="D354" s="1050" t="s">
        <v>24</v>
      </c>
      <c r="E354" s="196">
        <v>1.28</v>
      </c>
      <c r="F354" s="196">
        <f>F352*E354</f>
        <v>2.7325440000000003</v>
      </c>
      <c r="G354" s="1303"/>
      <c r="H354" s="1303"/>
      <c r="I354" s="1303"/>
      <c r="J354" s="1303"/>
      <c r="K354" s="1310"/>
      <c r="L354" s="1303">
        <f>F354*K354</f>
        <v>0</v>
      </c>
      <c r="M354" s="1303">
        <f t="shared" si="23"/>
        <v>0</v>
      </c>
    </row>
    <row r="355" spans="1:13">
      <c r="A355" s="1131"/>
      <c r="B355" s="1050"/>
      <c r="C355" s="361" t="s">
        <v>919</v>
      </c>
      <c r="D355" s="1050" t="s">
        <v>4</v>
      </c>
      <c r="E355" s="196">
        <v>1.0149999999999999</v>
      </c>
      <c r="F355" s="196">
        <f>F352*E355</f>
        <v>2.1668220000000002</v>
      </c>
      <c r="G355" s="1310"/>
      <c r="H355" s="1303">
        <f t="shared" ref="H355:H360" si="24">F355*G355</f>
        <v>0</v>
      </c>
      <c r="I355" s="1303"/>
      <c r="J355" s="1303"/>
      <c r="K355" s="1303"/>
      <c r="L355" s="1303"/>
      <c r="M355" s="1303">
        <f t="shared" si="23"/>
        <v>0</v>
      </c>
    </row>
    <row r="356" spans="1:13">
      <c r="A356" s="1131"/>
      <c r="B356" s="1050"/>
      <c r="C356" s="361" t="s">
        <v>718</v>
      </c>
      <c r="D356" s="1050" t="s">
        <v>5</v>
      </c>
      <c r="E356" s="196">
        <v>2.29</v>
      </c>
      <c r="F356" s="196">
        <f>F352*E356</f>
        <v>4.8886920000000007</v>
      </c>
      <c r="G356" s="1310"/>
      <c r="H356" s="1303">
        <f t="shared" si="24"/>
        <v>0</v>
      </c>
      <c r="I356" s="1303"/>
      <c r="J356" s="1303"/>
      <c r="K356" s="1303"/>
      <c r="L356" s="1303"/>
      <c r="M356" s="1303">
        <f t="shared" si="23"/>
        <v>0</v>
      </c>
    </row>
    <row r="357" spans="1:13">
      <c r="A357" s="1131"/>
      <c r="B357" s="1050"/>
      <c r="C357" s="361" t="s">
        <v>259</v>
      </c>
      <c r="D357" s="1050" t="s">
        <v>4</v>
      </c>
      <c r="E357" s="196">
        <f>(1.4+4.29+0.2)/100</f>
        <v>5.8899999999999994E-2</v>
      </c>
      <c r="F357" s="196">
        <f>F352*E357</f>
        <v>0.12573972</v>
      </c>
      <c r="G357" s="1310"/>
      <c r="H357" s="1303">
        <f t="shared" si="24"/>
        <v>0</v>
      </c>
      <c r="I357" s="1303"/>
      <c r="J357" s="1303"/>
      <c r="K357" s="1303"/>
      <c r="L357" s="1303"/>
      <c r="M357" s="1303">
        <f t="shared" si="23"/>
        <v>0</v>
      </c>
    </row>
    <row r="358" spans="1:13">
      <c r="A358" s="1131"/>
      <c r="B358" s="1050"/>
      <c r="C358" s="361" t="s">
        <v>82</v>
      </c>
      <c r="D358" s="1050" t="s">
        <v>6</v>
      </c>
      <c r="E358" s="196">
        <v>2.5</v>
      </c>
      <c r="F358" s="196">
        <f>F352*E358</f>
        <v>5.3370000000000006</v>
      </c>
      <c r="G358" s="1310"/>
      <c r="H358" s="1303">
        <f t="shared" si="24"/>
        <v>0</v>
      </c>
      <c r="I358" s="1303"/>
      <c r="J358" s="1303"/>
      <c r="K358" s="1303"/>
      <c r="L358" s="1303"/>
      <c r="M358" s="1303">
        <f t="shared" si="23"/>
        <v>0</v>
      </c>
    </row>
    <row r="359" spans="1:13">
      <c r="A359" s="1131"/>
      <c r="B359" s="1050"/>
      <c r="C359" s="361" t="s">
        <v>32</v>
      </c>
      <c r="D359" s="1050" t="s">
        <v>24</v>
      </c>
      <c r="E359" s="196">
        <v>0.93</v>
      </c>
      <c r="F359" s="196">
        <f>F352*E359</f>
        <v>1.9853640000000004</v>
      </c>
      <c r="G359" s="1310"/>
      <c r="H359" s="1303">
        <f t="shared" si="24"/>
        <v>0</v>
      </c>
      <c r="I359" s="1303"/>
      <c r="J359" s="1303"/>
      <c r="K359" s="1303"/>
      <c r="L359" s="1303"/>
      <c r="M359" s="1303">
        <f t="shared" si="23"/>
        <v>0</v>
      </c>
    </row>
    <row r="360" spans="1:13">
      <c r="A360" s="1131"/>
      <c r="B360" s="1050"/>
      <c r="C360" s="788" t="s">
        <v>1071</v>
      </c>
      <c r="D360" s="1050" t="s">
        <v>257</v>
      </c>
      <c r="E360" s="209"/>
      <c r="F360" s="196">
        <v>0.53</v>
      </c>
      <c r="G360" s="1321"/>
      <c r="H360" s="1303">
        <f t="shared" si="24"/>
        <v>0</v>
      </c>
      <c r="I360" s="1303"/>
      <c r="J360" s="1303"/>
      <c r="K360" s="1303"/>
      <c r="L360" s="1303"/>
      <c r="M360" s="1303">
        <f t="shared" si="23"/>
        <v>0</v>
      </c>
    </row>
    <row r="361" spans="1:13" ht="47.25">
      <c r="A361" s="1130" t="s">
        <v>467</v>
      </c>
      <c r="B361" s="1055" t="s">
        <v>270</v>
      </c>
      <c r="C361" s="888" t="s">
        <v>909</v>
      </c>
      <c r="D361" s="1055" t="s">
        <v>265</v>
      </c>
      <c r="E361" s="249"/>
      <c r="F361" s="49">
        <f>'77777'!D162+'77777'!D163+'77777'!D164</f>
        <v>7.597999999999999</v>
      </c>
      <c r="G361" s="1303"/>
      <c r="H361" s="1303"/>
      <c r="I361" s="1303"/>
      <c r="J361" s="1303"/>
      <c r="K361" s="1303"/>
      <c r="L361" s="1303"/>
      <c r="M361" s="1303"/>
    </row>
    <row r="362" spans="1:13">
      <c r="A362" s="1131"/>
      <c r="B362" s="1051"/>
      <c r="C362" s="788" t="s">
        <v>27</v>
      </c>
      <c r="D362" s="1050" t="s">
        <v>268</v>
      </c>
      <c r="E362" s="196">
        <v>7.6</v>
      </c>
      <c r="F362" s="239">
        <f>E362*F361</f>
        <v>57.744799999999991</v>
      </c>
      <c r="G362" s="1303"/>
      <c r="H362" s="1303"/>
      <c r="I362" s="1310"/>
      <c r="J362" s="1303">
        <f>F362*I362</f>
        <v>0</v>
      </c>
      <c r="K362" s="1303"/>
      <c r="L362" s="1303"/>
      <c r="M362" s="1303">
        <f>H362+J362+L362</f>
        <v>0</v>
      </c>
    </row>
    <row r="363" spans="1:13">
      <c r="A363" s="1131"/>
      <c r="B363" s="1051"/>
      <c r="C363" s="788" t="s">
        <v>28</v>
      </c>
      <c r="D363" s="1050" t="s">
        <v>24</v>
      </c>
      <c r="E363" s="196">
        <v>0.2</v>
      </c>
      <c r="F363" s="196">
        <f>F361*E363</f>
        <v>1.5195999999999998</v>
      </c>
      <c r="G363" s="1303"/>
      <c r="H363" s="1303"/>
      <c r="I363" s="1303"/>
      <c r="J363" s="1303"/>
      <c r="K363" s="1310"/>
      <c r="L363" s="1303">
        <f>F363*K363</f>
        <v>0</v>
      </c>
      <c r="M363" s="1303">
        <f>H363+J363+L363</f>
        <v>0</v>
      </c>
    </row>
    <row r="364" spans="1:13">
      <c r="A364" s="1131"/>
      <c r="B364" s="1050"/>
      <c r="C364" s="788" t="s">
        <v>451</v>
      </c>
      <c r="D364" s="1051" t="s">
        <v>288</v>
      </c>
      <c r="E364" s="196">
        <f>(3.6)/100</f>
        <v>3.6000000000000004E-2</v>
      </c>
      <c r="F364" s="196">
        <f>F361*E364</f>
        <v>0.27352799999999999</v>
      </c>
      <c r="G364" s="1310"/>
      <c r="H364" s="1303">
        <f>F364*G364</f>
        <v>0</v>
      </c>
      <c r="I364" s="1303"/>
      <c r="J364" s="1303"/>
      <c r="K364" s="1303"/>
      <c r="L364" s="1303"/>
      <c r="M364" s="1303">
        <f>H364+J364+L364</f>
        <v>0</v>
      </c>
    </row>
    <row r="365" spans="1:13">
      <c r="A365" s="1131"/>
      <c r="B365" s="1051"/>
      <c r="C365" s="788" t="s">
        <v>907</v>
      </c>
      <c r="D365" s="1050" t="s">
        <v>258</v>
      </c>
      <c r="E365" s="196">
        <v>1.03</v>
      </c>
      <c r="F365" s="239">
        <f>E365*F361</f>
        <v>7.8259399999999992</v>
      </c>
      <c r="G365" s="1310"/>
      <c r="H365" s="1303">
        <f>F365*G365</f>
        <v>0</v>
      </c>
      <c r="I365" s="1303"/>
      <c r="J365" s="1303"/>
      <c r="K365" s="1303"/>
      <c r="L365" s="1303"/>
      <c r="M365" s="1303">
        <f>H365+J365+L365</f>
        <v>0</v>
      </c>
    </row>
    <row r="366" spans="1:13">
      <c r="A366" s="1131"/>
      <c r="B366" s="1051"/>
      <c r="C366" s="788" t="s">
        <v>37</v>
      </c>
      <c r="D366" s="1050" t="s">
        <v>24</v>
      </c>
      <c r="E366" s="196">
        <f>9/100</f>
        <v>0.09</v>
      </c>
      <c r="F366" s="239">
        <f>E366*F361</f>
        <v>0.68381999999999987</v>
      </c>
      <c r="G366" s="1310"/>
      <c r="H366" s="1303">
        <f>F366*G366</f>
        <v>0</v>
      </c>
      <c r="I366" s="1303"/>
      <c r="J366" s="1303"/>
      <c r="K366" s="1303"/>
      <c r="L366" s="1303"/>
      <c r="M366" s="1303">
        <f>H366+J366+L366</f>
        <v>0</v>
      </c>
    </row>
    <row r="367" spans="1:13" ht="40.5">
      <c r="A367" s="1130" t="s">
        <v>468</v>
      </c>
      <c r="B367" s="1055" t="s">
        <v>271</v>
      </c>
      <c r="C367" s="176" t="s">
        <v>908</v>
      </c>
      <c r="D367" s="1055" t="s">
        <v>1</v>
      </c>
      <c r="E367" s="239"/>
      <c r="F367" s="147">
        <f>'77777'!D165</f>
        <v>7.5</v>
      </c>
      <c r="G367" s="1303"/>
      <c r="H367" s="1303"/>
      <c r="I367" s="1303"/>
      <c r="J367" s="1303"/>
      <c r="K367" s="1303"/>
      <c r="L367" s="1303"/>
      <c r="M367" s="1303"/>
    </row>
    <row r="368" spans="1:13">
      <c r="A368" s="1131"/>
      <c r="B368" s="1051"/>
      <c r="C368" s="361" t="s">
        <v>27</v>
      </c>
      <c r="D368" s="359" t="s">
        <v>29</v>
      </c>
      <c r="E368" s="196">
        <f>37.9*0.01</f>
        <v>0.379</v>
      </c>
      <c r="F368" s="262">
        <f>F367*E368</f>
        <v>2.8425000000000002</v>
      </c>
      <c r="G368" s="1303"/>
      <c r="H368" s="1303"/>
      <c r="I368" s="1310"/>
      <c r="J368" s="1303">
        <f>F368*I368</f>
        <v>0</v>
      </c>
      <c r="K368" s="1303"/>
      <c r="L368" s="1303"/>
      <c r="M368" s="1303">
        <f>H368+J368+L368</f>
        <v>0</v>
      </c>
    </row>
    <row r="369" spans="1:13">
      <c r="A369" s="1131"/>
      <c r="B369" s="1050"/>
      <c r="C369" s="177" t="s">
        <v>28</v>
      </c>
      <c r="D369" s="1050" t="s">
        <v>24</v>
      </c>
      <c r="E369" s="196">
        <f>2.8*0.01</f>
        <v>2.7999999999999997E-2</v>
      </c>
      <c r="F369" s="196">
        <f>F367*E369</f>
        <v>0.20999999999999996</v>
      </c>
      <c r="G369" s="1303"/>
      <c r="H369" s="1303"/>
      <c r="I369" s="1303"/>
      <c r="J369" s="1303"/>
      <c r="K369" s="1310"/>
      <c r="L369" s="1303">
        <f>F369*K369</f>
        <v>0</v>
      </c>
      <c r="M369" s="1303">
        <f>H369+J369+L369</f>
        <v>0</v>
      </c>
    </row>
    <row r="370" spans="1:13">
      <c r="A370" s="1131"/>
      <c r="B370" s="1050"/>
      <c r="C370" s="177" t="s">
        <v>272</v>
      </c>
      <c r="D370" s="1051" t="str">
        <f>D367</f>
        <v>g/m</v>
      </c>
      <c r="E370" s="239">
        <v>1</v>
      </c>
      <c r="F370" s="239">
        <f>E370*F367</f>
        <v>7.5</v>
      </c>
      <c r="G370" s="1310"/>
      <c r="H370" s="1303">
        <f>F370*G370</f>
        <v>0</v>
      </c>
      <c r="I370" s="1303"/>
      <c r="J370" s="1303"/>
      <c r="K370" s="1303"/>
      <c r="L370" s="1303"/>
      <c r="M370" s="1303">
        <f>H370+J370+L370</f>
        <v>0</v>
      </c>
    </row>
    <row r="371" spans="1:13">
      <c r="A371" s="1132"/>
      <c r="B371" s="1050"/>
      <c r="C371" s="177" t="s">
        <v>269</v>
      </c>
      <c r="D371" s="1050" t="s">
        <v>262</v>
      </c>
      <c r="E371" s="196">
        <f>0.15*0.01</f>
        <v>1.5E-3</v>
      </c>
      <c r="F371" s="196">
        <f>F367*E371</f>
        <v>1.125E-2</v>
      </c>
      <c r="G371" s="1310"/>
      <c r="H371" s="1303">
        <f>F371*G371</f>
        <v>0</v>
      </c>
      <c r="I371" s="1303"/>
      <c r="J371" s="1303"/>
      <c r="K371" s="1303"/>
      <c r="L371" s="1303"/>
      <c r="M371" s="1303">
        <f>H371+J371+L371</f>
        <v>0</v>
      </c>
    </row>
    <row r="372" spans="1:13" ht="31.5">
      <c r="A372" s="1130" t="s">
        <v>469</v>
      </c>
      <c r="B372" s="1055" t="s">
        <v>300</v>
      </c>
      <c r="C372" s="176" t="s">
        <v>301</v>
      </c>
      <c r="D372" s="1055" t="s">
        <v>265</v>
      </c>
      <c r="E372" s="239"/>
      <c r="F372" s="49">
        <f>F367*0.9</f>
        <v>6.75</v>
      </c>
      <c r="G372" s="1322"/>
      <c r="H372" s="1303"/>
      <c r="I372" s="1303"/>
      <c r="J372" s="1303"/>
      <c r="K372" s="1303"/>
      <c r="L372" s="1303"/>
      <c r="M372" s="1303"/>
    </row>
    <row r="373" spans="1:13">
      <c r="A373" s="1131"/>
      <c r="B373" s="1057"/>
      <c r="C373" s="1058" t="s">
        <v>27</v>
      </c>
      <c r="D373" s="359" t="s">
        <v>29</v>
      </c>
      <c r="E373" s="196">
        <f>68*0.01</f>
        <v>0.68</v>
      </c>
      <c r="F373" s="262">
        <f>F372*E373</f>
        <v>4.5900000000000007</v>
      </c>
      <c r="G373" s="1303"/>
      <c r="H373" s="1303"/>
      <c r="I373" s="1310"/>
      <c r="J373" s="1303">
        <f>F373*I373</f>
        <v>0</v>
      </c>
      <c r="K373" s="1303"/>
      <c r="L373" s="1303"/>
      <c r="M373" s="1303">
        <f>H373+J373+L373</f>
        <v>0</v>
      </c>
    </row>
    <row r="374" spans="1:13">
      <c r="A374" s="1131"/>
      <c r="B374" s="229"/>
      <c r="C374" s="1059" t="s">
        <v>28</v>
      </c>
      <c r="D374" s="193" t="s">
        <v>24</v>
      </c>
      <c r="E374" s="231">
        <f>0.03*0.01</f>
        <v>2.9999999999999997E-4</v>
      </c>
      <c r="F374" s="231">
        <f>F372*E374</f>
        <v>2.0249999999999999E-3</v>
      </c>
      <c r="G374" s="1303"/>
      <c r="H374" s="1303"/>
      <c r="I374" s="1303"/>
      <c r="J374" s="1303"/>
      <c r="K374" s="1310"/>
      <c r="L374" s="1303">
        <f>F374*K374</f>
        <v>0</v>
      </c>
      <c r="M374" s="1303">
        <f>H374+J374+L374</f>
        <v>0</v>
      </c>
    </row>
    <row r="375" spans="1:13">
      <c r="A375" s="1131"/>
      <c r="B375" s="229"/>
      <c r="C375" s="1059" t="s">
        <v>302</v>
      </c>
      <c r="D375" s="1060" t="s">
        <v>141</v>
      </c>
      <c r="E375" s="156">
        <v>0.35</v>
      </c>
      <c r="F375" s="156">
        <f>E375*F372</f>
        <v>2.3624999999999998</v>
      </c>
      <c r="G375" s="1310"/>
      <c r="H375" s="1303">
        <f>F375*G375</f>
        <v>0</v>
      </c>
      <c r="I375" s="1303"/>
      <c r="J375" s="1303"/>
      <c r="K375" s="1303"/>
      <c r="L375" s="1303"/>
      <c r="M375" s="1303">
        <f>H375+J375+L375</f>
        <v>0</v>
      </c>
    </row>
    <row r="376" spans="1:13">
      <c r="A376" s="1131"/>
      <c r="B376" s="229"/>
      <c r="C376" s="1059" t="s">
        <v>448</v>
      </c>
      <c r="D376" s="1060" t="s">
        <v>141</v>
      </c>
      <c r="E376" s="156">
        <v>2.7E-2</v>
      </c>
      <c r="F376" s="156">
        <f>E376*F372</f>
        <v>0.18225</v>
      </c>
      <c r="G376" s="1310"/>
      <c r="H376" s="1303">
        <f>F376*G376</f>
        <v>0</v>
      </c>
      <c r="I376" s="1303"/>
      <c r="J376" s="1303"/>
      <c r="K376" s="1303"/>
      <c r="L376" s="1303"/>
      <c r="M376" s="1303">
        <f>H376+J376+L376</f>
        <v>0</v>
      </c>
    </row>
    <row r="377" spans="1:13">
      <c r="A377" s="1132"/>
      <c r="B377" s="229"/>
      <c r="C377" s="1059" t="s">
        <v>37</v>
      </c>
      <c r="D377" s="193" t="s">
        <v>24</v>
      </c>
      <c r="E377" s="231">
        <v>1.9E-3</v>
      </c>
      <c r="F377" s="231">
        <f>F372*E377</f>
        <v>1.2825E-2</v>
      </c>
      <c r="G377" s="1310"/>
      <c r="H377" s="1303">
        <f>F377*G377</f>
        <v>0</v>
      </c>
      <c r="I377" s="1303"/>
      <c r="J377" s="1303"/>
      <c r="K377" s="1303"/>
      <c r="L377" s="1303"/>
      <c r="M377" s="1303">
        <f>H377+J377+L377</f>
        <v>0</v>
      </c>
    </row>
    <row r="378" spans="1:13">
      <c r="A378" s="1048"/>
      <c r="B378" s="1054"/>
      <c r="C378" s="361"/>
      <c r="D378" s="1050"/>
      <c r="E378" s="1061"/>
      <c r="F378" s="1018"/>
      <c r="G378" s="1322"/>
      <c r="H378" s="1303"/>
      <c r="I378" s="1303"/>
      <c r="J378" s="1303"/>
      <c r="K378" s="1303"/>
      <c r="L378" s="1303"/>
      <c r="M378" s="1303"/>
    </row>
    <row r="379" spans="1:13">
      <c r="A379" s="1056" t="s">
        <v>470</v>
      </c>
      <c r="B379" s="1054" t="s">
        <v>995</v>
      </c>
      <c r="C379" s="887" t="s">
        <v>994</v>
      </c>
      <c r="D379" s="1055" t="s">
        <v>1</v>
      </c>
      <c r="E379" s="1019"/>
      <c r="F379" s="1015">
        <f>'77777'!D193</f>
        <v>102.15</v>
      </c>
      <c r="G379" s="1322"/>
      <c r="H379" s="1303"/>
      <c r="I379" s="1303"/>
      <c r="J379" s="1303"/>
      <c r="K379" s="1303"/>
      <c r="L379" s="1303"/>
      <c r="M379" s="1303"/>
    </row>
    <row r="380" spans="1:13">
      <c r="A380" s="1130"/>
      <c r="B380" s="1062"/>
      <c r="C380" s="1063" t="s">
        <v>976</v>
      </c>
      <c r="D380" s="1050" t="s">
        <v>1</v>
      </c>
      <c r="E380" s="1018">
        <f>'77777'!E190</f>
        <v>3453.1200000000003</v>
      </c>
      <c r="F380" s="1018"/>
      <c r="G380" s="1322"/>
      <c r="H380" s="1303"/>
      <c r="I380" s="1303"/>
      <c r="J380" s="1303"/>
      <c r="K380" s="1303"/>
      <c r="L380" s="1303"/>
      <c r="M380" s="1303"/>
    </row>
    <row r="381" spans="1:13">
      <c r="A381" s="1131"/>
      <c r="B381" s="1064"/>
      <c r="C381" s="788"/>
      <c r="D381" s="1050" t="s">
        <v>7</v>
      </c>
      <c r="E381" s="1018">
        <f>(0.04+0.04)*2*0.003*7.85*E380</f>
        <v>13.011356160000002</v>
      </c>
      <c r="F381" s="1018"/>
      <c r="G381" s="1322"/>
      <c r="H381" s="1303"/>
      <c r="I381" s="1303"/>
      <c r="J381" s="1303"/>
      <c r="K381" s="1303"/>
      <c r="L381" s="1303"/>
      <c r="M381" s="1303"/>
    </row>
    <row r="382" spans="1:13">
      <c r="A382" s="1131"/>
      <c r="B382" s="1054"/>
      <c r="C382" s="887" t="s">
        <v>997</v>
      </c>
      <c r="D382" s="1055" t="s">
        <v>7</v>
      </c>
      <c r="E382" s="1019"/>
      <c r="F382" s="1015">
        <f>E381</f>
        <v>13.011356160000002</v>
      </c>
      <c r="G382" s="1322"/>
      <c r="H382" s="1303"/>
      <c r="I382" s="1303"/>
      <c r="J382" s="1303"/>
      <c r="K382" s="1303"/>
      <c r="L382" s="1303"/>
      <c r="M382" s="1303"/>
    </row>
    <row r="383" spans="1:13">
      <c r="A383" s="1131"/>
      <c r="B383" s="1054"/>
      <c r="C383" s="1058" t="s">
        <v>27</v>
      </c>
      <c r="D383" s="359" t="s">
        <v>29</v>
      </c>
      <c r="E383" s="196">
        <v>62.6</v>
      </c>
      <c r="F383" s="262">
        <f>F382*E383</f>
        <v>814.51089561600008</v>
      </c>
      <c r="G383" s="1303"/>
      <c r="H383" s="1303"/>
      <c r="I383" s="1310"/>
      <c r="J383" s="1303">
        <f>F383*I383</f>
        <v>0</v>
      </c>
      <c r="K383" s="1303"/>
      <c r="L383" s="1303"/>
      <c r="M383" s="1303">
        <f>H383+J383+L383</f>
        <v>0</v>
      </c>
    </row>
    <row r="384" spans="1:13">
      <c r="A384" s="1131"/>
      <c r="B384" s="1054"/>
      <c r="C384" s="1059" t="s">
        <v>28</v>
      </c>
      <c r="D384" s="193" t="s">
        <v>24</v>
      </c>
      <c r="E384" s="231">
        <v>1</v>
      </c>
      <c r="F384" s="231">
        <f>F382*E384</f>
        <v>13.011356160000002</v>
      </c>
      <c r="G384" s="1303"/>
      <c r="H384" s="1303"/>
      <c r="I384" s="1303"/>
      <c r="J384" s="1303"/>
      <c r="K384" s="1310"/>
      <c r="L384" s="1303">
        <f>F384*K384</f>
        <v>0</v>
      </c>
      <c r="M384" s="1303">
        <f>H384+J384+L384</f>
        <v>0</v>
      </c>
    </row>
    <row r="385" spans="1:13">
      <c r="A385" s="1131"/>
      <c r="B385" s="1054"/>
      <c r="C385" s="1065" t="s">
        <v>998</v>
      </c>
      <c r="D385" s="1050"/>
      <c r="E385" s="1061"/>
      <c r="F385" s="1018"/>
      <c r="G385" s="1322"/>
      <c r="H385" s="1303"/>
      <c r="I385" s="1303"/>
      <c r="J385" s="1303"/>
      <c r="K385" s="1303"/>
      <c r="L385" s="1303"/>
      <c r="M385" s="1303"/>
    </row>
    <row r="386" spans="1:13">
      <c r="A386" s="1131"/>
      <c r="B386" s="1054"/>
      <c r="C386" s="361" t="s">
        <v>976</v>
      </c>
      <c r="D386" s="1050" t="s">
        <v>7</v>
      </c>
      <c r="E386" s="1061"/>
      <c r="F386" s="1018">
        <f>E381</f>
        <v>13.011356160000002</v>
      </c>
      <c r="G386" s="1323"/>
      <c r="H386" s="1303">
        <f>F386*G386</f>
        <v>0</v>
      </c>
      <c r="I386" s="1303"/>
      <c r="J386" s="1303"/>
      <c r="K386" s="1303"/>
      <c r="L386" s="1303"/>
      <c r="M386" s="1303">
        <f>H386+J386+L386</f>
        <v>0</v>
      </c>
    </row>
    <row r="387" spans="1:13">
      <c r="A387" s="1131"/>
      <c r="B387" s="1054"/>
      <c r="C387" s="361" t="s">
        <v>82</v>
      </c>
      <c r="D387" s="1050" t="s">
        <v>6</v>
      </c>
      <c r="E387" s="1061">
        <v>10.4</v>
      </c>
      <c r="F387" s="1018">
        <f>F382*E387</f>
        <v>135.31810406400001</v>
      </c>
      <c r="G387" s="1323"/>
      <c r="H387" s="1303">
        <f>F387*G387</f>
        <v>0</v>
      </c>
      <c r="I387" s="1303"/>
      <c r="J387" s="1303"/>
      <c r="K387" s="1303"/>
      <c r="L387" s="1303"/>
      <c r="M387" s="1303">
        <f>H387+J387+L387</f>
        <v>0</v>
      </c>
    </row>
    <row r="388" spans="1:13">
      <c r="A388" s="1132"/>
      <c r="B388" s="1054"/>
      <c r="C388" s="361" t="s">
        <v>32</v>
      </c>
      <c r="D388" s="1050" t="s">
        <v>24</v>
      </c>
      <c r="E388" s="1061">
        <v>2.78</v>
      </c>
      <c r="F388" s="1018">
        <f>F382*E388</f>
        <v>36.171570124800006</v>
      </c>
      <c r="G388" s="1323"/>
      <c r="H388" s="1303">
        <f>F388*G388</f>
        <v>0</v>
      </c>
      <c r="I388" s="1303"/>
      <c r="J388" s="1303"/>
      <c r="K388" s="1303"/>
      <c r="L388" s="1303"/>
      <c r="M388" s="1303">
        <f>H388+J388+L388</f>
        <v>0</v>
      </c>
    </row>
    <row r="389" spans="1:13" ht="31.5">
      <c r="A389" s="1130" t="s">
        <v>1000</v>
      </c>
      <c r="B389" s="1055" t="s">
        <v>300</v>
      </c>
      <c r="C389" s="176" t="s">
        <v>999</v>
      </c>
      <c r="D389" s="1055" t="s">
        <v>265</v>
      </c>
      <c r="E389" s="239"/>
      <c r="F389" s="49">
        <f>(0.04+0.04)*2*E380/1.1</f>
        <v>502.27200000000005</v>
      </c>
      <c r="G389" s="1322"/>
      <c r="H389" s="1303"/>
      <c r="I389" s="1303"/>
      <c r="J389" s="1303"/>
      <c r="K389" s="1303"/>
      <c r="L389" s="1303"/>
      <c r="M389" s="1303"/>
    </row>
    <row r="390" spans="1:13">
      <c r="A390" s="1131"/>
      <c r="B390" s="1057"/>
      <c r="C390" s="1058" t="s">
        <v>27</v>
      </c>
      <c r="D390" s="359" t="s">
        <v>29</v>
      </c>
      <c r="E390" s="196">
        <f>68*0.01</f>
        <v>0.68</v>
      </c>
      <c r="F390" s="262">
        <f>F389*E390</f>
        <v>341.54496000000006</v>
      </c>
      <c r="G390" s="1303"/>
      <c r="H390" s="1303"/>
      <c r="I390" s="1310"/>
      <c r="J390" s="1303">
        <f>F390*I390</f>
        <v>0</v>
      </c>
      <c r="K390" s="1303"/>
      <c r="L390" s="1303"/>
      <c r="M390" s="1303">
        <f>H390+J390+L390</f>
        <v>0</v>
      </c>
    </row>
    <row r="391" spans="1:13">
      <c r="A391" s="1131"/>
      <c r="B391" s="229"/>
      <c r="C391" s="1059" t="s">
        <v>28</v>
      </c>
      <c r="D391" s="193" t="s">
        <v>24</v>
      </c>
      <c r="E391" s="231">
        <f>0.03*0.01</f>
        <v>2.9999999999999997E-4</v>
      </c>
      <c r="F391" s="231">
        <f>F389*E391</f>
        <v>0.1506816</v>
      </c>
      <c r="G391" s="1303"/>
      <c r="H391" s="1303"/>
      <c r="I391" s="1303"/>
      <c r="J391" s="1303"/>
      <c r="K391" s="1310"/>
      <c r="L391" s="1303">
        <f>F391*K391</f>
        <v>0</v>
      </c>
      <c r="M391" s="1303">
        <f>H391+J391+L391</f>
        <v>0</v>
      </c>
    </row>
    <row r="392" spans="1:13">
      <c r="A392" s="1131"/>
      <c r="B392" s="229"/>
      <c r="C392" s="1059" t="s">
        <v>302</v>
      </c>
      <c r="D392" s="1060" t="s">
        <v>141</v>
      </c>
      <c r="E392" s="156">
        <v>0.35</v>
      </c>
      <c r="F392" s="156">
        <f>E392*F389</f>
        <v>175.79519999999999</v>
      </c>
      <c r="G392" s="1310"/>
      <c r="H392" s="1303">
        <f>F392*G392</f>
        <v>0</v>
      </c>
      <c r="I392" s="1303"/>
      <c r="J392" s="1303"/>
      <c r="K392" s="1303"/>
      <c r="L392" s="1303"/>
      <c r="M392" s="1303">
        <f>H392+J392+L392</f>
        <v>0</v>
      </c>
    </row>
    <row r="393" spans="1:13">
      <c r="A393" s="1131"/>
      <c r="B393" s="229"/>
      <c r="C393" s="1059" t="s">
        <v>448</v>
      </c>
      <c r="D393" s="1060" t="s">
        <v>141</v>
      </c>
      <c r="E393" s="156">
        <v>2.7E-2</v>
      </c>
      <c r="F393" s="156">
        <f>E393*F389</f>
        <v>13.561344000000002</v>
      </c>
      <c r="G393" s="1310"/>
      <c r="H393" s="1303">
        <f>F393*G393</f>
        <v>0</v>
      </c>
      <c r="I393" s="1303"/>
      <c r="J393" s="1303"/>
      <c r="K393" s="1303"/>
      <c r="L393" s="1303"/>
      <c r="M393" s="1303">
        <f>H393+J393+L393</f>
        <v>0</v>
      </c>
    </row>
    <row r="394" spans="1:13">
      <c r="A394" s="1132"/>
      <c r="B394" s="229"/>
      <c r="C394" s="1059" t="s">
        <v>37</v>
      </c>
      <c r="D394" s="193" t="s">
        <v>24</v>
      </c>
      <c r="E394" s="231">
        <v>1.9E-3</v>
      </c>
      <c r="F394" s="231">
        <f>F389*E394</f>
        <v>0.95431680000000008</v>
      </c>
      <c r="G394" s="1310"/>
      <c r="H394" s="1303">
        <f>F394*G394</f>
        <v>0</v>
      </c>
      <c r="I394" s="1303"/>
      <c r="J394" s="1303"/>
      <c r="K394" s="1303"/>
      <c r="L394" s="1303"/>
      <c r="M394" s="1303">
        <f>H394+J394+L394</f>
        <v>0</v>
      </c>
    </row>
    <row r="395" spans="1:13" ht="31.5">
      <c r="A395" s="1130" t="s">
        <v>471</v>
      </c>
      <c r="B395" s="1054" t="s">
        <v>1002</v>
      </c>
      <c r="C395" s="887" t="s">
        <v>1001</v>
      </c>
      <c r="D395" s="1055" t="s">
        <v>5</v>
      </c>
      <c r="E395" s="1019"/>
      <c r="F395" s="1015">
        <f>'77777'!D192</f>
        <v>408.6</v>
      </c>
      <c r="G395" s="1322"/>
      <c r="H395" s="1303"/>
      <c r="I395" s="1303"/>
      <c r="J395" s="1303"/>
      <c r="K395" s="1303"/>
      <c r="L395" s="1303"/>
      <c r="M395" s="1303"/>
    </row>
    <row r="396" spans="1:13">
      <c r="A396" s="1131"/>
      <c r="B396" s="1054"/>
      <c r="C396" s="1058" t="s">
        <v>27</v>
      </c>
      <c r="D396" s="359" t="s">
        <v>29</v>
      </c>
      <c r="E396" s="196">
        <v>0.53900000000000003</v>
      </c>
      <c r="F396" s="262">
        <f>F395*E396</f>
        <v>220.23540000000003</v>
      </c>
      <c r="G396" s="1303"/>
      <c r="H396" s="1303"/>
      <c r="I396" s="1310"/>
      <c r="J396" s="1303">
        <f>F396*I396</f>
        <v>0</v>
      </c>
      <c r="K396" s="1303"/>
      <c r="L396" s="1303"/>
      <c r="M396" s="1303">
        <f>H396+J396+L396</f>
        <v>0</v>
      </c>
    </row>
    <row r="397" spans="1:13">
      <c r="A397" s="1131"/>
      <c r="B397" s="1054"/>
      <c r="C397" s="1059" t="s">
        <v>28</v>
      </c>
      <c r="D397" s="193" t="s">
        <v>24</v>
      </c>
      <c r="E397" s="231">
        <v>1.8200000000000001E-2</v>
      </c>
      <c r="F397" s="231">
        <f>F395*E397</f>
        <v>7.4365200000000007</v>
      </c>
      <c r="G397" s="1303"/>
      <c r="H397" s="1303"/>
      <c r="I397" s="1303"/>
      <c r="J397" s="1303"/>
      <c r="K397" s="1310"/>
      <c r="L397" s="1303">
        <f>F397*K397</f>
        <v>0</v>
      </c>
      <c r="M397" s="1303">
        <f>H397+J397+L397</f>
        <v>0</v>
      </c>
    </row>
    <row r="398" spans="1:13">
      <c r="A398" s="1131"/>
      <c r="B398" s="1051" t="s">
        <v>1005</v>
      </c>
      <c r="C398" s="361" t="s">
        <v>1003</v>
      </c>
      <c r="D398" s="1050" t="s">
        <v>5</v>
      </c>
      <c r="E398" s="1061">
        <v>1.1000000000000001</v>
      </c>
      <c r="F398" s="1018">
        <f>F395*E398</f>
        <v>449.46000000000004</v>
      </c>
      <c r="G398" s="1323"/>
      <c r="H398" s="1303">
        <f>F398*G398</f>
        <v>0</v>
      </c>
      <c r="I398" s="1303"/>
      <c r="J398" s="1303"/>
      <c r="K398" s="1303"/>
      <c r="L398" s="1303"/>
      <c r="M398" s="1303">
        <f>H398+J398+L398</f>
        <v>0</v>
      </c>
    </row>
    <row r="399" spans="1:13">
      <c r="A399" s="1132"/>
      <c r="B399" s="1054"/>
      <c r="C399" s="361" t="s">
        <v>1004</v>
      </c>
      <c r="D399" s="1050" t="s">
        <v>6</v>
      </c>
      <c r="E399" s="1061">
        <v>4.2000000000000003E-2</v>
      </c>
      <c r="F399" s="1018">
        <f>F395*E399</f>
        <v>17.161200000000001</v>
      </c>
      <c r="G399" s="1323"/>
      <c r="H399" s="1303">
        <f>F399*G399</f>
        <v>0</v>
      </c>
      <c r="I399" s="1303"/>
      <c r="J399" s="1303"/>
      <c r="K399" s="1303"/>
      <c r="L399" s="1303"/>
      <c r="M399" s="1303">
        <f>H399+J399+L399</f>
        <v>0</v>
      </c>
    </row>
    <row r="400" spans="1:13" ht="75.75" customHeight="1">
      <c r="A400" s="1129" t="s">
        <v>1011</v>
      </c>
      <c r="B400" s="1072" t="s">
        <v>594</v>
      </c>
      <c r="C400" s="176" t="s">
        <v>639</v>
      </c>
      <c r="D400" s="1055" t="s">
        <v>128</v>
      </c>
      <c r="E400" s="239"/>
      <c r="F400" s="49">
        <v>5</v>
      </c>
      <c r="G400" s="1303"/>
      <c r="H400" s="1303"/>
      <c r="I400" s="1303"/>
      <c r="J400" s="1303"/>
      <c r="K400" s="1303"/>
      <c r="L400" s="1303"/>
      <c r="M400" s="1303"/>
    </row>
    <row r="401" spans="1:15">
      <c r="A401" s="1129"/>
      <c r="B401" s="1055"/>
      <c r="C401" s="174" t="s">
        <v>33</v>
      </c>
      <c r="D401" s="104" t="s">
        <v>29</v>
      </c>
      <c r="E401" s="235">
        <v>0.6</v>
      </c>
      <c r="F401" s="116">
        <f>F400*E401</f>
        <v>3</v>
      </c>
      <c r="G401" s="1301"/>
      <c r="H401" s="1303"/>
      <c r="I401" s="1302"/>
      <c r="J401" s="1303">
        <f>F401*I401</f>
        <v>0</v>
      </c>
      <c r="K401" s="1303"/>
      <c r="L401" s="1303"/>
      <c r="M401" s="1303">
        <f>H401+J401+L401</f>
        <v>0</v>
      </c>
    </row>
    <row r="402" spans="1:15" ht="31.5">
      <c r="A402" s="1129"/>
      <c r="B402" s="1073" t="s">
        <v>418</v>
      </c>
      <c r="C402" s="357" t="s">
        <v>133</v>
      </c>
      <c r="D402" s="1055" t="s">
        <v>7</v>
      </c>
      <c r="E402" s="235"/>
      <c r="F402" s="147">
        <f>F400*1.95</f>
        <v>9.75</v>
      </c>
      <c r="G402" s="1301"/>
      <c r="H402" s="1303"/>
      <c r="I402" s="1301"/>
      <c r="J402" s="1303"/>
      <c r="K402" s="1301"/>
      <c r="L402" s="1303"/>
      <c r="M402" s="1303"/>
    </row>
    <row r="403" spans="1:15">
      <c r="A403" s="1129"/>
      <c r="B403" s="84"/>
      <c r="C403" s="358" t="s">
        <v>39</v>
      </c>
      <c r="D403" s="104" t="s">
        <v>29</v>
      </c>
      <c r="E403" s="235">
        <v>0.53</v>
      </c>
      <c r="F403" s="116">
        <f>F402*E403</f>
        <v>5.1675000000000004</v>
      </c>
      <c r="G403" s="1301"/>
      <c r="H403" s="1303"/>
      <c r="I403" s="1302"/>
      <c r="J403" s="1303">
        <f>F403*I403</f>
        <v>0</v>
      </c>
      <c r="K403" s="1301"/>
      <c r="L403" s="1303"/>
      <c r="M403" s="1303">
        <f>H403+J403+L403</f>
        <v>0</v>
      </c>
    </row>
    <row r="404" spans="1:15">
      <c r="A404" s="1129"/>
      <c r="B404" s="1055" t="s">
        <v>346</v>
      </c>
      <c r="C404" s="396" t="s">
        <v>932</v>
      </c>
      <c r="D404" s="1055" t="s">
        <v>7</v>
      </c>
      <c r="E404" s="235"/>
      <c r="F404" s="147">
        <f>F402</f>
        <v>9.75</v>
      </c>
      <c r="G404" s="1301"/>
      <c r="H404" s="1303"/>
      <c r="I404" s="1301"/>
      <c r="J404" s="1303"/>
      <c r="K404" s="1312"/>
      <c r="L404" s="1303">
        <f>F404*K404</f>
        <v>0</v>
      </c>
      <c r="M404" s="1303">
        <f>H404+J404+L404</f>
        <v>0</v>
      </c>
    </row>
    <row r="405" spans="1:15">
      <c r="A405" s="982"/>
      <c r="B405" s="983"/>
      <c r="C405" s="984" t="s">
        <v>959</v>
      </c>
      <c r="D405" s="985"/>
      <c r="E405" s="986"/>
      <c r="F405" s="987"/>
      <c r="G405" s="1313"/>
      <c r="H405" s="1313">
        <f>SUM(H233:H404)</f>
        <v>0</v>
      </c>
      <c r="I405" s="1313"/>
      <c r="J405" s="1313">
        <f>SUM(J233:J404)</f>
        <v>0</v>
      </c>
      <c r="K405" s="1313"/>
      <c r="L405" s="1313">
        <f>SUM(L233:L404)</f>
        <v>0</v>
      </c>
      <c r="M405" s="1313">
        <f>SUM(M233:M404)</f>
        <v>0</v>
      </c>
      <c r="N405" s="632"/>
    </row>
    <row r="406" spans="1:15" ht="31.5">
      <c r="A406" s="894"/>
      <c r="B406" s="263"/>
      <c r="C406" s="390" t="s">
        <v>456</v>
      </c>
      <c r="D406" s="263"/>
      <c r="E406" s="269"/>
      <c r="F406" s="1110"/>
      <c r="G406" s="1314"/>
      <c r="H406" s="1314"/>
      <c r="I406" s="1314"/>
      <c r="J406" s="1314"/>
      <c r="K406" s="1314"/>
      <c r="L406" s="1314"/>
      <c r="M406" s="1315">
        <f>H405*F406</f>
        <v>0</v>
      </c>
    </row>
    <row r="407" spans="1:15">
      <c r="A407" s="894"/>
      <c r="B407" s="263"/>
      <c r="C407" s="261" t="s">
        <v>70</v>
      </c>
      <c r="D407" s="263"/>
      <c r="E407" s="269"/>
      <c r="F407" s="269"/>
      <c r="G407" s="1314"/>
      <c r="H407" s="1314"/>
      <c r="I407" s="1314"/>
      <c r="J407" s="1314"/>
      <c r="K407" s="1314"/>
      <c r="L407" s="1314"/>
      <c r="M407" s="1315">
        <f>M405+M406</f>
        <v>0</v>
      </c>
    </row>
    <row r="408" spans="1:15">
      <c r="A408" s="270"/>
      <c r="B408" s="271"/>
      <c r="C408" s="94" t="s">
        <v>73</v>
      </c>
      <c r="D408" s="77"/>
      <c r="E408" s="382"/>
      <c r="F408" s="1111"/>
      <c r="G408" s="1316"/>
      <c r="H408" s="1316"/>
      <c r="I408" s="1316"/>
      <c r="J408" s="1316"/>
      <c r="K408" s="1316"/>
      <c r="L408" s="1316"/>
      <c r="M408" s="1316">
        <f>M407*F408</f>
        <v>0</v>
      </c>
    </row>
    <row r="409" spans="1:15">
      <c r="A409" s="273"/>
      <c r="B409" s="274"/>
      <c r="C409" s="261" t="s">
        <v>70</v>
      </c>
      <c r="D409" s="78"/>
      <c r="E409" s="383"/>
      <c r="F409" s="275"/>
      <c r="G409" s="1317"/>
      <c r="H409" s="1317"/>
      <c r="I409" s="1317"/>
      <c r="J409" s="1317"/>
      <c r="K409" s="1317"/>
      <c r="L409" s="1317"/>
      <c r="M409" s="1317">
        <f>M407+M408</f>
        <v>0</v>
      </c>
    </row>
    <row r="410" spans="1:15">
      <c r="A410" s="273"/>
      <c r="B410" s="274"/>
      <c r="C410" s="95" t="s">
        <v>66</v>
      </c>
      <c r="D410" s="78"/>
      <c r="E410" s="383"/>
      <c r="F410" s="1112"/>
      <c r="G410" s="1317"/>
      <c r="H410" s="1317"/>
      <c r="I410" s="1317"/>
      <c r="J410" s="1317"/>
      <c r="K410" s="1317"/>
      <c r="L410" s="1317"/>
      <c r="M410" s="1317">
        <f>M409*F410</f>
        <v>0</v>
      </c>
    </row>
    <row r="411" spans="1:15" s="1103" customFormat="1" ht="16.5" thickBot="1">
      <c r="A411" s="1104"/>
      <c r="B411" s="143"/>
      <c r="C411" s="142" t="s">
        <v>1069</v>
      </c>
      <c r="D411" s="143"/>
      <c r="E411" s="282"/>
      <c r="F411" s="282"/>
      <c r="G411" s="1318"/>
      <c r="H411" s="1318"/>
      <c r="I411" s="1318"/>
      <c r="J411" s="1318"/>
      <c r="K411" s="1318"/>
      <c r="L411" s="1318"/>
      <c r="M411" s="1319">
        <f>M409+M410</f>
        <v>0</v>
      </c>
      <c r="O411" s="1105"/>
    </row>
    <row r="412" spans="1:15" ht="17.25" thickBot="1">
      <c r="A412" s="958"/>
      <c r="B412" s="957"/>
      <c r="C412" s="976" t="s">
        <v>951</v>
      </c>
      <c r="D412" s="957"/>
      <c r="E412" s="959"/>
      <c r="F412" s="959"/>
      <c r="G412" s="1324"/>
      <c r="H412" s="1324"/>
      <c r="I412" s="1324"/>
      <c r="J412" s="1324"/>
      <c r="K412" s="1324"/>
      <c r="L412" s="1324"/>
      <c r="M412" s="1325">
        <f>M231+M411</f>
        <v>0</v>
      </c>
    </row>
    <row r="413" spans="1:15">
      <c r="G413" s="871"/>
      <c r="H413" s="871"/>
      <c r="I413" s="871"/>
      <c r="J413" s="871"/>
      <c r="K413" s="871"/>
      <c r="L413" s="871"/>
      <c r="M413" s="871"/>
    </row>
    <row r="414" spans="1:15">
      <c r="C414" s="895"/>
      <c r="D414" s="47"/>
      <c r="G414" s="710"/>
      <c r="H414" s="896"/>
      <c r="I414" s="896"/>
      <c r="J414" s="710"/>
      <c r="K414" s="710"/>
      <c r="L414" s="710"/>
      <c r="M414" s="710"/>
    </row>
    <row r="415" spans="1:15">
      <c r="C415" s="873"/>
      <c r="D415" s="47"/>
      <c r="G415" s="871"/>
      <c r="H415" s="870"/>
      <c r="I415" s="870"/>
      <c r="J415" s="871"/>
      <c r="K415" s="871"/>
      <c r="L415" s="871"/>
      <c r="M415" s="871"/>
    </row>
  </sheetData>
  <sheetProtection algorithmName="SHA-512" hashValue="GIFSKoEC60Kjv9FNDQbEAgYjz74o5cKIr2VR3dF6xw6wpsB6TktHPMxNRF4s6PKtZUq4CrHRiZYj2P2d/RdVRQ==" saltValue="Rdngp7yuPDFYbjTN5FgTxg==" spinCount="100000" sheet="1" objects="1" scenarios="1"/>
  <autoFilter ref="K1:K415"/>
  <mergeCells count="84">
    <mergeCell ref="A172:A178"/>
    <mergeCell ref="A198:A204"/>
    <mergeCell ref="A117:A121"/>
    <mergeCell ref="A87:A93"/>
    <mergeCell ref="A94:A98"/>
    <mergeCell ref="A99:A102"/>
    <mergeCell ref="A103:A109"/>
    <mergeCell ref="A110:A116"/>
    <mergeCell ref="A12:A13"/>
    <mergeCell ref="A14:A16"/>
    <mergeCell ref="A17:A19"/>
    <mergeCell ref="A20:A23"/>
    <mergeCell ref="A24:A26"/>
    <mergeCell ref="A27:A29"/>
    <mergeCell ref="A32:A34"/>
    <mergeCell ref="A42:A43"/>
    <mergeCell ref="A44:A45"/>
    <mergeCell ref="A30:A31"/>
    <mergeCell ref="A35:A38"/>
    <mergeCell ref="A39:A41"/>
    <mergeCell ref="A2:M2"/>
    <mergeCell ref="A4:M4"/>
    <mergeCell ref="A6:A7"/>
    <mergeCell ref="B6:B7"/>
    <mergeCell ref="C6:C7"/>
    <mergeCell ref="D6:D7"/>
    <mergeCell ref="G6:H6"/>
    <mergeCell ref="I6:J6"/>
    <mergeCell ref="K6:L6"/>
    <mergeCell ref="M6:M7"/>
    <mergeCell ref="E6:F6"/>
    <mergeCell ref="A5:D5"/>
    <mergeCell ref="H5:K5"/>
    <mergeCell ref="A73:A80"/>
    <mergeCell ref="A81:A86"/>
    <mergeCell ref="A220:A224"/>
    <mergeCell ref="A122:A128"/>
    <mergeCell ref="A129:A135"/>
    <mergeCell ref="A136:A142"/>
    <mergeCell ref="A143:A147"/>
    <mergeCell ref="A148:A152"/>
    <mergeCell ref="A153:A157"/>
    <mergeCell ref="A158:A164"/>
    <mergeCell ref="A165:A171"/>
    <mergeCell ref="A179:A185"/>
    <mergeCell ref="A193:A197"/>
    <mergeCell ref="A210:A216"/>
    <mergeCell ref="A205:A209"/>
    <mergeCell ref="A186:A192"/>
    <mergeCell ref="A46:A47"/>
    <mergeCell ref="A48:A49"/>
    <mergeCell ref="A59:A65"/>
    <mergeCell ref="A66:A72"/>
    <mergeCell ref="A51:A52"/>
    <mergeCell ref="A53:A54"/>
    <mergeCell ref="A243:A245"/>
    <mergeCell ref="A246:A248"/>
    <mergeCell ref="A249:A250"/>
    <mergeCell ref="A235:A237"/>
    <mergeCell ref="A238:A239"/>
    <mergeCell ref="A240:A242"/>
    <mergeCell ref="A281:A290"/>
    <mergeCell ref="A291:A297"/>
    <mergeCell ref="A298:A301"/>
    <mergeCell ref="A253:A257"/>
    <mergeCell ref="A262:A266"/>
    <mergeCell ref="A267:A275"/>
    <mergeCell ref="A276:A280"/>
    <mergeCell ref="A315:A318"/>
    <mergeCell ref="A319:A325"/>
    <mergeCell ref="A326:A332"/>
    <mergeCell ref="A302:A308"/>
    <mergeCell ref="A309:A314"/>
    <mergeCell ref="A400:A404"/>
    <mergeCell ref="A333:A339"/>
    <mergeCell ref="A340:A344"/>
    <mergeCell ref="A345:A351"/>
    <mergeCell ref="A395:A399"/>
    <mergeCell ref="A380:A388"/>
    <mergeCell ref="A389:A394"/>
    <mergeCell ref="A352:A360"/>
    <mergeCell ref="A361:A366"/>
    <mergeCell ref="A367:A371"/>
    <mergeCell ref="A372:A377"/>
  </mergeCells>
  <pageMargins left="0.47244094488188981" right="0.15748031496062992" top="0.59" bottom="0.4" header="0.39370078740157483" footer="0.23"/>
  <pageSetup paperSize="9" scale="75" orientation="landscape" r:id="rId1"/>
  <headerFooter>
    <oddHeader>&amp;R&amp;P--&amp;N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601"/>
  <sheetViews>
    <sheetView view="pageBreakPreview" zoomScale="90" zoomScaleNormal="80" zoomScaleSheetLayoutView="90" workbookViewId="0">
      <selection activeCell="E9" sqref="E9"/>
    </sheetView>
  </sheetViews>
  <sheetFormatPr defaultColWidth="8.875" defaultRowHeight="15.75"/>
  <cols>
    <col min="1" max="1" width="6.75" style="79" customWidth="1"/>
    <col min="2" max="2" width="10.25" style="79" customWidth="1"/>
    <col min="3" max="3" width="54" style="11" customWidth="1"/>
    <col min="4" max="4" width="10.75" style="79" customWidth="1"/>
    <col min="5" max="5" width="9.375" style="243" customWidth="1"/>
    <col min="6" max="6" width="12" style="233" customWidth="1"/>
    <col min="7" max="7" width="10.25" style="573" customWidth="1"/>
    <col min="8" max="8" width="13.125" style="573" customWidth="1"/>
    <col min="9" max="9" width="9" style="573" customWidth="1"/>
    <col min="10" max="10" width="11.375" style="573" customWidth="1"/>
    <col min="11" max="11" width="8.875" style="573" customWidth="1"/>
    <col min="12" max="12" width="11.125" style="573" customWidth="1"/>
    <col min="13" max="13" width="14.125" style="573" customWidth="1"/>
    <col min="14" max="14" width="22" style="33" customWidth="1"/>
    <col min="15" max="15" width="37.625" style="33" customWidth="1"/>
    <col min="16" max="16384" width="8.875" style="33"/>
  </cols>
  <sheetData>
    <row r="1" spans="1:15">
      <c r="A1" s="575"/>
      <c r="B1" s="575"/>
      <c r="C1" s="575"/>
      <c r="D1" s="575"/>
      <c r="E1" s="242"/>
      <c r="F1" s="242"/>
      <c r="G1" s="572"/>
      <c r="H1" s="572"/>
      <c r="I1" s="572"/>
      <c r="J1" s="572"/>
      <c r="K1" s="572"/>
      <c r="L1" s="572"/>
      <c r="M1" s="572"/>
    </row>
    <row r="2" spans="1:15" ht="23.25" customHeight="1">
      <c r="A2" s="1149" t="s">
        <v>1043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5">
      <c r="A3" s="575"/>
      <c r="B3" s="575"/>
      <c r="C3" s="575"/>
      <c r="D3" s="575"/>
      <c r="E3" s="242"/>
      <c r="F3" s="242"/>
      <c r="G3" s="572"/>
      <c r="H3" s="572"/>
      <c r="I3" s="572"/>
      <c r="J3" s="572"/>
      <c r="K3" s="572"/>
      <c r="L3" s="572"/>
      <c r="M3" s="572"/>
    </row>
    <row r="4" spans="1:15" ht="30" customHeight="1">
      <c r="A4" s="1150" t="s">
        <v>1023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</row>
    <row r="5" spans="1:15" ht="30" customHeight="1">
      <c r="A5" s="1155" t="str">
        <f>krebsiti!A4</f>
        <v>Sedgenilia 2021 wlis IV kvartlis doneze</v>
      </c>
      <c r="B5" s="1156"/>
      <c r="C5" s="1156"/>
      <c r="D5" s="1156"/>
      <c r="E5" s="1029"/>
      <c r="F5" s="1030"/>
      <c r="G5" s="1031"/>
      <c r="H5" s="1157"/>
      <c r="I5" s="1157"/>
      <c r="J5" s="1157"/>
      <c r="K5" s="1157"/>
      <c r="L5" s="1032"/>
      <c r="M5" s="1032"/>
    </row>
    <row r="6" spans="1:15" ht="39" customHeight="1">
      <c r="A6" s="1158" t="s">
        <v>0</v>
      </c>
      <c r="B6" s="1160" t="s">
        <v>397</v>
      </c>
      <c r="C6" s="1160" t="s">
        <v>398</v>
      </c>
      <c r="D6" s="1160" t="s">
        <v>399</v>
      </c>
      <c r="E6" s="1153" t="s">
        <v>235</v>
      </c>
      <c r="F6" s="1154"/>
      <c r="G6" s="1289" t="s">
        <v>232</v>
      </c>
      <c r="H6" s="1290"/>
      <c r="I6" s="1289" t="s">
        <v>400</v>
      </c>
      <c r="J6" s="1290"/>
      <c r="K6" s="1289" t="s">
        <v>31</v>
      </c>
      <c r="L6" s="1290"/>
      <c r="M6" s="1291" t="s">
        <v>331</v>
      </c>
    </row>
    <row r="7" spans="1:15" ht="39" customHeight="1">
      <c r="A7" s="1159"/>
      <c r="B7" s="1161"/>
      <c r="C7" s="1161"/>
      <c r="D7" s="1161"/>
      <c r="E7" s="577" t="s">
        <v>236</v>
      </c>
      <c r="F7" s="577" t="s">
        <v>20</v>
      </c>
      <c r="G7" s="1284" t="s">
        <v>401</v>
      </c>
      <c r="H7" s="1284" t="s">
        <v>20</v>
      </c>
      <c r="I7" s="1284" t="s">
        <v>401</v>
      </c>
      <c r="J7" s="1284" t="s">
        <v>20</v>
      </c>
      <c r="K7" s="1284" t="s">
        <v>401</v>
      </c>
      <c r="L7" s="1284" t="s">
        <v>20</v>
      </c>
      <c r="M7" s="1292"/>
    </row>
    <row r="8" spans="1:15">
      <c r="A8" s="574">
        <v>1</v>
      </c>
      <c r="B8" s="238">
        <v>2</v>
      </c>
      <c r="C8" s="576">
        <v>3</v>
      </c>
      <c r="D8" s="576">
        <v>4</v>
      </c>
      <c r="E8" s="577">
        <v>5</v>
      </c>
      <c r="F8" s="576">
        <v>6</v>
      </c>
      <c r="G8" s="1294">
        <v>7</v>
      </c>
      <c r="H8" s="1326">
        <v>8</v>
      </c>
      <c r="I8" s="1294">
        <v>9</v>
      </c>
      <c r="J8" s="1326">
        <v>10</v>
      </c>
      <c r="K8" s="1294">
        <v>11</v>
      </c>
      <c r="L8" s="1326">
        <v>12</v>
      </c>
      <c r="M8" s="1294">
        <v>13</v>
      </c>
    </row>
    <row r="9" spans="1:15" s="1089" customFormat="1" ht="27">
      <c r="A9" s="284" t="s">
        <v>455</v>
      </c>
      <c r="B9" s="284"/>
      <c r="C9" s="283" t="s">
        <v>1023</v>
      </c>
      <c r="D9" s="284"/>
      <c r="E9" s="285"/>
      <c r="F9" s="288"/>
      <c r="G9" s="1327"/>
      <c r="H9" s="1327"/>
      <c r="I9" s="1327"/>
      <c r="J9" s="1327"/>
      <c r="K9" s="1327"/>
      <c r="L9" s="1327"/>
      <c r="M9" s="1327"/>
    </row>
    <row r="10" spans="1:15" ht="27.75" customHeight="1">
      <c r="A10" s="923" t="s">
        <v>954</v>
      </c>
      <c r="B10" s="947"/>
      <c r="C10" s="923" t="s">
        <v>941</v>
      </c>
      <c r="D10" s="921"/>
      <c r="E10" s="922"/>
      <c r="F10" s="922"/>
      <c r="G10" s="1296"/>
      <c r="H10" s="1297"/>
      <c r="I10" s="1296"/>
      <c r="J10" s="1297"/>
      <c r="K10" s="1296"/>
      <c r="L10" s="1297"/>
      <c r="M10" s="1297"/>
      <c r="O10" s="372"/>
    </row>
    <row r="11" spans="1:15" s="1088" customFormat="1" ht="19.5" customHeight="1">
      <c r="A11" s="1084"/>
      <c r="B11" s="1084"/>
      <c r="C11" s="1085" t="s">
        <v>859</v>
      </c>
      <c r="D11" s="1084"/>
      <c r="E11" s="1086"/>
      <c r="F11" s="1087"/>
      <c r="G11" s="1328"/>
      <c r="H11" s="1328"/>
      <c r="I11" s="1328"/>
      <c r="J11" s="1328"/>
      <c r="K11" s="1328"/>
      <c r="L11" s="1328"/>
      <c r="M11" s="1328"/>
    </row>
    <row r="12" spans="1:15" s="1082" customFormat="1">
      <c r="A12" s="773"/>
      <c r="B12" s="773"/>
      <c r="C12" s="774" t="s">
        <v>1021</v>
      </c>
      <c r="D12" s="773"/>
      <c r="E12" s="775"/>
      <c r="F12" s="776"/>
      <c r="G12" s="1329"/>
      <c r="H12" s="1329"/>
      <c r="I12" s="1329"/>
      <c r="J12" s="1329"/>
      <c r="K12" s="1329"/>
      <c r="L12" s="1329"/>
      <c r="M12" s="1329"/>
    </row>
    <row r="13" spans="1:15" s="1022" customFormat="1">
      <c r="A13" s="1007" t="s">
        <v>334</v>
      </c>
      <c r="B13" s="1013" t="s">
        <v>286</v>
      </c>
      <c r="C13" s="562" t="s">
        <v>347</v>
      </c>
      <c r="D13" s="1013" t="s">
        <v>25</v>
      </c>
      <c r="E13" s="99"/>
      <c r="F13" s="49">
        <f>F15</f>
        <v>1</v>
      </c>
      <c r="G13" s="1303"/>
      <c r="H13" s="1303"/>
      <c r="I13" s="1303"/>
      <c r="J13" s="1303"/>
      <c r="K13" s="1303"/>
      <c r="L13" s="1303"/>
      <c r="M13" s="1303"/>
    </row>
    <row r="14" spans="1:15" s="1022" customFormat="1">
      <c r="A14" s="1008"/>
      <c r="B14" s="1012"/>
      <c r="C14" s="177" t="s">
        <v>39</v>
      </c>
      <c r="D14" s="1012" t="s">
        <v>204</v>
      </c>
      <c r="E14" s="54">
        <v>7.05</v>
      </c>
      <c r="F14" s="239">
        <f>F13*E14</f>
        <v>7.05</v>
      </c>
      <c r="G14" s="1303"/>
      <c r="H14" s="1303"/>
      <c r="I14" s="1310"/>
      <c r="J14" s="1303">
        <f>F14*I14</f>
        <v>0</v>
      </c>
      <c r="K14" s="1303"/>
      <c r="L14" s="1303"/>
      <c r="M14" s="1303">
        <f>H14+J14+L14</f>
        <v>0</v>
      </c>
    </row>
    <row r="15" spans="1:15" s="1022" customFormat="1">
      <c r="A15" s="1008"/>
      <c r="B15" s="1012"/>
      <c r="C15" s="582" t="s">
        <v>858</v>
      </c>
      <c r="D15" s="360" t="s">
        <v>75</v>
      </c>
      <c r="E15" s="563"/>
      <c r="F15" s="129">
        <v>1</v>
      </c>
      <c r="G15" s="1303"/>
      <c r="H15" s="1303"/>
      <c r="I15" s="1303"/>
      <c r="J15" s="1303"/>
      <c r="K15" s="1303"/>
      <c r="L15" s="1303"/>
      <c r="M15" s="1303"/>
    </row>
    <row r="16" spans="1:15" s="1022" customFormat="1" ht="31.5">
      <c r="A16" s="1008"/>
      <c r="B16" s="861"/>
      <c r="C16" s="859" t="s">
        <v>933</v>
      </c>
      <c r="D16" s="861" t="s">
        <v>75</v>
      </c>
      <c r="E16" s="892"/>
      <c r="F16" s="100">
        <v>1</v>
      </c>
      <c r="G16" s="1310"/>
      <c r="H16" s="1303">
        <f t="shared" ref="H16:H24" si="0">F16*G16</f>
        <v>0</v>
      </c>
      <c r="I16" s="1303"/>
      <c r="J16" s="1303"/>
      <c r="K16" s="1303"/>
      <c r="L16" s="1303"/>
      <c r="M16" s="1303">
        <f t="shared" ref="M16:M24" si="1">H16+J16+L16</f>
        <v>0</v>
      </c>
    </row>
    <row r="17" spans="1:13" s="1022" customFormat="1">
      <c r="A17" s="1008"/>
      <c r="B17" s="861"/>
      <c r="C17" s="584" t="s">
        <v>1012</v>
      </c>
      <c r="D17" s="580" t="s">
        <v>552</v>
      </c>
      <c r="E17" s="892"/>
      <c r="F17" s="591">
        <v>1</v>
      </c>
      <c r="G17" s="1310"/>
      <c r="H17" s="1303">
        <f t="shared" si="0"/>
        <v>0</v>
      </c>
      <c r="I17" s="1303"/>
      <c r="J17" s="1303"/>
      <c r="K17" s="1303"/>
      <c r="L17" s="1303"/>
      <c r="M17" s="1303">
        <f t="shared" si="1"/>
        <v>0</v>
      </c>
    </row>
    <row r="18" spans="1:13" s="1022" customFormat="1">
      <c r="A18" s="1008"/>
      <c r="B18" s="861"/>
      <c r="C18" s="778" t="s">
        <v>549</v>
      </c>
      <c r="D18" s="580" t="s">
        <v>552</v>
      </c>
      <c r="E18" s="892"/>
      <c r="F18" s="591">
        <v>24</v>
      </c>
      <c r="G18" s="1310"/>
      <c r="H18" s="1303">
        <f t="shared" si="0"/>
        <v>0</v>
      </c>
      <c r="I18" s="1303"/>
      <c r="J18" s="1303"/>
      <c r="K18" s="1303"/>
      <c r="L18" s="1303"/>
      <c r="M18" s="1303">
        <f t="shared" si="1"/>
        <v>0</v>
      </c>
    </row>
    <row r="19" spans="1:13" s="1022" customFormat="1">
      <c r="A19" s="1008"/>
      <c r="B19" s="861"/>
      <c r="C19" s="778" t="s">
        <v>694</v>
      </c>
      <c r="D19" s="580" t="s">
        <v>552</v>
      </c>
      <c r="E19" s="892"/>
      <c r="F19" s="591">
        <v>10</v>
      </c>
      <c r="G19" s="1310"/>
      <c r="H19" s="1303">
        <f t="shared" si="0"/>
        <v>0</v>
      </c>
      <c r="I19" s="1303"/>
      <c r="J19" s="1303"/>
      <c r="K19" s="1303"/>
      <c r="L19" s="1303"/>
      <c r="M19" s="1303">
        <f t="shared" si="1"/>
        <v>0</v>
      </c>
    </row>
    <row r="20" spans="1:13" s="1022" customFormat="1">
      <c r="A20" s="1008"/>
      <c r="B20" s="861"/>
      <c r="C20" s="583" t="s">
        <v>550</v>
      </c>
      <c r="D20" s="580" t="s">
        <v>552</v>
      </c>
      <c r="E20" s="892"/>
      <c r="F20" s="591">
        <v>1</v>
      </c>
      <c r="G20" s="1310"/>
      <c r="H20" s="1303">
        <f t="shared" si="0"/>
        <v>0</v>
      </c>
      <c r="I20" s="1303"/>
      <c r="J20" s="1303"/>
      <c r="K20" s="1303"/>
      <c r="L20" s="1303"/>
      <c r="M20" s="1303">
        <f t="shared" si="1"/>
        <v>0</v>
      </c>
    </row>
    <row r="21" spans="1:13" s="1022" customFormat="1" ht="30">
      <c r="A21" s="1008"/>
      <c r="B21" s="861"/>
      <c r="C21" s="583" t="s">
        <v>551</v>
      </c>
      <c r="D21" s="580" t="s">
        <v>205</v>
      </c>
      <c r="E21" s="892"/>
      <c r="F21" s="591">
        <v>1</v>
      </c>
      <c r="G21" s="1310"/>
      <c r="H21" s="1303">
        <f t="shared" si="0"/>
        <v>0</v>
      </c>
      <c r="I21" s="1303"/>
      <c r="J21" s="1303"/>
      <c r="K21" s="1303"/>
      <c r="L21" s="1303"/>
      <c r="M21" s="1303">
        <f t="shared" si="1"/>
        <v>0</v>
      </c>
    </row>
    <row r="22" spans="1:13" s="1022" customFormat="1">
      <c r="A22" s="1008"/>
      <c r="B22" s="861"/>
      <c r="C22" s="585" t="s">
        <v>582</v>
      </c>
      <c r="D22" s="590" t="s">
        <v>553</v>
      </c>
      <c r="E22" s="892"/>
      <c r="F22" s="591">
        <v>6</v>
      </c>
      <c r="G22" s="1310"/>
      <c r="H22" s="1303">
        <f t="shared" si="0"/>
        <v>0</v>
      </c>
      <c r="I22" s="1303"/>
      <c r="J22" s="1303"/>
      <c r="K22" s="1303"/>
      <c r="L22" s="1303"/>
      <c r="M22" s="1303">
        <f t="shared" si="1"/>
        <v>0</v>
      </c>
    </row>
    <row r="23" spans="1:13" s="1022" customFormat="1" ht="30">
      <c r="A23" s="1008"/>
      <c r="B23" s="861"/>
      <c r="C23" s="585" t="s">
        <v>860</v>
      </c>
      <c r="D23" s="580" t="s">
        <v>205</v>
      </c>
      <c r="E23" s="892"/>
      <c r="F23" s="591">
        <v>1</v>
      </c>
      <c r="G23" s="1310"/>
      <c r="H23" s="1303">
        <f t="shared" si="0"/>
        <v>0</v>
      </c>
      <c r="I23" s="1303"/>
      <c r="J23" s="1303"/>
      <c r="K23" s="1303"/>
      <c r="L23" s="1303"/>
      <c r="M23" s="1303">
        <f t="shared" si="1"/>
        <v>0</v>
      </c>
    </row>
    <row r="24" spans="1:13" s="1022" customFormat="1">
      <c r="A24" s="1008"/>
      <c r="B24" s="861"/>
      <c r="C24" s="585" t="s">
        <v>554</v>
      </c>
      <c r="D24" s="580" t="s">
        <v>205</v>
      </c>
      <c r="E24" s="892"/>
      <c r="F24" s="591">
        <v>1</v>
      </c>
      <c r="G24" s="1310"/>
      <c r="H24" s="1303">
        <f t="shared" si="0"/>
        <v>0</v>
      </c>
      <c r="I24" s="1303"/>
      <c r="J24" s="1303"/>
      <c r="K24" s="1303"/>
      <c r="L24" s="1303"/>
      <c r="M24" s="1303">
        <f t="shared" si="1"/>
        <v>0</v>
      </c>
    </row>
    <row r="25" spans="1:13" s="1022" customFormat="1">
      <c r="A25" s="1010" t="s">
        <v>335</v>
      </c>
      <c r="B25" s="1012" t="s">
        <v>210</v>
      </c>
      <c r="C25" s="391" t="s">
        <v>698</v>
      </c>
      <c r="D25" s="1012" t="s">
        <v>211</v>
      </c>
      <c r="E25" s="54"/>
      <c r="F25" s="49">
        <f>SUM(F28:F30)</f>
        <v>1225</v>
      </c>
      <c r="G25" s="1304"/>
      <c r="H25" s="1303"/>
      <c r="I25" s="1304"/>
      <c r="J25" s="1303"/>
      <c r="K25" s="1304"/>
      <c r="L25" s="1303"/>
      <c r="M25" s="1303"/>
    </row>
    <row r="26" spans="1:13" s="1022" customFormat="1">
      <c r="A26" s="1011"/>
      <c r="B26" s="1012"/>
      <c r="C26" s="164" t="s">
        <v>39</v>
      </c>
      <c r="D26" s="1012" t="s">
        <v>204</v>
      </c>
      <c r="E26" s="54">
        <v>0.13900000000000001</v>
      </c>
      <c r="F26" s="239">
        <f>F25*E26</f>
        <v>170.27500000000001</v>
      </c>
      <c r="G26" s="1303"/>
      <c r="H26" s="1303"/>
      <c r="I26" s="1310"/>
      <c r="J26" s="1303">
        <f>F26*I26</f>
        <v>0</v>
      </c>
      <c r="K26" s="1303"/>
      <c r="L26" s="1303"/>
      <c r="M26" s="1303">
        <f t="shared" ref="M26:M39" si="2">H26+J26+L26</f>
        <v>0</v>
      </c>
    </row>
    <row r="27" spans="1:13" s="1022" customFormat="1">
      <c r="A27" s="1011"/>
      <c r="B27" s="861"/>
      <c r="C27" s="177" t="s">
        <v>150</v>
      </c>
      <c r="D27" s="1012" t="s">
        <v>149</v>
      </c>
      <c r="E27" s="54">
        <v>9.7000000000000003E-2</v>
      </c>
      <c r="F27" s="239">
        <f>F25*E27</f>
        <v>118.825</v>
      </c>
      <c r="G27" s="1310"/>
      <c r="H27" s="1303">
        <f t="shared" ref="H27:H39" si="3">F27*G27</f>
        <v>0</v>
      </c>
      <c r="I27" s="1303"/>
      <c r="J27" s="1303"/>
      <c r="K27" s="1303"/>
      <c r="L27" s="1303"/>
      <c r="M27" s="1303">
        <f t="shared" si="2"/>
        <v>0</v>
      </c>
    </row>
    <row r="28" spans="1:13" s="1022" customFormat="1" ht="36">
      <c r="A28" s="1011"/>
      <c r="B28" s="861"/>
      <c r="C28" s="777" t="s">
        <v>555</v>
      </c>
      <c r="D28" s="1012" t="s">
        <v>1</v>
      </c>
      <c r="E28" s="54"/>
      <c r="F28" s="591">
        <v>500</v>
      </c>
      <c r="G28" s="1310"/>
      <c r="H28" s="1303">
        <f t="shared" si="3"/>
        <v>0</v>
      </c>
      <c r="I28" s="1303"/>
      <c r="J28" s="1303"/>
      <c r="K28" s="1303"/>
      <c r="L28" s="1303"/>
      <c r="M28" s="1303">
        <f t="shared" si="2"/>
        <v>0</v>
      </c>
    </row>
    <row r="29" spans="1:13" s="1022" customFormat="1" ht="36">
      <c r="A29" s="1011"/>
      <c r="B29" s="861"/>
      <c r="C29" s="777" t="s">
        <v>556</v>
      </c>
      <c r="D29" s="1012" t="s">
        <v>1</v>
      </c>
      <c r="E29" s="54"/>
      <c r="F29" s="591">
        <v>700</v>
      </c>
      <c r="G29" s="1310"/>
      <c r="H29" s="1303">
        <f t="shared" si="3"/>
        <v>0</v>
      </c>
      <c r="I29" s="1303"/>
      <c r="J29" s="1303"/>
      <c r="K29" s="1303"/>
      <c r="L29" s="1303"/>
      <c r="M29" s="1303">
        <f t="shared" si="2"/>
        <v>0</v>
      </c>
    </row>
    <row r="30" spans="1:13" s="1022" customFormat="1" ht="36">
      <c r="A30" s="1011"/>
      <c r="B30" s="861"/>
      <c r="C30" s="777" t="s">
        <v>861</v>
      </c>
      <c r="D30" s="1012" t="s">
        <v>1</v>
      </c>
      <c r="E30" s="54"/>
      <c r="F30" s="591">
        <v>25</v>
      </c>
      <c r="G30" s="1310"/>
      <c r="H30" s="1303">
        <f t="shared" si="3"/>
        <v>0</v>
      </c>
      <c r="I30" s="1303"/>
      <c r="J30" s="1303"/>
      <c r="K30" s="1303"/>
      <c r="L30" s="1303"/>
      <c r="M30" s="1303">
        <f t="shared" si="2"/>
        <v>0</v>
      </c>
    </row>
    <row r="31" spans="1:13" s="1022" customFormat="1" ht="36">
      <c r="A31" s="1011"/>
      <c r="B31" s="1012"/>
      <c r="C31" s="777" t="s">
        <v>557</v>
      </c>
      <c r="D31" s="1012" t="s">
        <v>1</v>
      </c>
      <c r="E31" s="54"/>
      <c r="F31" s="591">
        <v>200</v>
      </c>
      <c r="G31" s="1310"/>
      <c r="H31" s="1303">
        <f t="shared" si="3"/>
        <v>0</v>
      </c>
      <c r="I31" s="1303"/>
      <c r="J31" s="1303"/>
      <c r="K31" s="1303"/>
      <c r="L31" s="1303"/>
      <c r="M31" s="1303">
        <f t="shared" si="2"/>
        <v>0</v>
      </c>
    </row>
    <row r="32" spans="1:13" s="1022" customFormat="1" ht="36">
      <c r="A32" s="1011"/>
      <c r="B32" s="1012"/>
      <c r="C32" s="777" t="s">
        <v>558</v>
      </c>
      <c r="D32" s="1012" t="s">
        <v>1</v>
      </c>
      <c r="E32" s="54"/>
      <c r="F32" s="591">
        <v>400</v>
      </c>
      <c r="G32" s="1310"/>
      <c r="H32" s="1303">
        <f t="shared" si="3"/>
        <v>0</v>
      </c>
      <c r="I32" s="1303"/>
      <c r="J32" s="1303"/>
      <c r="K32" s="1303"/>
      <c r="L32" s="1303"/>
      <c r="M32" s="1303">
        <f t="shared" si="2"/>
        <v>0</v>
      </c>
    </row>
    <row r="33" spans="1:13" s="1022" customFormat="1" ht="30">
      <c r="A33" s="1011"/>
      <c r="B33" s="1012"/>
      <c r="C33" s="586" t="s">
        <v>559</v>
      </c>
      <c r="D33" s="1012" t="s">
        <v>1</v>
      </c>
      <c r="E33" s="54"/>
      <c r="F33" s="591">
        <v>25</v>
      </c>
      <c r="G33" s="1310"/>
      <c r="H33" s="1303">
        <f t="shared" si="3"/>
        <v>0</v>
      </c>
      <c r="I33" s="1303"/>
      <c r="J33" s="1303"/>
      <c r="K33" s="1303"/>
      <c r="L33" s="1303"/>
      <c r="M33" s="1303">
        <f t="shared" si="2"/>
        <v>0</v>
      </c>
    </row>
    <row r="34" spans="1:13" s="1022" customFormat="1">
      <c r="A34" s="1011"/>
      <c r="B34" s="1012"/>
      <c r="C34" s="170" t="s">
        <v>868</v>
      </c>
      <c r="D34" s="1012" t="s">
        <v>2</v>
      </c>
      <c r="E34" s="54"/>
      <c r="F34" s="591">
        <v>200</v>
      </c>
      <c r="G34" s="1310"/>
      <c r="H34" s="1303">
        <f t="shared" si="3"/>
        <v>0</v>
      </c>
      <c r="I34" s="1303"/>
      <c r="J34" s="1303"/>
      <c r="K34" s="1303"/>
      <c r="L34" s="1303"/>
      <c r="M34" s="1303">
        <f t="shared" si="2"/>
        <v>0</v>
      </c>
    </row>
    <row r="35" spans="1:13" s="1022" customFormat="1">
      <c r="A35" s="1011"/>
      <c r="B35" s="1012"/>
      <c r="C35" s="170" t="s">
        <v>869</v>
      </c>
      <c r="D35" s="1012" t="s">
        <v>2</v>
      </c>
      <c r="E35" s="54"/>
      <c r="F35" s="591">
        <v>550</v>
      </c>
      <c r="G35" s="1310"/>
      <c r="H35" s="1303">
        <f t="shared" si="3"/>
        <v>0</v>
      </c>
      <c r="I35" s="1303"/>
      <c r="J35" s="1303"/>
      <c r="K35" s="1303"/>
      <c r="L35" s="1303"/>
      <c r="M35" s="1303">
        <f t="shared" si="2"/>
        <v>0</v>
      </c>
    </row>
    <row r="36" spans="1:13" s="1022" customFormat="1" ht="30">
      <c r="A36" s="1011"/>
      <c r="B36" s="1012"/>
      <c r="C36" s="1020" t="s">
        <v>862</v>
      </c>
      <c r="D36" s="1012" t="s">
        <v>1</v>
      </c>
      <c r="E36" s="54"/>
      <c r="F36" s="1021">
        <v>50</v>
      </c>
      <c r="G36" s="1310"/>
      <c r="H36" s="1303">
        <f t="shared" si="3"/>
        <v>0</v>
      </c>
      <c r="I36" s="1303"/>
      <c r="J36" s="1303"/>
      <c r="K36" s="1303"/>
      <c r="L36" s="1303"/>
      <c r="M36" s="1303">
        <f t="shared" si="2"/>
        <v>0</v>
      </c>
    </row>
    <row r="37" spans="1:13" s="1022" customFormat="1" ht="30">
      <c r="A37" s="1011"/>
      <c r="B37" s="1012"/>
      <c r="C37" s="586" t="s">
        <v>870</v>
      </c>
      <c r="D37" s="1012" t="s">
        <v>2</v>
      </c>
      <c r="E37" s="54"/>
      <c r="F37" s="591">
        <v>35</v>
      </c>
      <c r="G37" s="1310"/>
      <c r="H37" s="1303">
        <f t="shared" si="3"/>
        <v>0</v>
      </c>
      <c r="I37" s="1303"/>
      <c r="J37" s="1303"/>
      <c r="K37" s="1303"/>
      <c r="L37" s="1303"/>
      <c r="M37" s="1303">
        <f t="shared" si="2"/>
        <v>0</v>
      </c>
    </row>
    <row r="38" spans="1:13" s="1022" customFormat="1" ht="30">
      <c r="A38" s="1011"/>
      <c r="B38" s="1012"/>
      <c r="C38" s="586" t="s">
        <v>871</v>
      </c>
      <c r="D38" s="1012" t="s">
        <v>2</v>
      </c>
      <c r="E38" s="54"/>
      <c r="F38" s="591">
        <v>60</v>
      </c>
      <c r="G38" s="1310"/>
      <c r="H38" s="1303">
        <f t="shared" si="3"/>
        <v>0</v>
      </c>
      <c r="I38" s="1303"/>
      <c r="J38" s="1303"/>
      <c r="K38" s="1303"/>
      <c r="L38" s="1303"/>
      <c r="M38" s="1303">
        <f t="shared" si="2"/>
        <v>0</v>
      </c>
    </row>
    <row r="39" spans="1:13">
      <c r="A39" s="737"/>
      <c r="B39" s="735"/>
      <c r="C39" s="586" t="s">
        <v>554</v>
      </c>
      <c r="D39" s="735" t="s">
        <v>75</v>
      </c>
      <c r="E39" s="54"/>
      <c r="F39" s="239">
        <v>1</v>
      </c>
      <c r="G39" s="1310"/>
      <c r="H39" s="1299">
        <f t="shared" si="3"/>
        <v>0</v>
      </c>
      <c r="I39" s="1303"/>
      <c r="J39" s="1299"/>
      <c r="K39" s="1303"/>
      <c r="L39" s="1299"/>
      <c r="M39" s="1299">
        <f t="shared" si="2"/>
        <v>0</v>
      </c>
    </row>
    <row r="40" spans="1:13" s="1082" customFormat="1">
      <c r="A40" s="742"/>
      <c r="B40" s="1090"/>
      <c r="C40" s="1091" t="s">
        <v>348</v>
      </c>
      <c r="D40" s="1092"/>
      <c r="E40" s="1093"/>
      <c r="F40" s="1094"/>
      <c r="G40" s="1330"/>
      <c r="H40" s="1331"/>
      <c r="I40" s="1330"/>
      <c r="J40" s="1331"/>
      <c r="K40" s="1331"/>
      <c r="L40" s="1331"/>
      <c r="M40" s="1331"/>
    </row>
    <row r="41" spans="1:13" s="363" customFormat="1">
      <c r="A41" s="1162" t="s">
        <v>103</v>
      </c>
      <c r="B41" s="1012" t="s">
        <v>209</v>
      </c>
      <c r="C41" s="176" t="s">
        <v>216</v>
      </c>
      <c r="D41" s="399" t="s">
        <v>118</v>
      </c>
      <c r="E41" s="314"/>
      <c r="F41" s="249">
        <f>SUM(F43:F45)</f>
        <v>47</v>
      </c>
      <c r="G41" s="1304"/>
      <c r="H41" s="1303"/>
      <c r="I41" s="1332"/>
      <c r="J41" s="1303"/>
      <c r="K41" s="1304"/>
      <c r="L41" s="1303"/>
      <c r="M41" s="1303"/>
    </row>
    <row r="42" spans="1:13" s="363" customFormat="1">
      <c r="A42" s="1162"/>
      <c r="B42" s="1012"/>
      <c r="C42" s="164" t="s">
        <v>27</v>
      </c>
      <c r="D42" s="313" t="s">
        <v>29</v>
      </c>
      <c r="E42" s="315">
        <v>0.39200000000000002</v>
      </c>
      <c r="F42" s="255">
        <f>F41*E42</f>
        <v>18.423999999999999</v>
      </c>
      <c r="G42" s="1333"/>
      <c r="H42" s="1303"/>
      <c r="I42" s="1310"/>
      <c r="J42" s="1303">
        <f>F42*I42</f>
        <v>0</v>
      </c>
      <c r="K42" s="1303"/>
      <c r="L42" s="1303"/>
      <c r="M42" s="1303">
        <f t="shared" ref="M42:M47" si="4">H42+J42+L42</f>
        <v>0</v>
      </c>
    </row>
    <row r="43" spans="1:13" s="363" customFormat="1" ht="36">
      <c r="A43" s="1162"/>
      <c r="B43" s="1012"/>
      <c r="C43" s="777" t="s">
        <v>699</v>
      </c>
      <c r="D43" s="313" t="s">
        <v>75</v>
      </c>
      <c r="E43" s="315"/>
      <c r="F43" s="255">
        <v>20</v>
      </c>
      <c r="G43" s="1334"/>
      <c r="H43" s="1303">
        <f>F43*G43</f>
        <v>0</v>
      </c>
      <c r="I43" s="1303"/>
      <c r="J43" s="1303"/>
      <c r="K43" s="1303"/>
      <c r="L43" s="1303"/>
      <c r="M43" s="1303">
        <f t="shared" si="4"/>
        <v>0</v>
      </c>
    </row>
    <row r="44" spans="1:13" s="363" customFormat="1" ht="36">
      <c r="A44" s="1162"/>
      <c r="B44" s="1012"/>
      <c r="C44" s="777" t="s">
        <v>700</v>
      </c>
      <c r="D44" s="313" t="s">
        <v>75</v>
      </c>
      <c r="E44" s="315"/>
      <c r="F44" s="255">
        <v>14</v>
      </c>
      <c r="G44" s="1334"/>
      <c r="H44" s="1303">
        <f>F44*G44</f>
        <v>0</v>
      </c>
      <c r="I44" s="1303"/>
      <c r="J44" s="1303"/>
      <c r="K44" s="1303"/>
      <c r="L44" s="1303"/>
      <c r="M44" s="1303">
        <f t="shared" si="4"/>
        <v>0</v>
      </c>
    </row>
    <row r="45" spans="1:13" s="363" customFormat="1" ht="36">
      <c r="A45" s="1162"/>
      <c r="B45" s="1012"/>
      <c r="C45" s="777" t="s">
        <v>701</v>
      </c>
      <c r="D45" s="313" t="s">
        <v>75</v>
      </c>
      <c r="E45" s="315"/>
      <c r="F45" s="255">
        <v>13</v>
      </c>
      <c r="G45" s="1334"/>
      <c r="H45" s="1303">
        <f>F45*G45</f>
        <v>0</v>
      </c>
      <c r="I45" s="1303"/>
      <c r="J45" s="1303"/>
      <c r="K45" s="1303"/>
      <c r="L45" s="1303"/>
      <c r="M45" s="1303">
        <f t="shared" si="4"/>
        <v>0</v>
      </c>
    </row>
    <row r="46" spans="1:13" s="363" customFormat="1" ht="30.75">
      <c r="A46" s="1162"/>
      <c r="B46" s="1012"/>
      <c r="C46" s="164" t="s">
        <v>427</v>
      </c>
      <c r="D46" s="313" t="s">
        <v>2</v>
      </c>
      <c r="E46" s="315"/>
      <c r="F46" s="255">
        <f>F41</f>
        <v>47</v>
      </c>
      <c r="G46" s="1334"/>
      <c r="H46" s="1303">
        <f>F46*G46</f>
        <v>0</v>
      </c>
      <c r="I46" s="1303"/>
      <c r="J46" s="1303"/>
      <c r="K46" s="1303"/>
      <c r="L46" s="1303"/>
      <c r="M46" s="1303">
        <f t="shared" si="4"/>
        <v>0</v>
      </c>
    </row>
    <row r="47" spans="1:13" s="363" customFormat="1">
      <c r="A47" s="1162"/>
      <c r="B47" s="1012"/>
      <c r="C47" s="164" t="s">
        <v>37</v>
      </c>
      <c r="D47" s="313" t="s">
        <v>24</v>
      </c>
      <c r="E47" s="316">
        <f>9.4/100</f>
        <v>9.4E-2</v>
      </c>
      <c r="F47" s="196">
        <f>F41*E47</f>
        <v>4.4180000000000001</v>
      </c>
      <c r="G47" s="1310"/>
      <c r="H47" s="1303">
        <f>F47*G47</f>
        <v>0</v>
      </c>
      <c r="I47" s="1303"/>
      <c r="J47" s="1303"/>
      <c r="K47" s="1303"/>
      <c r="L47" s="1303"/>
      <c r="M47" s="1303">
        <f t="shared" si="4"/>
        <v>0</v>
      </c>
    </row>
    <row r="48" spans="1:13" s="363" customFormat="1">
      <c r="A48" s="1163" t="s">
        <v>336</v>
      </c>
      <c r="B48" s="1009" t="s">
        <v>208</v>
      </c>
      <c r="C48" s="912" t="s">
        <v>215</v>
      </c>
      <c r="D48" s="399" t="s">
        <v>118</v>
      </c>
      <c r="E48" s="314"/>
      <c r="F48" s="249">
        <f>SUM(F50:F51)</f>
        <v>24</v>
      </c>
      <c r="G48" s="1304"/>
      <c r="H48" s="1303"/>
      <c r="I48" s="1332"/>
      <c r="J48" s="1303"/>
      <c r="K48" s="1304"/>
      <c r="L48" s="1303"/>
      <c r="M48" s="1303"/>
    </row>
    <row r="49" spans="1:13" s="363" customFormat="1">
      <c r="A49" s="1164"/>
      <c r="B49" s="1009"/>
      <c r="C49" s="164" t="s">
        <v>27</v>
      </c>
      <c r="D49" s="313" t="s">
        <v>29</v>
      </c>
      <c r="E49" s="315">
        <v>0.372</v>
      </c>
      <c r="F49" s="255">
        <f>F48*E49</f>
        <v>8.9280000000000008</v>
      </c>
      <c r="G49" s="1333"/>
      <c r="H49" s="1303"/>
      <c r="I49" s="1310"/>
      <c r="J49" s="1303">
        <f>F49*I49</f>
        <v>0</v>
      </c>
      <c r="K49" s="1303"/>
      <c r="L49" s="1303"/>
      <c r="M49" s="1303">
        <f>H49+J49+L49</f>
        <v>0</v>
      </c>
    </row>
    <row r="50" spans="1:13" s="363" customFormat="1">
      <c r="A50" s="1164"/>
      <c r="B50" s="1009"/>
      <c r="C50" s="587" t="s">
        <v>702</v>
      </c>
      <c r="D50" s="313" t="s">
        <v>2</v>
      </c>
      <c r="E50" s="315"/>
      <c r="F50" s="255">
        <v>9</v>
      </c>
      <c r="G50" s="1334"/>
      <c r="H50" s="1303">
        <f>F50*G50</f>
        <v>0</v>
      </c>
      <c r="I50" s="1303"/>
      <c r="J50" s="1303"/>
      <c r="K50" s="1303"/>
      <c r="L50" s="1303"/>
      <c r="M50" s="1303">
        <f>H50+J50+L50</f>
        <v>0</v>
      </c>
    </row>
    <row r="51" spans="1:13" s="363" customFormat="1">
      <c r="A51" s="1164"/>
      <c r="B51" s="1009"/>
      <c r="C51" s="587" t="s">
        <v>560</v>
      </c>
      <c r="D51" s="313" t="s">
        <v>2</v>
      </c>
      <c r="E51" s="315"/>
      <c r="F51" s="255">
        <v>15</v>
      </c>
      <c r="G51" s="1334"/>
      <c r="H51" s="1303">
        <f>F51*G51</f>
        <v>0</v>
      </c>
      <c r="I51" s="1303"/>
      <c r="J51" s="1303"/>
      <c r="K51" s="1303"/>
      <c r="L51" s="1303"/>
      <c r="M51" s="1303">
        <f>H51+J51+L51</f>
        <v>0</v>
      </c>
    </row>
    <row r="52" spans="1:13" s="363" customFormat="1" ht="30.75">
      <c r="A52" s="1164"/>
      <c r="B52" s="1009"/>
      <c r="C52" s="164" t="s">
        <v>427</v>
      </c>
      <c r="D52" s="313" t="s">
        <v>2</v>
      </c>
      <c r="E52" s="315"/>
      <c r="F52" s="255">
        <f>F48</f>
        <v>24</v>
      </c>
      <c r="G52" s="1334"/>
      <c r="H52" s="1303">
        <f>F52*G52</f>
        <v>0</v>
      </c>
      <c r="I52" s="1303"/>
      <c r="J52" s="1303"/>
      <c r="K52" s="1303"/>
      <c r="L52" s="1303"/>
      <c r="M52" s="1303">
        <f>H52+J52+L52</f>
        <v>0</v>
      </c>
    </row>
    <row r="53" spans="1:13" s="363" customFormat="1">
      <c r="A53" s="1165"/>
      <c r="B53" s="1009"/>
      <c r="C53" s="164" t="s">
        <v>37</v>
      </c>
      <c r="D53" s="313" t="s">
        <v>24</v>
      </c>
      <c r="E53" s="316">
        <f>12.84/100</f>
        <v>0.12839999999999999</v>
      </c>
      <c r="F53" s="196">
        <f>F48*E53</f>
        <v>3.0815999999999999</v>
      </c>
      <c r="G53" s="1310"/>
      <c r="H53" s="1303">
        <f>F53*G53</f>
        <v>0</v>
      </c>
      <c r="I53" s="1303"/>
      <c r="J53" s="1303"/>
      <c r="K53" s="1303"/>
      <c r="L53" s="1303"/>
      <c r="M53" s="1303">
        <f>H53+J53+L53</f>
        <v>0</v>
      </c>
    </row>
    <row r="54" spans="1:13" s="363" customFormat="1">
      <c r="A54" s="1163" t="s">
        <v>59</v>
      </c>
      <c r="B54" s="318" t="s">
        <v>213</v>
      </c>
      <c r="C54" s="400" t="s">
        <v>349</v>
      </c>
      <c r="D54" s="318" t="s">
        <v>118</v>
      </c>
      <c r="E54" s="148"/>
      <c r="F54" s="149">
        <f>F57</f>
        <v>8</v>
      </c>
      <c r="G54" s="1335"/>
      <c r="H54" s="1303"/>
      <c r="I54" s="1335"/>
      <c r="J54" s="1303"/>
      <c r="K54" s="1335"/>
      <c r="L54" s="1303"/>
      <c r="M54" s="1303"/>
    </row>
    <row r="55" spans="1:13" s="363" customFormat="1">
      <c r="A55" s="1164"/>
      <c r="B55" s="318"/>
      <c r="C55" s="401" t="s">
        <v>214</v>
      </c>
      <c r="D55" s="318" t="s">
        <v>29</v>
      </c>
      <c r="E55" s="148">
        <v>1.35</v>
      </c>
      <c r="F55" s="320">
        <f>F54*E55</f>
        <v>10.8</v>
      </c>
      <c r="G55" s="1335"/>
      <c r="H55" s="1303"/>
      <c r="I55" s="1310"/>
      <c r="J55" s="1303">
        <f>F55*I55</f>
        <v>0</v>
      </c>
      <c r="K55" s="1335"/>
      <c r="L55" s="1303"/>
      <c r="M55" s="1303">
        <f>H55+J55+L55</f>
        <v>0</v>
      </c>
    </row>
    <row r="56" spans="1:13" s="363" customFormat="1">
      <c r="A56" s="1164"/>
      <c r="B56" s="318"/>
      <c r="C56" s="319" t="s">
        <v>36</v>
      </c>
      <c r="D56" s="318" t="s">
        <v>24</v>
      </c>
      <c r="E56" s="148">
        <v>3.1E-2</v>
      </c>
      <c r="F56" s="320">
        <f>F54*E56</f>
        <v>0.248</v>
      </c>
      <c r="G56" s="1335"/>
      <c r="H56" s="1303"/>
      <c r="I56" s="1335"/>
      <c r="J56" s="1303"/>
      <c r="K56" s="1336"/>
      <c r="L56" s="1303">
        <f>F56*K56</f>
        <v>0</v>
      </c>
      <c r="M56" s="1303">
        <f>H56+J56+L56</f>
        <v>0</v>
      </c>
    </row>
    <row r="57" spans="1:13" s="363" customFormat="1" ht="31.5">
      <c r="A57" s="1164"/>
      <c r="B57" s="318"/>
      <c r="C57" s="319" t="s">
        <v>1015</v>
      </c>
      <c r="D57" s="402" t="s">
        <v>118</v>
      </c>
      <c r="E57" s="150">
        <v>1</v>
      </c>
      <c r="F57" s="151">
        <v>8</v>
      </c>
      <c r="G57" s="1337"/>
      <c r="H57" s="1303">
        <f>F57*G57</f>
        <v>0</v>
      </c>
      <c r="I57" s="1338"/>
      <c r="J57" s="1303"/>
      <c r="K57" s="1339"/>
      <c r="L57" s="1303"/>
      <c r="M57" s="1303">
        <f>H57+J57+L57</f>
        <v>0</v>
      </c>
    </row>
    <row r="58" spans="1:13" s="363" customFormat="1">
      <c r="A58" s="1164"/>
      <c r="B58" s="318"/>
      <c r="C58" s="177" t="s">
        <v>37</v>
      </c>
      <c r="D58" s="313" t="s">
        <v>24</v>
      </c>
      <c r="E58" s="148">
        <v>0.29099999999999998</v>
      </c>
      <c r="F58" s="320">
        <f>F54*E58</f>
        <v>2.3279999999999998</v>
      </c>
      <c r="G58" s="1336"/>
      <c r="H58" s="1303">
        <f>F58*G58</f>
        <v>0</v>
      </c>
      <c r="I58" s="1335"/>
      <c r="J58" s="1303"/>
      <c r="K58" s="1311"/>
      <c r="L58" s="1303"/>
      <c r="M58" s="1303">
        <f>H58+J58+L58</f>
        <v>0</v>
      </c>
    </row>
    <row r="59" spans="1:13" s="363" customFormat="1" ht="27">
      <c r="A59" s="1163" t="s">
        <v>324</v>
      </c>
      <c r="B59" s="1012" t="s">
        <v>217</v>
      </c>
      <c r="C59" s="912" t="s">
        <v>218</v>
      </c>
      <c r="D59" s="1013" t="s">
        <v>25</v>
      </c>
      <c r="E59" s="54"/>
      <c r="F59" s="49">
        <f>SUM(F63:F67)</f>
        <v>87</v>
      </c>
      <c r="G59" s="1303"/>
      <c r="H59" s="1303"/>
      <c r="I59" s="1303"/>
      <c r="J59" s="1303"/>
      <c r="K59" s="1303"/>
      <c r="L59" s="1303"/>
      <c r="M59" s="1303"/>
    </row>
    <row r="60" spans="1:13" s="363" customFormat="1">
      <c r="A60" s="1164"/>
      <c r="B60" s="1009"/>
      <c r="C60" s="164" t="s">
        <v>27</v>
      </c>
      <c r="D60" s="313" t="s">
        <v>29</v>
      </c>
      <c r="E60" s="316">
        <f>182/100</f>
        <v>1.82</v>
      </c>
      <c r="F60" s="196">
        <f>F59*E60</f>
        <v>158.34</v>
      </c>
      <c r="G60" s="1303"/>
      <c r="H60" s="1303"/>
      <c r="I60" s="1310"/>
      <c r="J60" s="1303">
        <f>F60*I60</f>
        <v>0</v>
      </c>
      <c r="K60" s="1303"/>
      <c r="L60" s="1303"/>
      <c r="M60" s="1303">
        <f t="shared" ref="M60:M68" si="5">H60+J60+L60</f>
        <v>0</v>
      </c>
    </row>
    <row r="61" spans="1:13" s="363" customFormat="1">
      <c r="A61" s="1164"/>
      <c r="B61" s="1009" t="s">
        <v>219</v>
      </c>
      <c r="C61" s="164" t="s">
        <v>222</v>
      </c>
      <c r="D61" s="313" t="s">
        <v>212</v>
      </c>
      <c r="E61" s="316">
        <f>6.5*0.01</f>
        <v>6.5000000000000002E-2</v>
      </c>
      <c r="F61" s="196">
        <f>F59*E61</f>
        <v>5.6550000000000002</v>
      </c>
      <c r="G61" s="1303"/>
      <c r="H61" s="1303"/>
      <c r="I61" s="1303"/>
      <c r="J61" s="1303"/>
      <c r="K61" s="1310"/>
      <c r="L61" s="1303">
        <f>F61*K61</f>
        <v>0</v>
      </c>
      <c r="M61" s="1303">
        <f t="shared" si="5"/>
        <v>0</v>
      </c>
    </row>
    <row r="62" spans="1:13" s="363" customFormat="1">
      <c r="A62" s="1164"/>
      <c r="B62" s="1009" t="s">
        <v>220</v>
      </c>
      <c r="C62" s="164" t="s">
        <v>221</v>
      </c>
      <c r="D62" s="313" t="s">
        <v>212</v>
      </c>
      <c r="E62" s="316">
        <f>17.8*0.01</f>
        <v>0.17800000000000002</v>
      </c>
      <c r="F62" s="196">
        <f>F59*E62</f>
        <v>15.486000000000002</v>
      </c>
      <c r="G62" s="1303"/>
      <c r="H62" s="1303"/>
      <c r="I62" s="1303"/>
      <c r="J62" s="1303"/>
      <c r="K62" s="1310"/>
      <c r="L62" s="1303">
        <f>F62*K62</f>
        <v>0</v>
      </c>
      <c r="M62" s="1303">
        <f t="shared" si="5"/>
        <v>0</v>
      </c>
    </row>
    <row r="63" spans="1:13" s="363" customFormat="1" ht="18">
      <c r="A63" s="1164"/>
      <c r="B63" s="1012"/>
      <c r="C63" s="781" t="s">
        <v>703</v>
      </c>
      <c r="D63" s="1012" t="s">
        <v>75</v>
      </c>
      <c r="E63" s="54"/>
      <c r="F63" s="239">
        <v>15</v>
      </c>
      <c r="G63" s="1310"/>
      <c r="H63" s="1303">
        <f t="shared" ref="H63:H68" si="6">F63*G63</f>
        <v>0</v>
      </c>
      <c r="I63" s="1303"/>
      <c r="J63" s="1303"/>
      <c r="K63" s="1303"/>
      <c r="L63" s="1303"/>
      <c r="M63" s="1303">
        <f t="shared" si="5"/>
        <v>0</v>
      </c>
    </row>
    <row r="64" spans="1:13" s="363" customFormat="1" ht="18">
      <c r="A64" s="1164"/>
      <c r="B64" s="1012"/>
      <c r="C64" s="781" t="s">
        <v>704</v>
      </c>
      <c r="D64" s="1012" t="s">
        <v>75</v>
      </c>
      <c r="E64" s="54"/>
      <c r="F64" s="239">
        <v>42</v>
      </c>
      <c r="G64" s="1310"/>
      <c r="H64" s="1303">
        <f t="shared" si="6"/>
        <v>0</v>
      </c>
      <c r="I64" s="1303"/>
      <c r="J64" s="1303"/>
      <c r="K64" s="1303"/>
      <c r="L64" s="1303"/>
      <c r="M64" s="1303">
        <f t="shared" si="5"/>
        <v>0</v>
      </c>
    </row>
    <row r="65" spans="1:15" s="363" customFormat="1" ht="18">
      <c r="A65" s="1164"/>
      <c r="B65" s="1012"/>
      <c r="C65" s="781" t="s">
        <v>863</v>
      </c>
      <c r="D65" s="1012" t="s">
        <v>75</v>
      </c>
      <c r="E65" s="54"/>
      <c r="F65" s="239">
        <v>26</v>
      </c>
      <c r="G65" s="1310"/>
      <c r="H65" s="1303">
        <f t="shared" si="6"/>
        <v>0</v>
      </c>
      <c r="I65" s="1303"/>
      <c r="J65" s="1303"/>
      <c r="K65" s="1303"/>
      <c r="L65" s="1303"/>
      <c r="M65" s="1303">
        <f t="shared" si="5"/>
        <v>0</v>
      </c>
    </row>
    <row r="66" spans="1:15" s="363" customFormat="1" ht="18">
      <c r="A66" s="1164"/>
      <c r="B66" s="1012"/>
      <c r="C66" s="781" t="s">
        <v>1013</v>
      </c>
      <c r="D66" s="1012" t="s">
        <v>75</v>
      </c>
      <c r="E66" s="209"/>
      <c r="F66" s="196">
        <v>2</v>
      </c>
      <c r="G66" s="1310"/>
      <c r="H66" s="1303">
        <f t="shared" si="6"/>
        <v>0</v>
      </c>
      <c r="I66" s="1303"/>
      <c r="J66" s="1303"/>
      <c r="K66" s="1303"/>
      <c r="L66" s="1303"/>
      <c r="M66" s="1303">
        <f t="shared" si="5"/>
        <v>0</v>
      </c>
    </row>
    <row r="67" spans="1:15" s="363" customFormat="1" ht="36">
      <c r="A67" s="1164"/>
      <c r="B67" s="1012"/>
      <c r="C67" s="781" t="s">
        <v>1014</v>
      </c>
      <c r="D67" s="1012" t="s">
        <v>75</v>
      </c>
      <c r="E67" s="209"/>
      <c r="F67" s="196">
        <v>2</v>
      </c>
      <c r="G67" s="1310"/>
      <c r="H67" s="1303">
        <f t="shared" si="6"/>
        <v>0</v>
      </c>
      <c r="I67" s="1303"/>
      <c r="J67" s="1303"/>
      <c r="K67" s="1303"/>
      <c r="L67" s="1303"/>
      <c r="M67" s="1303">
        <f t="shared" si="5"/>
        <v>0</v>
      </c>
    </row>
    <row r="68" spans="1:15" s="363" customFormat="1">
      <c r="A68" s="1165"/>
      <c r="B68" s="1012"/>
      <c r="C68" s="164" t="s">
        <v>37</v>
      </c>
      <c r="D68" s="1012" t="s">
        <v>24</v>
      </c>
      <c r="E68" s="209">
        <v>0.13200000000000001</v>
      </c>
      <c r="F68" s="196">
        <f>F59*E68</f>
        <v>11.484</v>
      </c>
      <c r="G68" s="1310"/>
      <c r="H68" s="1303">
        <f t="shared" si="6"/>
        <v>0</v>
      </c>
      <c r="I68" s="1303"/>
      <c r="J68" s="1303"/>
      <c r="K68" s="1303"/>
      <c r="L68" s="1303"/>
      <c r="M68" s="1303">
        <f t="shared" si="5"/>
        <v>0</v>
      </c>
    </row>
    <row r="69" spans="1:15">
      <c r="A69" s="988"/>
      <c r="B69" s="989"/>
      <c r="C69" s="984" t="s">
        <v>960</v>
      </c>
      <c r="D69" s="989"/>
      <c r="E69" s="991"/>
      <c r="F69" s="990"/>
      <c r="G69" s="1340"/>
      <c r="H69" s="1340">
        <f>SUM(H12:H68)</f>
        <v>0</v>
      </c>
      <c r="I69" s="1340"/>
      <c r="J69" s="1340">
        <f>SUM(J12:J68)</f>
        <v>0</v>
      </c>
      <c r="K69" s="1340"/>
      <c r="L69" s="1340">
        <f>SUM(L12:L68)</f>
        <v>0</v>
      </c>
      <c r="M69" s="1340">
        <f>SUM(M12:M68)</f>
        <v>0</v>
      </c>
      <c r="N69" s="366"/>
    </row>
    <row r="70" spans="1:15" ht="31.5">
      <c r="A70" s="731"/>
      <c r="B70" s="263"/>
      <c r="C70" s="390" t="s">
        <v>456</v>
      </c>
      <c r="D70" s="263"/>
      <c r="E70" s="268"/>
      <c r="F70" s="1110"/>
      <c r="G70" s="1314"/>
      <c r="H70" s="1314"/>
      <c r="I70" s="1314"/>
      <c r="J70" s="1314"/>
      <c r="K70" s="1314"/>
      <c r="L70" s="1314"/>
      <c r="M70" s="1315">
        <f>H69*F70</f>
        <v>0</v>
      </c>
    </row>
    <row r="71" spans="1:15">
      <c r="A71" s="731"/>
      <c r="B71" s="263"/>
      <c r="C71" s="261" t="s">
        <v>70</v>
      </c>
      <c r="D71" s="263"/>
      <c r="E71" s="268"/>
      <c r="F71" s="269"/>
      <c r="G71" s="1314"/>
      <c r="H71" s="1314"/>
      <c r="I71" s="1314"/>
      <c r="J71" s="1314"/>
      <c r="K71" s="1314"/>
      <c r="L71" s="1314"/>
      <c r="M71" s="1315">
        <f>M69+M70</f>
        <v>0</v>
      </c>
    </row>
    <row r="72" spans="1:15" ht="31.5">
      <c r="A72" s="199"/>
      <c r="B72" s="199"/>
      <c r="C72" s="198" t="s">
        <v>453</v>
      </c>
      <c r="D72" s="199"/>
      <c r="E72" s="200"/>
      <c r="F72" s="1110"/>
      <c r="G72" s="1341"/>
      <c r="H72" s="1341"/>
      <c r="I72" s="1341"/>
      <c r="J72" s="1341"/>
      <c r="K72" s="1341"/>
      <c r="L72" s="1341"/>
      <c r="M72" s="1301">
        <f>J69*F72</f>
        <v>0</v>
      </c>
    </row>
    <row r="73" spans="1:15">
      <c r="A73" s="618"/>
      <c r="B73" s="618"/>
      <c r="C73" s="261" t="s">
        <v>70</v>
      </c>
      <c r="D73" s="618"/>
      <c r="E73" s="892"/>
      <c r="F73" s="865"/>
      <c r="G73" s="1284"/>
      <c r="H73" s="1284"/>
      <c r="I73" s="1284"/>
      <c r="J73" s="1284"/>
      <c r="K73" s="1284"/>
      <c r="L73" s="1284"/>
      <c r="M73" s="1342">
        <f>M71+M72</f>
        <v>0</v>
      </c>
    </row>
    <row r="74" spans="1:15">
      <c r="A74" s="618"/>
      <c r="B74" s="618"/>
      <c r="C74" s="578" t="s">
        <v>66</v>
      </c>
      <c r="D74" s="618"/>
      <c r="E74" s="738"/>
      <c r="F74" s="1110"/>
      <c r="G74" s="1284"/>
      <c r="H74" s="1284"/>
      <c r="I74" s="1284"/>
      <c r="J74" s="1284"/>
      <c r="K74" s="1284"/>
      <c r="L74" s="1284"/>
      <c r="M74" s="1284">
        <f>M73*F74</f>
        <v>0</v>
      </c>
    </row>
    <row r="75" spans="1:15" s="1103" customFormat="1">
      <c r="A75" s="143"/>
      <c r="B75" s="143"/>
      <c r="C75" s="142" t="s">
        <v>955</v>
      </c>
      <c r="D75" s="143"/>
      <c r="E75" s="309"/>
      <c r="F75" s="214"/>
      <c r="G75" s="1318"/>
      <c r="H75" s="1318"/>
      <c r="I75" s="1318"/>
      <c r="J75" s="1318"/>
      <c r="K75" s="1318"/>
      <c r="L75" s="1318"/>
      <c r="M75" s="1319">
        <f>M73+M74</f>
        <v>0</v>
      </c>
    </row>
    <row r="76" spans="1:15">
      <c r="G76" s="1320"/>
      <c r="H76" s="1320"/>
      <c r="I76" s="1320"/>
      <c r="J76" s="1320"/>
      <c r="K76" s="1320"/>
      <c r="L76" s="1320"/>
      <c r="M76" s="1320"/>
    </row>
    <row r="77" spans="1:15" ht="27.75" customHeight="1">
      <c r="A77" s="923" t="s">
        <v>953</v>
      </c>
      <c r="B77" s="947"/>
      <c r="C77" s="939" t="s">
        <v>721</v>
      </c>
      <c r="D77" s="921"/>
      <c r="E77" s="922"/>
      <c r="F77" s="922"/>
      <c r="G77" s="1296"/>
      <c r="H77" s="1297"/>
      <c r="I77" s="1296"/>
      <c r="J77" s="1297"/>
      <c r="K77" s="1296"/>
      <c r="L77" s="1297"/>
      <c r="M77" s="1297"/>
      <c r="O77" s="372"/>
    </row>
    <row r="78" spans="1:15" s="1102" customFormat="1" ht="22.5" customHeight="1">
      <c r="A78" s="91"/>
      <c r="B78" s="91"/>
      <c r="C78" s="73" t="s">
        <v>859</v>
      </c>
      <c r="D78" s="91"/>
      <c r="E78" s="144"/>
      <c r="F78" s="205"/>
      <c r="G78" s="1343"/>
      <c r="H78" s="1343"/>
      <c r="I78" s="1343"/>
      <c r="J78" s="1343"/>
      <c r="K78" s="1343"/>
      <c r="L78" s="1343"/>
      <c r="M78" s="1343"/>
    </row>
    <row r="79" spans="1:15" s="201" customFormat="1">
      <c r="A79" s="773"/>
      <c r="B79" s="773"/>
      <c r="C79" s="774" t="s">
        <v>1022</v>
      </c>
      <c r="D79" s="773"/>
      <c r="E79" s="775"/>
      <c r="F79" s="776"/>
      <c r="G79" s="1301"/>
      <c r="H79" s="1301"/>
      <c r="I79" s="1301"/>
      <c r="J79" s="1301"/>
      <c r="K79" s="1301"/>
      <c r="L79" s="1301"/>
      <c r="M79" s="1301"/>
    </row>
    <row r="80" spans="1:15">
      <c r="A80" s="960" t="s">
        <v>334</v>
      </c>
      <c r="B80" s="968" t="s">
        <v>286</v>
      </c>
      <c r="C80" s="562" t="s">
        <v>347</v>
      </c>
      <c r="D80" s="968" t="s">
        <v>25</v>
      </c>
      <c r="E80" s="99"/>
      <c r="F80" s="49">
        <f>F82</f>
        <v>1</v>
      </c>
      <c r="G80" s="1303"/>
      <c r="H80" s="1303"/>
      <c r="I80" s="1303"/>
      <c r="J80" s="1303"/>
      <c r="K80" s="1303"/>
      <c r="L80" s="1303"/>
      <c r="M80" s="1303"/>
    </row>
    <row r="81" spans="1:13">
      <c r="A81" s="961"/>
      <c r="B81" s="967"/>
      <c r="C81" s="177" t="s">
        <v>39</v>
      </c>
      <c r="D81" s="967" t="s">
        <v>204</v>
      </c>
      <c r="E81" s="54">
        <v>7.05</v>
      </c>
      <c r="F81" s="239">
        <f>F80*E81</f>
        <v>7.05</v>
      </c>
      <c r="G81" s="1303"/>
      <c r="H81" s="1303"/>
      <c r="I81" s="1310"/>
      <c r="J81" s="1303">
        <f>F81*I81</f>
        <v>0</v>
      </c>
      <c r="K81" s="1303"/>
      <c r="L81" s="1303"/>
      <c r="M81" s="1303">
        <f>H81+J81+L81</f>
        <v>0</v>
      </c>
    </row>
    <row r="82" spans="1:13" s="1022" customFormat="1">
      <c r="A82" s="1008"/>
      <c r="B82" s="861"/>
      <c r="C82" s="582" t="s">
        <v>695</v>
      </c>
      <c r="D82" s="360" t="s">
        <v>75</v>
      </c>
      <c r="E82" s="563"/>
      <c r="F82" s="129">
        <v>1</v>
      </c>
      <c r="G82" s="1303"/>
      <c r="H82" s="1303"/>
      <c r="I82" s="1303"/>
      <c r="J82" s="1303"/>
      <c r="K82" s="1303"/>
      <c r="L82" s="1303"/>
      <c r="M82" s="1303"/>
    </row>
    <row r="83" spans="1:13" s="1022" customFormat="1" ht="31.5">
      <c r="A83" s="1008"/>
      <c r="B83" s="861"/>
      <c r="C83" s="778" t="s">
        <v>934</v>
      </c>
      <c r="D83" s="580" t="s">
        <v>205</v>
      </c>
      <c r="E83" s="892"/>
      <c r="F83" s="591">
        <v>1</v>
      </c>
      <c r="G83" s="1310"/>
      <c r="H83" s="1303">
        <f t="shared" ref="H83:H91" si="7">F83*G83</f>
        <v>0</v>
      </c>
      <c r="I83" s="1303"/>
      <c r="J83" s="1303"/>
      <c r="K83" s="1303"/>
      <c r="L83" s="1303"/>
      <c r="M83" s="1303">
        <f t="shared" ref="M83:M91" si="8">H83+J83+L83</f>
        <v>0</v>
      </c>
    </row>
    <row r="84" spans="1:13" s="1022" customFormat="1" ht="18">
      <c r="A84" s="1008"/>
      <c r="B84" s="861"/>
      <c r="C84" s="779" t="s">
        <v>696</v>
      </c>
      <c r="D84" s="580" t="s">
        <v>205</v>
      </c>
      <c r="E84" s="892"/>
      <c r="F84" s="591">
        <v>1</v>
      </c>
      <c r="G84" s="1310"/>
      <c r="H84" s="1303">
        <f t="shared" si="7"/>
        <v>0</v>
      </c>
      <c r="I84" s="1303"/>
      <c r="J84" s="1303"/>
      <c r="K84" s="1303"/>
      <c r="L84" s="1303"/>
      <c r="M84" s="1303">
        <f t="shared" si="8"/>
        <v>0</v>
      </c>
    </row>
    <row r="85" spans="1:13" s="1022" customFormat="1">
      <c r="A85" s="1008"/>
      <c r="B85" s="861"/>
      <c r="C85" s="778" t="s">
        <v>549</v>
      </c>
      <c r="D85" s="580" t="s">
        <v>552</v>
      </c>
      <c r="E85" s="892"/>
      <c r="F85" s="591">
        <v>5</v>
      </c>
      <c r="G85" s="1310"/>
      <c r="H85" s="1303">
        <f t="shared" si="7"/>
        <v>0</v>
      </c>
      <c r="I85" s="1303"/>
      <c r="J85" s="1303"/>
      <c r="K85" s="1303"/>
      <c r="L85" s="1303"/>
      <c r="M85" s="1303">
        <f t="shared" si="8"/>
        <v>0</v>
      </c>
    </row>
    <row r="86" spans="1:13" s="1022" customFormat="1">
      <c r="A86" s="1008"/>
      <c r="B86" s="861"/>
      <c r="C86" s="778" t="s">
        <v>694</v>
      </c>
      <c r="D86" s="580" t="s">
        <v>552</v>
      </c>
      <c r="E86" s="892"/>
      <c r="F86" s="591">
        <v>5</v>
      </c>
      <c r="G86" s="1310"/>
      <c r="H86" s="1303">
        <f t="shared" si="7"/>
        <v>0</v>
      </c>
      <c r="I86" s="1303"/>
      <c r="J86" s="1303"/>
      <c r="K86" s="1303"/>
      <c r="L86" s="1303"/>
      <c r="M86" s="1303">
        <f t="shared" si="8"/>
        <v>0</v>
      </c>
    </row>
    <row r="87" spans="1:13" s="1022" customFormat="1">
      <c r="A87" s="1008"/>
      <c r="B87" s="861"/>
      <c r="C87" s="583" t="s">
        <v>550</v>
      </c>
      <c r="D87" s="580" t="s">
        <v>552</v>
      </c>
      <c r="E87" s="892"/>
      <c r="F87" s="591">
        <v>1</v>
      </c>
      <c r="G87" s="1310"/>
      <c r="H87" s="1303">
        <f t="shared" si="7"/>
        <v>0</v>
      </c>
      <c r="I87" s="1303"/>
      <c r="J87" s="1303"/>
      <c r="K87" s="1303"/>
      <c r="L87" s="1303"/>
      <c r="M87" s="1303">
        <f t="shared" si="8"/>
        <v>0</v>
      </c>
    </row>
    <row r="88" spans="1:13" s="1022" customFormat="1" ht="30">
      <c r="A88" s="1008"/>
      <c r="B88" s="861"/>
      <c r="C88" s="583" t="s">
        <v>551</v>
      </c>
      <c r="D88" s="580" t="s">
        <v>205</v>
      </c>
      <c r="E88" s="892"/>
      <c r="F88" s="591">
        <v>1</v>
      </c>
      <c r="G88" s="1310"/>
      <c r="H88" s="1303">
        <f t="shared" si="7"/>
        <v>0</v>
      </c>
      <c r="I88" s="1303"/>
      <c r="J88" s="1303"/>
      <c r="K88" s="1303"/>
      <c r="L88" s="1303"/>
      <c r="M88" s="1303">
        <f t="shared" si="8"/>
        <v>0</v>
      </c>
    </row>
    <row r="89" spans="1:13" s="1022" customFormat="1">
      <c r="A89" s="1008"/>
      <c r="B89" s="861"/>
      <c r="C89" s="585" t="s">
        <v>582</v>
      </c>
      <c r="D89" s="590" t="s">
        <v>553</v>
      </c>
      <c r="E89" s="892"/>
      <c r="F89" s="591">
        <v>6</v>
      </c>
      <c r="G89" s="1310"/>
      <c r="H89" s="1303">
        <f t="shared" si="7"/>
        <v>0</v>
      </c>
      <c r="I89" s="1303"/>
      <c r="J89" s="1303"/>
      <c r="K89" s="1303"/>
      <c r="L89" s="1303"/>
      <c r="M89" s="1303">
        <f t="shared" si="8"/>
        <v>0</v>
      </c>
    </row>
    <row r="90" spans="1:13" s="1022" customFormat="1" ht="36">
      <c r="A90" s="1008"/>
      <c r="B90" s="861"/>
      <c r="C90" s="780" t="s">
        <v>697</v>
      </c>
      <c r="D90" s="580" t="s">
        <v>205</v>
      </c>
      <c r="E90" s="892"/>
      <c r="F90" s="591">
        <v>1</v>
      </c>
      <c r="G90" s="1310"/>
      <c r="H90" s="1303">
        <f t="shared" si="7"/>
        <v>0</v>
      </c>
      <c r="I90" s="1303"/>
      <c r="J90" s="1303"/>
      <c r="K90" s="1303"/>
      <c r="L90" s="1303"/>
      <c r="M90" s="1303">
        <f t="shared" si="8"/>
        <v>0</v>
      </c>
    </row>
    <row r="91" spans="1:13" s="1022" customFormat="1">
      <c r="A91" s="1008"/>
      <c r="B91" s="861"/>
      <c r="C91" s="585" t="s">
        <v>554</v>
      </c>
      <c r="D91" s="580" t="s">
        <v>205</v>
      </c>
      <c r="E91" s="892"/>
      <c r="F91" s="591">
        <v>1</v>
      </c>
      <c r="G91" s="1310"/>
      <c r="H91" s="1303">
        <f t="shared" si="7"/>
        <v>0</v>
      </c>
      <c r="I91" s="1303"/>
      <c r="J91" s="1303"/>
      <c r="K91" s="1303"/>
      <c r="L91" s="1303"/>
      <c r="M91" s="1303">
        <f t="shared" si="8"/>
        <v>0</v>
      </c>
    </row>
    <row r="92" spans="1:13">
      <c r="A92" s="965" t="s">
        <v>335</v>
      </c>
      <c r="B92" s="967" t="s">
        <v>210</v>
      </c>
      <c r="C92" s="391" t="s">
        <v>698</v>
      </c>
      <c r="D92" s="967" t="s">
        <v>211</v>
      </c>
      <c r="E92" s="54"/>
      <c r="F92" s="49">
        <f>SUM(F95:F97)</f>
        <v>475</v>
      </c>
      <c r="G92" s="1304"/>
      <c r="H92" s="1299"/>
      <c r="I92" s="1304"/>
      <c r="J92" s="1299"/>
      <c r="K92" s="1304"/>
      <c r="L92" s="1299"/>
      <c r="M92" s="1299"/>
    </row>
    <row r="93" spans="1:13">
      <c r="A93" s="966"/>
      <c r="B93" s="967"/>
      <c r="C93" s="164" t="s">
        <v>39</v>
      </c>
      <c r="D93" s="967" t="s">
        <v>204</v>
      </c>
      <c r="E93" s="54">
        <v>0.13900000000000001</v>
      </c>
      <c r="F93" s="239">
        <f>F92*E93</f>
        <v>66.025000000000006</v>
      </c>
      <c r="G93" s="1303"/>
      <c r="H93" s="1299"/>
      <c r="I93" s="1310"/>
      <c r="J93" s="1299">
        <f>F93*I93</f>
        <v>0</v>
      </c>
      <c r="K93" s="1303"/>
      <c r="L93" s="1299"/>
      <c r="M93" s="1299">
        <f t="shared" ref="M93:M105" si="9">H93+J93+L93</f>
        <v>0</v>
      </c>
    </row>
    <row r="94" spans="1:13">
      <c r="A94" s="966"/>
      <c r="B94" s="618"/>
      <c r="C94" s="177" t="s">
        <v>150</v>
      </c>
      <c r="D94" s="967" t="s">
        <v>149</v>
      </c>
      <c r="E94" s="54">
        <v>9.7000000000000003E-2</v>
      </c>
      <c r="F94" s="239">
        <f>F92*E94</f>
        <v>46.075000000000003</v>
      </c>
      <c r="G94" s="1310"/>
      <c r="H94" s="1299">
        <f t="shared" ref="H94:H105" si="10">F94*G94</f>
        <v>0</v>
      </c>
      <c r="I94" s="1303"/>
      <c r="J94" s="1299"/>
      <c r="K94" s="1303"/>
      <c r="L94" s="1299"/>
      <c r="M94" s="1299">
        <f t="shared" si="9"/>
        <v>0</v>
      </c>
    </row>
    <row r="95" spans="1:13" ht="36">
      <c r="A95" s="966"/>
      <c r="B95" s="618"/>
      <c r="C95" s="777" t="s">
        <v>555</v>
      </c>
      <c r="D95" s="967" t="s">
        <v>1</v>
      </c>
      <c r="E95" s="54"/>
      <c r="F95" s="591">
        <v>200</v>
      </c>
      <c r="G95" s="1310"/>
      <c r="H95" s="1299">
        <f t="shared" si="10"/>
        <v>0</v>
      </c>
      <c r="I95" s="1303"/>
      <c r="J95" s="1299"/>
      <c r="K95" s="1303"/>
      <c r="L95" s="1299"/>
      <c r="M95" s="1299">
        <f t="shared" si="9"/>
        <v>0</v>
      </c>
    </row>
    <row r="96" spans="1:13" ht="36">
      <c r="A96" s="966"/>
      <c r="B96" s="618"/>
      <c r="C96" s="777" t="s">
        <v>556</v>
      </c>
      <c r="D96" s="967" t="s">
        <v>1</v>
      </c>
      <c r="E96" s="54"/>
      <c r="F96" s="591">
        <v>250</v>
      </c>
      <c r="G96" s="1310"/>
      <c r="H96" s="1299">
        <f t="shared" si="10"/>
        <v>0</v>
      </c>
      <c r="I96" s="1303"/>
      <c r="J96" s="1299"/>
      <c r="K96" s="1303"/>
      <c r="L96" s="1299"/>
      <c r="M96" s="1299">
        <f t="shared" si="9"/>
        <v>0</v>
      </c>
    </row>
    <row r="97" spans="1:13" ht="36">
      <c r="A97" s="966"/>
      <c r="B97" s="618"/>
      <c r="C97" s="777" t="s">
        <v>861</v>
      </c>
      <c r="D97" s="967" t="s">
        <v>1</v>
      </c>
      <c r="E97" s="54"/>
      <c r="F97" s="591">
        <v>25</v>
      </c>
      <c r="G97" s="1310"/>
      <c r="H97" s="1299">
        <f t="shared" si="10"/>
        <v>0</v>
      </c>
      <c r="I97" s="1303"/>
      <c r="J97" s="1299"/>
      <c r="K97" s="1303"/>
      <c r="L97" s="1299"/>
      <c r="M97" s="1299">
        <f t="shared" si="9"/>
        <v>0</v>
      </c>
    </row>
    <row r="98" spans="1:13" ht="36">
      <c r="A98" s="966"/>
      <c r="B98" s="967"/>
      <c r="C98" s="777" t="s">
        <v>557</v>
      </c>
      <c r="D98" s="967" t="s">
        <v>1</v>
      </c>
      <c r="E98" s="54"/>
      <c r="F98" s="591">
        <v>100</v>
      </c>
      <c r="G98" s="1310"/>
      <c r="H98" s="1299">
        <f t="shared" si="10"/>
        <v>0</v>
      </c>
      <c r="I98" s="1303"/>
      <c r="J98" s="1299"/>
      <c r="K98" s="1303"/>
      <c r="L98" s="1299"/>
      <c r="M98" s="1299">
        <f t="shared" si="9"/>
        <v>0</v>
      </c>
    </row>
    <row r="99" spans="1:13" ht="36">
      <c r="A99" s="966"/>
      <c r="B99" s="967"/>
      <c r="C99" s="777" t="s">
        <v>558</v>
      </c>
      <c r="D99" s="967" t="s">
        <v>1</v>
      </c>
      <c r="E99" s="54"/>
      <c r="F99" s="591">
        <v>150</v>
      </c>
      <c r="G99" s="1310"/>
      <c r="H99" s="1299">
        <f t="shared" si="10"/>
        <v>0</v>
      </c>
      <c r="I99" s="1303"/>
      <c r="J99" s="1299"/>
      <c r="K99" s="1303"/>
      <c r="L99" s="1299"/>
      <c r="M99" s="1299">
        <f t="shared" si="9"/>
        <v>0</v>
      </c>
    </row>
    <row r="100" spans="1:13" ht="30">
      <c r="A100" s="966"/>
      <c r="B100" s="967"/>
      <c r="C100" s="586" t="s">
        <v>559</v>
      </c>
      <c r="D100" s="967" t="s">
        <v>1</v>
      </c>
      <c r="E100" s="54"/>
      <c r="F100" s="591">
        <v>25</v>
      </c>
      <c r="G100" s="1310"/>
      <c r="H100" s="1299">
        <f t="shared" si="10"/>
        <v>0</v>
      </c>
      <c r="I100" s="1303"/>
      <c r="J100" s="1299"/>
      <c r="K100" s="1303"/>
      <c r="L100" s="1299"/>
      <c r="M100" s="1299">
        <f t="shared" si="9"/>
        <v>0</v>
      </c>
    </row>
    <row r="101" spans="1:13">
      <c r="A101" s="966"/>
      <c r="B101" s="967"/>
      <c r="C101" s="170" t="s">
        <v>868</v>
      </c>
      <c r="D101" s="967" t="s">
        <v>2</v>
      </c>
      <c r="E101" s="54"/>
      <c r="F101" s="591">
        <v>100</v>
      </c>
      <c r="G101" s="1310"/>
      <c r="H101" s="1299">
        <f t="shared" si="10"/>
        <v>0</v>
      </c>
      <c r="I101" s="1303"/>
      <c r="J101" s="1299"/>
      <c r="K101" s="1303"/>
      <c r="L101" s="1299"/>
      <c r="M101" s="1299">
        <f t="shared" si="9"/>
        <v>0</v>
      </c>
    </row>
    <row r="102" spans="1:13">
      <c r="A102" s="966"/>
      <c r="B102" s="967"/>
      <c r="C102" s="170" t="s">
        <v>869</v>
      </c>
      <c r="D102" s="967" t="s">
        <v>2</v>
      </c>
      <c r="E102" s="54"/>
      <c r="F102" s="591">
        <v>125</v>
      </c>
      <c r="G102" s="1310"/>
      <c r="H102" s="1299">
        <f t="shared" si="10"/>
        <v>0</v>
      </c>
      <c r="I102" s="1303"/>
      <c r="J102" s="1299"/>
      <c r="K102" s="1303"/>
      <c r="L102" s="1299"/>
      <c r="M102" s="1299">
        <f t="shared" si="9"/>
        <v>0</v>
      </c>
    </row>
    <row r="103" spans="1:13" ht="30">
      <c r="A103" s="966"/>
      <c r="B103" s="967"/>
      <c r="C103" s="586" t="s">
        <v>870</v>
      </c>
      <c r="D103" s="967" t="s">
        <v>2</v>
      </c>
      <c r="E103" s="54"/>
      <c r="F103" s="591">
        <v>15</v>
      </c>
      <c r="G103" s="1310"/>
      <c r="H103" s="1299">
        <f t="shared" si="10"/>
        <v>0</v>
      </c>
      <c r="I103" s="1303"/>
      <c r="J103" s="1299"/>
      <c r="K103" s="1303"/>
      <c r="L103" s="1299"/>
      <c r="M103" s="1299">
        <f t="shared" si="9"/>
        <v>0</v>
      </c>
    </row>
    <row r="104" spans="1:13" ht="30">
      <c r="A104" s="966"/>
      <c r="B104" s="967"/>
      <c r="C104" s="586" t="s">
        <v>871</v>
      </c>
      <c r="D104" s="967" t="s">
        <v>2</v>
      </c>
      <c r="E104" s="54"/>
      <c r="F104" s="591">
        <v>25</v>
      </c>
      <c r="G104" s="1310"/>
      <c r="H104" s="1299">
        <f t="shared" si="10"/>
        <v>0</v>
      </c>
      <c r="I104" s="1303"/>
      <c r="J104" s="1299"/>
      <c r="K104" s="1303"/>
      <c r="L104" s="1299"/>
      <c r="M104" s="1299">
        <f t="shared" si="9"/>
        <v>0</v>
      </c>
    </row>
    <row r="105" spans="1:13">
      <c r="A105" s="966"/>
      <c r="B105" s="967"/>
      <c r="C105" s="586" t="s">
        <v>554</v>
      </c>
      <c r="D105" s="967" t="s">
        <v>75</v>
      </c>
      <c r="E105" s="54"/>
      <c r="F105" s="239">
        <v>1</v>
      </c>
      <c r="G105" s="1310"/>
      <c r="H105" s="1299">
        <f t="shared" si="10"/>
        <v>0</v>
      </c>
      <c r="I105" s="1303"/>
      <c r="J105" s="1299"/>
      <c r="K105" s="1303"/>
      <c r="L105" s="1299"/>
      <c r="M105" s="1299">
        <f t="shared" si="9"/>
        <v>0</v>
      </c>
    </row>
    <row r="106" spans="1:13">
      <c r="A106" s="581"/>
      <c r="B106" s="618"/>
      <c r="C106" s="578"/>
      <c r="D106" s="618"/>
      <c r="E106" s="237"/>
      <c r="F106" s="739"/>
      <c r="G106" s="1299"/>
      <c r="H106" s="1284"/>
      <c r="I106" s="1284"/>
      <c r="J106" s="1284"/>
      <c r="K106" s="1284"/>
      <c r="L106" s="1284"/>
      <c r="M106" s="1284"/>
    </row>
    <row r="107" spans="1:13" s="201" customFormat="1">
      <c r="A107" s="962"/>
      <c r="B107" s="963"/>
      <c r="C107" s="565" t="s">
        <v>348</v>
      </c>
      <c r="D107" s="964"/>
      <c r="E107" s="209"/>
      <c r="F107" s="196"/>
      <c r="G107" s="1322"/>
      <c r="H107" s="1306"/>
      <c r="I107" s="1322"/>
      <c r="J107" s="1306"/>
      <c r="K107" s="1306"/>
      <c r="L107" s="1306"/>
      <c r="M107" s="1306"/>
    </row>
    <row r="108" spans="1:13" s="201" customFormat="1">
      <c r="A108" s="1167" t="s">
        <v>103</v>
      </c>
      <c r="B108" s="967" t="s">
        <v>209</v>
      </c>
      <c r="C108" s="176" t="s">
        <v>216</v>
      </c>
      <c r="D108" s="399" t="s">
        <v>118</v>
      </c>
      <c r="E108" s="314"/>
      <c r="F108" s="249">
        <f>SUM(F110:F110)</f>
        <v>12</v>
      </c>
      <c r="G108" s="1304"/>
      <c r="H108" s="1299"/>
      <c r="I108" s="1332"/>
      <c r="J108" s="1299"/>
      <c r="K108" s="1304"/>
      <c r="L108" s="1299"/>
      <c r="M108" s="1299"/>
    </row>
    <row r="109" spans="1:13" s="201" customFormat="1">
      <c r="A109" s="1167"/>
      <c r="B109" s="967"/>
      <c r="C109" s="164" t="s">
        <v>27</v>
      </c>
      <c r="D109" s="313" t="s">
        <v>29</v>
      </c>
      <c r="E109" s="315">
        <v>0.39200000000000002</v>
      </c>
      <c r="F109" s="255">
        <f>F108*E109</f>
        <v>4.7040000000000006</v>
      </c>
      <c r="G109" s="1333"/>
      <c r="H109" s="1299"/>
      <c r="I109" s="1310"/>
      <c r="J109" s="1299">
        <f>F109*I109</f>
        <v>0</v>
      </c>
      <c r="K109" s="1303"/>
      <c r="L109" s="1299"/>
      <c r="M109" s="1299">
        <f>H109+J109+L109</f>
        <v>0</v>
      </c>
    </row>
    <row r="110" spans="1:13" s="201" customFormat="1" ht="36">
      <c r="A110" s="1167"/>
      <c r="B110" s="967"/>
      <c r="C110" s="777" t="s">
        <v>699</v>
      </c>
      <c r="D110" s="313" t="s">
        <v>75</v>
      </c>
      <c r="E110" s="315"/>
      <c r="F110" s="255">
        <v>12</v>
      </c>
      <c r="G110" s="1334"/>
      <c r="H110" s="1299">
        <f>F110*G110</f>
        <v>0</v>
      </c>
      <c r="I110" s="1299"/>
      <c r="J110" s="1299"/>
      <c r="K110" s="1303"/>
      <c r="L110" s="1299"/>
      <c r="M110" s="1299">
        <f>H110+J110+L110</f>
        <v>0</v>
      </c>
    </row>
    <row r="111" spans="1:13" s="201" customFormat="1" ht="30.75">
      <c r="A111" s="1167"/>
      <c r="B111" s="967"/>
      <c r="C111" s="164" t="s">
        <v>427</v>
      </c>
      <c r="D111" s="313" t="s">
        <v>2</v>
      </c>
      <c r="E111" s="315"/>
      <c r="F111" s="255">
        <f>F108</f>
        <v>12</v>
      </c>
      <c r="G111" s="1334"/>
      <c r="H111" s="1299">
        <f>F111*G111</f>
        <v>0</v>
      </c>
      <c r="I111" s="1299"/>
      <c r="J111" s="1299"/>
      <c r="K111" s="1303"/>
      <c r="L111" s="1299"/>
      <c r="M111" s="1299">
        <f>H111+J111+L111</f>
        <v>0</v>
      </c>
    </row>
    <row r="112" spans="1:13" s="201" customFormat="1">
      <c r="A112" s="1167"/>
      <c r="B112" s="967"/>
      <c r="C112" s="164" t="s">
        <v>37</v>
      </c>
      <c r="D112" s="313" t="s">
        <v>24</v>
      </c>
      <c r="E112" s="316">
        <f>9.4/100</f>
        <v>9.4E-2</v>
      </c>
      <c r="F112" s="196">
        <f>F108*E112</f>
        <v>1.1280000000000001</v>
      </c>
      <c r="G112" s="1310"/>
      <c r="H112" s="1299">
        <f>F112*G112</f>
        <v>0</v>
      </c>
      <c r="I112" s="1303"/>
      <c r="J112" s="1299"/>
      <c r="K112" s="1303"/>
      <c r="L112" s="1299"/>
      <c r="M112" s="1299">
        <f>H112+J112+L112</f>
        <v>0</v>
      </c>
    </row>
    <row r="113" spans="1:13" s="201" customFormat="1">
      <c r="A113" s="1141" t="s">
        <v>336</v>
      </c>
      <c r="B113" s="964" t="s">
        <v>208</v>
      </c>
      <c r="C113" s="912" t="s">
        <v>215</v>
      </c>
      <c r="D113" s="399" t="s">
        <v>118</v>
      </c>
      <c r="E113" s="314"/>
      <c r="F113" s="249">
        <f>SUM(F115:F116)</f>
        <v>10</v>
      </c>
      <c r="G113" s="1304"/>
      <c r="H113" s="1299"/>
      <c r="I113" s="1332"/>
      <c r="J113" s="1299"/>
      <c r="K113" s="1304"/>
      <c r="L113" s="1299"/>
      <c r="M113" s="1299"/>
    </row>
    <row r="114" spans="1:13" s="201" customFormat="1">
      <c r="A114" s="1166"/>
      <c r="B114" s="964"/>
      <c r="C114" s="164" t="s">
        <v>27</v>
      </c>
      <c r="D114" s="313" t="s">
        <v>29</v>
      </c>
      <c r="E114" s="315">
        <v>0.372</v>
      </c>
      <c r="F114" s="255">
        <f>F113*E114</f>
        <v>3.7199999999999998</v>
      </c>
      <c r="G114" s="1333"/>
      <c r="H114" s="1299"/>
      <c r="I114" s="1310"/>
      <c r="J114" s="1299">
        <f>F114*I114</f>
        <v>0</v>
      </c>
      <c r="K114" s="1303"/>
      <c r="L114" s="1299"/>
      <c r="M114" s="1299">
        <f>H114+J114+L114</f>
        <v>0</v>
      </c>
    </row>
    <row r="115" spans="1:13" s="201" customFormat="1">
      <c r="A115" s="1166"/>
      <c r="B115" s="964"/>
      <c r="C115" s="587" t="s">
        <v>702</v>
      </c>
      <c r="D115" s="313" t="s">
        <v>2</v>
      </c>
      <c r="E115" s="315"/>
      <c r="F115" s="255">
        <v>5</v>
      </c>
      <c r="G115" s="1334"/>
      <c r="H115" s="1299">
        <f>F115*G115</f>
        <v>0</v>
      </c>
      <c r="I115" s="1299"/>
      <c r="J115" s="1299"/>
      <c r="K115" s="1303"/>
      <c r="L115" s="1299"/>
      <c r="M115" s="1299">
        <f>H115+J115+L115</f>
        <v>0</v>
      </c>
    </row>
    <row r="116" spans="1:13" s="201" customFormat="1">
      <c r="A116" s="1166"/>
      <c r="B116" s="964"/>
      <c r="C116" s="587" t="s">
        <v>560</v>
      </c>
      <c r="D116" s="313" t="s">
        <v>2</v>
      </c>
      <c r="E116" s="315"/>
      <c r="F116" s="255">
        <v>5</v>
      </c>
      <c r="G116" s="1334"/>
      <c r="H116" s="1299">
        <f>F116*G116</f>
        <v>0</v>
      </c>
      <c r="I116" s="1299"/>
      <c r="J116" s="1299"/>
      <c r="K116" s="1303"/>
      <c r="L116" s="1299"/>
      <c r="M116" s="1299">
        <f>H116+J116+L116</f>
        <v>0</v>
      </c>
    </row>
    <row r="117" spans="1:13" s="201" customFormat="1" ht="30.75">
      <c r="A117" s="1166"/>
      <c r="B117" s="964"/>
      <c r="C117" s="164" t="s">
        <v>427</v>
      </c>
      <c r="D117" s="313" t="s">
        <v>2</v>
      </c>
      <c r="E117" s="315"/>
      <c r="F117" s="255">
        <f>F113</f>
        <v>10</v>
      </c>
      <c r="G117" s="1334"/>
      <c r="H117" s="1299">
        <f>F117*G117</f>
        <v>0</v>
      </c>
      <c r="I117" s="1299"/>
      <c r="J117" s="1299"/>
      <c r="K117" s="1303"/>
      <c r="L117" s="1299"/>
      <c r="M117" s="1299">
        <f>H117+J117+L117</f>
        <v>0</v>
      </c>
    </row>
    <row r="118" spans="1:13" s="201" customFormat="1">
      <c r="A118" s="1142"/>
      <c r="B118" s="964"/>
      <c r="C118" s="164" t="s">
        <v>37</v>
      </c>
      <c r="D118" s="313" t="s">
        <v>24</v>
      </c>
      <c r="E118" s="316">
        <f>12.84/100</f>
        <v>0.12839999999999999</v>
      </c>
      <c r="F118" s="196">
        <f>F113*E118</f>
        <v>1.2839999999999998</v>
      </c>
      <c r="G118" s="1310"/>
      <c r="H118" s="1299">
        <f>F118*G118</f>
        <v>0</v>
      </c>
      <c r="I118" s="1303"/>
      <c r="J118" s="1299"/>
      <c r="K118" s="1303"/>
      <c r="L118" s="1299"/>
      <c r="M118" s="1299">
        <f>H118+J118+L118</f>
        <v>0</v>
      </c>
    </row>
    <row r="119" spans="1:13" s="201" customFormat="1">
      <c r="A119" s="1141" t="s">
        <v>59</v>
      </c>
      <c r="B119" s="318" t="s">
        <v>213</v>
      </c>
      <c r="C119" s="400" t="s">
        <v>349</v>
      </c>
      <c r="D119" s="318" t="s">
        <v>118</v>
      </c>
      <c r="E119" s="148"/>
      <c r="F119" s="149">
        <f>F122</f>
        <v>4</v>
      </c>
      <c r="G119" s="1335"/>
      <c r="H119" s="1299"/>
      <c r="I119" s="1335"/>
      <c r="J119" s="1299"/>
      <c r="K119" s="1335"/>
      <c r="L119" s="1299"/>
      <c r="M119" s="1299"/>
    </row>
    <row r="120" spans="1:13" s="201" customFormat="1">
      <c r="A120" s="1166"/>
      <c r="B120" s="318"/>
      <c r="C120" s="401" t="s">
        <v>214</v>
      </c>
      <c r="D120" s="318" t="s">
        <v>29</v>
      </c>
      <c r="E120" s="148">
        <v>1.35</v>
      </c>
      <c r="F120" s="320">
        <f>F119*E120</f>
        <v>5.4</v>
      </c>
      <c r="G120" s="1335"/>
      <c r="H120" s="1299"/>
      <c r="I120" s="1310"/>
      <c r="J120" s="1299">
        <f>F120*I120</f>
        <v>0</v>
      </c>
      <c r="K120" s="1335"/>
      <c r="L120" s="1299"/>
      <c r="M120" s="1299">
        <f>H120+J120+L120</f>
        <v>0</v>
      </c>
    </row>
    <row r="121" spans="1:13" s="201" customFormat="1">
      <c r="A121" s="1166"/>
      <c r="B121" s="318"/>
      <c r="C121" s="319" t="s">
        <v>36</v>
      </c>
      <c r="D121" s="318" t="s">
        <v>24</v>
      </c>
      <c r="E121" s="148">
        <v>3.1E-2</v>
      </c>
      <c r="F121" s="320">
        <f>F119*E121</f>
        <v>0.124</v>
      </c>
      <c r="G121" s="1335"/>
      <c r="H121" s="1299"/>
      <c r="I121" s="1335"/>
      <c r="J121" s="1299"/>
      <c r="K121" s="1336"/>
      <c r="L121" s="1299">
        <f>F121*K121</f>
        <v>0</v>
      </c>
      <c r="M121" s="1299">
        <f>H121+J121+L121</f>
        <v>0</v>
      </c>
    </row>
    <row r="122" spans="1:13" s="201" customFormat="1" ht="31.5">
      <c r="A122" s="1166"/>
      <c r="B122" s="318"/>
      <c r="C122" s="319" t="s">
        <v>350</v>
      </c>
      <c r="D122" s="402" t="s">
        <v>118</v>
      </c>
      <c r="E122" s="150">
        <v>1</v>
      </c>
      <c r="F122" s="151">
        <v>4</v>
      </c>
      <c r="G122" s="1337"/>
      <c r="H122" s="1299">
        <f>F122*G122</f>
        <v>0</v>
      </c>
      <c r="I122" s="1338"/>
      <c r="J122" s="1299"/>
      <c r="K122" s="1339"/>
      <c r="L122" s="1299"/>
      <c r="M122" s="1299">
        <f>H122+J122+L122</f>
        <v>0</v>
      </c>
    </row>
    <row r="123" spans="1:13" s="201" customFormat="1">
      <c r="A123" s="1166"/>
      <c r="B123" s="318"/>
      <c r="C123" s="177" t="s">
        <v>37</v>
      </c>
      <c r="D123" s="313" t="s">
        <v>24</v>
      </c>
      <c r="E123" s="148">
        <v>0.29099999999999998</v>
      </c>
      <c r="F123" s="320">
        <f>F119*E123</f>
        <v>1.1639999999999999</v>
      </c>
      <c r="G123" s="1336"/>
      <c r="H123" s="1299">
        <f>F123*G123</f>
        <v>0</v>
      </c>
      <c r="I123" s="1335"/>
      <c r="J123" s="1299"/>
      <c r="K123" s="1311"/>
      <c r="L123" s="1299"/>
      <c r="M123" s="1299">
        <f>H123+J123+L123</f>
        <v>0</v>
      </c>
    </row>
    <row r="124" spans="1:13" s="201" customFormat="1" ht="27">
      <c r="A124" s="1141" t="s">
        <v>324</v>
      </c>
      <c r="B124" s="962" t="s">
        <v>217</v>
      </c>
      <c r="C124" s="160" t="s">
        <v>218</v>
      </c>
      <c r="D124" s="87" t="s">
        <v>25</v>
      </c>
      <c r="E124" s="54"/>
      <c r="F124" s="49">
        <f>SUM(F128:F129)</f>
        <v>41</v>
      </c>
      <c r="G124" s="1303"/>
      <c r="H124" s="1299"/>
      <c r="I124" s="1299"/>
      <c r="J124" s="1299"/>
      <c r="K124" s="1299"/>
      <c r="L124" s="1299"/>
      <c r="M124" s="1299"/>
    </row>
    <row r="125" spans="1:13" s="201" customFormat="1">
      <c r="A125" s="1166"/>
      <c r="B125" s="964"/>
      <c r="C125" s="164" t="s">
        <v>27</v>
      </c>
      <c r="D125" s="313" t="s">
        <v>29</v>
      </c>
      <c r="E125" s="316">
        <f>182/100</f>
        <v>1.82</v>
      </c>
      <c r="F125" s="196">
        <f>F124*E125</f>
        <v>74.62</v>
      </c>
      <c r="G125" s="1303"/>
      <c r="H125" s="1299"/>
      <c r="I125" s="1310"/>
      <c r="J125" s="1299">
        <f>F125*I125</f>
        <v>0</v>
      </c>
      <c r="K125" s="1303"/>
      <c r="L125" s="1299"/>
      <c r="M125" s="1299">
        <f t="shared" ref="M125:M130" si="11">H125+J125+L125</f>
        <v>0</v>
      </c>
    </row>
    <row r="126" spans="1:13" s="201" customFormat="1">
      <c r="A126" s="1166"/>
      <c r="B126" s="964" t="s">
        <v>219</v>
      </c>
      <c r="C126" s="164" t="s">
        <v>222</v>
      </c>
      <c r="D126" s="313" t="s">
        <v>212</v>
      </c>
      <c r="E126" s="316">
        <f>6.5*0.01</f>
        <v>6.5000000000000002E-2</v>
      </c>
      <c r="F126" s="196">
        <f>F124*E126</f>
        <v>2.665</v>
      </c>
      <c r="G126" s="1303"/>
      <c r="H126" s="1299"/>
      <c r="I126" s="1303"/>
      <c r="J126" s="1299"/>
      <c r="K126" s="1310"/>
      <c r="L126" s="1299">
        <f>F126*K126</f>
        <v>0</v>
      </c>
      <c r="M126" s="1299">
        <f t="shared" si="11"/>
        <v>0</v>
      </c>
    </row>
    <row r="127" spans="1:13" s="201" customFormat="1">
      <c r="A127" s="1166"/>
      <c r="B127" s="964" t="s">
        <v>220</v>
      </c>
      <c r="C127" s="164" t="s">
        <v>221</v>
      </c>
      <c r="D127" s="313" t="s">
        <v>212</v>
      </c>
      <c r="E127" s="316">
        <f>17.8*0.01</f>
        <v>0.17800000000000002</v>
      </c>
      <c r="F127" s="196">
        <f>F124*E127</f>
        <v>7.2980000000000009</v>
      </c>
      <c r="G127" s="1303"/>
      <c r="H127" s="1299"/>
      <c r="I127" s="1303"/>
      <c r="J127" s="1299"/>
      <c r="K127" s="1310"/>
      <c r="L127" s="1299">
        <f>F127*K127</f>
        <v>0</v>
      </c>
      <c r="M127" s="1299">
        <f t="shared" si="11"/>
        <v>0</v>
      </c>
    </row>
    <row r="128" spans="1:13" s="201" customFormat="1" ht="18">
      <c r="A128" s="1166"/>
      <c r="B128" s="962"/>
      <c r="C128" s="781" t="s">
        <v>864</v>
      </c>
      <c r="D128" s="967" t="s">
        <v>75</v>
      </c>
      <c r="E128" s="54"/>
      <c r="F128" s="239">
        <v>26</v>
      </c>
      <c r="G128" s="1310"/>
      <c r="H128" s="1299">
        <f>F128*G128</f>
        <v>0</v>
      </c>
      <c r="I128" s="1299"/>
      <c r="J128" s="1299"/>
      <c r="K128" s="1299"/>
      <c r="L128" s="1299"/>
      <c r="M128" s="1299">
        <f t="shared" si="11"/>
        <v>0</v>
      </c>
    </row>
    <row r="129" spans="1:15" s="201" customFormat="1" ht="18">
      <c r="A129" s="1166"/>
      <c r="B129" s="962"/>
      <c r="C129" s="781" t="s">
        <v>865</v>
      </c>
      <c r="D129" s="967" t="s">
        <v>75</v>
      </c>
      <c r="E129" s="54"/>
      <c r="F129" s="239">
        <v>15</v>
      </c>
      <c r="G129" s="1310"/>
      <c r="H129" s="1299">
        <f>F129*G129</f>
        <v>0</v>
      </c>
      <c r="I129" s="1299"/>
      <c r="J129" s="1299"/>
      <c r="K129" s="1299"/>
      <c r="L129" s="1299"/>
      <c r="M129" s="1299">
        <f t="shared" si="11"/>
        <v>0</v>
      </c>
    </row>
    <row r="130" spans="1:15" s="201" customFormat="1">
      <c r="A130" s="1142"/>
      <c r="B130" s="962"/>
      <c r="C130" s="164" t="s">
        <v>37</v>
      </c>
      <c r="D130" s="967" t="s">
        <v>24</v>
      </c>
      <c r="E130" s="209">
        <v>0.13200000000000001</v>
      </c>
      <c r="F130" s="196">
        <f>F124*E130</f>
        <v>5.4119999999999999</v>
      </c>
      <c r="G130" s="1310"/>
      <c r="H130" s="1299">
        <f>F130*G130</f>
        <v>0</v>
      </c>
      <c r="I130" s="1299"/>
      <c r="J130" s="1299"/>
      <c r="K130" s="1299"/>
      <c r="L130" s="1299"/>
      <c r="M130" s="1299">
        <f t="shared" si="11"/>
        <v>0</v>
      </c>
    </row>
    <row r="131" spans="1:15">
      <c r="A131" s="988"/>
      <c r="B131" s="989"/>
      <c r="C131" s="984" t="s">
        <v>1064</v>
      </c>
      <c r="D131" s="989"/>
      <c r="E131" s="991"/>
      <c r="F131" s="990"/>
      <c r="G131" s="1340"/>
      <c r="H131" s="1340">
        <f>SUM(H79:H130)</f>
        <v>0</v>
      </c>
      <c r="I131" s="1340"/>
      <c r="J131" s="1340">
        <f>SUM(J79:J130)</f>
        <v>0</v>
      </c>
      <c r="K131" s="1340"/>
      <c r="L131" s="1340">
        <f>SUM(L79:L130)</f>
        <v>0</v>
      </c>
      <c r="M131" s="1340">
        <f>SUM(M79:M130)</f>
        <v>0</v>
      </c>
      <c r="N131" s="366"/>
    </row>
    <row r="132" spans="1:15" ht="31.5">
      <c r="A132" s="894"/>
      <c r="B132" s="263"/>
      <c r="C132" s="390" t="s">
        <v>456</v>
      </c>
      <c r="D132" s="263"/>
      <c r="E132" s="268"/>
      <c r="F132" s="1110"/>
      <c r="G132" s="1314"/>
      <c r="H132" s="1314"/>
      <c r="I132" s="1314"/>
      <c r="J132" s="1314"/>
      <c r="K132" s="1314"/>
      <c r="L132" s="1314"/>
      <c r="M132" s="1315">
        <f>H131*F132</f>
        <v>0</v>
      </c>
    </row>
    <row r="133" spans="1:15">
      <c r="A133" s="894"/>
      <c r="B133" s="263"/>
      <c r="C133" s="261" t="s">
        <v>70</v>
      </c>
      <c r="D133" s="263"/>
      <c r="E133" s="268"/>
      <c r="F133" s="269"/>
      <c r="G133" s="1314"/>
      <c r="H133" s="1314"/>
      <c r="I133" s="1314"/>
      <c r="J133" s="1314"/>
      <c r="K133" s="1314"/>
      <c r="L133" s="1314"/>
      <c r="M133" s="1315">
        <f>M131+M132</f>
        <v>0</v>
      </c>
    </row>
    <row r="134" spans="1:15" ht="31.5">
      <c r="A134" s="199"/>
      <c r="B134" s="199"/>
      <c r="C134" s="198" t="s">
        <v>453</v>
      </c>
      <c r="D134" s="199"/>
      <c r="E134" s="200"/>
      <c r="F134" s="1110"/>
      <c r="G134" s="1341"/>
      <c r="H134" s="1341"/>
      <c r="I134" s="1341"/>
      <c r="J134" s="1341"/>
      <c r="K134" s="1341"/>
      <c r="L134" s="1341"/>
      <c r="M134" s="1301">
        <f>J131*F134</f>
        <v>0</v>
      </c>
    </row>
    <row r="135" spans="1:15">
      <c r="A135" s="894"/>
      <c r="B135" s="87"/>
      <c r="C135" s="261" t="s">
        <v>70</v>
      </c>
      <c r="D135" s="87"/>
      <c r="E135" s="154"/>
      <c r="F135" s="146"/>
      <c r="G135" s="1342"/>
      <c r="H135" s="1342"/>
      <c r="I135" s="1342"/>
      <c r="J135" s="1342"/>
      <c r="K135" s="1342"/>
      <c r="L135" s="1342"/>
      <c r="M135" s="1342">
        <f>M133+M134</f>
        <v>0</v>
      </c>
    </row>
    <row r="136" spans="1:15">
      <c r="A136" s="618"/>
      <c r="B136" s="618"/>
      <c r="C136" s="578" t="s">
        <v>66</v>
      </c>
      <c r="D136" s="618"/>
      <c r="E136" s="892"/>
      <c r="F136" s="1110"/>
      <c r="G136" s="1284"/>
      <c r="H136" s="1284"/>
      <c r="I136" s="1284"/>
      <c r="J136" s="1284"/>
      <c r="K136" s="1284"/>
      <c r="L136" s="1284"/>
      <c r="M136" s="1284">
        <f>M135*F136</f>
        <v>0</v>
      </c>
    </row>
    <row r="137" spans="1:15" s="1103" customFormat="1" ht="16.5" thickBot="1">
      <c r="A137" s="143"/>
      <c r="B137" s="143"/>
      <c r="C137" s="142" t="s">
        <v>956</v>
      </c>
      <c r="D137" s="143"/>
      <c r="E137" s="309"/>
      <c r="F137" s="214"/>
      <c r="G137" s="1318"/>
      <c r="H137" s="1318"/>
      <c r="I137" s="1318"/>
      <c r="J137" s="1318"/>
      <c r="K137" s="1318"/>
      <c r="L137" s="1318"/>
      <c r="M137" s="1319">
        <f>M135+M136</f>
        <v>0</v>
      </c>
    </row>
    <row r="138" spans="1:15" ht="17.25" thickBot="1">
      <c r="A138" s="958"/>
      <c r="B138" s="957"/>
      <c r="C138" s="976" t="s">
        <v>952</v>
      </c>
      <c r="D138" s="957"/>
      <c r="E138" s="959"/>
      <c r="F138" s="959"/>
      <c r="G138" s="1324"/>
      <c r="H138" s="1324"/>
      <c r="I138" s="1324"/>
      <c r="J138" s="1324"/>
      <c r="K138" s="1324"/>
      <c r="L138" s="1324"/>
      <c r="M138" s="1325">
        <f>M137+M75</f>
        <v>0</v>
      </c>
      <c r="O138" s="372"/>
    </row>
    <row r="139" spans="1:15">
      <c r="G139" s="871"/>
      <c r="H139" s="871"/>
      <c r="I139" s="871"/>
      <c r="J139" s="871"/>
      <c r="K139" s="871"/>
      <c r="L139" s="871"/>
      <c r="M139" s="871"/>
    </row>
    <row r="140" spans="1:15">
      <c r="C140" s="895"/>
      <c r="G140" s="871"/>
      <c r="H140" s="871"/>
      <c r="I140" s="871"/>
      <c r="J140" s="871"/>
      <c r="K140" s="871"/>
      <c r="L140" s="871"/>
      <c r="M140" s="871"/>
    </row>
    <row r="141" spans="1:15">
      <c r="G141" s="871"/>
      <c r="H141" s="871"/>
      <c r="I141" s="871"/>
      <c r="J141" s="871"/>
      <c r="K141" s="871"/>
      <c r="L141" s="871"/>
      <c r="M141" s="871"/>
    </row>
    <row r="142" spans="1:15">
      <c r="G142" s="871"/>
      <c r="H142" s="871"/>
      <c r="I142" s="871"/>
      <c r="J142" s="871"/>
      <c r="K142" s="871"/>
      <c r="L142" s="871"/>
      <c r="M142" s="871"/>
    </row>
    <row r="143" spans="1:15">
      <c r="G143" s="871"/>
      <c r="H143" s="871"/>
      <c r="I143" s="871"/>
      <c r="J143" s="871"/>
      <c r="K143" s="871"/>
      <c r="L143" s="871"/>
      <c r="M143" s="871"/>
    </row>
    <row r="144" spans="1:15">
      <c r="G144" s="871"/>
      <c r="H144" s="871"/>
      <c r="I144" s="871"/>
      <c r="J144" s="871"/>
      <c r="K144" s="871"/>
      <c r="L144" s="871"/>
      <c r="M144" s="871"/>
    </row>
    <row r="145" spans="7:13">
      <c r="G145" s="871"/>
      <c r="H145" s="871"/>
      <c r="I145" s="871"/>
      <c r="J145" s="871"/>
      <c r="K145" s="871"/>
      <c r="L145" s="871"/>
      <c r="M145" s="871"/>
    </row>
    <row r="146" spans="7:13">
      <c r="G146" s="871"/>
      <c r="H146" s="871"/>
      <c r="I146" s="871"/>
      <c r="J146" s="871"/>
      <c r="K146" s="871"/>
      <c r="L146" s="871"/>
      <c r="M146" s="871"/>
    </row>
    <row r="147" spans="7:13">
      <c r="G147" s="871"/>
      <c r="H147" s="871"/>
      <c r="I147" s="871"/>
      <c r="J147" s="871"/>
      <c r="K147" s="871"/>
      <c r="L147" s="871"/>
      <c r="M147" s="871"/>
    </row>
    <row r="148" spans="7:13">
      <c r="G148" s="871"/>
      <c r="H148" s="871"/>
      <c r="I148" s="871"/>
      <c r="J148" s="871"/>
      <c r="K148" s="871"/>
      <c r="L148" s="871"/>
      <c r="M148" s="871"/>
    </row>
    <row r="149" spans="7:13">
      <c r="G149" s="871"/>
      <c r="H149" s="871"/>
      <c r="I149" s="871"/>
      <c r="J149" s="871"/>
      <c r="K149" s="871"/>
      <c r="L149" s="871"/>
      <c r="M149" s="871"/>
    </row>
    <row r="150" spans="7:13">
      <c r="G150" s="871"/>
      <c r="H150" s="871"/>
      <c r="I150" s="871"/>
      <c r="J150" s="871"/>
      <c r="K150" s="871"/>
      <c r="L150" s="871"/>
      <c r="M150" s="871"/>
    </row>
    <row r="151" spans="7:13">
      <c r="G151" s="871"/>
      <c r="H151" s="871"/>
      <c r="I151" s="871"/>
      <c r="J151" s="871"/>
      <c r="K151" s="871"/>
      <c r="L151" s="871"/>
      <c r="M151" s="871"/>
    </row>
    <row r="152" spans="7:13">
      <c r="G152" s="871"/>
      <c r="H152" s="871"/>
      <c r="I152" s="871"/>
      <c r="J152" s="871"/>
      <c r="K152" s="871"/>
      <c r="L152" s="871"/>
      <c r="M152" s="871"/>
    </row>
    <row r="153" spans="7:13">
      <c r="G153" s="871"/>
      <c r="H153" s="871"/>
      <c r="I153" s="871"/>
      <c r="J153" s="871"/>
      <c r="K153" s="871"/>
      <c r="L153" s="871"/>
      <c r="M153" s="871"/>
    </row>
    <row r="154" spans="7:13">
      <c r="G154" s="871"/>
      <c r="H154" s="871"/>
      <c r="I154" s="871"/>
      <c r="J154" s="871"/>
      <c r="K154" s="871"/>
      <c r="L154" s="871"/>
      <c r="M154" s="871"/>
    </row>
    <row r="155" spans="7:13">
      <c r="G155" s="871"/>
      <c r="H155" s="871"/>
      <c r="I155" s="871"/>
      <c r="J155" s="871"/>
      <c r="K155" s="871"/>
      <c r="L155" s="871"/>
      <c r="M155" s="871"/>
    </row>
    <row r="156" spans="7:13">
      <c r="G156" s="871"/>
      <c r="H156" s="871"/>
      <c r="I156" s="871"/>
      <c r="J156" s="871"/>
      <c r="K156" s="871"/>
      <c r="L156" s="871"/>
      <c r="M156" s="871"/>
    </row>
    <row r="157" spans="7:13">
      <c r="G157" s="871"/>
      <c r="H157" s="871"/>
      <c r="I157" s="871"/>
      <c r="J157" s="871"/>
      <c r="K157" s="871"/>
      <c r="L157" s="871"/>
      <c r="M157" s="871"/>
    </row>
    <row r="158" spans="7:13">
      <c r="G158" s="871"/>
      <c r="H158" s="871"/>
      <c r="I158" s="871"/>
      <c r="J158" s="871"/>
      <c r="K158" s="871"/>
      <c r="L158" s="871"/>
      <c r="M158" s="871"/>
    </row>
    <row r="159" spans="7:13">
      <c r="G159" s="871"/>
      <c r="H159" s="871"/>
      <c r="I159" s="871"/>
      <c r="J159" s="871"/>
      <c r="K159" s="871"/>
      <c r="L159" s="871"/>
      <c r="M159" s="871"/>
    </row>
    <row r="160" spans="7:13">
      <c r="G160" s="871"/>
      <c r="H160" s="871"/>
      <c r="I160" s="871"/>
      <c r="J160" s="871"/>
      <c r="K160" s="871"/>
      <c r="L160" s="871"/>
      <c r="M160" s="871"/>
    </row>
    <row r="161" spans="7:13">
      <c r="G161" s="871"/>
      <c r="H161" s="871"/>
      <c r="I161" s="871"/>
      <c r="J161" s="871"/>
      <c r="K161" s="871"/>
      <c r="L161" s="871"/>
      <c r="M161" s="871"/>
    </row>
    <row r="162" spans="7:13">
      <c r="G162" s="871"/>
      <c r="H162" s="871"/>
      <c r="I162" s="871"/>
      <c r="J162" s="871"/>
      <c r="K162" s="871"/>
      <c r="L162" s="871"/>
      <c r="M162" s="871"/>
    </row>
    <row r="163" spans="7:13">
      <c r="G163" s="871"/>
      <c r="H163" s="871"/>
      <c r="I163" s="871"/>
      <c r="J163" s="871"/>
      <c r="K163" s="871"/>
      <c r="L163" s="871"/>
      <c r="M163" s="871"/>
    </row>
    <row r="164" spans="7:13">
      <c r="G164" s="871"/>
      <c r="H164" s="871"/>
      <c r="I164" s="871"/>
      <c r="J164" s="871"/>
      <c r="K164" s="871"/>
      <c r="L164" s="871"/>
      <c r="M164" s="871"/>
    </row>
    <row r="165" spans="7:13">
      <c r="G165" s="871"/>
      <c r="H165" s="871"/>
      <c r="I165" s="871"/>
      <c r="J165" s="871"/>
      <c r="K165" s="871"/>
      <c r="L165" s="871"/>
      <c r="M165" s="871"/>
    </row>
    <row r="166" spans="7:13">
      <c r="G166" s="871"/>
      <c r="H166" s="871"/>
      <c r="I166" s="871"/>
      <c r="J166" s="871"/>
      <c r="K166" s="871"/>
      <c r="L166" s="871"/>
      <c r="M166" s="871"/>
    </row>
    <row r="167" spans="7:13">
      <c r="G167" s="871"/>
      <c r="H167" s="871"/>
      <c r="I167" s="871"/>
      <c r="J167" s="871"/>
      <c r="K167" s="871"/>
      <c r="L167" s="871"/>
      <c r="M167" s="871"/>
    </row>
    <row r="168" spans="7:13">
      <c r="G168" s="871"/>
      <c r="H168" s="871"/>
      <c r="I168" s="871"/>
      <c r="J168" s="871"/>
      <c r="K168" s="871"/>
      <c r="L168" s="871"/>
      <c r="M168" s="871"/>
    </row>
    <row r="169" spans="7:13">
      <c r="G169" s="871"/>
      <c r="H169" s="871"/>
      <c r="I169" s="871"/>
      <c r="J169" s="871"/>
      <c r="K169" s="871"/>
      <c r="L169" s="871"/>
      <c r="M169" s="871"/>
    </row>
    <row r="170" spans="7:13">
      <c r="G170" s="871"/>
      <c r="H170" s="871"/>
      <c r="I170" s="871"/>
      <c r="J170" s="871"/>
      <c r="K170" s="871"/>
      <c r="L170" s="871"/>
      <c r="M170" s="871"/>
    </row>
    <row r="171" spans="7:13">
      <c r="G171" s="871"/>
      <c r="H171" s="871"/>
      <c r="I171" s="871"/>
      <c r="J171" s="871"/>
      <c r="K171" s="871"/>
      <c r="L171" s="871"/>
      <c r="M171" s="871"/>
    </row>
    <row r="172" spans="7:13">
      <c r="G172" s="871"/>
      <c r="H172" s="871"/>
      <c r="I172" s="871"/>
      <c r="J172" s="871"/>
      <c r="K172" s="871"/>
      <c r="L172" s="871"/>
      <c r="M172" s="871"/>
    </row>
    <row r="173" spans="7:13">
      <c r="G173" s="871"/>
      <c r="H173" s="871"/>
      <c r="I173" s="871"/>
      <c r="J173" s="871"/>
      <c r="K173" s="871"/>
      <c r="L173" s="871"/>
      <c r="M173" s="871"/>
    </row>
    <row r="174" spans="7:13">
      <c r="G174" s="871"/>
      <c r="H174" s="871"/>
      <c r="I174" s="871"/>
      <c r="J174" s="871"/>
      <c r="K174" s="871"/>
      <c r="L174" s="871"/>
      <c r="M174" s="871"/>
    </row>
    <row r="175" spans="7:13">
      <c r="G175" s="871"/>
      <c r="H175" s="871"/>
      <c r="I175" s="871"/>
      <c r="J175" s="871"/>
      <c r="K175" s="871"/>
      <c r="L175" s="871"/>
      <c r="M175" s="871"/>
    </row>
    <row r="176" spans="7:13">
      <c r="G176" s="871"/>
      <c r="H176" s="871"/>
      <c r="I176" s="871"/>
      <c r="J176" s="871"/>
      <c r="K176" s="871"/>
      <c r="L176" s="871"/>
      <c r="M176" s="871"/>
    </row>
    <row r="177" spans="7:13">
      <c r="G177" s="871"/>
      <c r="H177" s="871"/>
      <c r="I177" s="871"/>
      <c r="J177" s="871"/>
      <c r="K177" s="871"/>
      <c r="L177" s="871"/>
      <c r="M177" s="871"/>
    </row>
    <row r="178" spans="7:13">
      <c r="G178" s="871"/>
      <c r="H178" s="871"/>
      <c r="I178" s="871"/>
      <c r="J178" s="871"/>
      <c r="K178" s="871"/>
      <c r="L178" s="871"/>
      <c r="M178" s="871"/>
    </row>
    <row r="179" spans="7:13">
      <c r="G179" s="871"/>
      <c r="H179" s="871"/>
      <c r="I179" s="871"/>
      <c r="J179" s="871"/>
      <c r="K179" s="871"/>
      <c r="L179" s="871"/>
      <c r="M179" s="871"/>
    </row>
    <row r="180" spans="7:13">
      <c r="G180" s="871"/>
      <c r="H180" s="871"/>
      <c r="I180" s="871"/>
      <c r="J180" s="871"/>
      <c r="K180" s="871"/>
      <c r="L180" s="871"/>
      <c r="M180" s="871"/>
    </row>
    <row r="181" spans="7:13">
      <c r="G181" s="871"/>
      <c r="H181" s="871"/>
      <c r="I181" s="871"/>
      <c r="J181" s="871"/>
      <c r="K181" s="871"/>
      <c r="L181" s="871"/>
      <c r="M181" s="871"/>
    </row>
    <row r="182" spans="7:13">
      <c r="G182" s="871"/>
      <c r="H182" s="871"/>
      <c r="I182" s="871"/>
      <c r="J182" s="871"/>
      <c r="K182" s="871"/>
      <c r="L182" s="871"/>
      <c r="M182" s="871"/>
    </row>
    <row r="183" spans="7:13">
      <c r="G183" s="871"/>
      <c r="H183" s="871"/>
      <c r="I183" s="871"/>
      <c r="J183" s="871"/>
      <c r="K183" s="871"/>
      <c r="L183" s="871"/>
      <c r="M183" s="871"/>
    </row>
    <row r="184" spans="7:13">
      <c r="G184" s="871"/>
      <c r="H184" s="871"/>
      <c r="I184" s="871"/>
      <c r="J184" s="871"/>
      <c r="K184" s="871"/>
      <c r="L184" s="871"/>
      <c r="M184" s="871"/>
    </row>
    <row r="185" spans="7:13">
      <c r="G185" s="871"/>
      <c r="H185" s="871"/>
      <c r="I185" s="871"/>
      <c r="J185" s="871"/>
      <c r="K185" s="871"/>
      <c r="L185" s="871"/>
      <c r="M185" s="871"/>
    </row>
    <row r="186" spans="7:13">
      <c r="G186" s="871"/>
      <c r="H186" s="871"/>
      <c r="I186" s="871"/>
      <c r="J186" s="871"/>
      <c r="K186" s="871"/>
      <c r="L186" s="871"/>
      <c r="M186" s="871"/>
    </row>
    <row r="187" spans="7:13">
      <c r="G187" s="871"/>
      <c r="H187" s="871"/>
      <c r="I187" s="871"/>
      <c r="J187" s="871"/>
      <c r="K187" s="871"/>
      <c r="L187" s="871"/>
      <c r="M187" s="871"/>
    </row>
    <row r="188" spans="7:13">
      <c r="G188" s="871"/>
      <c r="H188" s="871"/>
      <c r="I188" s="871"/>
      <c r="J188" s="871"/>
      <c r="K188" s="871"/>
      <c r="L188" s="871"/>
      <c r="M188" s="871"/>
    </row>
    <row r="189" spans="7:13">
      <c r="G189" s="871"/>
      <c r="H189" s="871"/>
      <c r="I189" s="871"/>
      <c r="J189" s="871"/>
      <c r="K189" s="871"/>
      <c r="L189" s="871"/>
      <c r="M189" s="871"/>
    </row>
    <row r="190" spans="7:13">
      <c r="G190" s="871"/>
      <c r="H190" s="871"/>
      <c r="I190" s="871"/>
      <c r="J190" s="871"/>
      <c r="K190" s="871"/>
      <c r="L190" s="871"/>
      <c r="M190" s="871"/>
    </row>
    <row r="191" spans="7:13">
      <c r="G191" s="871"/>
      <c r="H191" s="871"/>
      <c r="I191" s="871"/>
      <c r="J191" s="871"/>
      <c r="K191" s="871"/>
      <c r="L191" s="871"/>
      <c r="M191" s="871"/>
    </row>
    <row r="192" spans="7:13">
      <c r="G192" s="871"/>
      <c r="H192" s="871"/>
      <c r="I192" s="871"/>
      <c r="J192" s="871"/>
      <c r="K192" s="871"/>
      <c r="L192" s="871"/>
      <c r="M192" s="871"/>
    </row>
    <row r="193" spans="7:13">
      <c r="G193" s="871"/>
      <c r="H193" s="871"/>
      <c r="I193" s="871"/>
      <c r="J193" s="871"/>
      <c r="K193" s="871"/>
      <c r="L193" s="871"/>
      <c r="M193" s="871"/>
    </row>
    <row r="194" spans="7:13">
      <c r="G194" s="871"/>
      <c r="H194" s="871"/>
      <c r="I194" s="871"/>
      <c r="J194" s="871"/>
      <c r="K194" s="871"/>
      <c r="L194" s="871"/>
      <c r="M194" s="871"/>
    </row>
    <row r="195" spans="7:13">
      <c r="G195" s="871"/>
      <c r="H195" s="871"/>
      <c r="I195" s="871"/>
      <c r="J195" s="871"/>
      <c r="K195" s="871"/>
      <c r="L195" s="871"/>
      <c r="M195" s="871"/>
    </row>
    <row r="196" spans="7:13">
      <c r="G196" s="871"/>
      <c r="H196" s="871"/>
      <c r="I196" s="871"/>
      <c r="J196" s="871"/>
      <c r="K196" s="871"/>
      <c r="L196" s="871"/>
      <c r="M196" s="871"/>
    </row>
    <row r="197" spans="7:13">
      <c r="G197" s="871"/>
      <c r="H197" s="871"/>
      <c r="I197" s="871"/>
      <c r="J197" s="871"/>
      <c r="K197" s="871"/>
      <c r="L197" s="871"/>
      <c r="M197" s="871"/>
    </row>
    <row r="198" spans="7:13">
      <c r="G198" s="871"/>
      <c r="H198" s="871"/>
      <c r="I198" s="871"/>
      <c r="J198" s="871"/>
      <c r="K198" s="871"/>
      <c r="L198" s="871"/>
      <c r="M198" s="871"/>
    </row>
    <row r="199" spans="7:13">
      <c r="G199" s="871"/>
      <c r="H199" s="871"/>
      <c r="I199" s="871"/>
      <c r="J199" s="871"/>
      <c r="K199" s="871"/>
      <c r="L199" s="871"/>
      <c r="M199" s="871"/>
    </row>
    <row r="200" spans="7:13">
      <c r="G200" s="871"/>
      <c r="H200" s="871"/>
      <c r="I200" s="871"/>
      <c r="J200" s="871"/>
      <c r="K200" s="871"/>
      <c r="L200" s="871"/>
      <c r="M200" s="871"/>
    </row>
    <row r="201" spans="7:13">
      <c r="G201" s="871"/>
      <c r="H201" s="871"/>
      <c r="I201" s="871"/>
      <c r="J201" s="871"/>
      <c r="K201" s="871"/>
      <c r="L201" s="871"/>
      <c r="M201" s="871"/>
    </row>
    <row r="202" spans="7:13">
      <c r="G202" s="871"/>
      <c r="H202" s="871"/>
      <c r="I202" s="871"/>
      <c r="J202" s="871"/>
      <c r="K202" s="871"/>
      <c r="L202" s="871"/>
      <c r="M202" s="871"/>
    </row>
    <row r="203" spans="7:13">
      <c r="G203" s="871"/>
      <c r="H203" s="871"/>
      <c r="I203" s="871"/>
      <c r="J203" s="871"/>
      <c r="K203" s="871"/>
      <c r="L203" s="871"/>
      <c r="M203" s="871"/>
    </row>
    <row r="204" spans="7:13">
      <c r="G204" s="871"/>
      <c r="H204" s="871"/>
      <c r="I204" s="871"/>
      <c r="J204" s="871"/>
      <c r="K204" s="871"/>
      <c r="L204" s="871"/>
      <c r="M204" s="871"/>
    </row>
    <row r="205" spans="7:13">
      <c r="G205" s="871"/>
      <c r="H205" s="871"/>
      <c r="I205" s="871"/>
      <c r="J205" s="871"/>
      <c r="K205" s="871"/>
      <c r="L205" s="871"/>
      <c r="M205" s="871"/>
    </row>
    <row r="206" spans="7:13">
      <c r="G206" s="871"/>
      <c r="H206" s="871"/>
      <c r="I206" s="871"/>
      <c r="J206" s="871"/>
      <c r="K206" s="871"/>
      <c r="L206" s="871"/>
      <c r="M206" s="871"/>
    </row>
    <row r="207" spans="7:13">
      <c r="G207" s="871"/>
      <c r="H207" s="871"/>
      <c r="I207" s="871"/>
      <c r="J207" s="871"/>
      <c r="K207" s="871"/>
      <c r="L207" s="871"/>
      <c r="M207" s="871"/>
    </row>
    <row r="208" spans="7:13">
      <c r="G208" s="871"/>
      <c r="H208" s="871"/>
      <c r="I208" s="871"/>
      <c r="J208" s="871"/>
      <c r="K208" s="871"/>
      <c r="L208" s="871"/>
      <c r="M208" s="871"/>
    </row>
    <row r="209" spans="7:13">
      <c r="G209" s="871"/>
      <c r="H209" s="871"/>
      <c r="I209" s="871"/>
      <c r="J209" s="871"/>
      <c r="K209" s="871"/>
      <c r="L209" s="871"/>
      <c r="M209" s="871"/>
    </row>
    <row r="210" spans="7:13">
      <c r="G210" s="871"/>
      <c r="H210" s="871"/>
      <c r="I210" s="871"/>
      <c r="J210" s="871"/>
      <c r="K210" s="871"/>
      <c r="L210" s="871"/>
      <c r="M210" s="871"/>
    </row>
    <row r="211" spans="7:13">
      <c r="G211" s="871"/>
      <c r="H211" s="871"/>
      <c r="I211" s="871"/>
      <c r="J211" s="871"/>
      <c r="K211" s="871"/>
      <c r="L211" s="871"/>
      <c r="M211" s="871"/>
    </row>
    <row r="212" spans="7:13">
      <c r="G212" s="871"/>
      <c r="H212" s="871"/>
      <c r="I212" s="871"/>
      <c r="J212" s="871"/>
      <c r="K212" s="871"/>
      <c r="L212" s="871"/>
      <c r="M212" s="871"/>
    </row>
    <row r="213" spans="7:13">
      <c r="G213" s="871"/>
      <c r="H213" s="871"/>
      <c r="I213" s="871"/>
      <c r="J213" s="871"/>
      <c r="K213" s="871"/>
      <c r="L213" s="871"/>
      <c r="M213" s="871"/>
    </row>
    <row r="214" spans="7:13">
      <c r="G214" s="871"/>
      <c r="H214" s="871"/>
      <c r="I214" s="871"/>
      <c r="J214" s="871"/>
      <c r="K214" s="871"/>
      <c r="L214" s="871"/>
      <c r="M214" s="871"/>
    </row>
    <row r="215" spans="7:13">
      <c r="G215" s="871"/>
      <c r="H215" s="871"/>
      <c r="I215" s="871"/>
      <c r="J215" s="871"/>
      <c r="K215" s="871"/>
      <c r="L215" s="871"/>
      <c r="M215" s="871"/>
    </row>
    <row r="216" spans="7:13">
      <c r="G216" s="871"/>
      <c r="H216" s="871"/>
      <c r="I216" s="871"/>
      <c r="J216" s="871"/>
      <c r="K216" s="871"/>
      <c r="L216" s="871"/>
      <c r="M216" s="871"/>
    </row>
    <row r="217" spans="7:13">
      <c r="G217" s="871"/>
      <c r="H217" s="871"/>
      <c r="I217" s="871"/>
      <c r="J217" s="871"/>
      <c r="K217" s="871"/>
      <c r="L217" s="871"/>
      <c r="M217" s="871"/>
    </row>
    <row r="218" spans="7:13">
      <c r="G218" s="871"/>
      <c r="H218" s="871"/>
      <c r="I218" s="871"/>
      <c r="J218" s="871"/>
      <c r="K218" s="871"/>
      <c r="L218" s="871"/>
      <c r="M218" s="871"/>
    </row>
    <row r="219" spans="7:13">
      <c r="G219" s="871"/>
      <c r="H219" s="871"/>
      <c r="I219" s="871"/>
      <c r="J219" s="871"/>
      <c r="K219" s="871"/>
      <c r="L219" s="871"/>
      <c r="M219" s="871"/>
    </row>
    <row r="220" spans="7:13">
      <c r="G220" s="871"/>
      <c r="H220" s="871"/>
      <c r="I220" s="871"/>
      <c r="J220" s="871"/>
      <c r="K220" s="871"/>
      <c r="L220" s="871"/>
      <c r="M220" s="871"/>
    </row>
    <row r="221" spans="7:13">
      <c r="G221" s="871"/>
      <c r="H221" s="871"/>
      <c r="I221" s="871"/>
      <c r="J221" s="871"/>
      <c r="K221" s="871"/>
      <c r="L221" s="871"/>
      <c r="M221" s="871"/>
    </row>
    <row r="222" spans="7:13">
      <c r="G222" s="871"/>
      <c r="H222" s="871"/>
      <c r="I222" s="871"/>
      <c r="J222" s="871"/>
      <c r="K222" s="871"/>
      <c r="L222" s="871"/>
      <c r="M222" s="871"/>
    </row>
    <row r="223" spans="7:13">
      <c r="G223" s="871"/>
      <c r="H223" s="871"/>
      <c r="I223" s="871"/>
      <c r="J223" s="871"/>
      <c r="K223" s="871"/>
      <c r="L223" s="871"/>
      <c r="M223" s="871"/>
    </row>
    <row r="224" spans="7:13">
      <c r="G224" s="871"/>
      <c r="H224" s="871"/>
      <c r="I224" s="871"/>
      <c r="J224" s="871"/>
      <c r="K224" s="871"/>
      <c r="L224" s="871"/>
      <c r="M224" s="871"/>
    </row>
    <row r="225" spans="7:13">
      <c r="G225" s="871"/>
      <c r="H225" s="871"/>
      <c r="I225" s="871"/>
      <c r="J225" s="871"/>
      <c r="K225" s="871"/>
      <c r="L225" s="871"/>
      <c r="M225" s="871"/>
    </row>
    <row r="226" spans="7:13">
      <c r="G226" s="871"/>
      <c r="H226" s="871"/>
      <c r="I226" s="871"/>
      <c r="J226" s="871"/>
      <c r="K226" s="871"/>
      <c r="L226" s="871"/>
      <c r="M226" s="871"/>
    </row>
    <row r="227" spans="7:13">
      <c r="G227" s="871"/>
      <c r="H227" s="871"/>
      <c r="I227" s="871"/>
      <c r="J227" s="871"/>
      <c r="K227" s="871"/>
      <c r="L227" s="871"/>
      <c r="M227" s="871"/>
    </row>
    <row r="228" spans="7:13">
      <c r="G228" s="871"/>
      <c r="H228" s="871"/>
      <c r="I228" s="871"/>
      <c r="J228" s="871"/>
      <c r="K228" s="871"/>
      <c r="L228" s="871"/>
      <c r="M228" s="871"/>
    </row>
    <row r="229" spans="7:13">
      <c r="G229" s="871"/>
      <c r="H229" s="871"/>
      <c r="I229" s="871"/>
      <c r="J229" s="871"/>
      <c r="K229" s="871"/>
      <c r="L229" s="871"/>
      <c r="M229" s="871"/>
    </row>
    <row r="230" spans="7:13">
      <c r="G230" s="871"/>
      <c r="H230" s="871"/>
      <c r="I230" s="871"/>
      <c r="J230" s="871"/>
      <c r="K230" s="871"/>
      <c r="L230" s="871"/>
      <c r="M230" s="871"/>
    </row>
    <row r="231" spans="7:13">
      <c r="G231" s="871"/>
      <c r="H231" s="871"/>
      <c r="I231" s="871"/>
      <c r="J231" s="871"/>
      <c r="K231" s="871"/>
      <c r="L231" s="871"/>
      <c r="M231" s="871"/>
    </row>
    <row r="232" spans="7:13">
      <c r="G232" s="871"/>
      <c r="H232" s="871"/>
      <c r="I232" s="871"/>
      <c r="J232" s="871"/>
      <c r="K232" s="871"/>
      <c r="L232" s="871"/>
      <c r="M232" s="871"/>
    </row>
    <row r="233" spans="7:13">
      <c r="G233" s="871"/>
      <c r="H233" s="871"/>
      <c r="I233" s="871"/>
      <c r="J233" s="871"/>
      <c r="K233" s="871"/>
      <c r="L233" s="871"/>
      <c r="M233" s="871"/>
    </row>
    <row r="234" spans="7:13">
      <c r="G234" s="871"/>
      <c r="H234" s="871"/>
      <c r="I234" s="871"/>
      <c r="J234" s="871"/>
      <c r="K234" s="871"/>
      <c r="L234" s="871"/>
      <c r="M234" s="871"/>
    </row>
    <row r="235" spans="7:13">
      <c r="G235" s="871"/>
      <c r="H235" s="871"/>
      <c r="I235" s="871"/>
      <c r="J235" s="871"/>
      <c r="K235" s="871"/>
      <c r="L235" s="871"/>
      <c r="M235" s="871"/>
    </row>
    <row r="236" spans="7:13">
      <c r="G236" s="871"/>
      <c r="H236" s="871"/>
      <c r="I236" s="871"/>
      <c r="J236" s="871"/>
      <c r="K236" s="871"/>
      <c r="L236" s="871"/>
      <c r="M236" s="871"/>
    </row>
    <row r="237" spans="7:13">
      <c r="G237" s="871"/>
      <c r="H237" s="871"/>
      <c r="I237" s="871"/>
      <c r="J237" s="871"/>
      <c r="K237" s="871"/>
      <c r="L237" s="871"/>
      <c r="M237" s="871"/>
    </row>
    <row r="238" spans="7:13">
      <c r="G238" s="871"/>
      <c r="H238" s="871"/>
      <c r="I238" s="871"/>
      <c r="J238" s="871"/>
      <c r="K238" s="871"/>
      <c r="L238" s="871"/>
      <c r="M238" s="871"/>
    </row>
    <row r="239" spans="7:13">
      <c r="G239" s="871"/>
      <c r="H239" s="871"/>
      <c r="I239" s="871"/>
      <c r="J239" s="871"/>
      <c r="K239" s="871"/>
      <c r="L239" s="871"/>
      <c r="M239" s="871"/>
    </row>
    <row r="240" spans="7:13">
      <c r="G240" s="871"/>
      <c r="H240" s="871"/>
      <c r="I240" s="871"/>
      <c r="J240" s="871"/>
      <c r="K240" s="871"/>
      <c r="L240" s="871"/>
      <c r="M240" s="871"/>
    </row>
    <row r="241" spans="7:13">
      <c r="G241" s="871"/>
      <c r="H241" s="871"/>
      <c r="I241" s="871"/>
      <c r="J241" s="871"/>
      <c r="K241" s="871"/>
      <c r="L241" s="871"/>
      <c r="M241" s="871"/>
    </row>
    <row r="242" spans="7:13">
      <c r="G242" s="871"/>
      <c r="H242" s="871"/>
      <c r="I242" s="871"/>
      <c r="J242" s="871"/>
      <c r="K242" s="871"/>
      <c r="L242" s="871"/>
      <c r="M242" s="871"/>
    </row>
    <row r="243" spans="7:13">
      <c r="G243" s="871"/>
      <c r="H243" s="871"/>
      <c r="I243" s="871"/>
      <c r="J243" s="871"/>
      <c r="K243" s="871"/>
      <c r="L243" s="871"/>
      <c r="M243" s="871"/>
    </row>
    <row r="244" spans="7:13">
      <c r="G244" s="871"/>
      <c r="H244" s="871"/>
      <c r="I244" s="871"/>
      <c r="J244" s="871"/>
      <c r="K244" s="871"/>
      <c r="L244" s="871"/>
      <c r="M244" s="871"/>
    </row>
    <row r="245" spans="7:13">
      <c r="G245" s="871"/>
      <c r="H245" s="871"/>
      <c r="I245" s="871"/>
      <c r="J245" s="871"/>
      <c r="K245" s="871"/>
      <c r="L245" s="871"/>
      <c r="M245" s="871"/>
    </row>
    <row r="246" spans="7:13">
      <c r="G246" s="871"/>
      <c r="H246" s="871"/>
      <c r="I246" s="871"/>
      <c r="J246" s="871"/>
      <c r="K246" s="871"/>
      <c r="L246" s="871"/>
      <c r="M246" s="871"/>
    </row>
    <row r="247" spans="7:13">
      <c r="G247" s="871"/>
      <c r="H247" s="871"/>
      <c r="I247" s="871"/>
      <c r="J247" s="871"/>
      <c r="K247" s="871"/>
      <c r="L247" s="871"/>
      <c r="M247" s="871"/>
    </row>
    <row r="248" spans="7:13">
      <c r="G248" s="871"/>
      <c r="H248" s="871"/>
      <c r="I248" s="871"/>
      <c r="J248" s="871"/>
      <c r="K248" s="871"/>
      <c r="L248" s="871"/>
      <c r="M248" s="871"/>
    </row>
    <row r="249" spans="7:13">
      <c r="G249" s="871"/>
      <c r="H249" s="871"/>
      <c r="I249" s="871"/>
      <c r="J249" s="871"/>
      <c r="K249" s="871"/>
      <c r="L249" s="871"/>
      <c r="M249" s="871"/>
    </row>
    <row r="250" spans="7:13">
      <c r="G250" s="871"/>
      <c r="H250" s="871"/>
      <c r="I250" s="871"/>
      <c r="J250" s="871"/>
      <c r="K250" s="871"/>
      <c r="L250" s="871"/>
      <c r="M250" s="871"/>
    </row>
    <row r="251" spans="7:13">
      <c r="G251" s="871"/>
      <c r="H251" s="871"/>
      <c r="I251" s="871"/>
      <c r="J251" s="871"/>
      <c r="K251" s="871"/>
      <c r="L251" s="871"/>
      <c r="M251" s="871"/>
    </row>
    <row r="252" spans="7:13">
      <c r="G252" s="871"/>
      <c r="H252" s="871"/>
      <c r="I252" s="871"/>
      <c r="J252" s="871"/>
      <c r="K252" s="871"/>
      <c r="L252" s="871"/>
      <c r="M252" s="871"/>
    </row>
    <row r="253" spans="7:13">
      <c r="G253" s="871"/>
      <c r="H253" s="871"/>
      <c r="I253" s="871"/>
      <c r="J253" s="871"/>
      <c r="K253" s="871"/>
      <c r="L253" s="871"/>
      <c r="M253" s="871"/>
    </row>
    <row r="254" spans="7:13">
      <c r="G254" s="871"/>
      <c r="H254" s="871"/>
      <c r="I254" s="871"/>
      <c r="J254" s="871"/>
      <c r="K254" s="871"/>
      <c r="L254" s="871"/>
      <c r="M254" s="871"/>
    </row>
    <row r="255" spans="7:13">
      <c r="G255" s="871"/>
      <c r="H255" s="871"/>
      <c r="I255" s="871"/>
      <c r="J255" s="871"/>
      <c r="K255" s="871"/>
      <c r="L255" s="871"/>
      <c r="M255" s="871"/>
    </row>
    <row r="256" spans="7:13">
      <c r="G256" s="871"/>
      <c r="H256" s="871"/>
      <c r="I256" s="871"/>
      <c r="J256" s="871"/>
      <c r="K256" s="871"/>
      <c r="L256" s="871"/>
      <c r="M256" s="871"/>
    </row>
    <row r="257" spans="7:13">
      <c r="G257" s="871"/>
      <c r="H257" s="871"/>
      <c r="I257" s="871"/>
      <c r="J257" s="871"/>
      <c r="K257" s="871"/>
      <c r="L257" s="871"/>
      <c r="M257" s="871"/>
    </row>
    <row r="258" spans="7:13">
      <c r="G258" s="871"/>
      <c r="H258" s="871"/>
      <c r="I258" s="871"/>
      <c r="J258" s="871"/>
      <c r="K258" s="871"/>
      <c r="L258" s="871"/>
      <c r="M258" s="871"/>
    </row>
    <row r="259" spans="7:13">
      <c r="G259" s="871"/>
      <c r="H259" s="871"/>
      <c r="I259" s="871"/>
      <c r="J259" s="871"/>
      <c r="K259" s="871"/>
      <c r="L259" s="871"/>
      <c r="M259" s="871"/>
    </row>
    <row r="260" spans="7:13">
      <c r="G260" s="871"/>
      <c r="H260" s="871"/>
      <c r="I260" s="871"/>
      <c r="J260" s="871"/>
      <c r="K260" s="871"/>
      <c r="L260" s="871"/>
      <c r="M260" s="871"/>
    </row>
    <row r="261" spans="7:13">
      <c r="G261" s="871"/>
      <c r="H261" s="871"/>
      <c r="I261" s="871"/>
      <c r="J261" s="871"/>
      <c r="K261" s="871"/>
      <c r="L261" s="871"/>
      <c r="M261" s="871"/>
    </row>
    <row r="262" spans="7:13">
      <c r="G262" s="871"/>
      <c r="H262" s="871"/>
      <c r="I262" s="871"/>
      <c r="J262" s="871"/>
      <c r="K262" s="871"/>
      <c r="L262" s="871"/>
      <c r="M262" s="871"/>
    </row>
    <row r="263" spans="7:13">
      <c r="G263" s="871"/>
      <c r="H263" s="871"/>
      <c r="I263" s="871"/>
      <c r="J263" s="871"/>
      <c r="K263" s="871"/>
      <c r="L263" s="871"/>
      <c r="M263" s="871"/>
    </row>
    <row r="264" spans="7:13">
      <c r="G264" s="871"/>
      <c r="H264" s="871"/>
      <c r="I264" s="871"/>
      <c r="J264" s="871"/>
      <c r="K264" s="871"/>
      <c r="L264" s="871"/>
      <c r="M264" s="871"/>
    </row>
    <row r="265" spans="7:13">
      <c r="G265" s="871"/>
      <c r="H265" s="871"/>
      <c r="I265" s="871"/>
      <c r="J265" s="871"/>
      <c r="K265" s="871"/>
      <c r="L265" s="871"/>
      <c r="M265" s="871"/>
    </row>
    <row r="266" spans="7:13">
      <c r="G266" s="871"/>
      <c r="H266" s="871"/>
      <c r="I266" s="871"/>
      <c r="J266" s="871"/>
      <c r="K266" s="871"/>
      <c r="L266" s="871"/>
      <c r="M266" s="871"/>
    </row>
    <row r="267" spans="7:13">
      <c r="G267" s="871"/>
      <c r="H267" s="871"/>
      <c r="I267" s="871"/>
      <c r="J267" s="871"/>
      <c r="K267" s="871"/>
      <c r="L267" s="871"/>
      <c r="M267" s="871"/>
    </row>
    <row r="268" spans="7:13">
      <c r="G268" s="871"/>
      <c r="H268" s="871"/>
      <c r="I268" s="871"/>
      <c r="J268" s="871"/>
      <c r="K268" s="871"/>
      <c r="L268" s="871"/>
      <c r="M268" s="871"/>
    </row>
    <row r="269" spans="7:13">
      <c r="G269" s="871"/>
      <c r="H269" s="871"/>
      <c r="I269" s="871"/>
      <c r="J269" s="871"/>
      <c r="K269" s="871"/>
      <c r="L269" s="871"/>
      <c r="M269" s="871"/>
    </row>
    <row r="270" spans="7:13">
      <c r="G270" s="871"/>
      <c r="H270" s="871"/>
      <c r="I270" s="871"/>
      <c r="J270" s="871"/>
      <c r="K270" s="871"/>
      <c r="L270" s="871"/>
      <c r="M270" s="871"/>
    </row>
    <row r="271" spans="7:13">
      <c r="G271" s="871"/>
      <c r="H271" s="871"/>
      <c r="I271" s="871"/>
      <c r="J271" s="871"/>
      <c r="K271" s="871"/>
      <c r="L271" s="871"/>
      <c r="M271" s="871"/>
    </row>
    <row r="272" spans="7:13">
      <c r="G272" s="871"/>
      <c r="H272" s="871"/>
      <c r="I272" s="871"/>
      <c r="J272" s="871"/>
      <c r="K272" s="871"/>
      <c r="L272" s="871"/>
      <c r="M272" s="871"/>
    </row>
    <row r="273" spans="7:13">
      <c r="G273" s="871"/>
      <c r="H273" s="871"/>
      <c r="I273" s="871"/>
      <c r="J273" s="871"/>
      <c r="K273" s="871"/>
      <c r="L273" s="871"/>
      <c r="M273" s="871"/>
    </row>
    <row r="274" spans="7:13">
      <c r="G274" s="871"/>
      <c r="H274" s="871"/>
      <c r="I274" s="871"/>
      <c r="J274" s="871"/>
      <c r="K274" s="871"/>
      <c r="L274" s="871"/>
      <c r="M274" s="871"/>
    </row>
    <row r="275" spans="7:13">
      <c r="G275" s="871"/>
      <c r="H275" s="871"/>
      <c r="I275" s="871"/>
      <c r="J275" s="871"/>
      <c r="K275" s="871"/>
      <c r="L275" s="871"/>
      <c r="M275" s="871"/>
    </row>
    <row r="276" spans="7:13">
      <c r="G276" s="871"/>
      <c r="H276" s="871"/>
      <c r="I276" s="871"/>
      <c r="J276" s="871"/>
      <c r="K276" s="871"/>
      <c r="L276" s="871"/>
      <c r="M276" s="871"/>
    </row>
    <row r="277" spans="7:13">
      <c r="G277" s="871"/>
      <c r="H277" s="871"/>
      <c r="I277" s="871"/>
      <c r="J277" s="871"/>
      <c r="K277" s="871"/>
      <c r="L277" s="871"/>
      <c r="M277" s="871"/>
    </row>
    <row r="278" spans="7:13">
      <c r="G278" s="871"/>
      <c r="H278" s="871"/>
      <c r="I278" s="871"/>
      <c r="J278" s="871"/>
      <c r="K278" s="871"/>
      <c r="L278" s="871"/>
      <c r="M278" s="871"/>
    </row>
    <row r="279" spans="7:13">
      <c r="G279" s="871"/>
      <c r="H279" s="871"/>
      <c r="I279" s="871"/>
      <c r="J279" s="871"/>
      <c r="K279" s="871"/>
      <c r="L279" s="871"/>
      <c r="M279" s="871"/>
    </row>
    <row r="280" spans="7:13">
      <c r="G280" s="871"/>
      <c r="H280" s="871"/>
      <c r="I280" s="871"/>
      <c r="J280" s="871"/>
      <c r="K280" s="871"/>
      <c r="L280" s="871"/>
      <c r="M280" s="871"/>
    </row>
    <row r="281" spans="7:13">
      <c r="G281" s="871"/>
      <c r="H281" s="871"/>
      <c r="I281" s="871"/>
      <c r="J281" s="871"/>
      <c r="K281" s="871"/>
      <c r="L281" s="871"/>
      <c r="M281" s="871"/>
    </row>
    <row r="282" spans="7:13">
      <c r="G282" s="871"/>
      <c r="H282" s="871"/>
      <c r="I282" s="871"/>
      <c r="J282" s="871"/>
      <c r="K282" s="871"/>
      <c r="L282" s="871"/>
      <c r="M282" s="871"/>
    </row>
    <row r="283" spans="7:13">
      <c r="G283" s="871"/>
      <c r="H283" s="871"/>
      <c r="I283" s="871"/>
      <c r="J283" s="871"/>
      <c r="K283" s="871"/>
      <c r="L283" s="871"/>
      <c r="M283" s="871"/>
    </row>
    <row r="284" spans="7:13">
      <c r="G284" s="871"/>
      <c r="H284" s="871"/>
      <c r="I284" s="871"/>
      <c r="J284" s="871"/>
      <c r="K284" s="871"/>
      <c r="L284" s="871"/>
      <c r="M284" s="871"/>
    </row>
    <row r="285" spans="7:13">
      <c r="G285" s="871"/>
      <c r="H285" s="871"/>
      <c r="I285" s="871"/>
      <c r="J285" s="871"/>
      <c r="K285" s="871"/>
      <c r="L285" s="871"/>
      <c r="M285" s="871"/>
    </row>
    <row r="286" spans="7:13">
      <c r="G286" s="871"/>
      <c r="H286" s="871"/>
      <c r="I286" s="871"/>
      <c r="J286" s="871"/>
      <c r="K286" s="871"/>
      <c r="L286" s="871"/>
      <c r="M286" s="871"/>
    </row>
    <row r="287" spans="7:13">
      <c r="G287" s="871"/>
      <c r="H287" s="871"/>
      <c r="I287" s="871"/>
      <c r="J287" s="871"/>
      <c r="K287" s="871"/>
      <c r="L287" s="871"/>
      <c r="M287" s="871"/>
    </row>
    <row r="288" spans="7:13">
      <c r="G288" s="871"/>
      <c r="H288" s="871"/>
      <c r="I288" s="871"/>
      <c r="J288" s="871"/>
      <c r="K288" s="871"/>
      <c r="L288" s="871"/>
      <c r="M288" s="871"/>
    </row>
    <row r="289" spans="7:13">
      <c r="G289" s="871"/>
      <c r="H289" s="871"/>
      <c r="I289" s="871"/>
      <c r="J289" s="871"/>
      <c r="K289" s="871"/>
      <c r="L289" s="871"/>
      <c r="M289" s="871"/>
    </row>
    <row r="290" spans="7:13">
      <c r="G290" s="871"/>
      <c r="H290" s="871"/>
      <c r="I290" s="871"/>
      <c r="J290" s="871"/>
      <c r="K290" s="871"/>
      <c r="L290" s="871"/>
      <c r="M290" s="871"/>
    </row>
    <row r="291" spans="7:13">
      <c r="G291" s="871"/>
      <c r="H291" s="871"/>
      <c r="I291" s="871"/>
      <c r="J291" s="871"/>
      <c r="K291" s="871"/>
      <c r="L291" s="871"/>
      <c r="M291" s="871"/>
    </row>
    <row r="292" spans="7:13">
      <c r="G292" s="871"/>
      <c r="H292" s="871"/>
      <c r="I292" s="871"/>
      <c r="J292" s="871"/>
      <c r="K292" s="871"/>
      <c r="L292" s="871"/>
      <c r="M292" s="871"/>
    </row>
    <row r="293" spans="7:13">
      <c r="G293" s="871"/>
      <c r="H293" s="871"/>
      <c r="I293" s="871"/>
      <c r="J293" s="871"/>
      <c r="K293" s="871"/>
      <c r="L293" s="871"/>
      <c r="M293" s="871"/>
    </row>
    <row r="294" spans="7:13">
      <c r="G294" s="871"/>
      <c r="H294" s="871"/>
      <c r="I294" s="871"/>
      <c r="J294" s="871"/>
      <c r="K294" s="871"/>
      <c r="L294" s="871"/>
      <c r="M294" s="871"/>
    </row>
    <row r="295" spans="7:13">
      <c r="G295" s="871"/>
      <c r="H295" s="871"/>
      <c r="I295" s="871"/>
      <c r="J295" s="871"/>
      <c r="K295" s="871"/>
      <c r="L295" s="871"/>
      <c r="M295" s="871"/>
    </row>
    <row r="296" spans="7:13">
      <c r="G296" s="871"/>
      <c r="H296" s="871"/>
      <c r="I296" s="871"/>
      <c r="J296" s="871"/>
      <c r="K296" s="871"/>
      <c r="L296" s="871"/>
      <c r="M296" s="871"/>
    </row>
    <row r="297" spans="7:13">
      <c r="G297" s="871"/>
      <c r="H297" s="871"/>
      <c r="I297" s="871"/>
      <c r="J297" s="871"/>
      <c r="K297" s="871"/>
      <c r="L297" s="871"/>
      <c r="M297" s="871"/>
    </row>
    <row r="298" spans="7:13">
      <c r="G298" s="871"/>
      <c r="H298" s="871"/>
      <c r="I298" s="871"/>
      <c r="J298" s="871"/>
      <c r="K298" s="871"/>
      <c r="L298" s="871"/>
      <c r="M298" s="871"/>
    </row>
    <row r="299" spans="7:13">
      <c r="G299" s="871"/>
      <c r="H299" s="871"/>
      <c r="I299" s="871"/>
      <c r="J299" s="871"/>
      <c r="K299" s="871"/>
      <c r="L299" s="871"/>
      <c r="M299" s="871"/>
    </row>
    <row r="300" spans="7:13">
      <c r="G300" s="871"/>
      <c r="H300" s="871"/>
      <c r="I300" s="871"/>
      <c r="J300" s="871"/>
      <c r="K300" s="871"/>
      <c r="L300" s="871"/>
      <c r="M300" s="871"/>
    </row>
    <row r="301" spans="7:13">
      <c r="G301" s="871"/>
      <c r="H301" s="871"/>
      <c r="I301" s="871"/>
      <c r="J301" s="871"/>
      <c r="K301" s="871"/>
      <c r="L301" s="871"/>
      <c r="M301" s="871"/>
    </row>
    <row r="302" spans="7:13">
      <c r="G302" s="871"/>
      <c r="H302" s="871"/>
      <c r="I302" s="871"/>
      <c r="J302" s="871"/>
      <c r="K302" s="871"/>
      <c r="L302" s="871"/>
      <c r="M302" s="871"/>
    </row>
    <row r="303" spans="7:13">
      <c r="G303" s="871"/>
      <c r="H303" s="871"/>
      <c r="I303" s="871"/>
      <c r="J303" s="871"/>
      <c r="K303" s="871"/>
      <c r="L303" s="871"/>
      <c r="M303" s="871"/>
    </row>
    <row r="304" spans="7:13">
      <c r="G304" s="871"/>
      <c r="H304" s="871"/>
      <c r="I304" s="871"/>
      <c r="J304" s="871"/>
      <c r="K304" s="871"/>
      <c r="L304" s="871"/>
      <c r="M304" s="871"/>
    </row>
    <row r="305" spans="7:13">
      <c r="G305" s="871"/>
      <c r="H305" s="871"/>
      <c r="I305" s="871"/>
      <c r="J305" s="871"/>
      <c r="K305" s="871"/>
      <c r="L305" s="871"/>
      <c r="M305" s="871"/>
    </row>
    <row r="306" spans="7:13">
      <c r="G306" s="871"/>
      <c r="H306" s="871"/>
      <c r="I306" s="871"/>
      <c r="J306" s="871"/>
      <c r="K306" s="871"/>
      <c r="L306" s="871"/>
      <c r="M306" s="871"/>
    </row>
    <row r="307" spans="7:13">
      <c r="G307" s="871"/>
      <c r="H307" s="871"/>
      <c r="I307" s="871"/>
      <c r="J307" s="871"/>
      <c r="K307" s="871"/>
      <c r="L307" s="871"/>
      <c r="M307" s="871"/>
    </row>
    <row r="308" spans="7:13">
      <c r="G308" s="871"/>
      <c r="H308" s="871"/>
      <c r="I308" s="871"/>
      <c r="J308" s="871"/>
      <c r="K308" s="871"/>
      <c r="L308" s="871"/>
      <c r="M308" s="871"/>
    </row>
    <row r="309" spans="7:13">
      <c r="G309" s="871"/>
      <c r="H309" s="871"/>
      <c r="I309" s="871"/>
      <c r="J309" s="871"/>
      <c r="K309" s="871"/>
      <c r="L309" s="871"/>
      <c r="M309" s="871"/>
    </row>
    <row r="310" spans="7:13">
      <c r="G310" s="871"/>
      <c r="H310" s="871"/>
      <c r="I310" s="871"/>
      <c r="J310" s="871"/>
      <c r="K310" s="871"/>
      <c r="L310" s="871"/>
      <c r="M310" s="871"/>
    </row>
    <row r="311" spans="7:13">
      <c r="G311" s="871"/>
      <c r="H311" s="871"/>
      <c r="I311" s="871"/>
      <c r="J311" s="871"/>
      <c r="K311" s="871"/>
      <c r="L311" s="871"/>
      <c r="M311" s="871"/>
    </row>
    <row r="312" spans="7:13">
      <c r="G312" s="871"/>
      <c r="H312" s="871"/>
      <c r="I312" s="871"/>
      <c r="J312" s="871"/>
      <c r="K312" s="871"/>
      <c r="L312" s="871"/>
      <c r="M312" s="871"/>
    </row>
    <row r="313" spans="7:13">
      <c r="G313" s="871"/>
      <c r="H313" s="871"/>
      <c r="I313" s="871"/>
      <c r="J313" s="871"/>
      <c r="K313" s="871"/>
      <c r="L313" s="871"/>
      <c r="M313" s="871"/>
    </row>
    <row r="314" spans="7:13">
      <c r="G314" s="871"/>
      <c r="H314" s="871"/>
      <c r="I314" s="871"/>
      <c r="J314" s="871"/>
      <c r="K314" s="871"/>
      <c r="L314" s="871"/>
      <c r="M314" s="871"/>
    </row>
    <row r="315" spans="7:13">
      <c r="G315" s="871"/>
      <c r="H315" s="871"/>
      <c r="I315" s="871"/>
      <c r="J315" s="871"/>
      <c r="K315" s="871"/>
      <c r="L315" s="871"/>
      <c r="M315" s="871"/>
    </row>
    <row r="316" spans="7:13">
      <c r="G316" s="871"/>
      <c r="H316" s="871"/>
      <c r="I316" s="871"/>
      <c r="J316" s="871"/>
      <c r="K316" s="871"/>
      <c r="L316" s="871"/>
      <c r="M316" s="871"/>
    </row>
    <row r="317" spans="7:13">
      <c r="G317" s="871"/>
      <c r="H317" s="871"/>
      <c r="I317" s="871"/>
      <c r="J317" s="871"/>
      <c r="K317" s="871"/>
      <c r="L317" s="871"/>
      <c r="M317" s="871"/>
    </row>
    <row r="318" spans="7:13">
      <c r="G318" s="871"/>
      <c r="H318" s="871"/>
      <c r="I318" s="871"/>
      <c r="J318" s="871"/>
      <c r="K318" s="871"/>
      <c r="L318" s="871"/>
      <c r="M318" s="871"/>
    </row>
    <row r="319" spans="7:13">
      <c r="G319" s="871"/>
      <c r="H319" s="871"/>
      <c r="I319" s="871"/>
      <c r="J319" s="871"/>
      <c r="K319" s="871"/>
      <c r="L319" s="871"/>
      <c r="M319" s="871"/>
    </row>
    <row r="320" spans="7:13">
      <c r="G320" s="871"/>
      <c r="H320" s="871"/>
      <c r="I320" s="871"/>
      <c r="J320" s="871"/>
      <c r="K320" s="871"/>
      <c r="L320" s="871"/>
      <c r="M320" s="871"/>
    </row>
    <row r="321" spans="7:13">
      <c r="G321" s="871"/>
      <c r="H321" s="871"/>
      <c r="I321" s="871"/>
      <c r="J321" s="871"/>
      <c r="K321" s="871"/>
      <c r="L321" s="871"/>
      <c r="M321" s="871"/>
    </row>
    <row r="322" spans="7:13">
      <c r="G322" s="871"/>
      <c r="H322" s="871"/>
      <c r="I322" s="871"/>
      <c r="J322" s="871"/>
      <c r="K322" s="871"/>
      <c r="L322" s="871"/>
      <c r="M322" s="871"/>
    </row>
    <row r="323" spans="7:13">
      <c r="G323" s="871"/>
      <c r="H323" s="871"/>
      <c r="I323" s="871"/>
      <c r="J323" s="871"/>
      <c r="K323" s="871"/>
      <c r="L323" s="871"/>
      <c r="M323" s="871"/>
    </row>
    <row r="324" spans="7:13">
      <c r="G324" s="871"/>
      <c r="H324" s="871"/>
      <c r="I324" s="871"/>
      <c r="J324" s="871"/>
      <c r="K324" s="871"/>
      <c r="L324" s="871"/>
      <c r="M324" s="871"/>
    </row>
    <row r="325" spans="7:13">
      <c r="G325" s="871"/>
      <c r="H325" s="871"/>
      <c r="I325" s="871"/>
      <c r="J325" s="871"/>
      <c r="K325" s="871"/>
      <c r="L325" s="871"/>
      <c r="M325" s="871"/>
    </row>
    <row r="326" spans="7:13">
      <c r="G326" s="871"/>
      <c r="H326" s="871"/>
      <c r="I326" s="871"/>
      <c r="J326" s="871"/>
      <c r="K326" s="871"/>
      <c r="L326" s="871"/>
      <c r="M326" s="871"/>
    </row>
    <row r="327" spans="7:13">
      <c r="G327" s="871"/>
      <c r="H327" s="871"/>
      <c r="I327" s="871"/>
      <c r="J327" s="871"/>
      <c r="K327" s="871"/>
      <c r="L327" s="871"/>
      <c r="M327" s="871"/>
    </row>
    <row r="328" spans="7:13">
      <c r="G328" s="871"/>
      <c r="H328" s="871"/>
      <c r="I328" s="871"/>
      <c r="J328" s="871"/>
      <c r="K328" s="871"/>
      <c r="L328" s="871"/>
      <c r="M328" s="871"/>
    </row>
    <row r="329" spans="7:13">
      <c r="G329" s="871"/>
      <c r="H329" s="871"/>
      <c r="I329" s="871"/>
      <c r="J329" s="871"/>
      <c r="K329" s="871"/>
      <c r="L329" s="871"/>
      <c r="M329" s="871"/>
    </row>
    <row r="330" spans="7:13">
      <c r="G330" s="871"/>
      <c r="H330" s="871"/>
      <c r="I330" s="871"/>
      <c r="J330" s="871"/>
      <c r="K330" s="871"/>
      <c r="L330" s="871"/>
      <c r="M330" s="871"/>
    </row>
    <row r="331" spans="7:13">
      <c r="G331" s="871"/>
      <c r="H331" s="871"/>
      <c r="I331" s="871"/>
      <c r="J331" s="871"/>
      <c r="K331" s="871"/>
      <c r="L331" s="871"/>
      <c r="M331" s="871"/>
    </row>
    <row r="332" spans="7:13">
      <c r="G332" s="871"/>
      <c r="H332" s="871"/>
      <c r="I332" s="871"/>
      <c r="J332" s="871"/>
      <c r="K332" s="871"/>
      <c r="L332" s="871"/>
      <c r="M332" s="871"/>
    </row>
    <row r="333" spans="7:13">
      <c r="G333" s="871"/>
      <c r="H333" s="871"/>
      <c r="I333" s="871"/>
      <c r="J333" s="871"/>
      <c r="K333" s="871"/>
      <c r="L333" s="871"/>
      <c r="M333" s="871"/>
    </row>
    <row r="334" spans="7:13">
      <c r="G334" s="871"/>
      <c r="H334" s="871"/>
      <c r="I334" s="871"/>
      <c r="J334" s="871"/>
      <c r="K334" s="871"/>
      <c r="L334" s="871"/>
      <c r="M334" s="871"/>
    </row>
    <row r="335" spans="7:13">
      <c r="G335" s="871"/>
      <c r="H335" s="871"/>
      <c r="I335" s="871"/>
      <c r="J335" s="871"/>
      <c r="K335" s="871"/>
      <c r="L335" s="871"/>
      <c r="M335" s="871"/>
    </row>
    <row r="336" spans="7:13">
      <c r="G336" s="871"/>
      <c r="H336" s="871"/>
      <c r="I336" s="871"/>
      <c r="J336" s="871"/>
      <c r="K336" s="871"/>
      <c r="L336" s="871"/>
      <c r="M336" s="871"/>
    </row>
    <row r="337" spans="7:13">
      <c r="G337" s="871"/>
      <c r="H337" s="871"/>
      <c r="I337" s="871"/>
      <c r="J337" s="871"/>
      <c r="K337" s="871"/>
      <c r="L337" s="871"/>
      <c r="M337" s="871"/>
    </row>
    <row r="338" spans="7:13">
      <c r="G338" s="871"/>
      <c r="H338" s="871"/>
      <c r="I338" s="871"/>
      <c r="J338" s="871"/>
      <c r="K338" s="871"/>
      <c r="L338" s="871"/>
      <c r="M338" s="871"/>
    </row>
    <row r="339" spans="7:13">
      <c r="G339" s="871"/>
      <c r="H339" s="871"/>
      <c r="I339" s="871"/>
      <c r="J339" s="871"/>
      <c r="K339" s="871"/>
      <c r="L339" s="871"/>
      <c r="M339" s="871"/>
    </row>
    <row r="340" spans="7:13">
      <c r="G340" s="871"/>
      <c r="H340" s="871"/>
      <c r="I340" s="871"/>
      <c r="J340" s="871"/>
      <c r="K340" s="871"/>
      <c r="L340" s="871"/>
      <c r="M340" s="871"/>
    </row>
    <row r="341" spans="7:13">
      <c r="G341" s="871"/>
      <c r="H341" s="871"/>
      <c r="I341" s="871"/>
      <c r="J341" s="871"/>
      <c r="K341" s="871"/>
      <c r="L341" s="871"/>
      <c r="M341" s="871"/>
    </row>
    <row r="342" spans="7:13">
      <c r="G342" s="871"/>
      <c r="H342" s="871"/>
      <c r="I342" s="871"/>
      <c r="J342" s="871"/>
      <c r="K342" s="871"/>
      <c r="L342" s="871"/>
      <c r="M342" s="871"/>
    </row>
    <row r="343" spans="7:13">
      <c r="G343" s="871"/>
      <c r="H343" s="871"/>
      <c r="I343" s="871"/>
      <c r="J343" s="871"/>
      <c r="K343" s="871"/>
      <c r="L343" s="871"/>
      <c r="M343" s="871"/>
    </row>
    <row r="344" spans="7:13">
      <c r="G344" s="871"/>
      <c r="H344" s="871"/>
      <c r="I344" s="871"/>
      <c r="J344" s="871"/>
      <c r="K344" s="871"/>
      <c r="L344" s="871"/>
      <c r="M344" s="871"/>
    </row>
    <row r="345" spans="7:13">
      <c r="G345" s="871"/>
      <c r="H345" s="871"/>
      <c r="I345" s="871"/>
      <c r="J345" s="871"/>
      <c r="K345" s="871"/>
      <c r="L345" s="871"/>
      <c r="M345" s="871"/>
    </row>
    <row r="346" spans="7:13">
      <c r="G346" s="871"/>
      <c r="H346" s="871"/>
      <c r="I346" s="871"/>
      <c r="J346" s="871"/>
      <c r="K346" s="871"/>
      <c r="L346" s="871"/>
      <c r="M346" s="871"/>
    </row>
    <row r="347" spans="7:13">
      <c r="G347" s="871"/>
      <c r="H347" s="871"/>
      <c r="I347" s="871"/>
      <c r="J347" s="871"/>
      <c r="K347" s="871"/>
      <c r="L347" s="871"/>
      <c r="M347" s="871"/>
    </row>
    <row r="348" spans="7:13">
      <c r="G348" s="871"/>
      <c r="H348" s="871"/>
      <c r="I348" s="871"/>
      <c r="J348" s="871"/>
      <c r="K348" s="871"/>
      <c r="L348" s="871"/>
      <c r="M348" s="871"/>
    </row>
    <row r="349" spans="7:13">
      <c r="G349" s="871"/>
      <c r="H349" s="871"/>
      <c r="I349" s="871"/>
      <c r="J349" s="871"/>
      <c r="K349" s="871"/>
      <c r="L349" s="871"/>
      <c r="M349" s="871"/>
    </row>
    <row r="350" spans="7:13">
      <c r="G350" s="871"/>
      <c r="H350" s="871"/>
      <c r="I350" s="871"/>
      <c r="J350" s="871"/>
      <c r="K350" s="871"/>
      <c r="L350" s="871"/>
      <c r="M350" s="871"/>
    </row>
    <row r="351" spans="7:13">
      <c r="G351" s="871"/>
      <c r="H351" s="871"/>
      <c r="I351" s="871"/>
      <c r="J351" s="871"/>
      <c r="K351" s="871"/>
      <c r="L351" s="871"/>
      <c r="M351" s="871"/>
    </row>
    <row r="352" spans="7:13">
      <c r="G352" s="871"/>
      <c r="H352" s="871"/>
      <c r="I352" s="871"/>
      <c r="J352" s="871"/>
      <c r="K352" s="871"/>
      <c r="L352" s="871"/>
      <c r="M352" s="871"/>
    </row>
    <row r="353" spans="7:13">
      <c r="G353" s="871"/>
      <c r="H353" s="871"/>
      <c r="I353" s="871"/>
      <c r="J353" s="871"/>
      <c r="K353" s="871"/>
      <c r="L353" s="871"/>
      <c r="M353" s="871"/>
    </row>
    <row r="354" spans="7:13">
      <c r="G354" s="871"/>
      <c r="H354" s="871"/>
      <c r="I354" s="871"/>
      <c r="J354" s="871"/>
      <c r="K354" s="871"/>
      <c r="L354" s="871"/>
      <c r="M354" s="871"/>
    </row>
    <row r="355" spans="7:13">
      <c r="G355" s="871"/>
      <c r="H355" s="871"/>
      <c r="I355" s="871"/>
      <c r="J355" s="871"/>
      <c r="K355" s="871"/>
      <c r="L355" s="871"/>
      <c r="M355" s="871"/>
    </row>
    <row r="356" spans="7:13">
      <c r="G356" s="871"/>
      <c r="H356" s="871"/>
      <c r="I356" s="871"/>
      <c r="J356" s="871"/>
      <c r="K356" s="871"/>
      <c r="L356" s="871"/>
      <c r="M356" s="871"/>
    </row>
    <row r="357" spans="7:13">
      <c r="G357" s="871"/>
      <c r="H357" s="871"/>
      <c r="I357" s="871"/>
      <c r="J357" s="871"/>
      <c r="K357" s="871"/>
      <c r="L357" s="871"/>
      <c r="M357" s="871"/>
    </row>
    <row r="358" spans="7:13">
      <c r="G358" s="871"/>
      <c r="H358" s="871"/>
      <c r="I358" s="871"/>
      <c r="J358" s="871"/>
      <c r="K358" s="871"/>
      <c r="L358" s="871"/>
      <c r="M358" s="871"/>
    </row>
    <row r="359" spans="7:13">
      <c r="G359" s="871"/>
      <c r="H359" s="871"/>
      <c r="I359" s="871"/>
      <c r="J359" s="871"/>
      <c r="K359" s="871"/>
      <c r="L359" s="871"/>
      <c r="M359" s="871"/>
    </row>
    <row r="360" spans="7:13">
      <c r="G360" s="871"/>
      <c r="H360" s="871"/>
      <c r="I360" s="871"/>
      <c r="J360" s="871"/>
      <c r="K360" s="871"/>
      <c r="L360" s="871"/>
      <c r="M360" s="871"/>
    </row>
    <row r="361" spans="7:13">
      <c r="G361" s="871"/>
      <c r="H361" s="871"/>
      <c r="I361" s="871"/>
      <c r="J361" s="871"/>
      <c r="K361" s="871"/>
      <c r="L361" s="871"/>
      <c r="M361" s="871"/>
    </row>
    <row r="362" spans="7:13">
      <c r="G362" s="871"/>
      <c r="H362" s="871"/>
      <c r="I362" s="871"/>
      <c r="J362" s="871"/>
      <c r="K362" s="871"/>
      <c r="L362" s="871"/>
      <c r="M362" s="871"/>
    </row>
    <row r="363" spans="7:13">
      <c r="G363" s="871"/>
      <c r="H363" s="871"/>
      <c r="I363" s="871"/>
      <c r="J363" s="871"/>
      <c r="K363" s="871"/>
      <c r="L363" s="871"/>
      <c r="M363" s="871"/>
    </row>
    <row r="364" spans="7:13">
      <c r="G364" s="871"/>
      <c r="H364" s="871"/>
      <c r="I364" s="871"/>
      <c r="J364" s="871"/>
      <c r="K364" s="871"/>
      <c r="L364" s="871"/>
      <c r="M364" s="871"/>
    </row>
    <row r="365" spans="7:13">
      <c r="G365" s="871"/>
      <c r="H365" s="871"/>
      <c r="I365" s="871"/>
      <c r="J365" s="871"/>
      <c r="K365" s="871"/>
      <c r="L365" s="871"/>
      <c r="M365" s="871"/>
    </row>
    <row r="366" spans="7:13">
      <c r="G366" s="871"/>
      <c r="H366" s="871"/>
      <c r="I366" s="871"/>
      <c r="J366" s="871"/>
      <c r="K366" s="871"/>
      <c r="L366" s="871"/>
      <c r="M366" s="871"/>
    </row>
    <row r="367" spans="7:13">
      <c r="G367" s="871"/>
      <c r="H367" s="871"/>
      <c r="I367" s="871"/>
      <c r="J367" s="871"/>
      <c r="K367" s="871"/>
      <c r="L367" s="871"/>
      <c r="M367" s="871"/>
    </row>
    <row r="368" spans="7:13">
      <c r="G368" s="871"/>
      <c r="H368" s="871"/>
      <c r="I368" s="871"/>
      <c r="J368" s="871"/>
      <c r="K368" s="871"/>
      <c r="L368" s="871"/>
      <c r="M368" s="871"/>
    </row>
    <row r="369" spans="7:13">
      <c r="G369" s="871"/>
      <c r="H369" s="871"/>
      <c r="I369" s="871"/>
      <c r="J369" s="871"/>
      <c r="K369" s="871"/>
      <c r="L369" s="871"/>
      <c r="M369" s="871"/>
    </row>
    <row r="370" spans="7:13">
      <c r="G370" s="871"/>
      <c r="H370" s="871"/>
      <c r="I370" s="871"/>
      <c r="J370" s="871"/>
      <c r="K370" s="871"/>
      <c r="L370" s="871"/>
      <c r="M370" s="871"/>
    </row>
    <row r="371" spans="7:13">
      <c r="G371" s="871"/>
      <c r="H371" s="871"/>
      <c r="I371" s="871"/>
      <c r="J371" s="871"/>
      <c r="K371" s="871"/>
      <c r="L371" s="871"/>
      <c r="M371" s="871"/>
    </row>
    <row r="372" spans="7:13">
      <c r="G372" s="871"/>
      <c r="H372" s="871"/>
      <c r="I372" s="871"/>
      <c r="J372" s="871"/>
      <c r="K372" s="871"/>
      <c r="L372" s="871"/>
      <c r="M372" s="871"/>
    </row>
    <row r="373" spans="7:13">
      <c r="G373" s="871"/>
      <c r="H373" s="871"/>
      <c r="I373" s="871"/>
      <c r="J373" s="871"/>
      <c r="K373" s="871"/>
      <c r="L373" s="871"/>
      <c r="M373" s="871"/>
    </row>
    <row r="374" spans="7:13">
      <c r="G374" s="871"/>
      <c r="H374" s="871"/>
      <c r="I374" s="871"/>
      <c r="J374" s="871"/>
      <c r="K374" s="871"/>
      <c r="L374" s="871"/>
      <c r="M374" s="871"/>
    </row>
    <row r="375" spans="7:13">
      <c r="G375" s="871"/>
      <c r="H375" s="871"/>
      <c r="I375" s="871"/>
      <c r="J375" s="871"/>
      <c r="K375" s="871"/>
      <c r="L375" s="871"/>
      <c r="M375" s="871"/>
    </row>
    <row r="376" spans="7:13">
      <c r="G376" s="871"/>
      <c r="H376" s="871"/>
      <c r="I376" s="871"/>
      <c r="J376" s="871"/>
      <c r="K376" s="871"/>
      <c r="L376" s="871"/>
      <c r="M376" s="871"/>
    </row>
    <row r="377" spans="7:13">
      <c r="G377" s="871"/>
      <c r="H377" s="871"/>
      <c r="I377" s="871"/>
      <c r="J377" s="871"/>
      <c r="K377" s="871"/>
      <c r="L377" s="871"/>
      <c r="M377" s="871"/>
    </row>
    <row r="378" spans="7:13">
      <c r="G378" s="871"/>
      <c r="H378" s="871"/>
      <c r="I378" s="871"/>
      <c r="J378" s="871"/>
      <c r="K378" s="871"/>
      <c r="L378" s="871"/>
      <c r="M378" s="871"/>
    </row>
    <row r="379" spans="7:13">
      <c r="G379" s="871"/>
      <c r="H379" s="871"/>
      <c r="I379" s="871"/>
      <c r="J379" s="871"/>
      <c r="K379" s="871"/>
      <c r="L379" s="871"/>
      <c r="M379" s="871"/>
    </row>
    <row r="380" spans="7:13">
      <c r="G380" s="871"/>
      <c r="H380" s="871"/>
      <c r="I380" s="871"/>
      <c r="J380" s="871"/>
      <c r="K380" s="871"/>
      <c r="L380" s="871"/>
      <c r="M380" s="871"/>
    </row>
    <row r="381" spans="7:13">
      <c r="G381" s="871"/>
      <c r="H381" s="871"/>
      <c r="I381" s="871"/>
      <c r="J381" s="871"/>
      <c r="K381" s="871"/>
      <c r="L381" s="871"/>
      <c r="M381" s="871"/>
    </row>
    <row r="382" spans="7:13">
      <c r="G382" s="871"/>
      <c r="H382" s="871"/>
      <c r="I382" s="871"/>
      <c r="J382" s="871"/>
      <c r="K382" s="871"/>
      <c r="L382" s="871"/>
      <c r="M382" s="871"/>
    </row>
    <row r="383" spans="7:13">
      <c r="G383" s="871"/>
      <c r="H383" s="871"/>
      <c r="I383" s="871"/>
      <c r="J383" s="871"/>
      <c r="K383" s="871"/>
      <c r="L383" s="871"/>
      <c r="M383" s="871"/>
    </row>
    <row r="384" spans="7:13">
      <c r="G384" s="871"/>
      <c r="H384" s="871"/>
      <c r="I384" s="871"/>
      <c r="J384" s="871"/>
      <c r="K384" s="871"/>
      <c r="L384" s="871"/>
      <c r="M384" s="871"/>
    </row>
    <row r="385" spans="7:13">
      <c r="G385" s="871"/>
      <c r="H385" s="871"/>
      <c r="I385" s="871"/>
      <c r="J385" s="871"/>
      <c r="K385" s="871"/>
      <c r="L385" s="871"/>
      <c r="M385" s="871"/>
    </row>
    <row r="386" spans="7:13">
      <c r="G386" s="871"/>
      <c r="H386" s="871"/>
      <c r="I386" s="871"/>
      <c r="J386" s="871"/>
      <c r="K386" s="871"/>
      <c r="L386" s="871"/>
      <c r="M386" s="871"/>
    </row>
    <row r="387" spans="7:13">
      <c r="G387" s="871"/>
      <c r="H387" s="871"/>
      <c r="I387" s="871"/>
      <c r="J387" s="871"/>
      <c r="K387" s="871"/>
      <c r="L387" s="871"/>
      <c r="M387" s="871"/>
    </row>
    <row r="388" spans="7:13">
      <c r="G388" s="871"/>
      <c r="H388" s="871"/>
      <c r="I388" s="871"/>
      <c r="J388" s="871"/>
      <c r="K388" s="871"/>
      <c r="L388" s="871"/>
      <c r="M388" s="871"/>
    </row>
    <row r="389" spans="7:13">
      <c r="G389" s="871"/>
      <c r="H389" s="871"/>
      <c r="I389" s="871"/>
      <c r="J389" s="871"/>
      <c r="K389" s="871"/>
      <c r="L389" s="871"/>
      <c r="M389" s="871"/>
    </row>
    <row r="390" spans="7:13">
      <c r="G390" s="871"/>
      <c r="H390" s="871"/>
      <c r="I390" s="871"/>
      <c r="J390" s="871"/>
      <c r="K390" s="871"/>
      <c r="L390" s="871"/>
      <c r="M390" s="871"/>
    </row>
    <row r="391" spans="7:13">
      <c r="G391" s="871"/>
      <c r="H391" s="871"/>
      <c r="I391" s="871"/>
      <c r="J391" s="871"/>
      <c r="K391" s="871"/>
      <c r="L391" s="871"/>
      <c r="M391" s="871"/>
    </row>
    <row r="392" spans="7:13">
      <c r="G392" s="871"/>
      <c r="H392" s="871"/>
      <c r="I392" s="871"/>
      <c r="J392" s="871"/>
      <c r="K392" s="871"/>
      <c r="L392" s="871"/>
      <c r="M392" s="871"/>
    </row>
    <row r="393" spans="7:13">
      <c r="G393" s="871"/>
      <c r="H393" s="871"/>
      <c r="I393" s="871"/>
      <c r="J393" s="871"/>
      <c r="K393" s="871"/>
      <c r="L393" s="871"/>
      <c r="M393" s="871"/>
    </row>
    <row r="394" spans="7:13">
      <c r="G394" s="871"/>
      <c r="H394" s="871"/>
      <c r="I394" s="871"/>
      <c r="J394" s="871"/>
      <c r="K394" s="871"/>
      <c r="L394" s="871"/>
      <c r="M394" s="871"/>
    </row>
    <row r="395" spans="7:13">
      <c r="G395" s="871"/>
      <c r="H395" s="871"/>
      <c r="I395" s="871"/>
      <c r="J395" s="871"/>
      <c r="K395" s="871"/>
      <c r="L395" s="871"/>
      <c r="M395" s="871"/>
    </row>
    <row r="396" spans="7:13">
      <c r="G396" s="871"/>
      <c r="H396" s="871"/>
      <c r="I396" s="871"/>
      <c r="J396" s="871"/>
      <c r="K396" s="871"/>
      <c r="L396" s="871"/>
      <c r="M396" s="871"/>
    </row>
    <row r="397" spans="7:13">
      <c r="G397" s="871"/>
      <c r="H397" s="871"/>
      <c r="I397" s="871"/>
      <c r="J397" s="871"/>
      <c r="K397" s="871"/>
      <c r="L397" s="871"/>
      <c r="M397" s="871"/>
    </row>
    <row r="398" spans="7:13">
      <c r="G398" s="871"/>
      <c r="H398" s="871"/>
      <c r="I398" s="871"/>
      <c r="J398" s="871"/>
      <c r="K398" s="871"/>
      <c r="L398" s="871"/>
      <c r="M398" s="871"/>
    </row>
    <row r="399" spans="7:13">
      <c r="G399" s="871"/>
      <c r="H399" s="871"/>
      <c r="I399" s="871"/>
      <c r="J399" s="871"/>
      <c r="K399" s="871"/>
      <c r="L399" s="871"/>
      <c r="M399" s="871"/>
    </row>
    <row r="400" spans="7:13">
      <c r="G400" s="871"/>
      <c r="H400" s="871"/>
      <c r="I400" s="871"/>
      <c r="J400" s="871"/>
      <c r="K400" s="871"/>
      <c r="L400" s="871"/>
      <c r="M400" s="871"/>
    </row>
    <row r="401" spans="7:13">
      <c r="G401" s="871"/>
      <c r="H401" s="871"/>
      <c r="I401" s="871"/>
      <c r="J401" s="871"/>
      <c r="K401" s="871"/>
      <c r="L401" s="871"/>
      <c r="M401" s="871"/>
    </row>
    <row r="402" spans="7:13">
      <c r="G402" s="871"/>
      <c r="H402" s="871"/>
      <c r="I402" s="871"/>
      <c r="J402" s="871"/>
      <c r="K402" s="871"/>
      <c r="L402" s="871"/>
      <c r="M402" s="871"/>
    </row>
    <row r="403" spans="7:13">
      <c r="G403" s="871"/>
      <c r="H403" s="871"/>
      <c r="I403" s="871"/>
      <c r="J403" s="871"/>
      <c r="K403" s="871"/>
      <c r="L403" s="871"/>
      <c r="M403" s="871"/>
    </row>
    <row r="404" spans="7:13">
      <c r="G404" s="871"/>
      <c r="H404" s="871"/>
      <c r="I404" s="871"/>
      <c r="J404" s="871"/>
      <c r="K404" s="871"/>
      <c r="L404" s="871"/>
      <c r="M404" s="871"/>
    </row>
    <row r="405" spans="7:13">
      <c r="G405" s="871"/>
      <c r="H405" s="871"/>
      <c r="I405" s="871"/>
      <c r="J405" s="871"/>
      <c r="K405" s="871"/>
      <c r="L405" s="871"/>
      <c r="M405" s="871"/>
    </row>
    <row r="406" spans="7:13">
      <c r="G406" s="871"/>
      <c r="H406" s="871"/>
      <c r="I406" s="871"/>
      <c r="J406" s="871"/>
      <c r="K406" s="871"/>
      <c r="L406" s="871"/>
      <c r="M406" s="871"/>
    </row>
    <row r="407" spans="7:13">
      <c r="G407" s="871"/>
      <c r="H407" s="871"/>
      <c r="I407" s="871"/>
      <c r="J407" s="871"/>
      <c r="K407" s="871"/>
      <c r="L407" s="871"/>
      <c r="M407" s="871"/>
    </row>
    <row r="408" spans="7:13">
      <c r="G408" s="871"/>
      <c r="H408" s="871"/>
      <c r="I408" s="871"/>
      <c r="J408" s="871"/>
      <c r="K408" s="871"/>
      <c r="L408" s="871"/>
      <c r="M408" s="871"/>
    </row>
    <row r="409" spans="7:13">
      <c r="G409" s="871"/>
      <c r="H409" s="871"/>
      <c r="I409" s="871"/>
      <c r="J409" s="871"/>
      <c r="K409" s="871"/>
      <c r="L409" s="871"/>
      <c r="M409" s="871"/>
    </row>
    <row r="410" spans="7:13">
      <c r="G410" s="871"/>
      <c r="H410" s="871"/>
      <c r="I410" s="871"/>
      <c r="J410" s="871"/>
      <c r="K410" s="871"/>
      <c r="L410" s="871"/>
      <c r="M410" s="871"/>
    </row>
    <row r="411" spans="7:13">
      <c r="G411" s="871"/>
      <c r="H411" s="871"/>
      <c r="I411" s="871"/>
      <c r="J411" s="871"/>
      <c r="K411" s="871"/>
      <c r="L411" s="871"/>
      <c r="M411" s="871"/>
    </row>
    <row r="412" spans="7:13">
      <c r="G412" s="871"/>
      <c r="H412" s="871"/>
      <c r="I412" s="871"/>
      <c r="J412" s="871"/>
      <c r="K412" s="871"/>
      <c r="L412" s="871"/>
      <c r="M412" s="871"/>
    </row>
    <row r="413" spans="7:13">
      <c r="G413" s="871"/>
      <c r="H413" s="871"/>
      <c r="I413" s="871"/>
      <c r="J413" s="871"/>
      <c r="K413" s="871"/>
      <c r="L413" s="871"/>
      <c r="M413" s="871"/>
    </row>
    <row r="414" spans="7:13">
      <c r="G414" s="871"/>
      <c r="H414" s="871"/>
      <c r="I414" s="871"/>
      <c r="J414" s="871"/>
      <c r="K414" s="871"/>
      <c r="L414" s="871"/>
      <c r="M414" s="871"/>
    </row>
    <row r="415" spans="7:13">
      <c r="G415" s="871"/>
      <c r="H415" s="871"/>
      <c r="I415" s="871"/>
      <c r="J415" s="871"/>
      <c r="K415" s="871"/>
      <c r="L415" s="871"/>
      <c r="M415" s="871"/>
    </row>
    <row r="416" spans="7:13">
      <c r="G416" s="871"/>
      <c r="H416" s="871"/>
      <c r="I416" s="871"/>
      <c r="J416" s="871"/>
      <c r="K416" s="871"/>
      <c r="L416" s="871"/>
      <c r="M416" s="871"/>
    </row>
    <row r="417" spans="7:13">
      <c r="G417" s="871"/>
      <c r="H417" s="871"/>
      <c r="I417" s="871"/>
      <c r="J417" s="871"/>
      <c r="K417" s="871"/>
      <c r="L417" s="871"/>
      <c r="M417" s="871"/>
    </row>
    <row r="418" spans="7:13">
      <c r="G418" s="871"/>
      <c r="H418" s="871"/>
      <c r="I418" s="871"/>
      <c r="J418" s="871"/>
      <c r="K418" s="871"/>
      <c r="L418" s="871"/>
      <c r="M418" s="871"/>
    </row>
    <row r="419" spans="7:13">
      <c r="G419" s="871"/>
      <c r="H419" s="871"/>
      <c r="I419" s="871"/>
      <c r="J419" s="871"/>
      <c r="K419" s="871"/>
      <c r="L419" s="871"/>
      <c r="M419" s="871"/>
    </row>
    <row r="420" spans="7:13">
      <c r="G420" s="871"/>
      <c r="H420" s="871"/>
      <c r="I420" s="871"/>
      <c r="J420" s="871"/>
      <c r="K420" s="871"/>
      <c r="L420" s="871"/>
      <c r="M420" s="871"/>
    </row>
    <row r="421" spans="7:13">
      <c r="G421" s="871"/>
      <c r="H421" s="871"/>
      <c r="I421" s="871"/>
      <c r="J421" s="871"/>
      <c r="K421" s="871"/>
      <c r="L421" s="871"/>
      <c r="M421" s="871"/>
    </row>
    <row r="422" spans="7:13">
      <c r="G422" s="871"/>
      <c r="H422" s="871"/>
      <c r="I422" s="871"/>
      <c r="J422" s="871"/>
      <c r="K422" s="871"/>
      <c r="L422" s="871"/>
      <c r="M422" s="871"/>
    </row>
    <row r="423" spans="7:13">
      <c r="G423" s="871"/>
      <c r="H423" s="871"/>
      <c r="I423" s="871"/>
      <c r="J423" s="871"/>
      <c r="K423" s="871"/>
      <c r="L423" s="871"/>
      <c r="M423" s="871"/>
    </row>
    <row r="424" spans="7:13">
      <c r="G424" s="871"/>
      <c r="H424" s="871"/>
      <c r="I424" s="871"/>
      <c r="J424" s="871"/>
      <c r="K424" s="871"/>
      <c r="L424" s="871"/>
      <c r="M424" s="871"/>
    </row>
    <row r="425" spans="7:13">
      <c r="G425" s="871"/>
      <c r="H425" s="871"/>
      <c r="I425" s="871"/>
      <c r="J425" s="871"/>
      <c r="K425" s="871"/>
      <c r="L425" s="871"/>
      <c r="M425" s="871"/>
    </row>
    <row r="426" spans="7:13">
      <c r="G426" s="871"/>
      <c r="H426" s="871"/>
      <c r="I426" s="871"/>
      <c r="J426" s="871"/>
      <c r="K426" s="871"/>
      <c r="L426" s="871"/>
      <c r="M426" s="871"/>
    </row>
    <row r="427" spans="7:13">
      <c r="G427" s="871"/>
      <c r="H427" s="871"/>
      <c r="I427" s="871"/>
      <c r="J427" s="871"/>
      <c r="K427" s="871"/>
      <c r="L427" s="871"/>
      <c r="M427" s="871"/>
    </row>
    <row r="428" spans="7:13">
      <c r="G428" s="871"/>
      <c r="H428" s="871"/>
      <c r="I428" s="871"/>
      <c r="J428" s="871"/>
      <c r="K428" s="871"/>
      <c r="L428" s="871"/>
      <c r="M428" s="871"/>
    </row>
    <row r="429" spans="7:13">
      <c r="G429" s="871"/>
      <c r="H429" s="871"/>
      <c r="I429" s="871"/>
      <c r="J429" s="871"/>
      <c r="K429" s="871"/>
      <c r="L429" s="871"/>
      <c r="M429" s="871"/>
    </row>
    <row r="430" spans="7:13">
      <c r="G430" s="871"/>
      <c r="H430" s="871"/>
      <c r="I430" s="871"/>
      <c r="J430" s="871"/>
      <c r="K430" s="871"/>
      <c r="L430" s="871"/>
      <c r="M430" s="871"/>
    </row>
    <row r="431" spans="7:13">
      <c r="G431" s="871"/>
      <c r="H431" s="871"/>
      <c r="I431" s="871"/>
      <c r="J431" s="871"/>
      <c r="K431" s="871"/>
      <c r="L431" s="871"/>
      <c r="M431" s="871"/>
    </row>
    <row r="432" spans="7:13">
      <c r="G432" s="871"/>
      <c r="H432" s="871"/>
      <c r="I432" s="871"/>
      <c r="J432" s="871"/>
      <c r="K432" s="871"/>
      <c r="L432" s="871"/>
      <c r="M432" s="871"/>
    </row>
    <row r="433" spans="7:13">
      <c r="G433" s="871"/>
      <c r="H433" s="871"/>
      <c r="I433" s="871"/>
      <c r="J433" s="871"/>
      <c r="K433" s="871"/>
      <c r="L433" s="871"/>
      <c r="M433" s="871"/>
    </row>
    <row r="434" spans="7:13">
      <c r="G434" s="871"/>
      <c r="H434" s="871"/>
      <c r="I434" s="871"/>
      <c r="J434" s="871"/>
      <c r="K434" s="871"/>
      <c r="L434" s="871"/>
      <c r="M434" s="871"/>
    </row>
    <row r="435" spans="7:13">
      <c r="G435" s="871"/>
      <c r="H435" s="871"/>
      <c r="I435" s="871"/>
      <c r="J435" s="871"/>
      <c r="K435" s="871"/>
      <c r="L435" s="871"/>
      <c r="M435" s="871"/>
    </row>
    <row r="436" spans="7:13">
      <c r="G436" s="871"/>
      <c r="H436" s="871"/>
      <c r="I436" s="871"/>
      <c r="J436" s="871"/>
      <c r="K436" s="871"/>
      <c r="L436" s="871"/>
      <c r="M436" s="871"/>
    </row>
    <row r="437" spans="7:13">
      <c r="G437" s="871"/>
      <c r="H437" s="871"/>
      <c r="I437" s="871"/>
      <c r="J437" s="871"/>
      <c r="K437" s="871"/>
      <c r="L437" s="871"/>
      <c r="M437" s="871"/>
    </row>
    <row r="438" spans="7:13">
      <c r="G438" s="871"/>
      <c r="H438" s="871"/>
      <c r="I438" s="871"/>
      <c r="J438" s="871"/>
      <c r="K438" s="871"/>
      <c r="L438" s="871"/>
      <c r="M438" s="871"/>
    </row>
    <row r="439" spans="7:13">
      <c r="G439" s="871"/>
      <c r="H439" s="871"/>
      <c r="I439" s="871"/>
      <c r="J439" s="871"/>
      <c r="K439" s="871"/>
      <c r="L439" s="871"/>
      <c r="M439" s="871"/>
    </row>
    <row r="440" spans="7:13">
      <c r="G440" s="871"/>
      <c r="H440" s="871"/>
      <c r="I440" s="871"/>
      <c r="J440" s="871"/>
      <c r="K440" s="871"/>
      <c r="L440" s="871"/>
      <c r="M440" s="871"/>
    </row>
    <row r="441" spans="7:13">
      <c r="G441" s="871"/>
      <c r="H441" s="871"/>
      <c r="I441" s="871"/>
      <c r="J441" s="871"/>
      <c r="K441" s="871"/>
      <c r="L441" s="871"/>
      <c r="M441" s="871"/>
    </row>
    <row r="442" spans="7:13">
      <c r="G442" s="871"/>
      <c r="H442" s="871"/>
      <c r="I442" s="871"/>
      <c r="J442" s="871"/>
      <c r="K442" s="871"/>
      <c r="L442" s="871"/>
      <c r="M442" s="871"/>
    </row>
    <row r="443" spans="7:13">
      <c r="G443" s="871"/>
      <c r="H443" s="871"/>
      <c r="I443" s="871"/>
      <c r="J443" s="871"/>
      <c r="K443" s="871"/>
      <c r="L443" s="871"/>
      <c r="M443" s="871"/>
    </row>
    <row r="444" spans="7:13">
      <c r="G444" s="871"/>
      <c r="H444" s="871"/>
      <c r="I444" s="871"/>
      <c r="J444" s="871"/>
      <c r="K444" s="871"/>
      <c r="L444" s="871"/>
      <c r="M444" s="871"/>
    </row>
    <row r="445" spans="7:13">
      <c r="G445" s="871"/>
      <c r="H445" s="871"/>
      <c r="I445" s="871"/>
      <c r="J445" s="871"/>
      <c r="K445" s="871"/>
      <c r="L445" s="871"/>
      <c r="M445" s="871"/>
    </row>
    <row r="446" spans="7:13">
      <c r="G446" s="871"/>
      <c r="H446" s="871"/>
      <c r="I446" s="871"/>
      <c r="J446" s="871"/>
      <c r="K446" s="871"/>
      <c r="L446" s="871"/>
      <c r="M446" s="871"/>
    </row>
    <row r="447" spans="7:13">
      <c r="G447" s="871"/>
      <c r="H447" s="871"/>
      <c r="I447" s="871"/>
      <c r="J447" s="871"/>
      <c r="K447" s="871"/>
      <c r="L447" s="871"/>
      <c r="M447" s="871"/>
    </row>
    <row r="448" spans="7:13">
      <c r="G448" s="871"/>
      <c r="H448" s="871"/>
      <c r="I448" s="871"/>
      <c r="J448" s="871"/>
      <c r="K448" s="871"/>
      <c r="L448" s="871"/>
      <c r="M448" s="871"/>
    </row>
    <row r="449" spans="7:13">
      <c r="G449" s="871"/>
      <c r="H449" s="871"/>
      <c r="I449" s="871"/>
      <c r="J449" s="871"/>
      <c r="K449" s="871"/>
      <c r="L449" s="871"/>
      <c r="M449" s="871"/>
    </row>
    <row r="450" spans="7:13">
      <c r="G450" s="871"/>
      <c r="H450" s="871"/>
      <c r="I450" s="871"/>
      <c r="J450" s="871"/>
      <c r="K450" s="871"/>
      <c r="L450" s="871"/>
      <c r="M450" s="871"/>
    </row>
    <row r="451" spans="7:13">
      <c r="G451" s="871"/>
      <c r="H451" s="871"/>
      <c r="I451" s="871"/>
      <c r="J451" s="871"/>
      <c r="K451" s="871"/>
      <c r="L451" s="871"/>
      <c r="M451" s="871"/>
    </row>
    <row r="452" spans="7:13">
      <c r="G452" s="871"/>
      <c r="H452" s="871"/>
      <c r="I452" s="871"/>
      <c r="J452" s="871"/>
      <c r="K452" s="871"/>
      <c r="L452" s="871"/>
      <c r="M452" s="871"/>
    </row>
    <row r="453" spans="7:13">
      <c r="G453" s="871"/>
      <c r="H453" s="871"/>
      <c r="I453" s="871"/>
      <c r="J453" s="871"/>
      <c r="K453" s="871"/>
      <c r="L453" s="871"/>
      <c r="M453" s="871"/>
    </row>
    <row r="454" spans="7:13">
      <c r="G454" s="871"/>
      <c r="H454" s="871"/>
      <c r="I454" s="871"/>
      <c r="J454" s="871"/>
      <c r="K454" s="871"/>
      <c r="L454" s="871"/>
      <c r="M454" s="871"/>
    </row>
    <row r="455" spans="7:13">
      <c r="G455" s="871"/>
      <c r="H455" s="871"/>
      <c r="I455" s="871"/>
      <c r="J455" s="871"/>
      <c r="K455" s="871"/>
      <c r="L455" s="871"/>
      <c r="M455" s="871"/>
    </row>
    <row r="456" spans="7:13">
      <c r="G456" s="871"/>
      <c r="H456" s="871"/>
      <c r="I456" s="871"/>
      <c r="J456" s="871"/>
      <c r="K456" s="871"/>
      <c r="L456" s="871"/>
      <c r="M456" s="871"/>
    </row>
    <row r="457" spans="7:13">
      <c r="G457" s="871"/>
      <c r="H457" s="871"/>
      <c r="I457" s="871"/>
      <c r="J457" s="871"/>
      <c r="K457" s="871"/>
      <c r="L457" s="871"/>
      <c r="M457" s="871"/>
    </row>
    <row r="458" spans="7:13">
      <c r="G458" s="871"/>
      <c r="H458" s="871"/>
      <c r="I458" s="871"/>
      <c r="J458" s="871"/>
      <c r="K458" s="871"/>
      <c r="L458" s="871"/>
      <c r="M458" s="871"/>
    </row>
    <row r="459" spans="7:13">
      <c r="G459" s="871"/>
      <c r="H459" s="871"/>
      <c r="I459" s="871"/>
      <c r="J459" s="871"/>
      <c r="K459" s="871"/>
      <c r="L459" s="871"/>
      <c r="M459" s="871"/>
    </row>
    <row r="460" spans="7:13">
      <c r="G460" s="871"/>
      <c r="H460" s="871"/>
      <c r="I460" s="871"/>
      <c r="J460" s="871"/>
      <c r="K460" s="871"/>
      <c r="L460" s="871"/>
      <c r="M460" s="871"/>
    </row>
    <row r="461" spans="7:13">
      <c r="G461" s="871"/>
      <c r="H461" s="871"/>
      <c r="I461" s="871"/>
      <c r="J461" s="871"/>
      <c r="K461" s="871"/>
      <c r="L461" s="871"/>
      <c r="M461" s="871"/>
    </row>
    <row r="462" spans="7:13">
      <c r="G462" s="871"/>
      <c r="H462" s="871"/>
      <c r="I462" s="871"/>
      <c r="J462" s="871"/>
      <c r="K462" s="871"/>
      <c r="L462" s="871"/>
      <c r="M462" s="871"/>
    </row>
    <row r="463" spans="7:13">
      <c r="G463" s="871"/>
      <c r="H463" s="871"/>
      <c r="I463" s="871"/>
      <c r="J463" s="871"/>
      <c r="K463" s="871"/>
      <c r="L463" s="871"/>
      <c r="M463" s="871"/>
    </row>
    <row r="464" spans="7:13">
      <c r="G464" s="871"/>
      <c r="H464" s="871"/>
      <c r="I464" s="871"/>
      <c r="J464" s="871"/>
      <c r="K464" s="871"/>
      <c r="L464" s="871"/>
      <c r="M464" s="871"/>
    </row>
    <row r="465" spans="7:13">
      <c r="G465" s="871"/>
      <c r="H465" s="871"/>
      <c r="I465" s="871"/>
      <c r="J465" s="871"/>
      <c r="K465" s="871"/>
      <c r="L465" s="871"/>
      <c r="M465" s="871"/>
    </row>
    <row r="466" spans="7:13">
      <c r="G466" s="871"/>
      <c r="H466" s="871"/>
      <c r="I466" s="871"/>
      <c r="J466" s="871"/>
      <c r="K466" s="871"/>
      <c r="L466" s="871"/>
      <c r="M466" s="871"/>
    </row>
    <row r="467" spans="7:13">
      <c r="G467" s="871"/>
      <c r="H467" s="871"/>
      <c r="I467" s="871"/>
      <c r="J467" s="871"/>
      <c r="K467" s="871"/>
      <c r="L467" s="871"/>
      <c r="M467" s="871"/>
    </row>
    <row r="468" spans="7:13">
      <c r="G468" s="871"/>
      <c r="H468" s="871"/>
      <c r="I468" s="871"/>
      <c r="J468" s="871"/>
      <c r="K468" s="871"/>
      <c r="L468" s="871"/>
      <c r="M468" s="871"/>
    </row>
    <row r="469" spans="7:13">
      <c r="G469" s="871"/>
      <c r="H469" s="871"/>
      <c r="I469" s="871"/>
      <c r="J469" s="871"/>
      <c r="K469" s="871"/>
      <c r="L469" s="871"/>
      <c r="M469" s="871"/>
    </row>
    <row r="470" spans="7:13">
      <c r="G470" s="871"/>
      <c r="H470" s="871"/>
      <c r="I470" s="871"/>
      <c r="J470" s="871"/>
      <c r="K470" s="871"/>
      <c r="L470" s="871"/>
      <c r="M470" s="871"/>
    </row>
    <row r="471" spans="7:13">
      <c r="G471" s="871"/>
      <c r="H471" s="871"/>
      <c r="I471" s="871"/>
      <c r="J471" s="871"/>
      <c r="K471" s="871"/>
      <c r="L471" s="871"/>
      <c r="M471" s="871"/>
    </row>
    <row r="472" spans="7:13">
      <c r="G472" s="871"/>
      <c r="H472" s="871"/>
      <c r="I472" s="871"/>
      <c r="J472" s="871"/>
      <c r="K472" s="871"/>
      <c r="L472" s="871"/>
      <c r="M472" s="871"/>
    </row>
    <row r="473" spans="7:13">
      <c r="G473" s="871"/>
      <c r="H473" s="871"/>
      <c r="I473" s="871"/>
      <c r="J473" s="871"/>
      <c r="K473" s="871"/>
      <c r="L473" s="871"/>
      <c r="M473" s="871"/>
    </row>
    <row r="474" spans="7:13">
      <c r="G474" s="871"/>
      <c r="H474" s="871"/>
      <c r="I474" s="871"/>
      <c r="J474" s="871"/>
      <c r="K474" s="871"/>
      <c r="L474" s="871"/>
      <c r="M474" s="871"/>
    </row>
    <row r="475" spans="7:13">
      <c r="G475" s="871"/>
      <c r="H475" s="871"/>
      <c r="I475" s="871"/>
      <c r="J475" s="871"/>
      <c r="K475" s="871"/>
      <c r="L475" s="871"/>
      <c r="M475" s="871"/>
    </row>
    <row r="476" spans="7:13">
      <c r="G476" s="871"/>
      <c r="H476" s="871"/>
      <c r="I476" s="871"/>
      <c r="J476" s="871"/>
      <c r="K476" s="871"/>
      <c r="L476" s="871"/>
      <c r="M476" s="871"/>
    </row>
    <row r="477" spans="7:13">
      <c r="G477" s="871"/>
      <c r="H477" s="871"/>
      <c r="I477" s="871"/>
      <c r="J477" s="871"/>
      <c r="K477" s="871"/>
      <c r="L477" s="871"/>
      <c r="M477" s="871"/>
    </row>
    <row r="478" spans="7:13">
      <c r="G478" s="871"/>
      <c r="H478" s="871"/>
      <c r="I478" s="871"/>
      <c r="J478" s="871"/>
      <c r="K478" s="871"/>
      <c r="L478" s="871"/>
      <c r="M478" s="871"/>
    </row>
    <row r="479" spans="7:13">
      <c r="G479" s="871"/>
      <c r="H479" s="871"/>
      <c r="I479" s="871"/>
      <c r="J479" s="871"/>
      <c r="K479" s="871"/>
      <c r="L479" s="871"/>
      <c r="M479" s="871"/>
    </row>
    <row r="480" spans="7:13">
      <c r="G480" s="871"/>
      <c r="H480" s="871"/>
      <c r="I480" s="871"/>
      <c r="J480" s="871"/>
      <c r="K480" s="871"/>
      <c r="L480" s="871"/>
      <c r="M480" s="871"/>
    </row>
    <row r="481" spans="7:13">
      <c r="G481" s="871"/>
      <c r="H481" s="871"/>
      <c r="I481" s="871"/>
      <c r="J481" s="871"/>
      <c r="K481" s="871"/>
      <c r="L481" s="871"/>
      <c r="M481" s="871"/>
    </row>
    <row r="482" spans="7:13">
      <c r="G482" s="871"/>
      <c r="H482" s="871"/>
      <c r="I482" s="871"/>
      <c r="J482" s="871"/>
      <c r="K482" s="871"/>
      <c r="L482" s="871"/>
      <c r="M482" s="871"/>
    </row>
    <row r="483" spans="7:13">
      <c r="G483" s="871"/>
      <c r="H483" s="871"/>
      <c r="I483" s="871"/>
      <c r="J483" s="871"/>
      <c r="K483" s="871"/>
      <c r="L483" s="871"/>
      <c r="M483" s="871"/>
    </row>
    <row r="484" spans="7:13">
      <c r="G484" s="871"/>
      <c r="H484" s="871"/>
      <c r="I484" s="871"/>
      <c r="J484" s="871"/>
      <c r="K484" s="871"/>
      <c r="L484" s="871"/>
      <c r="M484" s="871"/>
    </row>
    <row r="485" spans="7:13">
      <c r="G485" s="871"/>
      <c r="H485" s="871"/>
      <c r="I485" s="871"/>
      <c r="J485" s="871"/>
      <c r="K485" s="871"/>
      <c r="L485" s="871"/>
      <c r="M485" s="871"/>
    </row>
    <row r="486" spans="7:13">
      <c r="G486" s="871"/>
      <c r="H486" s="871"/>
      <c r="I486" s="871"/>
      <c r="J486" s="871"/>
      <c r="K486" s="871"/>
      <c r="L486" s="871"/>
      <c r="M486" s="871"/>
    </row>
    <row r="487" spans="7:13">
      <c r="G487" s="871"/>
      <c r="H487" s="871"/>
      <c r="I487" s="871"/>
      <c r="J487" s="871"/>
      <c r="K487" s="871"/>
      <c r="L487" s="871"/>
      <c r="M487" s="871"/>
    </row>
    <row r="488" spans="7:13">
      <c r="G488" s="871"/>
      <c r="H488" s="871"/>
      <c r="I488" s="871"/>
      <c r="J488" s="871"/>
      <c r="K488" s="871"/>
      <c r="L488" s="871"/>
      <c r="M488" s="871"/>
    </row>
    <row r="489" spans="7:13">
      <c r="G489" s="871"/>
      <c r="H489" s="871"/>
      <c r="I489" s="871"/>
      <c r="J489" s="871"/>
      <c r="K489" s="871"/>
      <c r="L489" s="871"/>
      <c r="M489" s="871"/>
    </row>
    <row r="490" spans="7:13">
      <c r="G490" s="871"/>
      <c r="H490" s="871"/>
      <c r="I490" s="871"/>
      <c r="J490" s="871"/>
      <c r="K490" s="871"/>
      <c r="L490" s="871"/>
      <c r="M490" s="871"/>
    </row>
    <row r="491" spans="7:13">
      <c r="G491" s="871"/>
      <c r="H491" s="871"/>
      <c r="I491" s="871"/>
      <c r="J491" s="871"/>
      <c r="K491" s="871"/>
      <c r="L491" s="871"/>
      <c r="M491" s="871"/>
    </row>
    <row r="492" spans="7:13">
      <c r="G492" s="871"/>
      <c r="H492" s="871"/>
      <c r="I492" s="871"/>
      <c r="J492" s="871"/>
      <c r="K492" s="871"/>
      <c r="L492" s="871"/>
      <c r="M492" s="871"/>
    </row>
    <row r="493" spans="7:13">
      <c r="G493" s="871"/>
      <c r="H493" s="871"/>
      <c r="I493" s="871"/>
      <c r="J493" s="871"/>
      <c r="K493" s="871"/>
      <c r="L493" s="871"/>
      <c r="M493" s="871"/>
    </row>
    <row r="494" spans="7:13">
      <c r="G494" s="871"/>
      <c r="H494" s="871"/>
      <c r="I494" s="871"/>
      <c r="J494" s="871"/>
      <c r="K494" s="871"/>
      <c r="L494" s="871"/>
      <c r="M494" s="871"/>
    </row>
    <row r="495" spans="7:13">
      <c r="G495" s="871"/>
      <c r="H495" s="871"/>
      <c r="I495" s="871"/>
      <c r="J495" s="871"/>
      <c r="K495" s="871"/>
      <c r="L495" s="871"/>
      <c r="M495" s="871"/>
    </row>
    <row r="496" spans="7:13">
      <c r="G496" s="871"/>
      <c r="H496" s="871"/>
      <c r="I496" s="871"/>
      <c r="J496" s="871"/>
      <c r="K496" s="871"/>
      <c r="L496" s="871"/>
      <c r="M496" s="871"/>
    </row>
    <row r="497" spans="7:13">
      <c r="G497" s="871"/>
      <c r="H497" s="871"/>
      <c r="I497" s="871"/>
      <c r="J497" s="871"/>
      <c r="K497" s="871"/>
      <c r="L497" s="871"/>
      <c r="M497" s="871"/>
    </row>
    <row r="498" spans="7:13">
      <c r="G498" s="871"/>
      <c r="H498" s="871"/>
      <c r="I498" s="871"/>
      <c r="J498" s="871"/>
      <c r="K498" s="871"/>
      <c r="L498" s="871"/>
      <c r="M498" s="871"/>
    </row>
    <row r="499" spans="7:13">
      <c r="G499" s="871"/>
      <c r="H499" s="871"/>
      <c r="I499" s="871"/>
      <c r="J499" s="871"/>
      <c r="K499" s="871"/>
      <c r="L499" s="871"/>
      <c r="M499" s="871"/>
    </row>
    <row r="500" spans="7:13">
      <c r="G500" s="871"/>
      <c r="H500" s="871"/>
      <c r="I500" s="871"/>
      <c r="J500" s="871"/>
      <c r="K500" s="871"/>
      <c r="L500" s="871"/>
      <c r="M500" s="871"/>
    </row>
    <row r="501" spans="7:13">
      <c r="G501" s="871"/>
      <c r="H501" s="871"/>
      <c r="I501" s="871"/>
      <c r="J501" s="871"/>
      <c r="K501" s="871"/>
      <c r="L501" s="871"/>
      <c r="M501" s="871"/>
    </row>
    <row r="502" spans="7:13">
      <c r="G502" s="871"/>
      <c r="H502" s="871"/>
      <c r="I502" s="871"/>
      <c r="J502" s="871"/>
      <c r="K502" s="871"/>
      <c r="L502" s="871"/>
      <c r="M502" s="871"/>
    </row>
    <row r="503" spans="7:13">
      <c r="G503" s="871"/>
      <c r="H503" s="871"/>
      <c r="I503" s="871"/>
      <c r="J503" s="871"/>
      <c r="K503" s="871"/>
      <c r="L503" s="871"/>
      <c r="M503" s="871"/>
    </row>
    <row r="504" spans="7:13">
      <c r="G504" s="871"/>
      <c r="H504" s="871"/>
      <c r="I504" s="871"/>
      <c r="J504" s="871"/>
      <c r="K504" s="871"/>
      <c r="L504" s="871"/>
      <c r="M504" s="871"/>
    </row>
    <row r="505" spans="7:13">
      <c r="G505" s="871"/>
      <c r="H505" s="871"/>
      <c r="I505" s="871"/>
      <c r="J505" s="871"/>
      <c r="K505" s="871"/>
      <c r="L505" s="871"/>
      <c r="M505" s="871"/>
    </row>
    <row r="506" spans="7:13">
      <c r="G506" s="871"/>
      <c r="H506" s="871"/>
      <c r="I506" s="871"/>
      <c r="J506" s="871"/>
      <c r="K506" s="871"/>
      <c r="L506" s="871"/>
      <c r="M506" s="871"/>
    </row>
    <row r="507" spans="7:13">
      <c r="G507" s="871"/>
      <c r="H507" s="871"/>
      <c r="I507" s="871"/>
      <c r="J507" s="871"/>
      <c r="K507" s="871"/>
      <c r="L507" s="871"/>
      <c r="M507" s="871"/>
    </row>
    <row r="508" spans="7:13">
      <c r="G508" s="871"/>
      <c r="H508" s="871"/>
      <c r="I508" s="871"/>
      <c r="J508" s="871"/>
      <c r="K508" s="871"/>
      <c r="L508" s="871"/>
      <c r="M508" s="871"/>
    </row>
    <row r="509" spans="7:13">
      <c r="G509" s="871"/>
      <c r="H509" s="871"/>
      <c r="I509" s="871"/>
      <c r="J509" s="871"/>
      <c r="K509" s="871"/>
      <c r="L509" s="871"/>
      <c r="M509" s="871"/>
    </row>
    <row r="510" spans="7:13">
      <c r="G510" s="871"/>
      <c r="H510" s="871"/>
      <c r="I510" s="871"/>
      <c r="J510" s="871"/>
      <c r="K510" s="871"/>
      <c r="L510" s="871"/>
      <c r="M510" s="871"/>
    </row>
    <row r="511" spans="7:13">
      <c r="G511" s="871"/>
      <c r="H511" s="871"/>
      <c r="I511" s="871"/>
      <c r="J511" s="871"/>
      <c r="K511" s="871"/>
      <c r="L511" s="871"/>
      <c r="M511" s="871"/>
    </row>
    <row r="512" spans="7:13">
      <c r="G512" s="871"/>
      <c r="H512" s="871"/>
      <c r="I512" s="871"/>
      <c r="J512" s="871"/>
      <c r="K512" s="871"/>
      <c r="L512" s="871"/>
      <c r="M512" s="871"/>
    </row>
    <row r="513" spans="7:13">
      <c r="G513" s="871"/>
      <c r="H513" s="871"/>
      <c r="I513" s="871"/>
      <c r="J513" s="871"/>
      <c r="K513" s="871"/>
      <c r="L513" s="871"/>
      <c r="M513" s="871"/>
    </row>
    <row r="514" spans="7:13">
      <c r="G514" s="871"/>
      <c r="H514" s="871"/>
      <c r="I514" s="871"/>
      <c r="J514" s="871"/>
      <c r="K514" s="871"/>
      <c r="L514" s="871"/>
      <c r="M514" s="871"/>
    </row>
    <row r="515" spans="7:13">
      <c r="G515" s="871"/>
      <c r="H515" s="871"/>
      <c r="I515" s="871"/>
      <c r="J515" s="871"/>
      <c r="K515" s="871"/>
      <c r="L515" s="871"/>
      <c r="M515" s="871"/>
    </row>
    <row r="516" spans="7:13">
      <c r="G516" s="871"/>
      <c r="H516" s="871"/>
      <c r="I516" s="871"/>
      <c r="J516" s="871"/>
      <c r="K516" s="871"/>
      <c r="L516" s="871"/>
      <c r="M516" s="871"/>
    </row>
    <row r="517" spans="7:13">
      <c r="G517" s="871"/>
      <c r="H517" s="871"/>
      <c r="I517" s="871"/>
      <c r="J517" s="871"/>
      <c r="K517" s="871"/>
      <c r="L517" s="871"/>
      <c r="M517" s="871"/>
    </row>
    <row r="518" spans="7:13">
      <c r="G518" s="871"/>
      <c r="H518" s="871"/>
      <c r="I518" s="871"/>
      <c r="J518" s="871"/>
      <c r="K518" s="871"/>
      <c r="L518" s="871"/>
      <c r="M518" s="871"/>
    </row>
    <row r="519" spans="7:13">
      <c r="G519" s="871"/>
      <c r="H519" s="871"/>
      <c r="I519" s="871"/>
      <c r="J519" s="871"/>
      <c r="K519" s="871"/>
      <c r="L519" s="871"/>
      <c r="M519" s="871"/>
    </row>
    <row r="520" spans="7:13">
      <c r="G520" s="871"/>
      <c r="H520" s="871"/>
      <c r="I520" s="871"/>
      <c r="J520" s="871"/>
      <c r="K520" s="871"/>
      <c r="L520" s="871"/>
      <c r="M520" s="871"/>
    </row>
    <row r="521" spans="7:13">
      <c r="G521" s="871"/>
      <c r="H521" s="871"/>
      <c r="I521" s="871"/>
      <c r="J521" s="871"/>
      <c r="K521" s="871"/>
      <c r="L521" s="871"/>
      <c r="M521" s="871"/>
    </row>
    <row r="522" spans="7:13">
      <c r="G522" s="871"/>
      <c r="H522" s="871"/>
      <c r="I522" s="871"/>
      <c r="J522" s="871"/>
      <c r="K522" s="871"/>
      <c r="L522" s="871"/>
      <c r="M522" s="871"/>
    </row>
    <row r="523" spans="7:13">
      <c r="G523" s="871"/>
      <c r="H523" s="871"/>
      <c r="I523" s="871"/>
      <c r="J523" s="871"/>
      <c r="K523" s="871"/>
      <c r="L523" s="871"/>
      <c r="M523" s="871"/>
    </row>
    <row r="524" spans="7:13">
      <c r="G524" s="871"/>
      <c r="H524" s="871"/>
      <c r="I524" s="871"/>
      <c r="J524" s="871"/>
      <c r="K524" s="871"/>
      <c r="L524" s="871"/>
      <c r="M524" s="871"/>
    </row>
    <row r="525" spans="7:13">
      <c r="G525" s="871"/>
      <c r="H525" s="871"/>
      <c r="I525" s="871"/>
      <c r="J525" s="871"/>
      <c r="K525" s="871"/>
      <c r="L525" s="871"/>
      <c r="M525" s="871"/>
    </row>
    <row r="526" spans="7:13">
      <c r="G526" s="871"/>
      <c r="H526" s="871"/>
      <c r="I526" s="871"/>
      <c r="J526" s="871"/>
      <c r="K526" s="871"/>
      <c r="L526" s="871"/>
      <c r="M526" s="871"/>
    </row>
    <row r="527" spans="7:13">
      <c r="G527" s="871"/>
      <c r="H527" s="871"/>
      <c r="I527" s="871"/>
      <c r="J527" s="871"/>
      <c r="K527" s="871"/>
      <c r="L527" s="871"/>
      <c r="M527" s="871"/>
    </row>
    <row r="528" spans="7:13">
      <c r="G528" s="871"/>
      <c r="H528" s="871"/>
      <c r="I528" s="871"/>
      <c r="J528" s="871"/>
      <c r="K528" s="871"/>
      <c r="L528" s="871"/>
      <c r="M528" s="871"/>
    </row>
    <row r="529" spans="7:13">
      <c r="G529" s="871"/>
      <c r="H529" s="871"/>
      <c r="I529" s="871"/>
      <c r="J529" s="871"/>
      <c r="K529" s="871"/>
      <c r="L529" s="871"/>
      <c r="M529" s="871"/>
    </row>
    <row r="530" spans="7:13">
      <c r="G530" s="871"/>
      <c r="H530" s="871"/>
      <c r="I530" s="871"/>
      <c r="J530" s="871"/>
      <c r="K530" s="871"/>
      <c r="L530" s="871"/>
      <c r="M530" s="871"/>
    </row>
    <row r="531" spans="7:13">
      <c r="G531" s="871"/>
      <c r="H531" s="871"/>
      <c r="I531" s="871"/>
      <c r="J531" s="871"/>
      <c r="K531" s="871"/>
      <c r="L531" s="871"/>
      <c r="M531" s="871"/>
    </row>
    <row r="532" spans="7:13">
      <c r="G532" s="871"/>
      <c r="H532" s="871"/>
      <c r="I532" s="871"/>
      <c r="J532" s="871"/>
      <c r="K532" s="871"/>
      <c r="L532" s="871"/>
      <c r="M532" s="871"/>
    </row>
    <row r="533" spans="7:13">
      <c r="G533" s="871"/>
      <c r="H533" s="871"/>
      <c r="I533" s="871"/>
      <c r="J533" s="871"/>
      <c r="K533" s="871"/>
      <c r="L533" s="871"/>
      <c r="M533" s="871"/>
    </row>
    <row r="534" spans="7:13">
      <c r="G534" s="871"/>
      <c r="H534" s="871"/>
      <c r="I534" s="871"/>
      <c r="J534" s="871"/>
      <c r="K534" s="871"/>
      <c r="L534" s="871"/>
      <c r="M534" s="871"/>
    </row>
    <row r="535" spans="7:13">
      <c r="G535" s="871"/>
      <c r="H535" s="871"/>
      <c r="I535" s="871"/>
      <c r="J535" s="871"/>
      <c r="K535" s="871"/>
      <c r="L535" s="871"/>
      <c r="M535" s="871"/>
    </row>
    <row r="536" spans="7:13">
      <c r="G536" s="871"/>
      <c r="H536" s="871"/>
      <c r="I536" s="871"/>
      <c r="J536" s="871"/>
      <c r="K536" s="871"/>
      <c r="L536" s="871"/>
      <c r="M536" s="871"/>
    </row>
    <row r="537" spans="7:13">
      <c r="G537" s="871"/>
      <c r="H537" s="871"/>
      <c r="I537" s="871"/>
      <c r="J537" s="871"/>
      <c r="K537" s="871"/>
      <c r="L537" s="871"/>
      <c r="M537" s="871"/>
    </row>
    <row r="538" spans="7:13">
      <c r="G538" s="871"/>
      <c r="H538" s="871"/>
      <c r="I538" s="871"/>
      <c r="J538" s="871"/>
      <c r="K538" s="871"/>
      <c r="L538" s="871"/>
      <c r="M538" s="871"/>
    </row>
    <row r="539" spans="7:13">
      <c r="G539" s="871"/>
      <c r="H539" s="871"/>
      <c r="I539" s="871"/>
      <c r="J539" s="871"/>
      <c r="K539" s="871"/>
      <c r="L539" s="871"/>
      <c r="M539" s="871"/>
    </row>
    <row r="540" spans="7:13">
      <c r="G540" s="871"/>
      <c r="H540" s="871"/>
      <c r="I540" s="871"/>
      <c r="J540" s="871"/>
      <c r="K540" s="871"/>
      <c r="L540" s="871"/>
      <c r="M540" s="871"/>
    </row>
    <row r="541" spans="7:13">
      <c r="G541" s="871"/>
      <c r="H541" s="871"/>
      <c r="I541" s="871"/>
      <c r="J541" s="871"/>
      <c r="K541" s="871"/>
      <c r="L541" s="871"/>
      <c r="M541" s="871"/>
    </row>
    <row r="542" spans="7:13">
      <c r="G542" s="871"/>
      <c r="H542" s="871"/>
      <c r="I542" s="871"/>
      <c r="J542" s="871"/>
      <c r="K542" s="871"/>
      <c r="L542" s="871"/>
      <c r="M542" s="871"/>
    </row>
    <row r="543" spans="7:13">
      <c r="G543" s="871"/>
      <c r="H543" s="871"/>
      <c r="I543" s="871"/>
      <c r="J543" s="871"/>
      <c r="K543" s="871"/>
      <c r="L543" s="871"/>
      <c r="M543" s="871"/>
    </row>
    <row r="544" spans="7:13">
      <c r="G544" s="871"/>
      <c r="H544" s="871"/>
      <c r="I544" s="871"/>
      <c r="J544" s="871"/>
      <c r="K544" s="871"/>
      <c r="L544" s="871"/>
      <c r="M544" s="871"/>
    </row>
    <row r="545" spans="7:13">
      <c r="G545" s="871"/>
      <c r="H545" s="871"/>
      <c r="I545" s="871"/>
      <c r="J545" s="871"/>
      <c r="K545" s="871"/>
      <c r="L545" s="871"/>
      <c r="M545" s="871"/>
    </row>
    <row r="546" spans="7:13">
      <c r="G546" s="871"/>
      <c r="H546" s="871"/>
      <c r="I546" s="871"/>
      <c r="J546" s="871"/>
      <c r="K546" s="871"/>
      <c r="L546" s="871"/>
      <c r="M546" s="871"/>
    </row>
    <row r="547" spans="7:13">
      <c r="G547" s="871"/>
      <c r="H547" s="871"/>
      <c r="I547" s="871"/>
      <c r="J547" s="871"/>
      <c r="K547" s="871"/>
      <c r="L547" s="871"/>
      <c r="M547" s="871"/>
    </row>
    <row r="548" spans="7:13">
      <c r="G548" s="871"/>
      <c r="H548" s="871"/>
      <c r="I548" s="871"/>
      <c r="J548" s="871"/>
      <c r="K548" s="871"/>
      <c r="L548" s="871"/>
      <c r="M548" s="871"/>
    </row>
    <row r="549" spans="7:13">
      <c r="G549" s="871"/>
      <c r="H549" s="871"/>
      <c r="I549" s="871"/>
      <c r="J549" s="871"/>
      <c r="K549" s="871"/>
      <c r="L549" s="871"/>
      <c r="M549" s="871"/>
    </row>
    <row r="550" spans="7:13">
      <c r="G550" s="871"/>
      <c r="H550" s="871"/>
      <c r="I550" s="871"/>
      <c r="J550" s="871"/>
      <c r="K550" s="871"/>
      <c r="L550" s="871"/>
      <c r="M550" s="871"/>
    </row>
    <row r="551" spans="7:13">
      <c r="G551" s="871"/>
      <c r="H551" s="871"/>
      <c r="I551" s="871"/>
      <c r="J551" s="871"/>
      <c r="K551" s="871"/>
      <c r="L551" s="871"/>
      <c r="M551" s="871"/>
    </row>
    <row r="552" spans="7:13">
      <c r="G552" s="871"/>
      <c r="H552" s="871"/>
      <c r="I552" s="871"/>
      <c r="J552" s="871"/>
      <c r="K552" s="871"/>
      <c r="L552" s="871"/>
      <c r="M552" s="871"/>
    </row>
    <row r="553" spans="7:13">
      <c r="G553" s="871"/>
      <c r="H553" s="871"/>
      <c r="I553" s="871"/>
      <c r="J553" s="871"/>
      <c r="K553" s="871"/>
      <c r="L553" s="871"/>
      <c r="M553" s="871"/>
    </row>
    <row r="554" spans="7:13">
      <c r="G554" s="871"/>
      <c r="H554" s="871"/>
      <c r="I554" s="871"/>
      <c r="J554" s="871"/>
      <c r="K554" s="871"/>
      <c r="L554" s="871"/>
      <c r="M554" s="871"/>
    </row>
    <row r="555" spans="7:13">
      <c r="G555" s="871"/>
      <c r="H555" s="871"/>
      <c r="I555" s="871"/>
      <c r="J555" s="871"/>
      <c r="K555" s="871"/>
      <c r="L555" s="871"/>
      <c r="M555" s="871"/>
    </row>
    <row r="556" spans="7:13">
      <c r="G556" s="871"/>
      <c r="H556" s="871"/>
      <c r="I556" s="871"/>
      <c r="J556" s="871"/>
      <c r="K556" s="871"/>
      <c r="L556" s="871"/>
      <c r="M556" s="871"/>
    </row>
    <row r="557" spans="7:13">
      <c r="G557" s="871"/>
      <c r="H557" s="871"/>
      <c r="I557" s="871"/>
      <c r="J557" s="871"/>
      <c r="K557" s="871"/>
      <c r="L557" s="871"/>
      <c r="M557" s="871"/>
    </row>
    <row r="558" spans="7:13">
      <c r="G558" s="871"/>
      <c r="H558" s="871"/>
      <c r="I558" s="871"/>
      <c r="J558" s="871"/>
      <c r="K558" s="871"/>
      <c r="L558" s="871"/>
      <c r="M558" s="871"/>
    </row>
    <row r="559" spans="7:13">
      <c r="G559" s="871"/>
      <c r="H559" s="871"/>
      <c r="I559" s="871"/>
      <c r="J559" s="871"/>
      <c r="K559" s="871"/>
      <c r="L559" s="871"/>
      <c r="M559" s="871"/>
    </row>
    <row r="560" spans="7:13">
      <c r="G560" s="871"/>
      <c r="H560" s="871"/>
      <c r="I560" s="871"/>
      <c r="J560" s="871"/>
      <c r="K560" s="871"/>
      <c r="L560" s="871"/>
      <c r="M560" s="871"/>
    </row>
    <row r="561" spans="7:13">
      <c r="G561" s="871"/>
      <c r="H561" s="871"/>
      <c r="I561" s="871"/>
      <c r="J561" s="871"/>
      <c r="K561" s="871"/>
      <c r="L561" s="871"/>
      <c r="M561" s="871"/>
    </row>
    <row r="562" spans="7:13">
      <c r="G562" s="871"/>
      <c r="H562" s="871"/>
      <c r="I562" s="871"/>
      <c r="J562" s="871"/>
      <c r="K562" s="871"/>
      <c r="L562" s="871"/>
      <c r="M562" s="871"/>
    </row>
    <row r="563" spans="7:13">
      <c r="G563" s="871"/>
      <c r="H563" s="871"/>
      <c r="I563" s="871"/>
      <c r="J563" s="871"/>
      <c r="K563" s="871"/>
      <c r="L563" s="871"/>
      <c r="M563" s="871"/>
    </row>
    <row r="564" spans="7:13">
      <c r="G564" s="871"/>
      <c r="H564" s="871"/>
      <c r="I564" s="871"/>
      <c r="J564" s="871"/>
      <c r="K564" s="871"/>
      <c r="L564" s="871"/>
      <c r="M564" s="871"/>
    </row>
    <row r="565" spans="7:13">
      <c r="G565" s="871"/>
      <c r="H565" s="871"/>
      <c r="I565" s="871"/>
      <c r="J565" s="871"/>
      <c r="K565" s="871"/>
      <c r="L565" s="871"/>
      <c r="M565" s="871"/>
    </row>
    <row r="566" spans="7:13">
      <c r="G566" s="871"/>
      <c r="H566" s="871"/>
      <c r="I566" s="871"/>
      <c r="J566" s="871"/>
      <c r="K566" s="871"/>
      <c r="L566" s="871"/>
      <c r="M566" s="871"/>
    </row>
    <row r="567" spans="7:13">
      <c r="G567" s="871"/>
      <c r="H567" s="871"/>
      <c r="I567" s="871"/>
      <c r="J567" s="871"/>
      <c r="K567" s="871"/>
      <c r="L567" s="871"/>
      <c r="M567" s="871"/>
    </row>
    <row r="568" spans="7:13">
      <c r="G568" s="871"/>
      <c r="H568" s="871"/>
      <c r="I568" s="871"/>
      <c r="J568" s="871"/>
      <c r="K568" s="871"/>
      <c r="L568" s="871"/>
      <c r="M568" s="871"/>
    </row>
    <row r="569" spans="7:13">
      <c r="G569" s="871"/>
      <c r="H569" s="871"/>
      <c r="I569" s="871"/>
      <c r="J569" s="871"/>
      <c r="K569" s="871"/>
      <c r="L569" s="871"/>
      <c r="M569" s="871"/>
    </row>
    <row r="570" spans="7:13">
      <c r="G570" s="871"/>
      <c r="H570" s="871"/>
      <c r="I570" s="871"/>
      <c r="J570" s="871"/>
      <c r="K570" s="871"/>
      <c r="L570" s="871"/>
      <c r="M570" s="871"/>
    </row>
    <row r="571" spans="7:13">
      <c r="G571" s="871"/>
      <c r="H571" s="871"/>
      <c r="I571" s="871"/>
      <c r="J571" s="871"/>
      <c r="K571" s="871"/>
      <c r="L571" s="871"/>
      <c r="M571" s="871"/>
    </row>
    <row r="572" spans="7:13">
      <c r="G572" s="871"/>
      <c r="H572" s="871"/>
      <c r="I572" s="871"/>
      <c r="J572" s="871"/>
      <c r="K572" s="871"/>
      <c r="L572" s="871"/>
      <c r="M572" s="871"/>
    </row>
    <row r="573" spans="7:13">
      <c r="G573" s="871"/>
      <c r="H573" s="871"/>
      <c r="I573" s="871"/>
      <c r="J573" s="871"/>
      <c r="K573" s="871"/>
      <c r="L573" s="871"/>
      <c r="M573" s="871"/>
    </row>
    <row r="574" spans="7:13">
      <c r="G574" s="871"/>
      <c r="H574" s="871"/>
      <c r="I574" s="871"/>
      <c r="J574" s="871"/>
      <c r="K574" s="871"/>
      <c r="L574" s="871"/>
      <c r="M574" s="871"/>
    </row>
    <row r="575" spans="7:13">
      <c r="G575" s="871"/>
      <c r="H575" s="871"/>
      <c r="I575" s="871"/>
      <c r="J575" s="871"/>
      <c r="K575" s="871"/>
      <c r="L575" s="871"/>
      <c r="M575" s="871"/>
    </row>
    <row r="576" spans="7:13">
      <c r="G576" s="871"/>
      <c r="H576" s="871"/>
      <c r="I576" s="871"/>
      <c r="J576" s="871"/>
      <c r="K576" s="871"/>
      <c r="L576" s="871"/>
      <c r="M576" s="871"/>
    </row>
    <row r="577" spans="7:13">
      <c r="G577" s="871"/>
      <c r="H577" s="871"/>
      <c r="I577" s="871"/>
      <c r="J577" s="871"/>
      <c r="K577" s="871"/>
      <c r="L577" s="871"/>
      <c r="M577" s="871"/>
    </row>
    <row r="578" spans="7:13">
      <c r="G578" s="871"/>
      <c r="H578" s="871"/>
      <c r="I578" s="871"/>
      <c r="J578" s="871"/>
      <c r="K578" s="871"/>
      <c r="L578" s="871"/>
      <c r="M578" s="871"/>
    </row>
    <row r="579" spans="7:13">
      <c r="G579" s="871"/>
      <c r="H579" s="871"/>
      <c r="I579" s="871"/>
      <c r="J579" s="871"/>
      <c r="K579" s="871"/>
      <c r="L579" s="871"/>
      <c r="M579" s="871"/>
    </row>
    <row r="580" spans="7:13">
      <c r="G580" s="871"/>
      <c r="H580" s="871"/>
      <c r="I580" s="871"/>
      <c r="J580" s="871"/>
      <c r="K580" s="871"/>
      <c r="L580" s="871"/>
      <c r="M580" s="871"/>
    </row>
    <row r="581" spans="7:13">
      <c r="G581" s="871"/>
      <c r="H581" s="871"/>
      <c r="I581" s="871"/>
      <c r="J581" s="871"/>
      <c r="K581" s="871"/>
      <c r="L581" s="871"/>
      <c r="M581" s="871"/>
    </row>
    <row r="582" spans="7:13">
      <c r="G582" s="871"/>
      <c r="H582" s="871"/>
      <c r="I582" s="871"/>
      <c r="J582" s="871"/>
      <c r="K582" s="871"/>
      <c r="L582" s="871"/>
      <c r="M582" s="871"/>
    </row>
    <row r="583" spans="7:13">
      <c r="G583" s="871"/>
      <c r="H583" s="871"/>
      <c r="I583" s="871"/>
      <c r="J583" s="871"/>
      <c r="K583" s="871"/>
      <c r="L583" s="871"/>
      <c r="M583" s="871"/>
    </row>
    <row r="584" spans="7:13">
      <c r="G584" s="871"/>
      <c r="H584" s="871"/>
      <c r="I584" s="871"/>
      <c r="J584" s="871"/>
      <c r="K584" s="871"/>
      <c r="L584" s="871"/>
      <c r="M584" s="871"/>
    </row>
    <row r="585" spans="7:13">
      <c r="G585" s="871"/>
      <c r="H585" s="871"/>
      <c r="I585" s="871"/>
      <c r="J585" s="871"/>
      <c r="K585" s="871"/>
      <c r="L585" s="871"/>
      <c r="M585" s="871"/>
    </row>
    <row r="586" spans="7:13">
      <c r="G586" s="871"/>
      <c r="H586" s="871"/>
      <c r="I586" s="871"/>
      <c r="J586" s="871"/>
      <c r="K586" s="871"/>
      <c r="L586" s="871"/>
      <c r="M586" s="871"/>
    </row>
    <row r="587" spans="7:13">
      <c r="G587" s="871"/>
      <c r="H587" s="871"/>
      <c r="I587" s="871"/>
      <c r="J587" s="871"/>
      <c r="K587" s="871"/>
      <c r="L587" s="871"/>
      <c r="M587" s="871"/>
    </row>
    <row r="588" spans="7:13">
      <c r="G588" s="871"/>
      <c r="H588" s="871"/>
      <c r="I588" s="871"/>
      <c r="J588" s="871"/>
      <c r="K588" s="871"/>
      <c r="L588" s="871"/>
      <c r="M588" s="871"/>
    </row>
    <row r="589" spans="7:13">
      <c r="G589" s="871"/>
      <c r="H589" s="871"/>
      <c r="I589" s="871"/>
      <c r="J589" s="871"/>
      <c r="K589" s="871"/>
      <c r="L589" s="871"/>
      <c r="M589" s="871"/>
    </row>
    <row r="590" spans="7:13">
      <c r="G590" s="871"/>
      <c r="H590" s="871"/>
      <c r="I590" s="871"/>
      <c r="J590" s="871"/>
      <c r="K590" s="871"/>
      <c r="L590" s="871"/>
      <c r="M590" s="871"/>
    </row>
    <row r="591" spans="7:13">
      <c r="G591" s="871"/>
      <c r="H591" s="871"/>
      <c r="I591" s="871"/>
      <c r="J591" s="871"/>
      <c r="K591" s="871"/>
      <c r="L591" s="871"/>
      <c r="M591" s="871"/>
    </row>
    <row r="592" spans="7:13">
      <c r="G592" s="871"/>
      <c r="H592" s="871"/>
      <c r="I592" s="871"/>
      <c r="J592" s="871"/>
      <c r="K592" s="871"/>
      <c r="L592" s="871"/>
      <c r="M592" s="871"/>
    </row>
    <row r="593" spans="1:13">
      <c r="G593" s="871"/>
      <c r="H593" s="871"/>
      <c r="I593" s="871"/>
      <c r="J593" s="871"/>
      <c r="K593" s="871"/>
      <c r="L593" s="871"/>
      <c r="M593" s="871"/>
    </row>
    <row r="594" spans="1:13">
      <c r="G594" s="871"/>
      <c r="H594" s="871"/>
      <c r="I594" s="871"/>
      <c r="J594" s="871"/>
      <c r="K594" s="871"/>
      <c r="L594" s="871"/>
      <c r="M594" s="871"/>
    </row>
    <row r="595" spans="1:13">
      <c r="G595" s="871"/>
      <c r="H595" s="871"/>
      <c r="I595" s="871"/>
      <c r="J595" s="871"/>
      <c r="K595" s="871"/>
      <c r="L595" s="871"/>
      <c r="M595" s="871"/>
    </row>
    <row r="596" spans="1:13">
      <c r="G596" s="871"/>
      <c r="H596" s="871"/>
      <c r="I596" s="871"/>
      <c r="J596" s="871"/>
      <c r="K596" s="871"/>
      <c r="L596" s="871"/>
      <c r="M596" s="871"/>
    </row>
    <row r="597" spans="1:13">
      <c r="G597" s="871"/>
      <c r="H597" s="871"/>
      <c r="I597" s="871"/>
      <c r="J597" s="871"/>
      <c r="K597" s="871"/>
      <c r="L597" s="871"/>
      <c r="M597" s="871"/>
    </row>
    <row r="598" spans="1:13">
      <c r="G598" s="871"/>
      <c r="H598" s="871"/>
      <c r="I598" s="871"/>
      <c r="J598" s="871"/>
      <c r="K598" s="871"/>
      <c r="L598" s="871"/>
      <c r="M598" s="871"/>
    </row>
    <row r="599" spans="1:13">
      <c r="G599" s="871"/>
      <c r="H599" s="871"/>
      <c r="I599" s="871"/>
      <c r="J599" s="871"/>
      <c r="K599" s="871"/>
      <c r="L599" s="871"/>
      <c r="M599" s="871"/>
    </row>
    <row r="600" spans="1:13">
      <c r="G600" s="871"/>
      <c r="H600" s="871"/>
      <c r="I600" s="871"/>
      <c r="J600" s="871"/>
      <c r="K600" s="871"/>
      <c r="L600" s="871"/>
      <c r="M600" s="871"/>
    </row>
    <row r="601" spans="1:13">
      <c r="A601" s="109"/>
      <c r="C601" s="895" t="s">
        <v>377</v>
      </c>
      <c r="D601" s="47"/>
      <c r="G601" s="732"/>
      <c r="H601" s="732"/>
      <c r="I601" s="206"/>
      <c r="J601" s="206"/>
      <c r="K601" s="732"/>
      <c r="L601" s="732"/>
      <c r="M601" s="732"/>
    </row>
  </sheetData>
  <sheetProtection algorithmName="SHA-512" hashValue="amltkrK/58Q3jCH/ATkhSdfuBbW4sCD3glRm5MEoVL7/H4r+qkzNihNDNeXKnS7YKMNnlGRaP4CctFvGPb+lmQ==" saltValue="QkxsFf2G2kXjJOL8SBpF0Q==" spinCount="100000" sheet="1" objects="1" scenarios="1"/>
  <mergeCells count="21">
    <mergeCell ref="A41:A47"/>
    <mergeCell ref="A48:A53"/>
    <mergeCell ref="A54:A58"/>
    <mergeCell ref="A59:A68"/>
    <mergeCell ref="A124:A130"/>
    <mergeCell ref="A108:A112"/>
    <mergeCell ref="A113:A118"/>
    <mergeCell ref="A119:A123"/>
    <mergeCell ref="A2:M2"/>
    <mergeCell ref="A4:M4"/>
    <mergeCell ref="A6:A7"/>
    <mergeCell ref="B6:B7"/>
    <mergeCell ref="C6:C7"/>
    <mergeCell ref="D6:D7"/>
    <mergeCell ref="G6:H6"/>
    <mergeCell ref="I6:J6"/>
    <mergeCell ref="K6:L6"/>
    <mergeCell ref="M6:M7"/>
    <mergeCell ref="E6:F6"/>
    <mergeCell ref="A5:D5"/>
    <mergeCell ref="H5:K5"/>
  </mergeCells>
  <pageMargins left="0.70866141732283505" right="0.23622047244094499" top="0.63" bottom="0.42" header="0.42" footer="0.23622047244094499"/>
  <pageSetup paperSize="9" scale="75" orientation="landscape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N957"/>
  <sheetViews>
    <sheetView view="pageBreakPreview" zoomScale="90" zoomScaleNormal="80" zoomScaleSheetLayoutView="90" workbookViewId="0">
      <selection activeCell="F9" sqref="E9:F9"/>
    </sheetView>
  </sheetViews>
  <sheetFormatPr defaultColWidth="8.875" defaultRowHeight="18"/>
  <cols>
    <col min="1" max="1" width="6.375" style="48" customWidth="1"/>
    <col min="2" max="2" width="12.125" style="48" customWidth="1"/>
    <col min="3" max="3" width="52.625" style="96" customWidth="1"/>
    <col min="4" max="4" width="8.75" style="48" customWidth="1"/>
    <col min="5" max="5" width="11.375" style="55" customWidth="1"/>
    <col min="6" max="6" width="10.375" style="197" customWidth="1"/>
    <col min="7" max="7" width="11.625" style="573" customWidth="1"/>
    <col min="8" max="8" width="12.375" style="573" customWidth="1"/>
    <col min="9" max="9" width="7.875" style="573" customWidth="1"/>
    <col min="10" max="10" width="10.375" style="573" customWidth="1"/>
    <col min="11" max="11" width="8" style="573" customWidth="1"/>
    <col min="12" max="12" width="10.75" style="573" customWidth="1"/>
    <col min="13" max="13" width="15" style="573" customWidth="1"/>
    <col min="14" max="14" width="18.75" style="28" customWidth="1"/>
    <col min="15" max="15" width="25.875" style="28" customWidth="1"/>
    <col min="16" max="16384" width="8.875" style="28"/>
  </cols>
  <sheetData>
    <row r="1" spans="1:14" s="18" customFormat="1" ht="15.75">
      <c r="A1" s="575"/>
      <c r="B1" s="575"/>
      <c r="C1" s="575"/>
      <c r="D1" s="575"/>
      <c r="E1" s="571"/>
      <c r="F1" s="571"/>
      <c r="G1" s="572"/>
      <c r="H1" s="572"/>
      <c r="I1" s="572"/>
      <c r="J1" s="572"/>
      <c r="K1" s="572"/>
      <c r="L1" s="572"/>
      <c r="M1" s="572"/>
    </row>
    <row r="2" spans="1:14" s="18" customFormat="1" ht="19.5" customHeight="1">
      <c r="A2" s="1149" t="s">
        <v>1044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4" s="18" customFormat="1" ht="26.25" customHeight="1">
      <c r="A3" s="1174" t="s">
        <v>472</v>
      </c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</row>
    <row r="4" spans="1:14" s="18" customFormat="1" ht="26.25" customHeight="1">
      <c r="A4" s="1150" t="s">
        <v>403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</row>
    <row r="5" spans="1:14" s="18" customFormat="1" ht="26.25" customHeight="1">
      <c r="A5" s="1155" t="str">
        <f>krebsiti!A4</f>
        <v>Sedgenilia 2021 wlis IV kvartlis doneze</v>
      </c>
      <c r="B5" s="1156"/>
      <c r="C5" s="1156"/>
      <c r="D5" s="1156"/>
      <c r="E5" s="1029"/>
      <c r="F5" s="1030"/>
      <c r="G5" s="1031"/>
      <c r="H5" s="1157" t="s">
        <v>1025</v>
      </c>
      <c r="I5" s="1157"/>
      <c r="J5" s="1157"/>
      <c r="K5" s="1157"/>
      <c r="L5" s="1032" t="s">
        <v>24</v>
      </c>
      <c r="M5" s="1032">
        <f>M198</f>
        <v>0</v>
      </c>
    </row>
    <row r="6" spans="1:14" s="18" customFormat="1" ht="42" customHeight="1">
      <c r="A6" s="1158" t="s">
        <v>0</v>
      </c>
      <c r="B6" s="1160" t="s">
        <v>397</v>
      </c>
      <c r="C6" s="1160" t="s">
        <v>398</v>
      </c>
      <c r="D6" s="1160" t="s">
        <v>399</v>
      </c>
      <c r="E6" s="1153" t="s">
        <v>235</v>
      </c>
      <c r="F6" s="1154"/>
      <c r="G6" s="1289" t="s">
        <v>232</v>
      </c>
      <c r="H6" s="1290"/>
      <c r="I6" s="1289" t="s">
        <v>400</v>
      </c>
      <c r="J6" s="1290"/>
      <c r="K6" s="1289" t="s">
        <v>31</v>
      </c>
      <c r="L6" s="1290"/>
      <c r="M6" s="1291" t="s">
        <v>331</v>
      </c>
      <c r="N6" s="260"/>
    </row>
    <row r="7" spans="1:14" s="18" customFormat="1" ht="42" customHeight="1">
      <c r="A7" s="1159"/>
      <c r="B7" s="1161"/>
      <c r="C7" s="1161"/>
      <c r="D7" s="1161"/>
      <c r="E7" s="577" t="s">
        <v>236</v>
      </c>
      <c r="F7" s="577" t="s">
        <v>20</v>
      </c>
      <c r="G7" s="1284" t="s">
        <v>401</v>
      </c>
      <c r="H7" s="1284" t="s">
        <v>20</v>
      </c>
      <c r="I7" s="1284" t="s">
        <v>401</v>
      </c>
      <c r="J7" s="1284" t="s">
        <v>20</v>
      </c>
      <c r="K7" s="1284" t="s">
        <v>401</v>
      </c>
      <c r="L7" s="1284" t="s">
        <v>20</v>
      </c>
      <c r="M7" s="1292"/>
      <c r="N7" s="260"/>
    </row>
    <row r="8" spans="1:14" s="18" customFormat="1" ht="15.75">
      <c r="A8" s="574">
        <v>1</v>
      </c>
      <c r="B8" s="238">
        <v>2</v>
      </c>
      <c r="C8" s="576">
        <v>3</v>
      </c>
      <c r="D8" s="576">
        <v>4</v>
      </c>
      <c r="E8" s="577">
        <v>5</v>
      </c>
      <c r="F8" s="577">
        <v>6</v>
      </c>
      <c r="G8" s="1294">
        <v>7</v>
      </c>
      <c r="H8" s="1294">
        <v>8</v>
      </c>
      <c r="I8" s="1294">
        <v>9</v>
      </c>
      <c r="J8" s="1294">
        <v>10</v>
      </c>
      <c r="K8" s="1294">
        <v>11</v>
      </c>
      <c r="L8" s="1294">
        <v>12</v>
      </c>
      <c r="M8" s="1294">
        <v>13</v>
      </c>
      <c r="N8" s="260"/>
    </row>
    <row r="9" spans="1:14" ht="47.25">
      <c r="A9" s="284" t="s">
        <v>426</v>
      </c>
      <c r="B9" s="284"/>
      <c r="C9" s="283" t="s">
        <v>403</v>
      </c>
      <c r="D9" s="284"/>
      <c r="E9" s="285"/>
      <c r="F9" s="286"/>
      <c r="G9" s="1327"/>
      <c r="H9" s="1327"/>
      <c r="I9" s="1327"/>
      <c r="J9" s="1327"/>
      <c r="K9" s="1327"/>
      <c r="L9" s="1327"/>
      <c r="M9" s="1327"/>
      <c r="N9" s="301"/>
    </row>
    <row r="10" spans="1:14" s="979" customFormat="1">
      <c r="A10" s="87"/>
      <c r="B10" s="87"/>
      <c r="C10" s="163"/>
      <c r="D10" s="87"/>
      <c r="E10" s="154"/>
      <c r="F10" s="146"/>
      <c r="G10" s="1299"/>
      <c r="H10" s="1299"/>
      <c r="I10" s="1299"/>
      <c r="J10" s="1299"/>
      <c r="K10" s="1299"/>
      <c r="L10" s="1299"/>
      <c r="M10" s="1299"/>
      <c r="N10" s="978"/>
    </row>
    <row r="11" spans="1:14" s="979" customFormat="1">
      <c r="A11" s="923" t="s">
        <v>957</v>
      </c>
      <c r="B11" s="947"/>
      <c r="C11" s="939" t="s">
        <v>785</v>
      </c>
      <c r="D11" s="921"/>
      <c r="E11" s="922"/>
      <c r="F11" s="922"/>
      <c r="G11" s="1297"/>
      <c r="H11" s="1297"/>
      <c r="I11" s="1297"/>
      <c r="J11" s="1297"/>
      <c r="K11" s="1297"/>
      <c r="L11" s="1297"/>
      <c r="M11" s="1297"/>
      <c r="N11" s="978"/>
    </row>
    <row r="12" spans="1:14" ht="31.5">
      <c r="A12" s="609" t="s">
        <v>80</v>
      </c>
      <c r="B12" s="742"/>
      <c r="C12" s="610" t="s">
        <v>86</v>
      </c>
      <c r="D12" s="742"/>
      <c r="E12" s="743"/>
      <c r="F12" s="744"/>
      <c r="G12" s="1298"/>
      <c r="H12" s="1298"/>
      <c r="I12" s="1298"/>
      <c r="J12" s="1298"/>
      <c r="K12" s="1298"/>
      <c r="L12" s="1298"/>
      <c r="M12" s="1298"/>
      <c r="N12" s="978"/>
    </row>
    <row r="13" spans="1:14" ht="54">
      <c r="A13" s="1170">
        <v>1</v>
      </c>
      <c r="B13" s="1170" t="s">
        <v>303</v>
      </c>
      <c r="C13" s="782" t="s">
        <v>705</v>
      </c>
      <c r="D13" s="735" t="s">
        <v>205</v>
      </c>
      <c r="E13" s="54"/>
      <c r="F13" s="49">
        <v>1</v>
      </c>
      <c r="G13" s="1299"/>
      <c r="H13" s="1299"/>
      <c r="I13" s="1299"/>
      <c r="J13" s="1299"/>
      <c r="K13" s="1299"/>
      <c r="L13" s="1299"/>
      <c r="M13" s="1299"/>
      <c r="N13" s="301"/>
    </row>
    <row r="14" spans="1:14">
      <c r="A14" s="1170"/>
      <c r="B14" s="1170"/>
      <c r="C14" s="177" t="s">
        <v>39</v>
      </c>
      <c r="D14" s="735" t="s">
        <v>204</v>
      </c>
      <c r="E14" s="54">
        <v>26</v>
      </c>
      <c r="F14" s="239">
        <f>E14*F13</f>
        <v>26</v>
      </c>
      <c r="G14" s="1299"/>
      <c r="H14" s="1299"/>
      <c r="I14" s="1300"/>
      <c r="J14" s="1299">
        <f>F14*I14</f>
        <v>0</v>
      </c>
      <c r="K14" s="1299"/>
      <c r="L14" s="1299"/>
      <c r="M14" s="1299">
        <f t="shared" ref="M14:M48" si="0">H14+J14+L14</f>
        <v>0</v>
      </c>
      <c r="N14" s="301"/>
    </row>
    <row r="15" spans="1:14">
      <c r="A15" s="1170"/>
      <c r="B15" s="1170"/>
      <c r="C15" s="177" t="s">
        <v>32</v>
      </c>
      <c r="D15" s="735" t="s">
        <v>149</v>
      </c>
      <c r="E15" s="54">
        <v>2.5</v>
      </c>
      <c r="F15" s="239">
        <f>E15*F13</f>
        <v>2.5</v>
      </c>
      <c r="G15" s="1300"/>
      <c r="H15" s="1299">
        <f t="shared" ref="H15:H48" si="1">F15*G15</f>
        <v>0</v>
      </c>
      <c r="I15" s="1299"/>
      <c r="J15" s="1299"/>
      <c r="K15" s="1299"/>
      <c r="L15" s="1299"/>
      <c r="M15" s="1299">
        <f t="shared" si="0"/>
        <v>0</v>
      </c>
      <c r="N15" s="301"/>
    </row>
    <row r="16" spans="1:14">
      <c r="A16" s="1170"/>
      <c r="B16" s="1170"/>
      <c r="C16" s="177" t="s">
        <v>404</v>
      </c>
      <c r="D16" s="735" t="s">
        <v>205</v>
      </c>
      <c r="E16" s="54"/>
      <c r="F16" s="239">
        <v>1</v>
      </c>
      <c r="G16" s="1300"/>
      <c r="H16" s="1299">
        <f t="shared" si="1"/>
        <v>0</v>
      </c>
      <c r="I16" s="1299"/>
      <c r="J16" s="1299"/>
      <c r="K16" s="1299"/>
      <c r="L16" s="1299"/>
      <c r="M16" s="1299">
        <f t="shared" si="0"/>
        <v>0</v>
      </c>
      <c r="N16" s="301"/>
    </row>
    <row r="17" spans="1:14" ht="31.5">
      <c r="A17" s="1171">
        <v>2</v>
      </c>
      <c r="B17" s="1171" t="s">
        <v>304</v>
      </c>
      <c r="C17" s="176" t="s">
        <v>706</v>
      </c>
      <c r="D17" s="736" t="s">
        <v>305</v>
      </c>
      <c r="E17" s="99"/>
      <c r="F17" s="49">
        <f>F20</f>
        <v>18</v>
      </c>
      <c r="G17" s="1299"/>
      <c r="H17" s="1299"/>
      <c r="I17" s="1299"/>
      <c r="J17" s="1299"/>
      <c r="K17" s="1299"/>
      <c r="L17" s="1299"/>
      <c r="M17" s="1299"/>
      <c r="N17" s="301"/>
    </row>
    <row r="18" spans="1:14">
      <c r="A18" s="1172"/>
      <c r="B18" s="1172"/>
      <c r="C18" s="177" t="s">
        <v>39</v>
      </c>
      <c r="D18" s="735" t="s">
        <v>204</v>
      </c>
      <c r="E18" s="54">
        <v>2</v>
      </c>
      <c r="F18" s="239">
        <f>E18*F17</f>
        <v>36</v>
      </c>
      <c r="G18" s="1299"/>
      <c r="H18" s="1299"/>
      <c r="I18" s="1300"/>
      <c r="J18" s="1299">
        <f>F18*I18</f>
        <v>0</v>
      </c>
      <c r="K18" s="1299"/>
      <c r="L18" s="1299"/>
      <c r="M18" s="1299">
        <f t="shared" si="0"/>
        <v>0</v>
      </c>
      <c r="N18" s="301"/>
    </row>
    <row r="19" spans="1:14">
      <c r="A19" s="1172"/>
      <c r="B19" s="1172"/>
      <c r="C19" s="177" t="s">
        <v>32</v>
      </c>
      <c r="D19" s="735" t="s">
        <v>149</v>
      </c>
      <c r="E19" s="54">
        <v>0.28000000000000003</v>
      </c>
      <c r="F19" s="239">
        <f>E19*F17</f>
        <v>5.0400000000000009</v>
      </c>
      <c r="G19" s="1300"/>
      <c r="H19" s="1299">
        <f t="shared" si="1"/>
        <v>0</v>
      </c>
      <c r="I19" s="1299"/>
      <c r="J19" s="1299"/>
      <c r="K19" s="1299"/>
      <c r="L19" s="1299"/>
      <c r="M19" s="1299">
        <f t="shared" si="0"/>
        <v>0</v>
      </c>
      <c r="N19" s="301"/>
    </row>
    <row r="20" spans="1:14" ht="31.5">
      <c r="A20" s="1173"/>
      <c r="B20" s="1173"/>
      <c r="C20" s="177" t="s">
        <v>707</v>
      </c>
      <c r="D20" s="735" t="s">
        <v>305</v>
      </c>
      <c r="E20" s="54"/>
      <c r="F20" s="239">
        <v>18</v>
      </c>
      <c r="G20" s="1300"/>
      <c r="H20" s="1299">
        <f t="shared" si="1"/>
        <v>0</v>
      </c>
      <c r="I20" s="1299"/>
      <c r="J20" s="1299"/>
      <c r="K20" s="1299"/>
      <c r="L20" s="1299"/>
      <c r="M20" s="1299">
        <f t="shared" si="0"/>
        <v>0</v>
      </c>
      <c r="N20" s="301"/>
    </row>
    <row r="21" spans="1:14" ht="31.5">
      <c r="A21" s="1170">
        <v>4</v>
      </c>
      <c r="B21" s="1170" t="s">
        <v>306</v>
      </c>
      <c r="C21" s="176" t="s">
        <v>708</v>
      </c>
      <c r="D21" s="735"/>
      <c r="E21" s="54"/>
      <c r="F21" s="49">
        <f>F24</f>
        <v>3</v>
      </c>
      <c r="G21" s="1299"/>
      <c r="H21" s="1299"/>
      <c r="I21" s="1299"/>
      <c r="J21" s="1299"/>
      <c r="K21" s="1299"/>
      <c r="L21" s="1299"/>
      <c r="M21" s="1299"/>
      <c r="N21" s="301"/>
    </row>
    <row r="22" spans="1:14">
      <c r="A22" s="1170"/>
      <c r="B22" s="1170"/>
      <c r="C22" s="177" t="s">
        <v>39</v>
      </c>
      <c r="D22" s="735" t="s">
        <v>204</v>
      </c>
      <c r="E22" s="54">
        <v>2</v>
      </c>
      <c r="F22" s="239">
        <f>E22*F21</f>
        <v>6</v>
      </c>
      <c r="G22" s="1299"/>
      <c r="H22" s="1299"/>
      <c r="I22" s="1300"/>
      <c r="J22" s="1299">
        <f>F22*I22</f>
        <v>0</v>
      </c>
      <c r="K22" s="1299"/>
      <c r="L22" s="1299"/>
      <c r="M22" s="1299">
        <f t="shared" si="0"/>
        <v>0</v>
      </c>
      <c r="N22" s="301"/>
    </row>
    <row r="23" spans="1:14">
      <c r="A23" s="1170"/>
      <c r="B23" s="1170"/>
      <c r="C23" s="185" t="s">
        <v>32</v>
      </c>
      <c r="D23" s="735" t="s">
        <v>149</v>
      </c>
      <c r="E23" s="54">
        <v>0.14000000000000001</v>
      </c>
      <c r="F23" s="239">
        <f>E23*F21</f>
        <v>0.42000000000000004</v>
      </c>
      <c r="G23" s="1300"/>
      <c r="H23" s="1299">
        <f t="shared" si="1"/>
        <v>0</v>
      </c>
      <c r="I23" s="1299"/>
      <c r="J23" s="1299"/>
      <c r="K23" s="1299"/>
      <c r="L23" s="1299"/>
      <c r="M23" s="1299">
        <f t="shared" si="0"/>
        <v>0</v>
      </c>
      <c r="N23" s="301"/>
    </row>
    <row r="24" spans="1:14">
      <c r="A24" s="1170"/>
      <c r="B24" s="1170"/>
      <c r="C24" s="177" t="s">
        <v>709</v>
      </c>
      <c r="D24" s="735" t="s">
        <v>305</v>
      </c>
      <c r="E24" s="54"/>
      <c r="F24" s="239">
        <v>3</v>
      </c>
      <c r="G24" s="1300"/>
      <c r="H24" s="1299">
        <f t="shared" si="1"/>
        <v>0</v>
      </c>
      <c r="I24" s="1299"/>
      <c r="J24" s="1299"/>
      <c r="K24" s="1299"/>
      <c r="L24" s="1299"/>
      <c r="M24" s="1299">
        <f t="shared" si="0"/>
        <v>0</v>
      </c>
      <c r="N24" s="301"/>
    </row>
    <row r="25" spans="1:14" ht="31.5">
      <c r="A25" s="1170">
        <v>5</v>
      </c>
      <c r="B25" s="1170" t="s">
        <v>307</v>
      </c>
      <c r="C25" s="176" t="s">
        <v>872</v>
      </c>
      <c r="D25" s="735" t="s">
        <v>2</v>
      </c>
      <c r="E25" s="54"/>
      <c r="F25" s="49">
        <f>F28</f>
        <v>4</v>
      </c>
      <c r="G25" s="1299"/>
      <c r="H25" s="1299"/>
      <c r="I25" s="1299"/>
      <c r="J25" s="1299"/>
      <c r="K25" s="1299"/>
      <c r="L25" s="1299"/>
      <c r="M25" s="1299"/>
      <c r="N25" s="301"/>
    </row>
    <row r="26" spans="1:14">
      <c r="A26" s="1170"/>
      <c r="B26" s="1170"/>
      <c r="C26" s="177" t="s">
        <v>39</v>
      </c>
      <c r="D26" s="735" t="s">
        <v>204</v>
      </c>
      <c r="E26" s="54">
        <v>3</v>
      </c>
      <c r="F26" s="239">
        <f>E26*F25</f>
        <v>12</v>
      </c>
      <c r="G26" s="1299"/>
      <c r="H26" s="1299"/>
      <c r="I26" s="1300"/>
      <c r="J26" s="1299">
        <f>F26*I26</f>
        <v>0</v>
      </c>
      <c r="K26" s="1299"/>
      <c r="L26" s="1299"/>
      <c r="M26" s="1299">
        <f t="shared" si="0"/>
        <v>0</v>
      </c>
      <c r="N26" s="301"/>
    </row>
    <row r="27" spans="1:14">
      <c r="A27" s="1170"/>
      <c r="B27" s="1170"/>
      <c r="C27" s="185" t="s">
        <v>32</v>
      </c>
      <c r="D27" s="735" t="s">
        <v>149</v>
      </c>
      <c r="E27" s="54">
        <v>0.14000000000000001</v>
      </c>
      <c r="F27" s="239">
        <f>E27*F25</f>
        <v>0.56000000000000005</v>
      </c>
      <c r="G27" s="1299"/>
      <c r="H27" s="1299"/>
      <c r="I27" s="1299"/>
      <c r="J27" s="1299"/>
      <c r="K27" s="1299"/>
      <c r="L27" s="1299"/>
      <c r="M27" s="1299"/>
      <c r="N27" s="301"/>
    </row>
    <row r="28" spans="1:14">
      <c r="A28" s="1170"/>
      <c r="B28" s="1170"/>
      <c r="C28" s="177" t="s">
        <v>710</v>
      </c>
      <c r="D28" s="735" t="s">
        <v>305</v>
      </c>
      <c r="E28" s="54"/>
      <c r="F28" s="239">
        <v>4</v>
      </c>
      <c r="G28" s="1300"/>
      <c r="H28" s="1299">
        <f t="shared" si="1"/>
        <v>0</v>
      </c>
      <c r="I28" s="1299"/>
      <c r="J28" s="1299"/>
      <c r="K28" s="1299"/>
      <c r="L28" s="1299"/>
      <c r="M28" s="1299">
        <f t="shared" si="0"/>
        <v>0</v>
      </c>
      <c r="N28" s="301"/>
    </row>
    <row r="29" spans="1:14">
      <c r="A29" s="1171" t="s">
        <v>324</v>
      </c>
      <c r="B29" s="1171" t="s">
        <v>304</v>
      </c>
      <c r="C29" s="176" t="s">
        <v>311</v>
      </c>
      <c r="D29" s="736" t="s">
        <v>305</v>
      </c>
      <c r="E29" s="99"/>
      <c r="F29" s="49">
        <f>F32+F33</f>
        <v>27</v>
      </c>
      <c r="G29" s="1299"/>
      <c r="H29" s="1299"/>
      <c r="I29" s="1299"/>
      <c r="J29" s="1299"/>
      <c r="K29" s="1299"/>
      <c r="L29" s="1299"/>
      <c r="M29" s="1299"/>
      <c r="N29" s="301"/>
    </row>
    <row r="30" spans="1:14">
      <c r="A30" s="1172"/>
      <c r="B30" s="1172"/>
      <c r="C30" s="177" t="s">
        <v>39</v>
      </c>
      <c r="D30" s="735" t="s">
        <v>204</v>
      </c>
      <c r="E30" s="54">
        <v>2</v>
      </c>
      <c r="F30" s="239">
        <f>E30*F29</f>
        <v>54</v>
      </c>
      <c r="G30" s="1299"/>
      <c r="H30" s="1299"/>
      <c r="I30" s="1300"/>
      <c r="J30" s="1299">
        <f>F30*I30</f>
        <v>0</v>
      </c>
      <c r="K30" s="1299"/>
      <c r="L30" s="1299"/>
      <c r="M30" s="1299">
        <f>H30+J30+L30</f>
        <v>0</v>
      </c>
      <c r="N30" s="301"/>
    </row>
    <row r="31" spans="1:14">
      <c r="A31" s="1172"/>
      <c r="B31" s="1172"/>
      <c r="C31" s="185" t="s">
        <v>32</v>
      </c>
      <c r="D31" s="735" t="s">
        <v>149</v>
      </c>
      <c r="E31" s="54">
        <v>0.28000000000000003</v>
      </c>
      <c r="F31" s="239">
        <f>E31*F29</f>
        <v>7.5600000000000005</v>
      </c>
      <c r="G31" s="1300"/>
      <c r="H31" s="1299">
        <f>F31*G31</f>
        <v>0</v>
      </c>
      <c r="I31" s="1299"/>
      <c r="J31" s="1299"/>
      <c r="K31" s="1299"/>
      <c r="L31" s="1299"/>
      <c r="M31" s="1299">
        <f>H31+J31+L31</f>
        <v>0</v>
      </c>
      <c r="N31" s="301"/>
    </row>
    <row r="32" spans="1:14">
      <c r="A32" s="1172"/>
      <c r="B32" s="1172"/>
      <c r="C32" s="586" t="s">
        <v>564</v>
      </c>
      <c r="D32" s="735" t="s">
        <v>75</v>
      </c>
      <c r="E32" s="54"/>
      <c r="F32" s="239">
        <v>25</v>
      </c>
      <c r="G32" s="1300"/>
      <c r="H32" s="1299">
        <f>F32*G32</f>
        <v>0</v>
      </c>
      <c r="I32" s="1299"/>
      <c r="J32" s="1299"/>
      <c r="K32" s="1299"/>
      <c r="L32" s="1299"/>
      <c r="M32" s="1299">
        <f>H32+J32+L32</f>
        <v>0</v>
      </c>
      <c r="N32" s="301"/>
    </row>
    <row r="33" spans="1:14">
      <c r="A33" s="1173"/>
      <c r="B33" s="1173"/>
      <c r="C33" s="586" t="s">
        <v>565</v>
      </c>
      <c r="D33" s="735" t="s">
        <v>75</v>
      </c>
      <c r="E33" s="54"/>
      <c r="F33" s="239">
        <v>2</v>
      </c>
      <c r="G33" s="1300"/>
      <c r="H33" s="1299">
        <f>F33*G33</f>
        <v>0</v>
      </c>
      <c r="I33" s="1299"/>
      <c r="J33" s="1299"/>
      <c r="K33" s="1299"/>
      <c r="L33" s="1299"/>
      <c r="M33" s="1299">
        <f>H33+J33+L33</f>
        <v>0</v>
      </c>
      <c r="N33" s="301"/>
    </row>
    <row r="34" spans="1:14">
      <c r="A34" s="1171" t="s">
        <v>337</v>
      </c>
      <c r="B34" s="1171" t="s">
        <v>308</v>
      </c>
      <c r="C34" s="176" t="s">
        <v>309</v>
      </c>
      <c r="D34" s="735"/>
      <c r="E34" s="54"/>
      <c r="F34" s="49">
        <f>F38</f>
        <v>200</v>
      </c>
      <c r="G34" s="1299"/>
      <c r="H34" s="1299"/>
      <c r="I34" s="1299"/>
      <c r="J34" s="1299"/>
      <c r="K34" s="1299"/>
      <c r="L34" s="1299"/>
      <c r="M34" s="1299"/>
      <c r="N34" s="301"/>
    </row>
    <row r="35" spans="1:14">
      <c r="A35" s="1172"/>
      <c r="B35" s="1172"/>
      <c r="C35" s="177" t="s">
        <v>39</v>
      </c>
      <c r="D35" s="735" t="s">
        <v>204</v>
      </c>
      <c r="E35" s="54">
        <f>40*0.01</f>
        <v>0.4</v>
      </c>
      <c r="F35" s="239">
        <f>E35*F34</f>
        <v>80</v>
      </c>
      <c r="G35" s="1299"/>
      <c r="H35" s="1299"/>
      <c r="I35" s="1300"/>
      <c r="J35" s="1299">
        <f>F35*I35</f>
        <v>0</v>
      </c>
      <c r="K35" s="1299"/>
      <c r="L35" s="1299"/>
      <c r="M35" s="1299">
        <f t="shared" si="0"/>
        <v>0</v>
      </c>
      <c r="N35" s="301"/>
    </row>
    <row r="36" spans="1:14">
      <c r="A36" s="1172"/>
      <c r="B36" s="1172"/>
      <c r="C36" s="177" t="s">
        <v>28</v>
      </c>
      <c r="D36" s="735" t="s">
        <v>149</v>
      </c>
      <c r="E36" s="54">
        <v>6.8099999999999994E-2</v>
      </c>
      <c r="F36" s="239">
        <f>E36*F34</f>
        <v>13.62</v>
      </c>
      <c r="G36" s="1299"/>
      <c r="H36" s="1299"/>
      <c r="I36" s="1299"/>
      <c r="J36" s="1299"/>
      <c r="K36" s="1300"/>
      <c r="L36" s="1299">
        <f>F36*K36</f>
        <v>0</v>
      </c>
      <c r="M36" s="1299">
        <f t="shared" si="0"/>
        <v>0</v>
      </c>
      <c r="N36" s="301"/>
    </row>
    <row r="37" spans="1:14">
      <c r="A37" s="1172"/>
      <c r="B37" s="1172"/>
      <c r="C37" s="177" t="s">
        <v>37</v>
      </c>
      <c r="D37" s="735" t="s">
        <v>24</v>
      </c>
      <c r="E37" s="54">
        <v>6.9900000000000004E-2</v>
      </c>
      <c r="F37" s="239">
        <f>E37*F34</f>
        <v>13.98</v>
      </c>
      <c r="G37" s="1300"/>
      <c r="H37" s="1299">
        <f t="shared" si="1"/>
        <v>0</v>
      </c>
      <c r="I37" s="1299"/>
      <c r="J37" s="1299"/>
      <c r="K37" s="1299"/>
      <c r="L37" s="1299"/>
      <c r="M37" s="1299">
        <f t="shared" si="0"/>
        <v>0</v>
      </c>
      <c r="N37" s="301"/>
    </row>
    <row r="38" spans="1:14" ht="30">
      <c r="A38" s="1172"/>
      <c r="B38" s="1172"/>
      <c r="C38" s="586" t="s">
        <v>561</v>
      </c>
      <c r="D38" s="735" t="s">
        <v>1</v>
      </c>
      <c r="E38" s="54"/>
      <c r="F38" s="239">
        <v>200</v>
      </c>
      <c r="G38" s="1300"/>
      <c r="H38" s="1299">
        <f t="shared" si="1"/>
        <v>0</v>
      </c>
      <c r="I38" s="1299"/>
      <c r="J38" s="1299"/>
      <c r="K38" s="1299"/>
      <c r="L38" s="1299"/>
      <c r="M38" s="1299">
        <f t="shared" si="0"/>
        <v>0</v>
      </c>
      <c r="N38" s="301"/>
    </row>
    <row r="39" spans="1:14">
      <c r="A39" s="1172"/>
      <c r="B39" s="1172"/>
      <c r="C39" s="586" t="s">
        <v>562</v>
      </c>
      <c r="D39" s="735" t="s">
        <v>1</v>
      </c>
      <c r="E39" s="54"/>
      <c r="F39" s="239">
        <v>200</v>
      </c>
      <c r="G39" s="1300"/>
      <c r="H39" s="1299">
        <f>F39*G39</f>
        <v>0</v>
      </c>
      <c r="I39" s="1299"/>
      <c r="J39" s="1299"/>
      <c r="K39" s="1299"/>
      <c r="L39" s="1299"/>
      <c r="M39" s="1299">
        <f>H39+J39+L39</f>
        <v>0</v>
      </c>
      <c r="N39" s="301"/>
    </row>
    <row r="40" spans="1:14">
      <c r="A40" s="1172"/>
      <c r="B40" s="1172"/>
      <c r="C40" s="586" t="s">
        <v>563</v>
      </c>
      <c r="D40" s="735" t="s">
        <v>2</v>
      </c>
      <c r="E40" s="54"/>
      <c r="F40" s="239">
        <v>200</v>
      </c>
      <c r="G40" s="1300"/>
      <c r="H40" s="1299">
        <f>F40*G40</f>
        <v>0</v>
      </c>
      <c r="I40" s="1299"/>
      <c r="J40" s="1299"/>
      <c r="K40" s="1299"/>
      <c r="L40" s="1299"/>
      <c r="M40" s="1299">
        <f>H40+J40+L40</f>
        <v>0</v>
      </c>
      <c r="N40" s="301"/>
    </row>
    <row r="41" spans="1:14" ht="31.5">
      <c r="A41" s="1171">
        <v>8</v>
      </c>
      <c r="B41" s="1163" t="s">
        <v>310</v>
      </c>
      <c r="C41" s="176" t="s">
        <v>711</v>
      </c>
      <c r="D41" s="735" t="s">
        <v>75</v>
      </c>
      <c r="E41" s="54"/>
      <c r="F41" s="49">
        <f>F44</f>
        <v>1</v>
      </c>
      <c r="G41" s="1299"/>
      <c r="H41" s="1299"/>
      <c r="I41" s="1299"/>
      <c r="J41" s="1299"/>
      <c r="K41" s="1299"/>
      <c r="L41" s="1299"/>
      <c r="M41" s="1299"/>
      <c r="N41" s="301"/>
    </row>
    <row r="42" spans="1:14">
      <c r="A42" s="1172"/>
      <c r="B42" s="1164"/>
      <c r="C42" s="177" t="s">
        <v>39</v>
      </c>
      <c r="D42" s="735" t="s">
        <v>204</v>
      </c>
      <c r="E42" s="54">
        <v>1</v>
      </c>
      <c r="F42" s="239">
        <f>E42*F41</f>
        <v>1</v>
      </c>
      <c r="G42" s="1299"/>
      <c r="H42" s="1299"/>
      <c r="I42" s="1300"/>
      <c r="J42" s="1299">
        <f>F42*I42</f>
        <v>0</v>
      </c>
      <c r="K42" s="1299"/>
      <c r="L42" s="1299"/>
      <c r="M42" s="1299">
        <f t="shared" si="0"/>
        <v>0</v>
      </c>
      <c r="N42" s="301"/>
    </row>
    <row r="43" spans="1:14">
      <c r="A43" s="1172"/>
      <c r="B43" s="1164"/>
      <c r="C43" s="185" t="s">
        <v>32</v>
      </c>
      <c r="D43" s="735" t="s">
        <v>149</v>
      </c>
      <c r="E43" s="54">
        <v>0.23</v>
      </c>
      <c r="F43" s="239">
        <f>E43*F41</f>
        <v>0.23</v>
      </c>
      <c r="G43" s="1300"/>
      <c r="H43" s="1299">
        <f t="shared" si="1"/>
        <v>0</v>
      </c>
      <c r="I43" s="1299"/>
      <c r="J43" s="1299"/>
      <c r="K43" s="1299"/>
      <c r="L43" s="1299"/>
      <c r="M43" s="1299">
        <f t="shared" si="0"/>
        <v>0</v>
      </c>
      <c r="N43" s="301"/>
    </row>
    <row r="44" spans="1:14" ht="30">
      <c r="A44" s="1173"/>
      <c r="B44" s="1165"/>
      <c r="C44" s="586" t="s">
        <v>566</v>
      </c>
      <c r="D44" s="735" t="s">
        <v>305</v>
      </c>
      <c r="E44" s="54"/>
      <c r="F44" s="239">
        <v>1</v>
      </c>
      <c r="G44" s="1300"/>
      <c r="H44" s="1299">
        <f t="shared" si="1"/>
        <v>0</v>
      </c>
      <c r="I44" s="1299"/>
      <c r="J44" s="1299"/>
      <c r="K44" s="1299"/>
      <c r="L44" s="1299"/>
      <c r="M44" s="1299">
        <f t="shared" si="0"/>
        <v>0</v>
      </c>
      <c r="N44" s="301"/>
    </row>
    <row r="45" spans="1:14">
      <c r="A45" s="853" t="s">
        <v>74</v>
      </c>
      <c r="B45" s="302"/>
      <c r="C45" s="586" t="s">
        <v>554</v>
      </c>
      <c r="D45" s="735" t="s">
        <v>75</v>
      </c>
      <c r="E45" s="54"/>
      <c r="F45" s="239">
        <v>1</v>
      </c>
      <c r="G45" s="1300"/>
      <c r="H45" s="1299">
        <f>F45*G45</f>
        <v>0</v>
      </c>
      <c r="I45" s="1299"/>
      <c r="J45" s="1299"/>
      <c r="K45" s="1299"/>
      <c r="L45" s="1299"/>
      <c r="M45" s="1299">
        <f>H45+J45+L45</f>
        <v>0</v>
      </c>
      <c r="N45" s="301"/>
    </row>
    <row r="46" spans="1:14" ht="47.25">
      <c r="A46" s="1151" t="s">
        <v>338</v>
      </c>
      <c r="B46" s="618" t="s">
        <v>45</v>
      </c>
      <c r="C46" s="246" t="s">
        <v>328</v>
      </c>
      <c r="D46" s="618" t="s">
        <v>75</v>
      </c>
      <c r="E46" s="237"/>
      <c r="F46" s="49">
        <v>1</v>
      </c>
      <c r="G46" s="1300"/>
      <c r="H46" s="1299">
        <f t="shared" si="1"/>
        <v>0</v>
      </c>
      <c r="I46" s="1299"/>
      <c r="J46" s="1299"/>
      <c r="K46" s="1299"/>
      <c r="L46" s="1299"/>
      <c r="M46" s="1299">
        <f t="shared" si="0"/>
        <v>0</v>
      </c>
      <c r="N46" s="301"/>
    </row>
    <row r="47" spans="1:14">
      <c r="A47" s="1152"/>
      <c r="B47" s="618"/>
      <c r="C47" s="172" t="s">
        <v>327</v>
      </c>
      <c r="D47" s="618" t="s">
        <v>2</v>
      </c>
      <c r="E47" s="237"/>
      <c r="F47" s="239">
        <v>2</v>
      </c>
      <c r="G47" s="1300"/>
      <c r="H47" s="1299">
        <f t="shared" si="1"/>
        <v>0</v>
      </c>
      <c r="I47" s="1299"/>
      <c r="J47" s="1299"/>
      <c r="K47" s="1299"/>
      <c r="L47" s="1299"/>
      <c r="M47" s="1299">
        <f t="shared" si="0"/>
        <v>0</v>
      </c>
      <c r="N47" s="301"/>
    </row>
    <row r="48" spans="1:14" ht="31.5">
      <c r="A48" s="618" t="s">
        <v>339</v>
      </c>
      <c r="B48" s="618"/>
      <c r="C48" s="246" t="s">
        <v>873</v>
      </c>
      <c r="D48" s="618" t="s">
        <v>2</v>
      </c>
      <c r="E48" s="237"/>
      <c r="F48" s="49">
        <v>6</v>
      </c>
      <c r="G48" s="1300"/>
      <c r="H48" s="1299">
        <f t="shared" si="1"/>
        <v>0</v>
      </c>
      <c r="I48" s="1299"/>
      <c r="J48" s="1299"/>
      <c r="K48" s="1299"/>
      <c r="L48" s="1299"/>
      <c r="M48" s="1299">
        <f t="shared" si="0"/>
        <v>0</v>
      </c>
      <c r="N48" s="301"/>
    </row>
    <row r="49" spans="1:14">
      <c r="A49" s="618"/>
      <c r="B49" s="618"/>
      <c r="C49" s="172"/>
      <c r="D49" s="618"/>
      <c r="E49" s="237"/>
      <c r="F49" s="740"/>
      <c r="G49" s="1299"/>
      <c r="H49" s="1284"/>
      <c r="I49" s="1284"/>
      <c r="J49" s="1284"/>
      <c r="K49" s="1284"/>
      <c r="L49" s="1284"/>
      <c r="M49" s="1284"/>
      <c r="N49" s="301"/>
    </row>
    <row r="50" spans="1:14">
      <c r="A50" s="141"/>
      <c r="B50" s="141"/>
      <c r="C50" s="142" t="s">
        <v>1034</v>
      </c>
      <c r="D50" s="141"/>
      <c r="E50" s="303"/>
      <c r="F50" s="227"/>
      <c r="G50" s="1344"/>
      <c r="H50" s="1318">
        <f>SUM(H12:H49)</f>
        <v>0</v>
      </c>
      <c r="I50" s="1318"/>
      <c r="J50" s="1318">
        <f>SUM(J12:J49)</f>
        <v>0</v>
      </c>
      <c r="K50" s="1318"/>
      <c r="L50" s="1318">
        <f>SUM(L12:L49)</f>
        <v>0</v>
      </c>
      <c r="M50" s="1318">
        <f>SUM(M12:M49)</f>
        <v>0</v>
      </c>
      <c r="N50" s="304"/>
    </row>
    <row r="51" spans="1:14" ht="31.5">
      <c r="A51" s="305"/>
      <c r="B51" s="305"/>
      <c r="C51" s="390" t="s">
        <v>456</v>
      </c>
      <c r="D51" s="305"/>
      <c r="E51" s="306"/>
      <c r="F51" s="1113"/>
      <c r="G51" s="1345"/>
      <c r="H51" s="1345"/>
      <c r="I51" s="1345"/>
      <c r="J51" s="1345"/>
      <c r="K51" s="1345"/>
      <c r="L51" s="1345"/>
      <c r="M51" s="1346">
        <f>H50*F51</f>
        <v>0</v>
      </c>
      <c r="N51" s="301"/>
    </row>
    <row r="52" spans="1:14">
      <c r="A52" s="305"/>
      <c r="B52" s="305"/>
      <c r="C52" s="307" t="s">
        <v>70</v>
      </c>
      <c r="D52" s="305"/>
      <c r="E52" s="306"/>
      <c r="F52" s="127"/>
      <c r="G52" s="1345"/>
      <c r="H52" s="1345"/>
      <c r="I52" s="1345"/>
      <c r="J52" s="1347"/>
      <c r="K52" s="1345"/>
      <c r="L52" s="1345"/>
      <c r="M52" s="1346">
        <f>M50+M51</f>
        <v>0</v>
      </c>
      <c r="N52" s="301"/>
    </row>
    <row r="53" spans="1:14" ht="31.5">
      <c r="A53" s="735"/>
      <c r="B53" s="308"/>
      <c r="C53" s="578" t="s">
        <v>613</v>
      </c>
      <c r="D53" s="618"/>
      <c r="E53" s="237"/>
      <c r="F53" s="1113"/>
      <c r="G53" s="1284"/>
      <c r="H53" s="1284"/>
      <c r="I53" s="1284"/>
      <c r="J53" s="1284"/>
      <c r="K53" s="1284"/>
      <c r="L53" s="1284"/>
      <c r="M53" s="1284">
        <f>J50*F53</f>
        <v>0</v>
      </c>
      <c r="N53" s="301"/>
    </row>
    <row r="54" spans="1:14">
      <c r="A54" s="735"/>
      <c r="B54" s="735"/>
      <c r="C54" s="307" t="s">
        <v>70</v>
      </c>
      <c r="D54" s="735"/>
      <c r="E54" s="54"/>
      <c r="F54" s="239"/>
      <c r="G54" s="1303"/>
      <c r="H54" s="1303"/>
      <c r="I54" s="1303"/>
      <c r="J54" s="1303"/>
      <c r="K54" s="1303"/>
      <c r="L54" s="1303"/>
      <c r="M54" s="1303">
        <f>M52+M53</f>
        <v>0</v>
      </c>
      <c r="N54" s="301"/>
    </row>
    <row r="55" spans="1:14">
      <c r="A55" s="735"/>
      <c r="B55" s="735"/>
      <c r="C55" s="579" t="s">
        <v>936</v>
      </c>
      <c r="D55" s="735"/>
      <c r="E55" s="54"/>
      <c r="F55" s="1113"/>
      <c r="G55" s="1303"/>
      <c r="H55" s="1303"/>
      <c r="I55" s="1303"/>
      <c r="J55" s="1303"/>
      <c r="K55" s="1303"/>
      <c r="L55" s="1303"/>
      <c r="M55" s="1303">
        <f>M54*F55</f>
        <v>0</v>
      </c>
      <c r="N55" s="301"/>
    </row>
    <row r="56" spans="1:14" s="1096" customFormat="1">
      <c r="A56" s="985"/>
      <c r="B56" s="985"/>
      <c r="C56" s="995" t="s">
        <v>1035</v>
      </c>
      <c r="D56" s="985"/>
      <c r="E56" s="992"/>
      <c r="F56" s="986"/>
      <c r="G56" s="1313"/>
      <c r="H56" s="1313"/>
      <c r="I56" s="1313"/>
      <c r="J56" s="1313"/>
      <c r="K56" s="1313"/>
      <c r="L56" s="1313"/>
      <c r="M56" s="1313">
        <f>M54+M55</f>
        <v>0</v>
      </c>
      <c r="N56" s="1095"/>
    </row>
    <row r="57" spans="1:14">
      <c r="A57" s="609" t="s">
        <v>1036</v>
      </c>
      <c r="B57" s="742"/>
      <c r="C57" s="610" t="s">
        <v>405</v>
      </c>
      <c r="D57" s="742"/>
      <c r="E57" s="743"/>
      <c r="F57" s="744"/>
      <c r="G57" s="1298"/>
      <c r="H57" s="1298"/>
      <c r="I57" s="1298"/>
      <c r="J57" s="1298"/>
      <c r="K57" s="1298"/>
      <c r="L57" s="1298"/>
      <c r="M57" s="1298"/>
      <c r="N57" s="301"/>
    </row>
    <row r="58" spans="1:14" ht="90">
      <c r="A58" s="883">
        <v>2</v>
      </c>
      <c r="B58" s="310" t="s">
        <v>45</v>
      </c>
      <c r="C58" s="586" t="s">
        <v>567</v>
      </c>
      <c r="D58" s="735" t="s">
        <v>2</v>
      </c>
      <c r="E58" s="54"/>
      <c r="F58" s="49">
        <v>5</v>
      </c>
      <c r="G58" s="1310"/>
      <c r="H58" s="1299">
        <f t="shared" ref="H58:H62" si="2">F58*G58</f>
        <v>0</v>
      </c>
      <c r="I58" s="1300"/>
      <c r="J58" s="1284">
        <f>F58*I58</f>
        <v>0</v>
      </c>
      <c r="K58" s="1284"/>
      <c r="L58" s="1284"/>
      <c r="M58" s="1284">
        <f t="shared" ref="M58:M62" si="3">H58+J58+L58</f>
        <v>0</v>
      </c>
      <c r="N58" s="301"/>
    </row>
    <row r="59" spans="1:14" ht="144">
      <c r="A59" s="1130">
        <v>3</v>
      </c>
      <c r="B59" s="310"/>
      <c r="C59" s="777" t="s">
        <v>878</v>
      </c>
      <c r="D59" s="735" t="s">
        <v>75</v>
      </c>
      <c r="E59" s="54"/>
      <c r="F59" s="49">
        <v>2</v>
      </c>
      <c r="G59" s="1310"/>
      <c r="H59" s="1299">
        <f t="shared" si="2"/>
        <v>0</v>
      </c>
      <c r="I59" s="1300"/>
      <c r="J59" s="1284">
        <f>F59*I59</f>
        <v>0</v>
      </c>
      <c r="K59" s="1284"/>
      <c r="L59" s="1284"/>
      <c r="M59" s="1284">
        <f t="shared" si="3"/>
        <v>0</v>
      </c>
      <c r="N59" s="301"/>
    </row>
    <row r="60" spans="1:14">
      <c r="A60" s="1131"/>
      <c r="B60" s="310"/>
      <c r="C60" s="586" t="s">
        <v>569</v>
      </c>
      <c r="D60" s="735" t="s">
        <v>2</v>
      </c>
      <c r="E60" s="54"/>
      <c r="F60" s="49">
        <v>1</v>
      </c>
      <c r="G60" s="1310"/>
      <c r="H60" s="1299">
        <f t="shared" si="2"/>
        <v>0</v>
      </c>
      <c r="I60" s="1299"/>
      <c r="J60" s="1284"/>
      <c r="K60" s="1284"/>
      <c r="L60" s="1284"/>
      <c r="M60" s="1284">
        <f t="shared" si="3"/>
        <v>0</v>
      </c>
      <c r="N60" s="301"/>
    </row>
    <row r="61" spans="1:14">
      <c r="A61" s="1163" t="s">
        <v>59</v>
      </c>
      <c r="B61" s="311"/>
      <c r="C61" s="586" t="s">
        <v>571</v>
      </c>
      <c r="D61" s="735" t="s">
        <v>1</v>
      </c>
      <c r="E61" s="54"/>
      <c r="F61" s="239">
        <v>200</v>
      </c>
      <c r="G61" s="1310"/>
      <c r="H61" s="1299">
        <f t="shared" si="2"/>
        <v>0</v>
      </c>
      <c r="I61" s="1299"/>
      <c r="J61" s="1284"/>
      <c r="K61" s="1284"/>
      <c r="L61" s="1284"/>
      <c r="M61" s="1284">
        <f t="shared" si="3"/>
        <v>0</v>
      </c>
      <c r="N61" s="301"/>
    </row>
    <row r="62" spans="1:14">
      <c r="A62" s="1164"/>
      <c r="B62" s="311"/>
      <c r="C62" s="586" t="s">
        <v>572</v>
      </c>
      <c r="D62" s="735" t="s">
        <v>1</v>
      </c>
      <c r="E62" s="54"/>
      <c r="F62" s="239">
        <v>100</v>
      </c>
      <c r="G62" s="1310"/>
      <c r="H62" s="1299">
        <f t="shared" si="2"/>
        <v>0</v>
      </c>
      <c r="I62" s="1299"/>
      <c r="J62" s="1284"/>
      <c r="K62" s="1284"/>
      <c r="L62" s="1284"/>
      <c r="M62" s="1284">
        <f t="shared" si="3"/>
        <v>0</v>
      </c>
      <c r="N62" s="301"/>
    </row>
    <row r="63" spans="1:14">
      <c r="A63" s="1164"/>
      <c r="B63" s="311"/>
      <c r="C63" s="586" t="s">
        <v>573</v>
      </c>
      <c r="D63" s="735" t="s">
        <v>2</v>
      </c>
      <c r="E63" s="54"/>
      <c r="F63" s="239">
        <v>50</v>
      </c>
      <c r="G63" s="1310"/>
      <c r="H63" s="1299">
        <f>F63*G63</f>
        <v>0</v>
      </c>
      <c r="I63" s="1299"/>
      <c r="J63" s="1284"/>
      <c r="K63" s="1284"/>
      <c r="L63" s="1284"/>
      <c r="M63" s="1284">
        <f>H63+J63+L63</f>
        <v>0</v>
      </c>
      <c r="N63" s="301"/>
    </row>
    <row r="64" spans="1:14">
      <c r="A64" s="618"/>
      <c r="B64" s="618"/>
      <c r="C64" s="578"/>
      <c r="D64" s="618"/>
      <c r="E64" s="237"/>
      <c r="F64" s="740"/>
      <c r="G64" s="1284"/>
      <c r="H64" s="1284"/>
      <c r="I64" s="1284"/>
      <c r="J64" s="1284"/>
      <c r="K64" s="1284"/>
      <c r="L64" s="1284"/>
      <c r="M64" s="1284"/>
      <c r="N64" s="301"/>
    </row>
    <row r="65" spans="1:14">
      <c r="A65" s="143"/>
      <c r="B65" s="143"/>
      <c r="C65" s="142" t="s">
        <v>1037</v>
      </c>
      <c r="D65" s="143"/>
      <c r="E65" s="281"/>
      <c r="F65" s="214"/>
      <c r="G65" s="1318"/>
      <c r="H65" s="1318">
        <f>SUM(H57:H64)</f>
        <v>0</v>
      </c>
      <c r="I65" s="1318"/>
      <c r="J65" s="1318">
        <f>SUM(J57:J64)</f>
        <v>0</v>
      </c>
      <c r="K65" s="1318"/>
      <c r="L65" s="1318">
        <f>SUM(L57:L64)</f>
        <v>0</v>
      </c>
      <c r="M65" s="1318">
        <f>SUM(M57:M64)</f>
        <v>0</v>
      </c>
      <c r="N65" s="304"/>
    </row>
    <row r="66" spans="1:14" ht="31.5">
      <c r="A66" s="305"/>
      <c r="B66" s="305"/>
      <c r="C66" s="390" t="s">
        <v>456</v>
      </c>
      <c r="D66" s="305"/>
      <c r="E66" s="306"/>
      <c r="F66" s="1113"/>
      <c r="G66" s="1345"/>
      <c r="H66" s="1345"/>
      <c r="I66" s="1345"/>
      <c r="J66" s="1345"/>
      <c r="K66" s="1345"/>
      <c r="L66" s="1345"/>
      <c r="M66" s="1346">
        <f>H65*F66</f>
        <v>0</v>
      </c>
      <c r="N66" s="301"/>
    </row>
    <row r="67" spans="1:14">
      <c r="A67" s="305"/>
      <c r="B67" s="305"/>
      <c r="C67" s="307" t="s">
        <v>70</v>
      </c>
      <c r="D67" s="305"/>
      <c r="E67" s="306"/>
      <c r="F67" s="127"/>
      <c r="G67" s="1345"/>
      <c r="H67" s="1345"/>
      <c r="I67" s="1345"/>
      <c r="J67" s="1347"/>
      <c r="K67" s="1345"/>
      <c r="L67" s="1345"/>
      <c r="M67" s="1346">
        <f>M65+M66</f>
        <v>0</v>
      </c>
      <c r="N67" s="301"/>
    </row>
    <row r="68" spans="1:14" ht="31.5">
      <c r="A68" s="735"/>
      <c r="B68" s="308"/>
      <c r="C68" s="578" t="s">
        <v>614</v>
      </c>
      <c r="D68" s="618"/>
      <c r="E68" s="237"/>
      <c r="F68" s="1113"/>
      <c r="G68" s="1284"/>
      <c r="H68" s="1284"/>
      <c r="I68" s="1284"/>
      <c r="J68" s="1284"/>
      <c r="K68" s="1284"/>
      <c r="L68" s="1284"/>
      <c r="M68" s="1284">
        <f>J65*F68</f>
        <v>0</v>
      </c>
      <c r="N68" s="301"/>
    </row>
    <row r="69" spans="1:14">
      <c r="A69" s="735"/>
      <c r="B69" s="735"/>
      <c r="C69" s="307" t="s">
        <v>70</v>
      </c>
      <c r="D69" s="735"/>
      <c r="E69" s="54"/>
      <c r="F69" s="239"/>
      <c r="G69" s="1303"/>
      <c r="H69" s="1303"/>
      <c r="I69" s="1303"/>
      <c r="J69" s="1303"/>
      <c r="K69" s="1303"/>
      <c r="L69" s="1303"/>
      <c r="M69" s="1303">
        <f>M67+M68</f>
        <v>0</v>
      </c>
      <c r="N69" s="301"/>
    </row>
    <row r="70" spans="1:14">
      <c r="A70" s="735"/>
      <c r="B70" s="735"/>
      <c r="C70" s="579" t="s">
        <v>936</v>
      </c>
      <c r="D70" s="735"/>
      <c r="E70" s="54"/>
      <c r="F70" s="1113"/>
      <c r="G70" s="1303"/>
      <c r="H70" s="1303"/>
      <c r="I70" s="1303"/>
      <c r="J70" s="1303"/>
      <c r="K70" s="1303"/>
      <c r="L70" s="1303"/>
      <c r="M70" s="1303">
        <f>M69*F70</f>
        <v>0</v>
      </c>
      <c r="N70" s="301"/>
    </row>
    <row r="71" spans="1:14" s="1096" customFormat="1">
      <c r="A71" s="985"/>
      <c r="B71" s="985"/>
      <c r="C71" s="995" t="s">
        <v>1038</v>
      </c>
      <c r="D71" s="985"/>
      <c r="E71" s="992"/>
      <c r="F71" s="986"/>
      <c r="G71" s="1313"/>
      <c r="H71" s="1313"/>
      <c r="I71" s="1313"/>
      <c r="J71" s="1313"/>
      <c r="K71" s="1313"/>
      <c r="L71" s="1313"/>
      <c r="M71" s="1313">
        <f>M69+M70</f>
        <v>0</v>
      </c>
      <c r="N71" s="1095"/>
    </row>
    <row r="72" spans="1:14" ht="31.5">
      <c r="A72" s="609" t="s">
        <v>653</v>
      </c>
      <c r="B72" s="742"/>
      <c r="C72" s="610" t="s">
        <v>406</v>
      </c>
      <c r="D72" s="742"/>
      <c r="E72" s="743"/>
      <c r="F72" s="744"/>
      <c r="G72" s="1298"/>
      <c r="H72" s="1298"/>
      <c r="I72" s="1298"/>
      <c r="J72" s="1298"/>
      <c r="K72" s="1298"/>
      <c r="L72" s="1298"/>
      <c r="M72" s="1298"/>
      <c r="N72" s="301"/>
    </row>
    <row r="73" spans="1:14" ht="31.5">
      <c r="A73" s="1141">
        <v>1</v>
      </c>
      <c r="B73" s="87" t="s">
        <v>1027</v>
      </c>
      <c r="C73" s="312" t="s">
        <v>577</v>
      </c>
      <c r="D73" s="733" t="s">
        <v>75</v>
      </c>
      <c r="E73" s="98"/>
      <c r="F73" s="49">
        <v>1</v>
      </c>
      <c r="G73" s="1299"/>
      <c r="H73" s="1299"/>
      <c r="I73" s="1299"/>
      <c r="J73" s="1299"/>
      <c r="K73" s="1299"/>
      <c r="L73" s="1299"/>
      <c r="M73" s="1299"/>
      <c r="N73" s="301"/>
    </row>
    <row r="74" spans="1:14">
      <c r="A74" s="1166"/>
      <c r="B74" s="733" t="s">
        <v>45</v>
      </c>
      <c r="C74" s="177" t="s">
        <v>39</v>
      </c>
      <c r="D74" s="733" t="s">
        <v>75</v>
      </c>
      <c r="E74" s="54">
        <v>1</v>
      </c>
      <c r="F74" s="239">
        <f>F73*E74</f>
        <v>1</v>
      </c>
      <c r="G74" s="1299"/>
      <c r="H74" s="1299"/>
      <c r="I74" s="1300"/>
      <c r="J74" s="1299">
        <f>F74*I74</f>
        <v>0</v>
      </c>
      <c r="K74" s="1299"/>
      <c r="L74" s="1299"/>
      <c r="M74" s="1299">
        <f t="shared" ref="M74:M105" si="4">H74+J74+L74</f>
        <v>0</v>
      </c>
      <c r="N74" s="301"/>
    </row>
    <row r="75" spans="1:14">
      <c r="A75" s="1166"/>
      <c r="B75" s="733"/>
      <c r="C75" s="586" t="s">
        <v>578</v>
      </c>
      <c r="D75" s="733" t="s">
        <v>75</v>
      </c>
      <c r="E75" s="98"/>
      <c r="F75" s="239">
        <v>1</v>
      </c>
      <c r="G75" s="1300"/>
      <c r="H75" s="1299">
        <f t="shared" ref="H75:H105" si="5">F75*G75</f>
        <v>0</v>
      </c>
      <c r="I75" s="1299"/>
      <c r="J75" s="1299"/>
      <c r="K75" s="1299"/>
      <c r="L75" s="1299"/>
      <c r="M75" s="1299">
        <f t="shared" si="4"/>
        <v>0</v>
      </c>
      <c r="N75" s="301"/>
    </row>
    <row r="76" spans="1:14">
      <c r="A76" s="1166"/>
      <c r="B76" s="733"/>
      <c r="C76" s="185" t="s">
        <v>874</v>
      </c>
      <c r="D76" s="733" t="s">
        <v>2</v>
      </c>
      <c r="E76" s="98"/>
      <c r="F76" s="239">
        <v>1</v>
      </c>
      <c r="G76" s="1300"/>
      <c r="H76" s="1299">
        <f t="shared" si="5"/>
        <v>0</v>
      </c>
      <c r="I76" s="1299"/>
      <c r="J76" s="1299"/>
      <c r="K76" s="1299"/>
      <c r="L76" s="1299"/>
      <c r="M76" s="1299">
        <f t="shared" si="4"/>
        <v>0</v>
      </c>
      <c r="N76" s="301"/>
    </row>
    <row r="77" spans="1:14">
      <c r="A77" s="1166"/>
      <c r="B77" s="733"/>
      <c r="C77" s="586" t="s">
        <v>875</v>
      </c>
      <c r="D77" s="733" t="s">
        <v>75</v>
      </c>
      <c r="E77" s="98"/>
      <c r="F77" s="239">
        <v>1</v>
      </c>
      <c r="G77" s="1300"/>
      <c r="H77" s="1299">
        <f t="shared" si="5"/>
        <v>0</v>
      </c>
      <c r="I77" s="1299"/>
      <c r="J77" s="1299"/>
      <c r="K77" s="1299"/>
      <c r="L77" s="1299"/>
      <c r="M77" s="1299">
        <f t="shared" si="4"/>
        <v>0</v>
      </c>
      <c r="N77" s="301"/>
    </row>
    <row r="78" spans="1:14">
      <c r="A78" s="1141">
        <v>2</v>
      </c>
      <c r="B78" s="87" t="s">
        <v>407</v>
      </c>
      <c r="C78" s="312" t="s">
        <v>408</v>
      </c>
      <c r="D78" s="733" t="s">
        <v>1</v>
      </c>
      <c r="E78" s="98"/>
      <c r="F78" s="49">
        <f>F81</f>
        <v>200</v>
      </c>
      <c r="G78" s="1299"/>
      <c r="H78" s="1299"/>
      <c r="I78" s="1299"/>
      <c r="J78" s="1299"/>
      <c r="K78" s="1299"/>
      <c r="L78" s="1299"/>
      <c r="M78" s="1299">
        <f t="shared" si="4"/>
        <v>0</v>
      </c>
      <c r="N78" s="301"/>
    </row>
    <row r="79" spans="1:14">
      <c r="A79" s="1166"/>
      <c r="B79" s="733"/>
      <c r="C79" s="177" t="s">
        <v>33</v>
      </c>
      <c r="D79" s="733" t="s">
        <v>1</v>
      </c>
      <c r="E79" s="54">
        <v>0.22</v>
      </c>
      <c r="F79" s="239">
        <f>E79*F78</f>
        <v>44</v>
      </c>
      <c r="G79" s="1303"/>
      <c r="H79" s="1299"/>
      <c r="I79" s="1334"/>
      <c r="J79" s="1299">
        <f>F79*I79</f>
        <v>0</v>
      </c>
      <c r="K79" s="1333"/>
      <c r="L79" s="1299"/>
      <c r="M79" s="1299">
        <f t="shared" si="4"/>
        <v>0</v>
      </c>
      <c r="N79" s="301"/>
    </row>
    <row r="80" spans="1:14">
      <c r="A80" s="1166"/>
      <c r="B80" s="733"/>
      <c r="C80" s="177" t="s">
        <v>36</v>
      </c>
      <c r="D80" s="735" t="s">
        <v>24</v>
      </c>
      <c r="E80" s="54">
        <v>3.8199999999999998E-2</v>
      </c>
      <c r="F80" s="239">
        <f>E80*F78</f>
        <v>7.64</v>
      </c>
      <c r="G80" s="1303"/>
      <c r="H80" s="1299"/>
      <c r="I80" s="1299"/>
      <c r="J80" s="1299"/>
      <c r="K80" s="1334"/>
      <c r="L80" s="1299">
        <f>F80*K80</f>
        <v>0</v>
      </c>
      <c r="M80" s="1299">
        <f t="shared" si="4"/>
        <v>0</v>
      </c>
      <c r="N80" s="301"/>
    </row>
    <row r="81" spans="1:14" ht="30">
      <c r="A81" s="1166"/>
      <c r="B81" s="733"/>
      <c r="C81" s="586" t="s">
        <v>574</v>
      </c>
      <c r="D81" s="313" t="str">
        <f>D78</f>
        <v>g/m</v>
      </c>
      <c r="E81" s="54">
        <v>1</v>
      </c>
      <c r="F81" s="239">
        <v>200</v>
      </c>
      <c r="G81" s="1310"/>
      <c r="H81" s="1299">
        <f t="shared" si="5"/>
        <v>0</v>
      </c>
      <c r="I81" s="1333"/>
      <c r="J81" s="1299"/>
      <c r="K81" s="1348"/>
      <c r="L81" s="1299"/>
      <c r="M81" s="1299">
        <f t="shared" si="4"/>
        <v>0</v>
      </c>
      <c r="N81" s="301"/>
    </row>
    <row r="82" spans="1:14">
      <c r="A82" s="1166"/>
      <c r="B82" s="733"/>
      <c r="C82" s="586" t="s">
        <v>575</v>
      </c>
      <c r="D82" s="313" t="str">
        <f>D79</f>
        <v>g/m</v>
      </c>
      <c r="E82" s="54"/>
      <c r="F82" s="239">
        <v>600</v>
      </c>
      <c r="G82" s="1310"/>
      <c r="H82" s="1299">
        <f>F82*G82</f>
        <v>0</v>
      </c>
      <c r="I82" s="1333"/>
      <c r="J82" s="1299"/>
      <c r="K82" s="1348"/>
      <c r="L82" s="1299"/>
      <c r="M82" s="1299">
        <f>H82+J82+L82</f>
        <v>0</v>
      </c>
      <c r="N82" s="301"/>
    </row>
    <row r="83" spans="1:14" ht="45">
      <c r="A83" s="1166"/>
      <c r="B83" s="733"/>
      <c r="C83" s="217" t="s">
        <v>579</v>
      </c>
      <c r="D83" s="313" t="s">
        <v>24</v>
      </c>
      <c r="E83" s="54"/>
      <c r="F83" s="239">
        <v>1</v>
      </c>
      <c r="G83" s="1310"/>
      <c r="H83" s="1299">
        <f t="shared" si="5"/>
        <v>0</v>
      </c>
      <c r="I83" s="1333"/>
      <c r="J83" s="1299"/>
      <c r="K83" s="1348"/>
      <c r="L83" s="1299"/>
      <c r="M83" s="1299">
        <f t="shared" si="4"/>
        <v>0</v>
      </c>
      <c r="N83" s="301"/>
    </row>
    <row r="84" spans="1:14">
      <c r="A84" s="1142"/>
      <c r="B84" s="733"/>
      <c r="C84" s="177" t="s">
        <v>32</v>
      </c>
      <c r="D84" s="735" t="s">
        <v>24</v>
      </c>
      <c r="E84" s="54">
        <v>6.5799999999999997E-2</v>
      </c>
      <c r="F84" s="239">
        <f>E84*F78</f>
        <v>13.16</v>
      </c>
      <c r="G84" s="1310"/>
      <c r="H84" s="1299">
        <f t="shared" si="5"/>
        <v>0</v>
      </c>
      <c r="I84" s="1333"/>
      <c r="J84" s="1299"/>
      <c r="K84" s="1348"/>
      <c r="L84" s="1299"/>
      <c r="M84" s="1299">
        <f t="shared" si="4"/>
        <v>0</v>
      </c>
      <c r="N84" s="301"/>
    </row>
    <row r="85" spans="1:14" ht="27">
      <c r="A85" s="1167">
        <v>3</v>
      </c>
      <c r="B85" s="1023" t="s">
        <v>409</v>
      </c>
      <c r="C85" s="176" t="s">
        <v>410</v>
      </c>
      <c r="D85" s="736" t="s">
        <v>118</v>
      </c>
      <c r="E85" s="314"/>
      <c r="F85" s="249">
        <f>F87+F88</f>
        <v>21</v>
      </c>
      <c r="G85" s="1304"/>
      <c r="H85" s="1299"/>
      <c r="I85" s="1332"/>
      <c r="J85" s="1299"/>
      <c r="K85" s="1304"/>
      <c r="L85" s="1299"/>
      <c r="M85" s="1299"/>
      <c r="N85" s="301"/>
    </row>
    <row r="86" spans="1:14">
      <c r="A86" s="1167"/>
      <c r="B86" s="735"/>
      <c r="C86" s="177" t="s">
        <v>27</v>
      </c>
      <c r="D86" s="313" t="s">
        <v>29</v>
      </c>
      <c r="E86" s="315">
        <v>0.39200000000000002</v>
      </c>
      <c r="F86" s="255">
        <f>F85*E86</f>
        <v>8.2320000000000011</v>
      </c>
      <c r="G86" s="1333"/>
      <c r="H86" s="1299"/>
      <c r="I86" s="1310"/>
      <c r="J86" s="1299">
        <f>F86*I86</f>
        <v>0</v>
      </c>
      <c r="K86" s="1303"/>
      <c r="L86" s="1299"/>
      <c r="M86" s="1299">
        <f t="shared" si="4"/>
        <v>0</v>
      </c>
      <c r="N86" s="301"/>
    </row>
    <row r="87" spans="1:14">
      <c r="A87" s="1167"/>
      <c r="B87" s="735"/>
      <c r="C87" s="586" t="s">
        <v>712</v>
      </c>
      <c r="D87" s="313" t="s">
        <v>75</v>
      </c>
      <c r="E87" s="315"/>
      <c r="F87" s="255">
        <v>10</v>
      </c>
      <c r="G87" s="1334"/>
      <c r="H87" s="1299">
        <f t="shared" si="5"/>
        <v>0</v>
      </c>
      <c r="I87" s="1299"/>
      <c r="J87" s="1299"/>
      <c r="K87" s="1303"/>
      <c r="L87" s="1299"/>
      <c r="M87" s="1299">
        <f t="shared" si="4"/>
        <v>0</v>
      </c>
      <c r="N87" s="301"/>
    </row>
    <row r="88" spans="1:14">
      <c r="A88" s="1167"/>
      <c r="B88" s="735"/>
      <c r="C88" s="586" t="s">
        <v>876</v>
      </c>
      <c r="D88" s="313" t="s">
        <v>75</v>
      </c>
      <c r="E88" s="316"/>
      <c r="F88" s="317">
        <v>11</v>
      </c>
      <c r="G88" s="1334"/>
      <c r="H88" s="1299">
        <f t="shared" si="5"/>
        <v>0</v>
      </c>
      <c r="I88" s="1299"/>
      <c r="J88" s="1299"/>
      <c r="K88" s="1303"/>
      <c r="L88" s="1299"/>
      <c r="M88" s="1299">
        <f t="shared" si="4"/>
        <v>0</v>
      </c>
      <c r="N88" s="301"/>
    </row>
    <row r="89" spans="1:14">
      <c r="A89" s="1167"/>
      <c r="B89" s="735"/>
      <c r="C89" s="586" t="s">
        <v>576</v>
      </c>
      <c r="D89" s="313" t="s">
        <v>2</v>
      </c>
      <c r="E89" s="316"/>
      <c r="F89" s="317">
        <f>F85</f>
        <v>21</v>
      </c>
      <c r="G89" s="1334"/>
      <c r="H89" s="1299">
        <f t="shared" si="5"/>
        <v>0</v>
      </c>
      <c r="I89" s="1299"/>
      <c r="J89" s="1299"/>
      <c r="K89" s="1303"/>
      <c r="L89" s="1299"/>
      <c r="M89" s="1299">
        <f t="shared" si="4"/>
        <v>0</v>
      </c>
      <c r="N89" s="301"/>
    </row>
    <row r="90" spans="1:14">
      <c r="A90" s="1167"/>
      <c r="B90" s="735"/>
      <c r="C90" s="177" t="s">
        <v>37</v>
      </c>
      <c r="D90" s="313" t="s">
        <v>24</v>
      </c>
      <c r="E90" s="316">
        <f>9.4/100</f>
        <v>9.4E-2</v>
      </c>
      <c r="F90" s="196">
        <f>F85*E90</f>
        <v>1.974</v>
      </c>
      <c r="G90" s="1310"/>
      <c r="H90" s="1299">
        <f t="shared" si="5"/>
        <v>0</v>
      </c>
      <c r="I90" s="1303"/>
      <c r="J90" s="1299"/>
      <c r="K90" s="1303"/>
      <c r="L90" s="1299"/>
      <c r="M90" s="1299">
        <f t="shared" si="4"/>
        <v>0</v>
      </c>
      <c r="N90" s="301"/>
    </row>
    <row r="91" spans="1:14">
      <c r="A91" s="1141">
        <v>5</v>
      </c>
      <c r="B91" s="569" t="s">
        <v>1026</v>
      </c>
      <c r="C91" s="312" t="s">
        <v>411</v>
      </c>
      <c r="D91" s="318" t="s">
        <v>75</v>
      </c>
      <c r="E91" s="148"/>
      <c r="F91" s="49">
        <f>F93</f>
        <v>1</v>
      </c>
      <c r="G91" s="1335"/>
      <c r="H91" s="1299"/>
      <c r="I91" s="1335"/>
      <c r="J91" s="1299"/>
      <c r="K91" s="1299"/>
      <c r="L91" s="1299"/>
      <c r="M91" s="1299"/>
      <c r="N91" s="301"/>
    </row>
    <row r="92" spans="1:14">
      <c r="A92" s="1166"/>
      <c r="B92" s="733" t="s">
        <v>45</v>
      </c>
      <c r="C92" s="319" t="s">
        <v>214</v>
      </c>
      <c r="D92" s="318" t="s">
        <v>29</v>
      </c>
      <c r="E92" s="148">
        <v>1</v>
      </c>
      <c r="F92" s="320">
        <f>F91*E92</f>
        <v>1</v>
      </c>
      <c r="G92" s="1335"/>
      <c r="H92" s="1299"/>
      <c r="I92" s="1336"/>
      <c r="J92" s="1299">
        <f>F92*I92</f>
        <v>0</v>
      </c>
      <c r="K92" s="1299"/>
      <c r="L92" s="1299"/>
      <c r="M92" s="1299">
        <f t="shared" si="4"/>
        <v>0</v>
      </c>
      <c r="N92" s="301"/>
    </row>
    <row r="93" spans="1:14">
      <c r="A93" s="1166"/>
      <c r="B93" s="318"/>
      <c r="C93" s="586" t="s">
        <v>877</v>
      </c>
      <c r="D93" s="321" t="s">
        <v>75</v>
      </c>
      <c r="E93" s="322"/>
      <c r="F93" s="152">
        <v>1</v>
      </c>
      <c r="G93" s="1336"/>
      <c r="H93" s="1299">
        <f t="shared" si="5"/>
        <v>0</v>
      </c>
      <c r="I93" s="1335"/>
      <c r="J93" s="1299"/>
      <c r="K93" s="1299"/>
      <c r="L93" s="1299"/>
      <c r="M93" s="1299">
        <f t="shared" si="4"/>
        <v>0</v>
      </c>
      <c r="N93" s="301"/>
    </row>
    <row r="94" spans="1:14">
      <c r="A94" s="1142"/>
      <c r="B94" s="318"/>
      <c r="C94" s="177" t="s">
        <v>37</v>
      </c>
      <c r="D94" s="318" t="s">
        <v>24</v>
      </c>
      <c r="E94" s="148">
        <v>2.97</v>
      </c>
      <c r="F94" s="320">
        <f>F91*E94</f>
        <v>2.97</v>
      </c>
      <c r="G94" s="1336"/>
      <c r="H94" s="1299">
        <f t="shared" si="5"/>
        <v>0</v>
      </c>
      <c r="I94" s="1335"/>
      <c r="J94" s="1299"/>
      <c r="K94" s="1299"/>
      <c r="L94" s="1299"/>
      <c r="M94" s="1299">
        <f t="shared" si="4"/>
        <v>0</v>
      </c>
      <c r="N94" s="301"/>
    </row>
    <row r="95" spans="1:14">
      <c r="A95" s="1168" t="s">
        <v>324</v>
      </c>
      <c r="B95" s="569"/>
      <c r="C95" s="588" t="s">
        <v>580</v>
      </c>
      <c r="D95" s="569" t="s">
        <v>75</v>
      </c>
      <c r="E95" s="570"/>
      <c r="F95" s="149">
        <v>1</v>
      </c>
      <c r="G95" s="1336"/>
      <c r="H95" s="1299">
        <f t="shared" si="5"/>
        <v>0</v>
      </c>
      <c r="I95" s="1335"/>
      <c r="J95" s="1299"/>
      <c r="K95" s="1299"/>
      <c r="L95" s="1299"/>
      <c r="M95" s="1299">
        <f t="shared" si="4"/>
        <v>0</v>
      </c>
      <c r="N95" s="301"/>
    </row>
    <row r="96" spans="1:14">
      <c r="A96" s="1169"/>
      <c r="B96" s="733"/>
      <c r="C96" s="319" t="s">
        <v>214</v>
      </c>
      <c r="D96" s="318" t="s">
        <v>29</v>
      </c>
      <c r="E96" s="148">
        <v>1</v>
      </c>
      <c r="F96" s="320">
        <f>F95*E96</f>
        <v>1</v>
      </c>
      <c r="G96" s="1335"/>
      <c r="H96" s="1299"/>
      <c r="I96" s="1336"/>
      <c r="J96" s="1299">
        <f>F96*I96</f>
        <v>0</v>
      </c>
      <c r="K96" s="1299"/>
      <c r="L96" s="1299"/>
      <c r="M96" s="1299">
        <f>H96+J96+L96</f>
        <v>0</v>
      </c>
      <c r="N96" s="301"/>
    </row>
    <row r="97" spans="1:14">
      <c r="A97" s="1163">
        <v>6</v>
      </c>
      <c r="B97" s="228" t="s">
        <v>164</v>
      </c>
      <c r="C97" s="248" t="s">
        <v>412</v>
      </c>
      <c r="D97" s="51" t="s">
        <v>166</v>
      </c>
      <c r="E97" s="213"/>
      <c r="F97" s="159">
        <v>12</v>
      </c>
      <c r="G97" s="1303"/>
      <c r="H97" s="1299"/>
      <c r="I97" s="1299"/>
      <c r="J97" s="1299"/>
      <c r="K97" s="1299"/>
      <c r="L97" s="1299"/>
      <c r="M97" s="1299">
        <f t="shared" si="4"/>
        <v>0</v>
      </c>
      <c r="N97" s="301"/>
    </row>
    <row r="98" spans="1:14">
      <c r="A98" s="1164"/>
      <c r="B98" s="51"/>
      <c r="C98" s="219" t="s">
        <v>27</v>
      </c>
      <c r="D98" s="220" t="s">
        <v>137</v>
      </c>
      <c r="E98" s="224">
        <v>1.002</v>
      </c>
      <c r="F98" s="225">
        <f>F97*E98</f>
        <v>12.024000000000001</v>
      </c>
      <c r="G98" s="1303"/>
      <c r="H98" s="1299"/>
      <c r="I98" s="1300"/>
      <c r="J98" s="1299">
        <f>F98*I98</f>
        <v>0</v>
      </c>
      <c r="K98" s="1299"/>
      <c r="L98" s="1299"/>
      <c r="M98" s="1299">
        <f t="shared" si="4"/>
        <v>0</v>
      </c>
      <c r="N98" s="301"/>
    </row>
    <row r="99" spans="1:14">
      <c r="A99" s="1165"/>
      <c r="B99" s="228"/>
      <c r="C99" s="219" t="s">
        <v>167</v>
      </c>
      <c r="D99" s="220" t="s">
        <v>24</v>
      </c>
      <c r="E99" s="224">
        <v>0.49340000000000001</v>
      </c>
      <c r="F99" s="225">
        <f>F97*E99</f>
        <v>5.9207999999999998</v>
      </c>
      <c r="G99" s="1303"/>
      <c r="H99" s="1299"/>
      <c r="I99" s="1299"/>
      <c r="J99" s="1299"/>
      <c r="K99" s="1300"/>
      <c r="L99" s="1299">
        <f>F99*K99</f>
        <v>0</v>
      </c>
      <c r="M99" s="1299">
        <f t="shared" si="4"/>
        <v>0</v>
      </c>
      <c r="N99" s="301"/>
    </row>
    <row r="100" spans="1:14">
      <c r="A100" s="1162">
        <v>7</v>
      </c>
      <c r="B100" s="228" t="s">
        <v>171</v>
      </c>
      <c r="C100" s="248" t="s">
        <v>168</v>
      </c>
      <c r="D100" s="735" t="s">
        <v>5</v>
      </c>
      <c r="E100" s="323">
        <f>0.12*0.12</f>
        <v>1.44E-2</v>
      </c>
      <c r="F100" s="159">
        <f>F97*E100</f>
        <v>0.17280000000000001</v>
      </c>
      <c r="G100" s="1303"/>
      <c r="H100" s="1299"/>
      <c r="I100" s="1299"/>
      <c r="J100" s="1299"/>
      <c r="K100" s="1299"/>
      <c r="L100" s="1299"/>
      <c r="M100" s="1299"/>
      <c r="N100" s="301"/>
    </row>
    <row r="101" spans="1:14">
      <c r="A101" s="1162"/>
      <c r="B101" s="51"/>
      <c r="C101" s="178" t="s">
        <v>33</v>
      </c>
      <c r="D101" s="103" t="s">
        <v>29</v>
      </c>
      <c r="E101" s="111">
        <v>74.2</v>
      </c>
      <c r="F101" s="116">
        <f>F100*E101</f>
        <v>12.821760000000001</v>
      </c>
      <c r="G101" s="1301"/>
      <c r="H101" s="1299"/>
      <c r="I101" s="1300"/>
      <c r="J101" s="1299">
        <f>F101*I101</f>
        <v>0</v>
      </c>
      <c r="K101" s="1299"/>
      <c r="L101" s="1299"/>
      <c r="M101" s="1299">
        <f t="shared" si="4"/>
        <v>0</v>
      </c>
      <c r="N101" s="301"/>
    </row>
    <row r="102" spans="1:14">
      <c r="A102" s="1162"/>
      <c r="B102" s="51"/>
      <c r="C102" s="178" t="s">
        <v>35</v>
      </c>
      <c r="D102" s="103" t="s">
        <v>24</v>
      </c>
      <c r="E102" s="111">
        <v>1.1000000000000001</v>
      </c>
      <c r="F102" s="116">
        <f>F100*E102</f>
        <v>0.19008000000000003</v>
      </c>
      <c r="G102" s="1301"/>
      <c r="H102" s="1299"/>
      <c r="I102" s="1299"/>
      <c r="J102" s="1299"/>
      <c r="K102" s="1300"/>
      <c r="L102" s="1299">
        <f>F102*K102</f>
        <v>0</v>
      </c>
      <c r="M102" s="1299">
        <f t="shared" si="4"/>
        <v>0</v>
      </c>
      <c r="N102" s="301"/>
    </row>
    <row r="103" spans="1:14">
      <c r="A103" s="1162"/>
      <c r="B103" s="51"/>
      <c r="C103" s="184" t="s">
        <v>415</v>
      </c>
      <c r="D103" s="103" t="s">
        <v>4</v>
      </c>
      <c r="E103" s="111">
        <v>1.04</v>
      </c>
      <c r="F103" s="116">
        <f>F100*E103</f>
        <v>0.17971200000000001</v>
      </c>
      <c r="G103" s="1302"/>
      <c r="H103" s="1299">
        <f t="shared" si="5"/>
        <v>0</v>
      </c>
      <c r="I103" s="1299"/>
      <c r="J103" s="1299"/>
      <c r="K103" s="1299"/>
      <c r="L103" s="1299"/>
      <c r="M103" s="1299">
        <f t="shared" si="4"/>
        <v>0</v>
      </c>
      <c r="N103" s="301"/>
    </row>
    <row r="104" spans="1:14">
      <c r="A104" s="1162"/>
      <c r="B104" s="51"/>
      <c r="C104" s="178" t="s">
        <v>172</v>
      </c>
      <c r="D104" s="103" t="s">
        <v>6</v>
      </c>
      <c r="E104" s="111">
        <v>5.9</v>
      </c>
      <c r="F104" s="116">
        <f>F100*E104</f>
        <v>1.0195200000000002</v>
      </c>
      <c r="G104" s="1302"/>
      <c r="H104" s="1299">
        <f t="shared" si="5"/>
        <v>0</v>
      </c>
      <c r="I104" s="1299"/>
      <c r="J104" s="1299"/>
      <c r="K104" s="1299"/>
      <c r="L104" s="1299"/>
      <c r="M104" s="1299">
        <f t="shared" si="4"/>
        <v>0</v>
      </c>
      <c r="N104" s="301"/>
    </row>
    <row r="105" spans="1:14">
      <c r="A105" s="1162"/>
      <c r="B105" s="51"/>
      <c r="C105" s="178" t="s">
        <v>259</v>
      </c>
      <c r="D105" s="103" t="s">
        <v>4</v>
      </c>
      <c r="E105" s="111">
        <f>0.21+0.18</f>
        <v>0.39</v>
      </c>
      <c r="F105" s="116">
        <f>F100*E105</f>
        <v>6.7392000000000007E-2</v>
      </c>
      <c r="G105" s="1302"/>
      <c r="H105" s="1299">
        <f t="shared" si="5"/>
        <v>0</v>
      </c>
      <c r="I105" s="1299"/>
      <c r="J105" s="1299"/>
      <c r="K105" s="1299"/>
      <c r="L105" s="1299"/>
      <c r="M105" s="1299">
        <f t="shared" si="4"/>
        <v>0</v>
      </c>
      <c r="N105" s="301"/>
    </row>
    <row r="106" spans="1:14">
      <c r="A106" s="143"/>
      <c r="B106" s="143"/>
      <c r="C106" s="142" t="s">
        <v>1039</v>
      </c>
      <c r="D106" s="143"/>
      <c r="E106" s="281"/>
      <c r="F106" s="282"/>
      <c r="G106" s="1318"/>
      <c r="H106" s="1318">
        <f>SUM(H72:H105)</f>
        <v>0</v>
      </c>
      <c r="I106" s="1318"/>
      <c r="J106" s="1318">
        <f>SUM(J72:J105)</f>
        <v>0</v>
      </c>
      <c r="K106" s="1318"/>
      <c r="L106" s="1318">
        <f>SUM(L72:L105)</f>
        <v>0</v>
      </c>
      <c r="M106" s="1318">
        <f>SUM(M72:M105)</f>
        <v>0</v>
      </c>
      <c r="N106" s="304"/>
    </row>
    <row r="107" spans="1:14" ht="31.5">
      <c r="A107" s="305"/>
      <c r="B107" s="305"/>
      <c r="C107" s="390" t="s">
        <v>1070</v>
      </c>
      <c r="D107" s="305"/>
      <c r="E107" s="306"/>
      <c r="F107" s="1113"/>
      <c r="G107" s="1345"/>
      <c r="H107" s="1345"/>
      <c r="I107" s="1345"/>
      <c r="J107" s="1345"/>
      <c r="K107" s="1345"/>
      <c r="L107" s="1345"/>
      <c r="M107" s="1346">
        <f>H106*F107</f>
        <v>0</v>
      </c>
      <c r="N107" s="301"/>
    </row>
    <row r="108" spans="1:14">
      <c r="A108" s="305"/>
      <c r="B108" s="305"/>
      <c r="C108" s="307" t="s">
        <v>70</v>
      </c>
      <c r="D108" s="305"/>
      <c r="E108" s="306"/>
      <c r="F108" s="127"/>
      <c r="G108" s="1345"/>
      <c r="H108" s="1345"/>
      <c r="I108" s="1345"/>
      <c r="J108" s="1347"/>
      <c r="K108" s="1345"/>
      <c r="L108" s="1345"/>
      <c r="M108" s="1346">
        <f>M106+M107</f>
        <v>0</v>
      </c>
      <c r="N108" s="301"/>
    </row>
    <row r="109" spans="1:14" ht="31.5">
      <c r="A109" s="735"/>
      <c r="B109" s="308"/>
      <c r="C109" s="578" t="s">
        <v>615</v>
      </c>
      <c r="D109" s="618"/>
      <c r="E109" s="237"/>
      <c r="F109" s="1113"/>
      <c r="G109" s="1284"/>
      <c r="H109" s="1284"/>
      <c r="I109" s="1284"/>
      <c r="J109" s="1284"/>
      <c r="K109" s="1284"/>
      <c r="L109" s="1284"/>
      <c r="M109" s="1284">
        <f>J106*F109</f>
        <v>0</v>
      </c>
      <c r="N109" s="301"/>
    </row>
    <row r="110" spans="1:14">
      <c r="A110" s="735"/>
      <c r="B110" s="735"/>
      <c r="C110" s="307" t="s">
        <v>70</v>
      </c>
      <c r="D110" s="735"/>
      <c r="E110" s="54"/>
      <c r="F110" s="239"/>
      <c r="G110" s="1303"/>
      <c r="H110" s="1303"/>
      <c r="I110" s="1303"/>
      <c r="J110" s="1303"/>
      <c r="K110" s="1303"/>
      <c r="L110" s="1303"/>
      <c r="M110" s="1303">
        <f>M108+M109</f>
        <v>0</v>
      </c>
      <c r="N110" s="301"/>
    </row>
    <row r="111" spans="1:14">
      <c r="A111" s="735"/>
      <c r="B111" s="735"/>
      <c r="C111" s="579" t="s">
        <v>413</v>
      </c>
      <c r="D111" s="735"/>
      <c r="E111" s="54"/>
      <c r="F111" s="1113"/>
      <c r="G111" s="1303"/>
      <c r="H111" s="1303"/>
      <c r="I111" s="1303"/>
      <c r="J111" s="1303"/>
      <c r="K111" s="1303"/>
      <c r="L111" s="1303"/>
      <c r="M111" s="1303">
        <f>M110*F111</f>
        <v>0</v>
      </c>
      <c r="N111" s="301"/>
    </row>
    <row r="112" spans="1:14" s="1096" customFormat="1">
      <c r="A112" s="989"/>
      <c r="B112" s="989"/>
      <c r="C112" s="995" t="s">
        <v>1040</v>
      </c>
      <c r="D112" s="989"/>
      <c r="E112" s="991"/>
      <c r="F112" s="990"/>
      <c r="G112" s="1340"/>
      <c r="H112" s="1340"/>
      <c r="I112" s="1340"/>
      <c r="J112" s="1340"/>
      <c r="K112" s="1340"/>
      <c r="L112" s="1340"/>
      <c r="M112" s="1340">
        <f>M110+M111</f>
        <v>0</v>
      </c>
      <c r="N112" s="1095"/>
    </row>
    <row r="113" spans="1:14" s="1101" customFormat="1">
      <c r="A113" s="257"/>
      <c r="B113" s="56"/>
      <c r="C113" s="73" t="s">
        <v>1077</v>
      </c>
      <c r="D113" s="56"/>
      <c r="E113" s="244"/>
      <c r="F113" s="128"/>
      <c r="G113" s="1349"/>
      <c r="H113" s="1343"/>
      <c r="I113" s="1343"/>
      <c r="J113" s="1343"/>
      <c r="K113" s="1343"/>
      <c r="L113" s="1343"/>
      <c r="M113" s="1350">
        <f>M56+M71+M112</f>
        <v>0</v>
      </c>
      <c r="N113" s="1100"/>
    </row>
    <row r="114" spans="1:14" s="979" customFormat="1">
      <c r="A114" s="923" t="s">
        <v>1019</v>
      </c>
      <c r="B114" s="947"/>
      <c r="C114" s="939" t="s">
        <v>721</v>
      </c>
      <c r="D114" s="921"/>
      <c r="E114" s="922"/>
      <c r="F114" s="922"/>
      <c r="G114" s="1297"/>
      <c r="H114" s="1297"/>
      <c r="I114" s="1297"/>
      <c r="J114" s="1297"/>
      <c r="K114" s="1297"/>
      <c r="L114" s="1297"/>
      <c r="M114" s="1297"/>
      <c r="N114" s="978"/>
    </row>
    <row r="115" spans="1:14" ht="31.5">
      <c r="A115" s="609" t="s">
        <v>80</v>
      </c>
      <c r="B115" s="742"/>
      <c r="C115" s="610" t="s">
        <v>86</v>
      </c>
      <c r="D115" s="742"/>
      <c r="E115" s="743"/>
      <c r="F115" s="744"/>
      <c r="G115" s="1298"/>
      <c r="H115" s="1298"/>
      <c r="I115" s="1298"/>
      <c r="J115" s="1298"/>
      <c r="K115" s="1298"/>
      <c r="L115" s="1298"/>
      <c r="M115" s="1298"/>
      <c r="N115" s="301"/>
    </row>
    <row r="116" spans="1:14" ht="31.5">
      <c r="A116" s="1171">
        <v>2</v>
      </c>
      <c r="B116" s="1171" t="s">
        <v>304</v>
      </c>
      <c r="C116" s="176" t="s">
        <v>706</v>
      </c>
      <c r="D116" s="974" t="s">
        <v>305</v>
      </c>
      <c r="E116" s="99"/>
      <c r="F116" s="49">
        <f>F119</f>
        <v>16</v>
      </c>
      <c r="G116" s="1299"/>
      <c r="H116" s="1299"/>
      <c r="I116" s="1299"/>
      <c r="J116" s="1299"/>
      <c r="K116" s="1299"/>
      <c r="L116" s="1299"/>
      <c r="M116" s="1299"/>
      <c r="N116" s="301"/>
    </row>
    <row r="117" spans="1:14">
      <c r="A117" s="1172"/>
      <c r="B117" s="1172"/>
      <c r="C117" s="177" t="s">
        <v>39</v>
      </c>
      <c r="D117" s="975" t="s">
        <v>204</v>
      </c>
      <c r="E117" s="54">
        <v>2</v>
      </c>
      <c r="F117" s="239">
        <f>E117*F116</f>
        <v>32</v>
      </c>
      <c r="G117" s="1299"/>
      <c r="H117" s="1299"/>
      <c r="I117" s="1300"/>
      <c r="J117" s="1299">
        <f>F117*I117</f>
        <v>0</v>
      </c>
      <c r="K117" s="1299"/>
      <c r="L117" s="1299"/>
      <c r="M117" s="1299">
        <f>H117+J117+L117</f>
        <v>0</v>
      </c>
      <c r="N117" s="301"/>
    </row>
    <row r="118" spans="1:14">
      <c r="A118" s="1172"/>
      <c r="B118" s="1172"/>
      <c r="C118" s="177" t="s">
        <v>32</v>
      </c>
      <c r="D118" s="975" t="s">
        <v>149</v>
      </c>
      <c r="E118" s="54">
        <v>0.28000000000000003</v>
      </c>
      <c r="F118" s="239">
        <f>E118*F116</f>
        <v>4.4800000000000004</v>
      </c>
      <c r="G118" s="1300"/>
      <c r="H118" s="1299">
        <f>F118*G118</f>
        <v>0</v>
      </c>
      <c r="I118" s="1299"/>
      <c r="J118" s="1299"/>
      <c r="K118" s="1299"/>
      <c r="L118" s="1299"/>
      <c r="M118" s="1299">
        <f>H118+J118+L118</f>
        <v>0</v>
      </c>
      <c r="N118" s="301"/>
    </row>
    <row r="119" spans="1:14" ht="31.5">
      <c r="A119" s="1173"/>
      <c r="B119" s="1173"/>
      <c r="C119" s="177" t="s">
        <v>707</v>
      </c>
      <c r="D119" s="975" t="s">
        <v>305</v>
      </c>
      <c r="E119" s="54"/>
      <c r="F119" s="239">
        <v>16</v>
      </c>
      <c r="G119" s="1300"/>
      <c r="H119" s="1299">
        <f>F119*G119</f>
        <v>0</v>
      </c>
      <c r="I119" s="1299"/>
      <c r="J119" s="1299"/>
      <c r="K119" s="1299"/>
      <c r="L119" s="1299"/>
      <c r="M119" s="1299">
        <f>H119+J119+L119</f>
        <v>0</v>
      </c>
      <c r="N119" s="301"/>
    </row>
    <row r="120" spans="1:14" ht="31.5">
      <c r="A120" s="1170">
        <v>4</v>
      </c>
      <c r="B120" s="1170" t="s">
        <v>306</v>
      </c>
      <c r="C120" s="176" t="s">
        <v>708</v>
      </c>
      <c r="D120" s="975"/>
      <c r="E120" s="54"/>
      <c r="F120" s="49">
        <f>F123</f>
        <v>3</v>
      </c>
      <c r="G120" s="1299"/>
      <c r="H120" s="1299"/>
      <c r="I120" s="1299"/>
      <c r="J120" s="1299"/>
      <c r="K120" s="1299"/>
      <c r="L120" s="1299"/>
      <c r="M120" s="1299"/>
      <c r="N120" s="301"/>
    </row>
    <row r="121" spans="1:14">
      <c r="A121" s="1170"/>
      <c r="B121" s="1170"/>
      <c r="C121" s="177" t="s">
        <v>39</v>
      </c>
      <c r="D121" s="975" t="s">
        <v>204</v>
      </c>
      <c r="E121" s="54">
        <v>2</v>
      </c>
      <c r="F121" s="239">
        <f>E121*F120</f>
        <v>6</v>
      </c>
      <c r="G121" s="1299"/>
      <c r="H121" s="1299"/>
      <c r="I121" s="1300"/>
      <c r="J121" s="1299">
        <f>F121*I121</f>
        <v>0</v>
      </c>
      <c r="K121" s="1299"/>
      <c r="L121" s="1299"/>
      <c r="M121" s="1299">
        <f>H121+J121+L121</f>
        <v>0</v>
      </c>
      <c r="N121" s="301"/>
    </row>
    <row r="122" spans="1:14">
      <c r="A122" s="1170"/>
      <c r="B122" s="1170"/>
      <c r="C122" s="185" t="s">
        <v>32</v>
      </c>
      <c r="D122" s="975" t="s">
        <v>149</v>
      </c>
      <c r="E122" s="54">
        <v>0.14000000000000001</v>
      </c>
      <c r="F122" s="239">
        <f>E122*F120</f>
        <v>0.42000000000000004</v>
      </c>
      <c r="G122" s="1300"/>
      <c r="H122" s="1299">
        <f>F122*G122</f>
        <v>0</v>
      </c>
      <c r="I122" s="1299"/>
      <c r="J122" s="1299"/>
      <c r="K122" s="1299"/>
      <c r="L122" s="1299"/>
      <c r="M122" s="1299">
        <f>H122+J122+L122</f>
        <v>0</v>
      </c>
      <c r="N122" s="301"/>
    </row>
    <row r="123" spans="1:14">
      <c r="A123" s="1170"/>
      <c r="B123" s="1170"/>
      <c r="C123" s="177" t="s">
        <v>709</v>
      </c>
      <c r="D123" s="975" t="s">
        <v>305</v>
      </c>
      <c r="E123" s="54"/>
      <c r="F123" s="239">
        <v>3</v>
      </c>
      <c r="G123" s="1300"/>
      <c r="H123" s="1299">
        <f>F123*G123</f>
        <v>0</v>
      </c>
      <c r="I123" s="1299"/>
      <c r="J123" s="1299"/>
      <c r="K123" s="1299"/>
      <c r="L123" s="1299"/>
      <c r="M123" s="1299">
        <f>H123+J123+L123</f>
        <v>0</v>
      </c>
      <c r="N123" s="301"/>
    </row>
    <row r="124" spans="1:14" ht="31.5">
      <c r="A124" s="1170">
        <v>5</v>
      </c>
      <c r="B124" s="1170" t="s">
        <v>307</v>
      </c>
      <c r="C124" s="176" t="s">
        <v>872</v>
      </c>
      <c r="D124" s="975" t="s">
        <v>2</v>
      </c>
      <c r="E124" s="54"/>
      <c r="F124" s="49">
        <f>F127</f>
        <v>2</v>
      </c>
      <c r="G124" s="1299"/>
      <c r="H124" s="1299"/>
      <c r="I124" s="1299"/>
      <c r="J124" s="1299"/>
      <c r="K124" s="1299"/>
      <c r="L124" s="1299"/>
      <c r="M124" s="1299"/>
      <c r="N124" s="301"/>
    </row>
    <row r="125" spans="1:14">
      <c r="A125" s="1170"/>
      <c r="B125" s="1170"/>
      <c r="C125" s="177" t="s">
        <v>39</v>
      </c>
      <c r="D125" s="975" t="s">
        <v>204</v>
      </c>
      <c r="E125" s="54">
        <v>3</v>
      </c>
      <c r="F125" s="239">
        <f>E125*F124</f>
        <v>6</v>
      </c>
      <c r="G125" s="1299"/>
      <c r="H125" s="1299"/>
      <c r="I125" s="1300"/>
      <c r="J125" s="1299">
        <f>F125*I125</f>
        <v>0</v>
      </c>
      <c r="K125" s="1299"/>
      <c r="L125" s="1299"/>
      <c r="M125" s="1299">
        <f>H125+J125+L125</f>
        <v>0</v>
      </c>
      <c r="N125" s="301"/>
    </row>
    <row r="126" spans="1:14">
      <c r="A126" s="1170"/>
      <c r="B126" s="1170"/>
      <c r="C126" s="185" t="s">
        <v>32</v>
      </c>
      <c r="D126" s="975" t="s">
        <v>149</v>
      </c>
      <c r="E126" s="54">
        <v>0.14000000000000001</v>
      </c>
      <c r="F126" s="239">
        <f>E126*F124</f>
        <v>0.28000000000000003</v>
      </c>
      <c r="G126" s="1299"/>
      <c r="H126" s="1299"/>
      <c r="I126" s="1299"/>
      <c r="J126" s="1299"/>
      <c r="K126" s="1299"/>
      <c r="L126" s="1299"/>
      <c r="M126" s="1299"/>
      <c r="N126" s="301"/>
    </row>
    <row r="127" spans="1:14">
      <c r="A127" s="1170"/>
      <c r="B127" s="1170"/>
      <c r="C127" s="177" t="s">
        <v>710</v>
      </c>
      <c r="D127" s="975" t="s">
        <v>305</v>
      </c>
      <c r="E127" s="54"/>
      <c r="F127" s="239">
        <v>2</v>
      </c>
      <c r="G127" s="1300"/>
      <c r="H127" s="1299">
        <f>F127*G127</f>
        <v>0</v>
      </c>
      <c r="I127" s="1299"/>
      <c r="J127" s="1299"/>
      <c r="K127" s="1299"/>
      <c r="L127" s="1299"/>
      <c r="M127" s="1299">
        <f>H127+J127+L127</f>
        <v>0</v>
      </c>
      <c r="N127" s="301"/>
    </row>
    <row r="128" spans="1:14">
      <c r="A128" s="1171" t="s">
        <v>324</v>
      </c>
      <c r="B128" s="1171" t="s">
        <v>304</v>
      </c>
      <c r="C128" s="176" t="s">
        <v>311</v>
      </c>
      <c r="D128" s="974" t="s">
        <v>305</v>
      </c>
      <c r="E128" s="99"/>
      <c r="F128" s="49">
        <f>F131</f>
        <v>21</v>
      </c>
      <c r="G128" s="1299"/>
      <c r="H128" s="1299"/>
      <c r="I128" s="1299"/>
      <c r="J128" s="1299"/>
      <c r="K128" s="1299"/>
      <c r="L128" s="1299"/>
      <c r="M128" s="1299"/>
      <c r="N128" s="301"/>
    </row>
    <row r="129" spans="1:14">
      <c r="A129" s="1172"/>
      <c r="B129" s="1172"/>
      <c r="C129" s="177" t="s">
        <v>39</v>
      </c>
      <c r="D129" s="975" t="s">
        <v>204</v>
      </c>
      <c r="E129" s="54">
        <v>2</v>
      </c>
      <c r="F129" s="239">
        <f>E129*F128</f>
        <v>42</v>
      </c>
      <c r="G129" s="1299"/>
      <c r="H129" s="1299"/>
      <c r="I129" s="1300"/>
      <c r="J129" s="1299">
        <f>F129*I129</f>
        <v>0</v>
      </c>
      <c r="K129" s="1299"/>
      <c r="L129" s="1299"/>
      <c r="M129" s="1299">
        <f>H129+J129+L129</f>
        <v>0</v>
      </c>
      <c r="N129" s="301"/>
    </row>
    <row r="130" spans="1:14">
      <c r="A130" s="1172"/>
      <c r="B130" s="1172"/>
      <c r="C130" s="185" t="s">
        <v>32</v>
      </c>
      <c r="D130" s="975" t="s">
        <v>149</v>
      </c>
      <c r="E130" s="54">
        <v>0.28000000000000003</v>
      </c>
      <c r="F130" s="239">
        <f>E130*F128</f>
        <v>5.8800000000000008</v>
      </c>
      <c r="G130" s="1300"/>
      <c r="H130" s="1299">
        <f>F130*G130</f>
        <v>0</v>
      </c>
      <c r="I130" s="1299"/>
      <c r="J130" s="1299"/>
      <c r="K130" s="1299"/>
      <c r="L130" s="1299"/>
      <c r="M130" s="1299">
        <f>H130+J130+L130</f>
        <v>0</v>
      </c>
      <c r="N130" s="301"/>
    </row>
    <row r="131" spans="1:14">
      <c r="A131" s="1172"/>
      <c r="B131" s="1172"/>
      <c r="C131" s="586" t="s">
        <v>564</v>
      </c>
      <c r="D131" s="975" t="s">
        <v>75</v>
      </c>
      <c r="E131" s="54"/>
      <c r="F131" s="239">
        <v>21</v>
      </c>
      <c r="G131" s="1300"/>
      <c r="H131" s="1299">
        <f>F131*G131</f>
        <v>0</v>
      </c>
      <c r="I131" s="1299"/>
      <c r="J131" s="1299"/>
      <c r="K131" s="1299"/>
      <c r="L131" s="1299"/>
      <c r="M131" s="1299">
        <f>H131+J131+L131</f>
        <v>0</v>
      </c>
      <c r="N131" s="301"/>
    </row>
    <row r="132" spans="1:14">
      <c r="A132" s="1171" t="s">
        <v>337</v>
      </c>
      <c r="B132" s="1171" t="s">
        <v>308</v>
      </c>
      <c r="C132" s="176" t="s">
        <v>309</v>
      </c>
      <c r="D132" s="975"/>
      <c r="E132" s="54"/>
      <c r="F132" s="49">
        <f>F136</f>
        <v>250</v>
      </c>
      <c r="G132" s="1299"/>
      <c r="H132" s="1299"/>
      <c r="I132" s="1299"/>
      <c r="J132" s="1299"/>
      <c r="K132" s="1299"/>
      <c r="L132" s="1299"/>
      <c r="M132" s="1299"/>
      <c r="N132" s="301"/>
    </row>
    <row r="133" spans="1:14">
      <c r="A133" s="1172"/>
      <c r="B133" s="1172"/>
      <c r="C133" s="177" t="s">
        <v>39</v>
      </c>
      <c r="D133" s="975" t="s">
        <v>204</v>
      </c>
      <c r="E133" s="54">
        <f>40*0.01</f>
        <v>0.4</v>
      </c>
      <c r="F133" s="239">
        <f>E133*F132</f>
        <v>100</v>
      </c>
      <c r="G133" s="1299"/>
      <c r="H133" s="1299"/>
      <c r="I133" s="1300"/>
      <c r="J133" s="1299">
        <f>F133*I133</f>
        <v>0</v>
      </c>
      <c r="K133" s="1299"/>
      <c r="L133" s="1299"/>
      <c r="M133" s="1299">
        <f t="shared" ref="M133:M138" si="6">H133+J133+L133</f>
        <v>0</v>
      </c>
      <c r="N133" s="301"/>
    </row>
    <row r="134" spans="1:14">
      <c r="A134" s="1172"/>
      <c r="B134" s="1172"/>
      <c r="C134" s="177" t="s">
        <v>28</v>
      </c>
      <c r="D134" s="975" t="s">
        <v>149</v>
      </c>
      <c r="E134" s="54">
        <v>6.8099999999999994E-2</v>
      </c>
      <c r="F134" s="239">
        <f>E134*F132</f>
        <v>17.024999999999999</v>
      </c>
      <c r="G134" s="1299"/>
      <c r="H134" s="1299"/>
      <c r="I134" s="1299"/>
      <c r="J134" s="1299"/>
      <c r="K134" s="1300"/>
      <c r="L134" s="1299">
        <f>F134*K134</f>
        <v>0</v>
      </c>
      <c r="M134" s="1299">
        <f t="shared" si="6"/>
        <v>0</v>
      </c>
      <c r="N134" s="301"/>
    </row>
    <row r="135" spans="1:14">
      <c r="A135" s="1172"/>
      <c r="B135" s="1172"/>
      <c r="C135" s="177" t="s">
        <v>37</v>
      </c>
      <c r="D135" s="975" t="s">
        <v>24</v>
      </c>
      <c r="E135" s="54">
        <v>6.9900000000000004E-2</v>
      </c>
      <c r="F135" s="239">
        <f>E135*F132</f>
        <v>17.475000000000001</v>
      </c>
      <c r="G135" s="1300"/>
      <c r="H135" s="1299">
        <f>F135*G135</f>
        <v>0</v>
      </c>
      <c r="I135" s="1299"/>
      <c r="J135" s="1299"/>
      <c r="K135" s="1299"/>
      <c r="L135" s="1299"/>
      <c r="M135" s="1299">
        <f t="shared" si="6"/>
        <v>0</v>
      </c>
      <c r="N135" s="301"/>
    </row>
    <row r="136" spans="1:14" ht="30">
      <c r="A136" s="1172"/>
      <c r="B136" s="1172"/>
      <c r="C136" s="586" t="s">
        <v>561</v>
      </c>
      <c r="D136" s="975" t="s">
        <v>1</v>
      </c>
      <c r="E136" s="54"/>
      <c r="F136" s="239">
        <v>250</v>
      </c>
      <c r="G136" s="1300"/>
      <c r="H136" s="1299">
        <f>F136*G136</f>
        <v>0</v>
      </c>
      <c r="I136" s="1299"/>
      <c r="J136" s="1299"/>
      <c r="K136" s="1299"/>
      <c r="L136" s="1299"/>
      <c r="M136" s="1299">
        <f t="shared" si="6"/>
        <v>0</v>
      </c>
      <c r="N136" s="301"/>
    </row>
    <row r="137" spans="1:14">
      <c r="A137" s="1172"/>
      <c r="B137" s="1172"/>
      <c r="C137" s="586" t="s">
        <v>562</v>
      </c>
      <c r="D137" s="975" t="s">
        <v>1</v>
      </c>
      <c r="E137" s="54"/>
      <c r="F137" s="239">
        <v>250</v>
      </c>
      <c r="G137" s="1300"/>
      <c r="H137" s="1299">
        <f>F137*G137</f>
        <v>0</v>
      </c>
      <c r="I137" s="1299"/>
      <c r="J137" s="1299"/>
      <c r="K137" s="1299"/>
      <c r="L137" s="1299"/>
      <c r="M137" s="1299">
        <f t="shared" si="6"/>
        <v>0</v>
      </c>
      <c r="N137" s="301"/>
    </row>
    <row r="138" spans="1:14">
      <c r="A138" s="1172"/>
      <c r="B138" s="1172"/>
      <c r="C138" s="586" t="s">
        <v>563</v>
      </c>
      <c r="D138" s="975" t="s">
        <v>2</v>
      </c>
      <c r="E138" s="54"/>
      <c r="F138" s="239">
        <v>250</v>
      </c>
      <c r="G138" s="1300"/>
      <c r="H138" s="1299">
        <f>F138*G138</f>
        <v>0</v>
      </c>
      <c r="I138" s="1299"/>
      <c r="J138" s="1299"/>
      <c r="K138" s="1299"/>
      <c r="L138" s="1299"/>
      <c r="M138" s="1299">
        <f t="shared" si="6"/>
        <v>0</v>
      </c>
      <c r="N138" s="301"/>
    </row>
    <row r="139" spans="1:14">
      <c r="A139" s="973" t="s">
        <v>74</v>
      </c>
      <c r="B139" s="302"/>
      <c r="C139" s="586" t="s">
        <v>554</v>
      </c>
      <c r="D139" s="975" t="s">
        <v>75</v>
      </c>
      <c r="E139" s="54"/>
      <c r="F139" s="239">
        <v>1</v>
      </c>
      <c r="G139" s="1300"/>
      <c r="H139" s="1299">
        <f t="shared" ref="H139:H142" si="7">F139*G139</f>
        <v>0</v>
      </c>
      <c r="I139" s="1299"/>
      <c r="J139" s="1299"/>
      <c r="K139" s="1299"/>
      <c r="L139" s="1299"/>
      <c r="M139" s="1299">
        <f t="shared" ref="M139:M142" si="8">H139+J139+L139</f>
        <v>0</v>
      </c>
      <c r="N139" s="301"/>
    </row>
    <row r="140" spans="1:14" ht="47.25">
      <c r="A140" s="1151" t="s">
        <v>338</v>
      </c>
      <c r="B140" s="618" t="s">
        <v>45</v>
      </c>
      <c r="C140" s="246" t="s">
        <v>328</v>
      </c>
      <c r="D140" s="618" t="s">
        <v>75</v>
      </c>
      <c r="E140" s="237"/>
      <c r="F140" s="49">
        <v>1</v>
      </c>
      <c r="G140" s="1300"/>
      <c r="H140" s="1299">
        <f t="shared" si="7"/>
        <v>0</v>
      </c>
      <c r="I140" s="1299"/>
      <c r="J140" s="1299"/>
      <c r="K140" s="1299"/>
      <c r="L140" s="1299"/>
      <c r="M140" s="1299">
        <f t="shared" si="8"/>
        <v>0</v>
      </c>
      <c r="N140" s="301"/>
    </row>
    <row r="141" spans="1:14">
      <c r="A141" s="1152"/>
      <c r="B141" s="618"/>
      <c r="C141" s="172" t="s">
        <v>327</v>
      </c>
      <c r="D141" s="618" t="s">
        <v>2</v>
      </c>
      <c r="E141" s="237"/>
      <c r="F141" s="239">
        <v>2</v>
      </c>
      <c r="G141" s="1300"/>
      <c r="H141" s="1299">
        <f t="shared" si="7"/>
        <v>0</v>
      </c>
      <c r="I141" s="1299"/>
      <c r="J141" s="1299"/>
      <c r="K141" s="1299"/>
      <c r="L141" s="1299"/>
      <c r="M141" s="1299">
        <f t="shared" si="8"/>
        <v>0</v>
      </c>
      <c r="N141" s="301"/>
    </row>
    <row r="142" spans="1:14" ht="31.5">
      <c r="A142" s="618" t="s">
        <v>339</v>
      </c>
      <c r="B142" s="618"/>
      <c r="C142" s="246" t="s">
        <v>873</v>
      </c>
      <c r="D142" s="618" t="s">
        <v>2</v>
      </c>
      <c r="E142" s="237"/>
      <c r="F142" s="49">
        <v>6</v>
      </c>
      <c r="G142" s="1300"/>
      <c r="H142" s="1299">
        <f t="shared" si="7"/>
        <v>0</v>
      </c>
      <c r="I142" s="1299"/>
      <c r="J142" s="1299"/>
      <c r="K142" s="1299"/>
      <c r="L142" s="1299"/>
      <c r="M142" s="1299">
        <f t="shared" si="8"/>
        <v>0</v>
      </c>
      <c r="N142" s="301"/>
    </row>
    <row r="143" spans="1:14">
      <c r="A143" s="141"/>
      <c r="B143" s="141"/>
      <c r="C143" s="142" t="s">
        <v>1034</v>
      </c>
      <c r="D143" s="141"/>
      <c r="E143" s="303"/>
      <c r="F143" s="227"/>
      <c r="G143" s="1344"/>
      <c r="H143" s="1318">
        <f>SUM(H115:H142)</f>
        <v>0</v>
      </c>
      <c r="I143" s="1318"/>
      <c r="J143" s="1318">
        <f>SUM(J115:J142)</f>
        <v>0</v>
      </c>
      <c r="K143" s="1318"/>
      <c r="L143" s="1318">
        <f>SUM(L115:L142)</f>
        <v>0</v>
      </c>
      <c r="M143" s="1318">
        <f>SUM(M115:M142)</f>
        <v>0</v>
      </c>
      <c r="N143" s="304"/>
    </row>
    <row r="144" spans="1:14" ht="31.5">
      <c r="A144" s="305"/>
      <c r="B144" s="305"/>
      <c r="C144" s="390" t="s">
        <v>456</v>
      </c>
      <c r="D144" s="305"/>
      <c r="E144" s="306"/>
      <c r="F144" s="1113"/>
      <c r="G144" s="1345"/>
      <c r="H144" s="1345"/>
      <c r="I144" s="1345"/>
      <c r="J144" s="1345"/>
      <c r="K144" s="1345"/>
      <c r="L144" s="1345"/>
      <c r="M144" s="1346">
        <f>H143*F144</f>
        <v>0</v>
      </c>
      <c r="N144" s="301"/>
    </row>
    <row r="145" spans="1:14">
      <c r="A145" s="305"/>
      <c r="B145" s="305"/>
      <c r="C145" s="307" t="s">
        <v>70</v>
      </c>
      <c r="D145" s="305"/>
      <c r="E145" s="306"/>
      <c r="F145" s="127"/>
      <c r="G145" s="1345"/>
      <c r="H145" s="1345"/>
      <c r="I145" s="1345"/>
      <c r="J145" s="1347"/>
      <c r="K145" s="1345"/>
      <c r="L145" s="1345"/>
      <c r="M145" s="1346">
        <f>M143+M144</f>
        <v>0</v>
      </c>
      <c r="N145" s="301"/>
    </row>
    <row r="146" spans="1:14" ht="31.5">
      <c r="A146" s="975"/>
      <c r="B146" s="308"/>
      <c r="C146" s="578" t="s">
        <v>613</v>
      </c>
      <c r="D146" s="618"/>
      <c r="E146" s="237"/>
      <c r="F146" s="1113"/>
      <c r="G146" s="1284"/>
      <c r="H146" s="1284"/>
      <c r="I146" s="1284"/>
      <c r="J146" s="1284"/>
      <c r="K146" s="1284"/>
      <c r="L146" s="1284"/>
      <c r="M146" s="1284">
        <f>J143*F146</f>
        <v>0</v>
      </c>
      <c r="N146" s="301"/>
    </row>
    <row r="147" spans="1:14">
      <c r="A147" s="975"/>
      <c r="B147" s="975"/>
      <c r="C147" s="307" t="s">
        <v>70</v>
      </c>
      <c r="D147" s="975"/>
      <c r="E147" s="54"/>
      <c r="F147" s="239"/>
      <c r="G147" s="1303"/>
      <c r="H147" s="1303"/>
      <c r="I147" s="1303"/>
      <c r="J147" s="1303"/>
      <c r="K147" s="1303"/>
      <c r="L147" s="1303"/>
      <c r="M147" s="1303">
        <f>M145+M146</f>
        <v>0</v>
      </c>
      <c r="N147" s="301"/>
    </row>
    <row r="148" spans="1:14">
      <c r="A148" s="975"/>
      <c r="B148" s="975"/>
      <c r="C148" s="972" t="s">
        <v>936</v>
      </c>
      <c r="D148" s="975"/>
      <c r="E148" s="54"/>
      <c r="F148" s="1113"/>
      <c r="G148" s="1303"/>
      <c r="H148" s="1303"/>
      <c r="I148" s="1303"/>
      <c r="J148" s="1303"/>
      <c r="K148" s="1303"/>
      <c r="L148" s="1303"/>
      <c r="M148" s="1303">
        <f>M147*F148</f>
        <v>0</v>
      </c>
      <c r="N148" s="301"/>
    </row>
    <row r="149" spans="1:14" s="1096" customFormat="1">
      <c r="A149" s="985"/>
      <c r="B149" s="985"/>
      <c r="C149" s="995" t="s">
        <v>1035</v>
      </c>
      <c r="D149" s="985"/>
      <c r="E149" s="992"/>
      <c r="F149" s="986"/>
      <c r="G149" s="1313"/>
      <c r="H149" s="1313"/>
      <c r="I149" s="1313"/>
      <c r="J149" s="1313"/>
      <c r="K149" s="1313"/>
      <c r="L149" s="1313"/>
      <c r="M149" s="1313">
        <f>M147+M148</f>
        <v>0</v>
      </c>
      <c r="N149" s="1095"/>
    </row>
    <row r="150" spans="1:14">
      <c r="A150" s="609" t="s">
        <v>1036</v>
      </c>
      <c r="B150" s="742"/>
      <c r="C150" s="610" t="s">
        <v>405</v>
      </c>
      <c r="D150" s="742"/>
      <c r="E150" s="743"/>
      <c r="F150" s="744"/>
      <c r="G150" s="1298"/>
      <c r="H150" s="1298"/>
      <c r="I150" s="1298"/>
      <c r="J150" s="1298"/>
      <c r="K150" s="1298"/>
      <c r="L150" s="1298"/>
      <c r="M150" s="1298"/>
      <c r="N150" s="301"/>
    </row>
    <row r="151" spans="1:14" ht="105">
      <c r="A151" s="970">
        <v>1</v>
      </c>
      <c r="B151" s="310" t="s">
        <v>45</v>
      </c>
      <c r="C151" s="586" t="s">
        <v>568</v>
      </c>
      <c r="D151" s="975" t="s">
        <v>2</v>
      </c>
      <c r="E151" s="54"/>
      <c r="F151" s="49">
        <v>1</v>
      </c>
      <c r="G151" s="1310"/>
      <c r="H151" s="1299">
        <f t="shared" ref="H151:H153" si="9">F151*G151</f>
        <v>0</v>
      </c>
      <c r="I151" s="1300"/>
      <c r="J151" s="1284">
        <f>F151*I151</f>
        <v>0</v>
      </c>
      <c r="K151" s="1284"/>
      <c r="L151" s="1284"/>
      <c r="M151" s="1284">
        <f t="shared" ref="M151:M153" si="10">H151+J151+L151</f>
        <v>0</v>
      </c>
      <c r="N151" s="301"/>
    </row>
    <row r="152" spans="1:14" ht="90">
      <c r="A152" s="970">
        <v>2</v>
      </c>
      <c r="B152" s="310" t="s">
        <v>45</v>
      </c>
      <c r="C152" s="586" t="s">
        <v>567</v>
      </c>
      <c r="D152" s="975" t="s">
        <v>2</v>
      </c>
      <c r="E152" s="54"/>
      <c r="F152" s="49">
        <v>3</v>
      </c>
      <c r="G152" s="1310"/>
      <c r="H152" s="1299">
        <f t="shared" si="9"/>
        <v>0</v>
      </c>
      <c r="I152" s="1300"/>
      <c r="J152" s="1284">
        <f>F152*I152</f>
        <v>0</v>
      </c>
      <c r="K152" s="1284"/>
      <c r="L152" s="1284"/>
      <c r="M152" s="1284">
        <f t="shared" si="10"/>
        <v>0</v>
      </c>
      <c r="N152" s="301"/>
    </row>
    <row r="153" spans="1:14" ht="30">
      <c r="A153" s="1026" t="s">
        <v>103</v>
      </c>
      <c r="B153" s="310"/>
      <c r="C153" s="1020" t="s">
        <v>570</v>
      </c>
      <c r="D153" s="1012" t="s">
        <v>75</v>
      </c>
      <c r="E153" s="54"/>
      <c r="F153" s="49">
        <v>1</v>
      </c>
      <c r="G153" s="1310"/>
      <c r="H153" s="1299">
        <f t="shared" si="9"/>
        <v>0</v>
      </c>
      <c r="I153" s="1299"/>
      <c r="J153" s="1284"/>
      <c r="K153" s="1284"/>
      <c r="L153" s="1284"/>
      <c r="M153" s="1284">
        <f t="shared" si="10"/>
        <v>0</v>
      </c>
      <c r="N153" s="301"/>
    </row>
    <row r="154" spans="1:14">
      <c r="A154" s="1163" t="s">
        <v>59</v>
      </c>
      <c r="B154" s="311"/>
      <c r="C154" s="586" t="s">
        <v>571</v>
      </c>
      <c r="D154" s="975" t="s">
        <v>1</v>
      </c>
      <c r="E154" s="54"/>
      <c r="F154" s="239">
        <v>250</v>
      </c>
      <c r="G154" s="1310"/>
      <c r="H154" s="1299">
        <f>F154*G154</f>
        <v>0</v>
      </c>
      <c r="I154" s="1299"/>
      <c r="J154" s="1284"/>
      <c r="K154" s="1284"/>
      <c r="L154" s="1284"/>
      <c r="M154" s="1284">
        <f t="shared" ref="M154:M156" si="11">H154+J154+L154</f>
        <v>0</v>
      </c>
      <c r="N154" s="301"/>
    </row>
    <row r="155" spans="1:14">
      <c r="A155" s="1164"/>
      <c r="B155" s="311"/>
      <c r="C155" s="586" t="s">
        <v>572</v>
      </c>
      <c r="D155" s="975" t="s">
        <v>1</v>
      </c>
      <c r="E155" s="54"/>
      <c r="F155" s="239">
        <v>250</v>
      </c>
      <c r="G155" s="1310"/>
      <c r="H155" s="1299">
        <f>F155*G155</f>
        <v>0</v>
      </c>
      <c r="I155" s="1299"/>
      <c r="J155" s="1284"/>
      <c r="K155" s="1284"/>
      <c r="L155" s="1284"/>
      <c r="M155" s="1284">
        <f t="shared" si="11"/>
        <v>0</v>
      </c>
      <c r="N155" s="301"/>
    </row>
    <row r="156" spans="1:14">
      <c r="A156" s="1164"/>
      <c r="B156" s="311"/>
      <c r="C156" s="586" t="s">
        <v>573</v>
      </c>
      <c r="D156" s="975" t="s">
        <v>2</v>
      </c>
      <c r="E156" s="54"/>
      <c r="F156" s="239">
        <v>150</v>
      </c>
      <c r="G156" s="1310"/>
      <c r="H156" s="1299">
        <f>F156*G156</f>
        <v>0</v>
      </c>
      <c r="I156" s="1299"/>
      <c r="J156" s="1284"/>
      <c r="K156" s="1284"/>
      <c r="L156" s="1284"/>
      <c r="M156" s="1284">
        <f t="shared" si="11"/>
        <v>0</v>
      </c>
      <c r="N156" s="301"/>
    </row>
    <row r="157" spans="1:14">
      <c r="A157" s="143"/>
      <c r="B157" s="143"/>
      <c r="C157" s="142" t="s">
        <v>1037</v>
      </c>
      <c r="D157" s="143"/>
      <c r="E157" s="281"/>
      <c r="F157" s="214"/>
      <c r="G157" s="1318"/>
      <c r="H157" s="1318">
        <f>SUM(H150:H156)</f>
        <v>0</v>
      </c>
      <c r="I157" s="1318"/>
      <c r="J157" s="1318">
        <f>SUM(J150:J156)</f>
        <v>0</v>
      </c>
      <c r="K157" s="1318"/>
      <c r="L157" s="1318">
        <f>SUM(L150:L156)</f>
        <v>0</v>
      </c>
      <c r="M157" s="1318">
        <f>SUM(M150:M156)</f>
        <v>0</v>
      </c>
      <c r="N157" s="304"/>
    </row>
    <row r="158" spans="1:14" ht="31.5">
      <c r="A158" s="305"/>
      <c r="B158" s="305"/>
      <c r="C158" s="390" t="s">
        <v>456</v>
      </c>
      <c r="D158" s="305"/>
      <c r="E158" s="306"/>
      <c r="F158" s="1113"/>
      <c r="G158" s="1345"/>
      <c r="H158" s="1345"/>
      <c r="I158" s="1345"/>
      <c r="J158" s="1345"/>
      <c r="K158" s="1345"/>
      <c r="L158" s="1345"/>
      <c r="M158" s="1346">
        <f>H157*F158</f>
        <v>0</v>
      </c>
      <c r="N158" s="301"/>
    </row>
    <row r="159" spans="1:14">
      <c r="A159" s="305"/>
      <c r="B159" s="305"/>
      <c r="C159" s="307" t="s">
        <v>70</v>
      </c>
      <c r="D159" s="305"/>
      <c r="E159" s="306"/>
      <c r="F159" s="127"/>
      <c r="G159" s="1345"/>
      <c r="H159" s="1345"/>
      <c r="I159" s="1345"/>
      <c r="J159" s="1347"/>
      <c r="K159" s="1345"/>
      <c r="L159" s="1345"/>
      <c r="M159" s="1346">
        <f>M157+M158</f>
        <v>0</v>
      </c>
      <c r="N159" s="301"/>
    </row>
    <row r="160" spans="1:14" ht="31.5">
      <c r="A160" s="975"/>
      <c r="B160" s="308"/>
      <c r="C160" s="578" t="s">
        <v>614</v>
      </c>
      <c r="D160" s="618"/>
      <c r="E160" s="237"/>
      <c r="F160" s="1113"/>
      <c r="G160" s="1284"/>
      <c r="H160" s="1284"/>
      <c r="I160" s="1284"/>
      <c r="J160" s="1284"/>
      <c r="K160" s="1284"/>
      <c r="L160" s="1284"/>
      <c r="M160" s="1284">
        <f>J157*F160</f>
        <v>0</v>
      </c>
      <c r="N160" s="301"/>
    </row>
    <row r="161" spans="1:14">
      <c r="A161" s="975"/>
      <c r="B161" s="975"/>
      <c r="C161" s="307" t="s">
        <v>70</v>
      </c>
      <c r="D161" s="975"/>
      <c r="E161" s="54"/>
      <c r="F161" s="239"/>
      <c r="G161" s="1303"/>
      <c r="H161" s="1303"/>
      <c r="I161" s="1303"/>
      <c r="J161" s="1303"/>
      <c r="K161" s="1303"/>
      <c r="L161" s="1303"/>
      <c r="M161" s="1303">
        <f>M159+M160</f>
        <v>0</v>
      </c>
      <c r="N161" s="301"/>
    </row>
    <row r="162" spans="1:14">
      <c r="A162" s="975"/>
      <c r="B162" s="975"/>
      <c r="C162" s="972" t="s">
        <v>936</v>
      </c>
      <c r="D162" s="975"/>
      <c r="E162" s="54"/>
      <c r="F162" s="1113"/>
      <c r="G162" s="1303"/>
      <c r="H162" s="1303"/>
      <c r="I162" s="1303"/>
      <c r="J162" s="1303"/>
      <c r="K162" s="1303"/>
      <c r="L162" s="1303"/>
      <c r="M162" s="1303">
        <f>M161*F162</f>
        <v>0</v>
      </c>
      <c r="N162" s="301"/>
    </row>
    <row r="163" spans="1:14" s="1096" customFormat="1">
      <c r="A163" s="985"/>
      <c r="B163" s="985"/>
      <c r="C163" s="995" t="s">
        <v>1038</v>
      </c>
      <c r="D163" s="985"/>
      <c r="E163" s="992"/>
      <c r="F163" s="986"/>
      <c r="G163" s="1313"/>
      <c r="H163" s="1313"/>
      <c r="I163" s="1313"/>
      <c r="J163" s="1313"/>
      <c r="K163" s="1313"/>
      <c r="L163" s="1313"/>
      <c r="M163" s="1313">
        <f>M161+M162</f>
        <v>0</v>
      </c>
      <c r="N163" s="1095"/>
    </row>
    <row r="164" spans="1:14" ht="31.5">
      <c r="A164" s="609" t="s">
        <v>653</v>
      </c>
      <c r="B164" s="742"/>
      <c r="C164" s="610" t="s">
        <v>1020</v>
      </c>
      <c r="D164" s="742"/>
      <c r="E164" s="743"/>
      <c r="F164" s="744"/>
      <c r="G164" s="1298"/>
      <c r="H164" s="1298"/>
      <c r="I164" s="1298"/>
      <c r="J164" s="1298"/>
      <c r="K164" s="1298"/>
      <c r="L164" s="1298"/>
      <c r="M164" s="1298"/>
      <c r="N164" s="301"/>
    </row>
    <row r="165" spans="1:14">
      <c r="A165" s="1141">
        <v>2</v>
      </c>
      <c r="B165" s="87" t="s">
        <v>407</v>
      </c>
      <c r="C165" s="312" t="s">
        <v>408</v>
      </c>
      <c r="D165" s="971" t="s">
        <v>1</v>
      </c>
      <c r="E165" s="98"/>
      <c r="F165" s="49">
        <f>F168</f>
        <v>200</v>
      </c>
      <c r="G165" s="1299"/>
      <c r="H165" s="1299"/>
      <c r="I165" s="1299"/>
      <c r="J165" s="1299"/>
      <c r="K165" s="1299"/>
      <c r="L165" s="1299"/>
      <c r="M165" s="1299">
        <f t="shared" ref="M165:M168" si="12">H165+J165+L165</f>
        <v>0</v>
      </c>
      <c r="N165" s="301"/>
    </row>
    <row r="166" spans="1:14">
      <c r="A166" s="1166"/>
      <c r="B166" s="971"/>
      <c r="C166" s="177" t="s">
        <v>33</v>
      </c>
      <c r="D166" s="971" t="s">
        <v>1</v>
      </c>
      <c r="E166" s="54">
        <v>0.22</v>
      </c>
      <c r="F166" s="239">
        <f>E166*F165</f>
        <v>44</v>
      </c>
      <c r="G166" s="1303"/>
      <c r="H166" s="1299"/>
      <c r="I166" s="1334"/>
      <c r="J166" s="1299">
        <f>F166*I166</f>
        <v>0</v>
      </c>
      <c r="K166" s="1333"/>
      <c r="L166" s="1299"/>
      <c r="M166" s="1299">
        <f t="shared" si="12"/>
        <v>0</v>
      </c>
      <c r="N166" s="301"/>
    </row>
    <row r="167" spans="1:14">
      <c r="A167" s="1166"/>
      <c r="B167" s="971"/>
      <c r="C167" s="177" t="s">
        <v>36</v>
      </c>
      <c r="D167" s="975" t="s">
        <v>24</v>
      </c>
      <c r="E167" s="54">
        <v>3.8199999999999998E-2</v>
      </c>
      <c r="F167" s="239">
        <f>E167*F165</f>
        <v>7.64</v>
      </c>
      <c r="G167" s="1303"/>
      <c r="H167" s="1299"/>
      <c r="I167" s="1299"/>
      <c r="J167" s="1299"/>
      <c r="K167" s="1334"/>
      <c r="L167" s="1299">
        <f>F167*K167</f>
        <v>0</v>
      </c>
      <c r="M167" s="1299">
        <f t="shared" si="12"/>
        <v>0</v>
      </c>
      <c r="N167" s="301"/>
    </row>
    <row r="168" spans="1:14" ht="30">
      <c r="A168" s="1166"/>
      <c r="B168" s="971"/>
      <c r="C168" s="586" t="s">
        <v>574</v>
      </c>
      <c r="D168" s="313" t="str">
        <f>D165</f>
        <v>g/m</v>
      </c>
      <c r="E168" s="54">
        <v>1</v>
      </c>
      <c r="F168" s="239">
        <v>200</v>
      </c>
      <c r="G168" s="1310"/>
      <c r="H168" s="1299">
        <f>F168*G168</f>
        <v>0</v>
      </c>
      <c r="I168" s="1333"/>
      <c r="J168" s="1299"/>
      <c r="K168" s="1348"/>
      <c r="L168" s="1299"/>
      <c r="M168" s="1299">
        <f t="shared" si="12"/>
        <v>0</v>
      </c>
      <c r="N168" s="301"/>
    </row>
    <row r="169" spans="1:14">
      <c r="A169" s="1166"/>
      <c r="B169" s="971"/>
      <c r="C169" s="586" t="s">
        <v>575</v>
      </c>
      <c r="D169" s="313" t="str">
        <f>D166</f>
        <v>g/m</v>
      </c>
      <c r="E169" s="54"/>
      <c r="F169" s="239">
        <v>200</v>
      </c>
      <c r="G169" s="1310"/>
      <c r="H169" s="1299">
        <f>F169*G169</f>
        <v>0</v>
      </c>
      <c r="I169" s="1333"/>
      <c r="J169" s="1299"/>
      <c r="K169" s="1348"/>
      <c r="L169" s="1299"/>
      <c r="M169" s="1299">
        <f>H169+J169+L169</f>
        <v>0</v>
      </c>
      <c r="N169" s="301"/>
    </row>
    <row r="170" spans="1:14" ht="45">
      <c r="A170" s="1166"/>
      <c r="B170" s="971"/>
      <c r="C170" s="217" t="s">
        <v>579</v>
      </c>
      <c r="D170" s="313" t="s">
        <v>24</v>
      </c>
      <c r="E170" s="54"/>
      <c r="F170" s="239">
        <v>1</v>
      </c>
      <c r="G170" s="1310"/>
      <c r="H170" s="1299">
        <f>F170*G170</f>
        <v>0</v>
      </c>
      <c r="I170" s="1333"/>
      <c r="J170" s="1299"/>
      <c r="K170" s="1348"/>
      <c r="L170" s="1299"/>
      <c r="M170" s="1299">
        <f>H170+J170+L170</f>
        <v>0</v>
      </c>
      <c r="N170" s="301"/>
    </row>
    <row r="171" spans="1:14">
      <c r="A171" s="1142"/>
      <c r="B171" s="971"/>
      <c r="C171" s="177" t="s">
        <v>32</v>
      </c>
      <c r="D171" s="975" t="s">
        <v>24</v>
      </c>
      <c r="E171" s="54">
        <v>6.5799999999999997E-2</v>
      </c>
      <c r="F171" s="239">
        <f>E171*F165</f>
        <v>13.16</v>
      </c>
      <c r="G171" s="1310"/>
      <c r="H171" s="1299">
        <f>F171*G171</f>
        <v>0</v>
      </c>
      <c r="I171" s="1333"/>
      <c r="J171" s="1299"/>
      <c r="K171" s="1348"/>
      <c r="L171" s="1299"/>
      <c r="M171" s="1299">
        <f>H171+J171+L171</f>
        <v>0</v>
      </c>
      <c r="N171" s="301"/>
    </row>
    <row r="172" spans="1:14">
      <c r="A172" s="1167">
        <v>3</v>
      </c>
      <c r="B172" s="975" t="s">
        <v>409</v>
      </c>
      <c r="C172" s="176" t="s">
        <v>410</v>
      </c>
      <c r="D172" s="974" t="s">
        <v>118</v>
      </c>
      <c r="E172" s="314"/>
      <c r="F172" s="249">
        <f>F174+F175</f>
        <v>3</v>
      </c>
      <c r="G172" s="1304"/>
      <c r="H172" s="1299"/>
      <c r="I172" s="1332"/>
      <c r="J172" s="1299"/>
      <c r="K172" s="1304"/>
      <c r="L172" s="1299"/>
      <c r="M172" s="1299"/>
      <c r="N172" s="301"/>
    </row>
    <row r="173" spans="1:14">
      <c r="A173" s="1167"/>
      <c r="B173" s="975"/>
      <c r="C173" s="177" t="s">
        <v>27</v>
      </c>
      <c r="D173" s="313" t="s">
        <v>29</v>
      </c>
      <c r="E173" s="315">
        <v>0.39200000000000002</v>
      </c>
      <c r="F173" s="255">
        <f>F172*E173</f>
        <v>1.1760000000000002</v>
      </c>
      <c r="G173" s="1333"/>
      <c r="H173" s="1299"/>
      <c r="I173" s="1310"/>
      <c r="J173" s="1299">
        <f>F173*I173</f>
        <v>0</v>
      </c>
      <c r="K173" s="1303"/>
      <c r="L173" s="1299"/>
      <c r="M173" s="1299">
        <f>H173+J173+L173</f>
        <v>0</v>
      </c>
      <c r="N173" s="301"/>
    </row>
    <row r="174" spans="1:14">
      <c r="A174" s="1167"/>
      <c r="B174" s="975"/>
      <c r="C174" s="586" t="s">
        <v>712</v>
      </c>
      <c r="D174" s="313" t="s">
        <v>75</v>
      </c>
      <c r="E174" s="315"/>
      <c r="F174" s="255">
        <v>1</v>
      </c>
      <c r="G174" s="1334"/>
      <c r="H174" s="1299">
        <f>F174*G174</f>
        <v>0</v>
      </c>
      <c r="I174" s="1299"/>
      <c r="J174" s="1299"/>
      <c r="K174" s="1303"/>
      <c r="L174" s="1299"/>
      <c r="M174" s="1299">
        <f>H174+J174+L174</f>
        <v>0</v>
      </c>
      <c r="N174" s="301"/>
    </row>
    <row r="175" spans="1:14">
      <c r="A175" s="1167"/>
      <c r="B175" s="975"/>
      <c r="C175" s="586" t="s">
        <v>876</v>
      </c>
      <c r="D175" s="313" t="s">
        <v>75</v>
      </c>
      <c r="E175" s="316"/>
      <c r="F175" s="317">
        <v>2</v>
      </c>
      <c r="G175" s="1334"/>
      <c r="H175" s="1299">
        <f>F175*G175</f>
        <v>0</v>
      </c>
      <c r="I175" s="1299"/>
      <c r="J175" s="1299"/>
      <c r="K175" s="1303"/>
      <c r="L175" s="1299"/>
      <c r="M175" s="1299">
        <f>H175+J175+L175</f>
        <v>0</v>
      </c>
      <c r="N175" s="301"/>
    </row>
    <row r="176" spans="1:14">
      <c r="A176" s="1167"/>
      <c r="B176" s="975"/>
      <c r="C176" s="586" t="s">
        <v>576</v>
      </c>
      <c r="D176" s="313" t="s">
        <v>2</v>
      </c>
      <c r="E176" s="316"/>
      <c r="F176" s="317">
        <f>F172</f>
        <v>3</v>
      </c>
      <c r="G176" s="1334"/>
      <c r="H176" s="1299">
        <f>F176*G176</f>
        <v>0</v>
      </c>
      <c r="I176" s="1299"/>
      <c r="J176" s="1299"/>
      <c r="K176" s="1303"/>
      <c r="L176" s="1299"/>
      <c r="M176" s="1299">
        <f>H176+J176+L176</f>
        <v>0</v>
      </c>
      <c r="N176" s="301"/>
    </row>
    <row r="177" spans="1:14">
      <c r="A177" s="1167"/>
      <c r="B177" s="975"/>
      <c r="C177" s="177" t="s">
        <v>37</v>
      </c>
      <c r="D177" s="313" t="s">
        <v>24</v>
      </c>
      <c r="E177" s="316">
        <f>9.4/100</f>
        <v>9.4E-2</v>
      </c>
      <c r="F177" s="196">
        <f>F172*E177</f>
        <v>0.28200000000000003</v>
      </c>
      <c r="G177" s="1310"/>
      <c r="H177" s="1299">
        <f>F177*G177</f>
        <v>0</v>
      </c>
      <c r="I177" s="1303"/>
      <c r="J177" s="1299"/>
      <c r="K177" s="1303"/>
      <c r="L177" s="1299"/>
      <c r="M177" s="1299">
        <f>H177+J177+L177</f>
        <v>0</v>
      </c>
      <c r="N177" s="301"/>
    </row>
    <row r="178" spans="1:14">
      <c r="A178" s="1168" t="s">
        <v>324</v>
      </c>
      <c r="B178" s="569"/>
      <c r="C178" s="588" t="s">
        <v>580</v>
      </c>
      <c r="D178" s="569" t="s">
        <v>75</v>
      </c>
      <c r="E178" s="570"/>
      <c r="F178" s="149">
        <v>2</v>
      </c>
      <c r="G178" s="1336"/>
      <c r="H178" s="1299">
        <f>F178*G178</f>
        <v>0</v>
      </c>
      <c r="I178" s="1335"/>
      <c r="J178" s="1299"/>
      <c r="K178" s="1299"/>
      <c r="L178" s="1299"/>
      <c r="M178" s="1299">
        <f t="shared" ref="M178:M182" si="13">H178+J178+L178</f>
        <v>0</v>
      </c>
      <c r="N178" s="301"/>
    </row>
    <row r="179" spans="1:14">
      <c r="A179" s="1169"/>
      <c r="B179" s="971"/>
      <c r="C179" s="319" t="s">
        <v>214</v>
      </c>
      <c r="D179" s="318" t="s">
        <v>29</v>
      </c>
      <c r="E179" s="148">
        <v>1</v>
      </c>
      <c r="F179" s="320">
        <f>F178*E179</f>
        <v>2</v>
      </c>
      <c r="G179" s="1335"/>
      <c r="H179" s="1299"/>
      <c r="I179" s="1336"/>
      <c r="J179" s="1299">
        <f>F179*I179</f>
        <v>0</v>
      </c>
      <c r="K179" s="1299"/>
      <c r="L179" s="1299"/>
      <c r="M179" s="1299">
        <f t="shared" si="13"/>
        <v>0</v>
      </c>
      <c r="N179" s="301"/>
    </row>
    <row r="180" spans="1:14">
      <c r="A180" s="1163">
        <v>6</v>
      </c>
      <c r="B180" s="51" t="s">
        <v>164</v>
      </c>
      <c r="C180" s="248" t="s">
        <v>412</v>
      </c>
      <c r="D180" s="51" t="s">
        <v>166</v>
      </c>
      <c r="E180" s="213"/>
      <c r="F180" s="159">
        <v>2</v>
      </c>
      <c r="G180" s="1303"/>
      <c r="H180" s="1299"/>
      <c r="I180" s="1299"/>
      <c r="J180" s="1299"/>
      <c r="K180" s="1299"/>
      <c r="L180" s="1299"/>
      <c r="M180" s="1299">
        <f t="shared" si="13"/>
        <v>0</v>
      </c>
      <c r="N180" s="301"/>
    </row>
    <row r="181" spans="1:14">
      <c r="A181" s="1164"/>
      <c r="B181" s="51"/>
      <c r="C181" s="219" t="s">
        <v>27</v>
      </c>
      <c r="D181" s="220" t="s">
        <v>137</v>
      </c>
      <c r="E181" s="224">
        <v>1.002</v>
      </c>
      <c r="F181" s="225">
        <f>F180*E181</f>
        <v>2.004</v>
      </c>
      <c r="G181" s="1303"/>
      <c r="H181" s="1299"/>
      <c r="I181" s="1300"/>
      <c r="J181" s="1299">
        <f>F181*I181</f>
        <v>0</v>
      </c>
      <c r="K181" s="1299"/>
      <c r="L181" s="1299"/>
      <c r="M181" s="1299">
        <f t="shared" si="13"/>
        <v>0</v>
      </c>
      <c r="N181" s="301"/>
    </row>
    <row r="182" spans="1:14">
      <c r="A182" s="1165"/>
      <c r="B182" s="51"/>
      <c r="C182" s="219" t="s">
        <v>167</v>
      </c>
      <c r="D182" s="220" t="s">
        <v>24</v>
      </c>
      <c r="E182" s="224">
        <v>0.49340000000000001</v>
      </c>
      <c r="F182" s="225">
        <f>F180*E182</f>
        <v>0.98680000000000001</v>
      </c>
      <c r="G182" s="1303"/>
      <c r="H182" s="1299"/>
      <c r="I182" s="1299"/>
      <c r="J182" s="1299"/>
      <c r="K182" s="1300"/>
      <c r="L182" s="1299">
        <f>F182*K182</f>
        <v>0</v>
      </c>
      <c r="M182" s="1299">
        <f t="shared" si="13"/>
        <v>0</v>
      </c>
      <c r="N182" s="301"/>
    </row>
    <row r="183" spans="1:14">
      <c r="A183" s="1162">
        <v>7</v>
      </c>
      <c r="B183" s="51" t="s">
        <v>171</v>
      </c>
      <c r="C183" s="248" t="s">
        <v>168</v>
      </c>
      <c r="D183" s="975" t="s">
        <v>5</v>
      </c>
      <c r="E183" s="323"/>
      <c r="F183" s="159">
        <v>2.8799999999999999E-2</v>
      </c>
      <c r="G183" s="1303"/>
      <c r="H183" s="1299"/>
      <c r="I183" s="1299"/>
      <c r="J183" s="1299"/>
      <c r="K183" s="1299"/>
      <c r="L183" s="1299"/>
      <c r="M183" s="1299"/>
      <c r="N183" s="301"/>
    </row>
    <row r="184" spans="1:14">
      <c r="A184" s="1162"/>
      <c r="B184" s="51"/>
      <c r="C184" s="178" t="s">
        <v>33</v>
      </c>
      <c r="D184" s="103" t="s">
        <v>29</v>
      </c>
      <c r="E184" s="111">
        <v>74.2</v>
      </c>
      <c r="F184" s="116">
        <f>F183*E184</f>
        <v>2.1369600000000002</v>
      </c>
      <c r="G184" s="1301"/>
      <c r="H184" s="1299"/>
      <c r="I184" s="1300"/>
      <c r="J184" s="1299">
        <f>F184*I184</f>
        <v>0</v>
      </c>
      <c r="K184" s="1299"/>
      <c r="L184" s="1299"/>
      <c r="M184" s="1299">
        <f>H184+J184+L184</f>
        <v>0</v>
      </c>
      <c r="N184" s="301"/>
    </row>
    <row r="185" spans="1:14">
      <c r="A185" s="1162"/>
      <c r="B185" s="51"/>
      <c r="C185" s="178" t="s">
        <v>35</v>
      </c>
      <c r="D185" s="103" t="s">
        <v>24</v>
      </c>
      <c r="E185" s="111">
        <v>1.1000000000000001</v>
      </c>
      <c r="F185" s="116">
        <f>F183*E185</f>
        <v>3.168E-2</v>
      </c>
      <c r="G185" s="1301"/>
      <c r="H185" s="1299"/>
      <c r="I185" s="1299"/>
      <c r="J185" s="1299"/>
      <c r="K185" s="1300"/>
      <c r="L185" s="1299">
        <f>F185*K185</f>
        <v>0</v>
      </c>
      <c r="M185" s="1299">
        <f>H185+J185+L185</f>
        <v>0</v>
      </c>
      <c r="N185" s="301"/>
    </row>
    <row r="186" spans="1:14">
      <c r="A186" s="1162"/>
      <c r="B186" s="51"/>
      <c r="C186" s="184" t="s">
        <v>415</v>
      </c>
      <c r="D186" s="103" t="s">
        <v>4</v>
      </c>
      <c r="E186" s="111">
        <v>1.04</v>
      </c>
      <c r="F186" s="116">
        <f>F183*E186</f>
        <v>2.9951999999999999E-2</v>
      </c>
      <c r="G186" s="1302"/>
      <c r="H186" s="1299">
        <f>F186*G186</f>
        <v>0</v>
      </c>
      <c r="I186" s="1299"/>
      <c r="J186" s="1299"/>
      <c r="K186" s="1299"/>
      <c r="L186" s="1299"/>
      <c r="M186" s="1299">
        <f>H186+J186+L186</f>
        <v>0</v>
      </c>
      <c r="N186" s="301"/>
    </row>
    <row r="187" spans="1:14">
      <c r="A187" s="1162"/>
      <c r="B187" s="51"/>
      <c r="C187" s="178" t="s">
        <v>172</v>
      </c>
      <c r="D187" s="103" t="s">
        <v>6</v>
      </c>
      <c r="E187" s="111">
        <v>5.9</v>
      </c>
      <c r="F187" s="116">
        <f>F183*E187</f>
        <v>0.16992000000000002</v>
      </c>
      <c r="G187" s="1302"/>
      <c r="H187" s="1299">
        <f>F187*G187</f>
        <v>0</v>
      </c>
      <c r="I187" s="1299"/>
      <c r="J187" s="1299"/>
      <c r="K187" s="1299"/>
      <c r="L187" s="1299"/>
      <c r="M187" s="1299">
        <f>H187+J187+L187</f>
        <v>0</v>
      </c>
      <c r="N187" s="301"/>
    </row>
    <row r="188" spans="1:14">
      <c r="A188" s="1162"/>
      <c r="B188" s="51"/>
      <c r="C188" s="178" t="s">
        <v>259</v>
      </c>
      <c r="D188" s="103" t="s">
        <v>4</v>
      </c>
      <c r="E188" s="111">
        <f>0.21+0.18</f>
        <v>0.39</v>
      </c>
      <c r="F188" s="116">
        <f>F183*E188</f>
        <v>1.1232000000000001E-2</v>
      </c>
      <c r="G188" s="1302"/>
      <c r="H188" s="1299">
        <f>F188*G188</f>
        <v>0</v>
      </c>
      <c r="I188" s="1299"/>
      <c r="J188" s="1299"/>
      <c r="K188" s="1299"/>
      <c r="L188" s="1299"/>
      <c r="M188" s="1299">
        <f>H188+J188+L188</f>
        <v>0</v>
      </c>
      <c r="N188" s="301"/>
    </row>
    <row r="189" spans="1:14">
      <c r="A189" s="1037"/>
      <c r="B189" s="51"/>
      <c r="C189" s="178"/>
      <c r="D189" s="103"/>
      <c r="E189" s="111"/>
      <c r="F189" s="116"/>
      <c r="G189" s="1301"/>
      <c r="H189" s="1299"/>
      <c r="I189" s="1299"/>
      <c r="J189" s="1299"/>
      <c r="K189" s="1299"/>
      <c r="L189" s="1299"/>
      <c r="M189" s="1299"/>
      <c r="N189" s="301"/>
    </row>
    <row r="190" spans="1:14">
      <c r="A190" s="143"/>
      <c r="B190" s="143"/>
      <c r="C190" s="142" t="s">
        <v>1039</v>
      </c>
      <c r="D190" s="143"/>
      <c r="E190" s="281"/>
      <c r="F190" s="282"/>
      <c r="G190" s="1318"/>
      <c r="H190" s="1318">
        <f>SUM(H164:H189)</f>
        <v>0</v>
      </c>
      <c r="I190" s="1318"/>
      <c r="J190" s="1318">
        <f>SUM(J164:J189)</f>
        <v>0</v>
      </c>
      <c r="K190" s="1318"/>
      <c r="L190" s="1318">
        <f>SUM(L164:L189)</f>
        <v>0</v>
      </c>
      <c r="M190" s="1318">
        <f>SUM(M164:M189)</f>
        <v>0</v>
      </c>
      <c r="N190" s="304"/>
    </row>
    <row r="191" spans="1:14" ht="31.5">
      <c r="A191" s="305"/>
      <c r="B191" s="305"/>
      <c r="C191" s="390" t="s">
        <v>456</v>
      </c>
      <c r="D191" s="305"/>
      <c r="E191" s="306"/>
      <c r="F191" s="1113"/>
      <c r="G191" s="1345"/>
      <c r="H191" s="1345"/>
      <c r="I191" s="1345"/>
      <c r="J191" s="1345"/>
      <c r="K191" s="1345"/>
      <c r="L191" s="1345"/>
      <c r="M191" s="1346">
        <f>H190*F191</f>
        <v>0</v>
      </c>
      <c r="N191" s="301"/>
    </row>
    <row r="192" spans="1:14">
      <c r="A192" s="305"/>
      <c r="B192" s="305"/>
      <c r="C192" s="307" t="s">
        <v>70</v>
      </c>
      <c r="D192" s="305"/>
      <c r="E192" s="306"/>
      <c r="F192" s="127"/>
      <c r="G192" s="1345"/>
      <c r="H192" s="1345"/>
      <c r="I192" s="1345"/>
      <c r="J192" s="1347"/>
      <c r="K192" s="1345"/>
      <c r="L192" s="1345"/>
      <c r="M192" s="1346">
        <f>M190+M191</f>
        <v>0</v>
      </c>
      <c r="N192" s="301"/>
    </row>
    <row r="193" spans="1:14" ht="31.5">
      <c r="A193" s="975"/>
      <c r="B193" s="308"/>
      <c r="C193" s="578" t="s">
        <v>615</v>
      </c>
      <c r="D193" s="618"/>
      <c r="E193" s="237"/>
      <c r="F193" s="1113"/>
      <c r="G193" s="1284"/>
      <c r="H193" s="1284"/>
      <c r="I193" s="1284"/>
      <c r="J193" s="1284"/>
      <c r="K193" s="1284"/>
      <c r="L193" s="1284"/>
      <c r="M193" s="1284">
        <f>J190*F193</f>
        <v>0</v>
      </c>
      <c r="N193" s="301"/>
    </row>
    <row r="194" spans="1:14">
      <c r="A194" s="975"/>
      <c r="B194" s="975"/>
      <c r="C194" s="307" t="s">
        <v>70</v>
      </c>
      <c r="D194" s="975"/>
      <c r="E194" s="54"/>
      <c r="F194" s="239"/>
      <c r="G194" s="1303"/>
      <c r="H194" s="1303"/>
      <c r="I194" s="1303"/>
      <c r="J194" s="1303"/>
      <c r="K194" s="1303"/>
      <c r="L194" s="1303"/>
      <c r="M194" s="1303">
        <f>M192+M193</f>
        <v>0</v>
      </c>
      <c r="N194" s="301"/>
    </row>
    <row r="195" spans="1:14">
      <c r="A195" s="975"/>
      <c r="B195" s="975"/>
      <c r="C195" s="972" t="s">
        <v>413</v>
      </c>
      <c r="D195" s="975"/>
      <c r="E195" s="54"/>
      <c r="F195" s="1113"/>
      <c r="G195" s="1303"/>
      <c r="H195" s="1303"/>
      <c r="I195" s="1303"/>
      <c r="J195" s="1303"/>
      <c r="K195" s="1303"/>
      <c r="L195" s="1303"/>
      <c r="M195" s="1303">
        <f>M194*F195</f>
        <v>0</v>
      </c>
      <c r="N195" s="301"/>
    </row>
    <row r="196" spans="1:14" s="1096" customFormat="1">
      <c r="A196" s="989"/>
      <c r="B196" s="989"/>
      <c r="C196" s="995" t="s">
        <v>1040</v>
      </c>
      <c r="D196" s="989"/>
      <c r="E196" s="991"/>
      <c r="F196" s="990"/>
      <c r="G196" s="1340"/>
      <c r="H196" s="1340"/>
      <c r="I196" s="1340"/>
      <c r="J196" s="1340"/>
      <c r="K196" s="1340"/>
      <c r="L196" s="1340"/>
      <c r="M196" s="1340">
        <f>M194+M195</f>
        <v>0</v>
      </c>
      <c r="N196" s="1095"/>
    </row>
    <row r="197" spans="1:14" s="1120" customFormat="1" ht="18.75" thickBot="1">
      <c r="A197" s="1114"/>
      <c r="B197" s="1115"/>
      <c r="C197" s="1116" t="s">
        <v>1078</v>
      </c>
      <c r="D197" s="1115"/>
      <c r="E197" s="1117"/>
      <c r="F197" s="1118"/>
      <c r="G197" s="1351"/>
      <c r="H197" s="1352"/>
      <c r="I197" s="1352"/>
      <c r="J197" s="1352"/>
      <c r="K197" s="1352"/>
      <c r="L197" s="1352"/>
      <c r="M197" s="1353">
        <f>M149+M163+M196</f>
        <v>0</v>
      </c>
      <c r="N197" s="1119"/>
    </row>
    <row r="198" spans="1:14" ht="32.25" customHeight="1" thickBot="1">
      <c r="A198" s="958"/>
      <c r="B198" s="957"/>
      <c r="C198" s="976" t="s">
        <v>1068</v>
      </c>
      <c r="D198" s="957"/>
      <c r="E198" s="959"/>
      <c r="F198" s="959"/>
      <c r="G198" s="1324"/>
      <c r="H198" s="1324"/>
      <c r="I198" s="1324"/>
      <c r="J198" s="1324"/>
      <c r="K198" s="1324"/>
      <c r="L198" s="1324"/>
      <c r="M198" s="1325">
        <f>M113+M197</f>
        <v>0</v>
      </c>
      <c r="N198" s="301"/>
    </row>
    <row r="199" spans="1:14">
      <c r="A199" s="207"/>
      <c r="B199" s="325"/>
      <c r="C199" s="326"/>
      <c r="D199" s="327"/>
      <c r="E199" s="328"/>
      <c r="F199" s="329"/>
      <c r="G199" s="330"/>
      <c r="H199" s="295"/>
      <c r="I199" s="295"/>
      <c r="J199" s="295"/>
      <c r="K199" s="295"/>
      <c r="L199" s="295"/>
      <c r="M199" s="295"/>
      <c r="N199" s="301"/>
    </row>
    <row r="200" spans="1:14">
      <c r="A200" s="207"/>
      <c r="B200" s="325"/>
      <c r="C200" s="326"/>
      <c r="D200" s="327"/>
      <c r="E200" s="328"/>
      <c r="F200" s="329"/>
      <c r="G200" s="330"/>
      <c r="H200" s="295"/>
      <c r="I200" s="295"/>
      <c r="J200" s="295"/>
      <c r="K200" s="295"/>
      <c r="L200" s="295"/>
      <c r="M200" s="295"/>
      <c r="N200" s="301"/>
    </row>
    <row r="201" spans="1:14">
      <c r="A201" s="207"/>
      <c r="B201" s="325"/>
      <c r="C201" s="326"/>
      <c r="D201" s="327"/>
      <c r="E201" s="328"/>
      <c r="F201" s="329"/>
      <c r="G201" s="330"/>
      <c r="H201" s="295"/>
      <c r="I201" s="295"/>
      <c r="J201" s="295"/>
      <c r="K201" s="295"/>
      <c r="L201" s="295"/>
      <c r="M201" s="295"/>
      <c r="N201" s="301"/>
    </row>
    <row r="202" spans="1:14">
      <c r="A202" s="207"/>
      <c r="B202" s="325"/>
      <c r="C202" s="326"/>
      <c r="D202" s="327"/>
      <c r="E202" s="328"/>
      <c r="F202" s="329"/>
      <c r="G202" s="330"/>
      <c r="H202" s="295"/>
      <c r="I202" s="295"/>
      <c r="J202" s="295"/>
      <c r="K202" s="295"/>
      <c r="L202" s="295"/>
      <c r="M202" s="295"/>
      <c r="N202" s="301"/>
    </row>
    <row r="203" spans="1:14">
      <c r="A203" s="207"/>
      <c r="B203" s="325"/>
      <c r="C203" s="326"/>
      <c r="D203" s="327"/>
      <c r="E203" s="328"/>
      <c r="F203" s="329"/>
      <c r="G203" s="330"/>
      <c r="H203" s="295"/>
      <c r="I203" s="295"/>
      <c r="J203" s="295"/>
      <c r="K203" s="295"/>
      <c r="L203" s="295"/>
      <c r="M203" s="295"/>
      <c r="N203" s="301"/>
    </row>
    <row r="204" spans="1:14">
      <c r="A204" s="207"/>
      <c r="B204" s="325"/>
      <c r="C204" s="326"/>
      <c r="D204" s="327"/>
      <c r="E204" s="328"/>
      <c r="F204" s="329"/>
      <c r="G204" s="330"/>
      <c r="H204" s="295"/>
      <c r="I204" s="295"/>
      <c r="J204" s="295"/>
      <c r="K204" s="295"/>
      <c r="L204" s="295"/>
      <c r="M204" s="295"/>
      <c r="N204" s="301"/>
    </row>
    <row r="205" spans="1:14">
      <c r="A205" s="207"/>
      <c r="B205" s="325"/>
      <c r="C205" s="326"/>
      <c r="D205" s="327"/>
      <c r="E205" s="328"/>
      <c r="F205" s="329"/>
      <c r="G205" s="330"/>
      <c r="H205" s="295"/>
      <c r="I205" s="295"/>
      <c r="J205" s="295"/>
      <c r="K205" s="295"/>
      <c r="L205" s="295"/>
      <c r="M205" s="295"/>
      <c r="N205" s="301"/>
    </row>
    <row r="206" spans="1:14">
      <c r="A206" s="207"/>
      <c r="B206" s="325"/>
      <c r="C206" s="326"/>
      <c r="D206" s="327"/>
      <c r="E206" s="328"/>
      <c r="F206" s="329"/>
      <c r="G206" s="330"/>
      <c r="H206" s="295"/>
      <c r="I206" s="295"/>
      <c r="J206" s="295"/>
      <c r="K206" s="295"/>
      <c r="L206" s="295"/>
      <c r="M206" s="295"/>
      <c r="N206" s="301"/>
    </row>
    <row r="207" spans="1:14">
      <c r="A207" s="207"/>
      <c r="B207" s="325"/>
      <c r="C207" s="326"/>
      <c r="D207" s="327"/>
      <c r="E207" s="328"/>
      <c r="F207" s="329"/>
      <c r="G207" s="330"/>
      <c r="H207" s="295"/>
      <c r="I207" s="295"/>
      <c r="J207" s="295"/>
      <c r="K207" s="295"/>
      <c r="L207" s="295"/>
      <c r="M207" s="295"/>
      <c r="N207" s="301"/>
    </row>
    <row r="208" spans="1:14">
      <c r="A208" s="207"/>
      <c r="B208" s="325"/>
      <c r="C208" s="326"/>
      <c r="D208" s="327"/>
      <c r="E208" s="328"/>
      <c r="F208" s="329"/>
      <c r="G208" s="330"/>
      <c r="H208" s="295"/>
      <c r="I208" s="295"/>
      <c r="J208" s="295"/>
      <c r="K208" s="295"/>
      <c r="L208" s="295"/>
      <c r="M208" s="295"/>
      <c r="N208" s="301"/>
    </row>
    <row r="209" spans="1:14">
      <c r="A209" s="207"/>
      <c r="B209" s="325"/>
      <c r="C209" s="326"/>
      <c r="D209" s="327"/>
      <c r="E209" s="328"/>
      <c r="F209" s="329"/>
      <c r="G209" s="330"/>
      <c r="H209" s="295"/>
      <c r="I209" s="295"/>
      <c r="J209" s="295"/>
      <c r="K209" s="295"/>
      <c r="L209" s="295"/>
      <c r="M209" s="295"/>
      <c r="N209" s="301"/>
    </row>
    <row r="210" spans="1:14">
      <c r="A210" s="207"/>
      <c r="B210" s="325"/>
      <c r="C210" s="326"/>
      <c r="D210" s="327"/>
      <c r="E210" s="328"/>
      <c r="F210" s="329"/>
      <c r="G210" s="330"/>
      <c r="H210" s="295"/>
      <c r="I210" s="295"/>
      <c r="J210" s="295"/>
      <c r="K210" s="295"/>
      <c r="L210" s="295"/>
      <c r="M210" s="295"/>
      <c r="N210" s="301"/>
    </row>
    <row r="211" spans="1:14">
      <c r="A211" s="207"/>
      <c r="B211" s="325"/>
      <c r="C211" s="326"/>
      <c r="D211" s="327"/>
      <c r="E211" s="328"/>
      <c r="F211" s="329"/>
      <c r="G211" s="330"/>
      <c r="H211" s="295"/>
      <c r="I211" s="295"/>
      <c r="J211" s="295"/>
      <c r="K211" s="295"/>
      <c r="L211" s="295"/>
      <c r="M211" s="295"/>
      <c r="N211" s="301"/>
    </row>
    <row r="212" spans="1:14">
      <c r="A212" s="207"/>
      <c r="B212" s="325"/>
      <c r="C212" s="326"/>
      <c r="D212" s="327"/>
      <c r="E212" s="328"/>
      <c r="F212" s="329"/>
      <c r="G212" s="330"/>
      <c r="H212" s="295"/>
      <c r="I212" s="295"/>
      <c r="J212" s="295"/>
      <c r="K212" s="295"/>
      <c r="L212" s="295"/>
      <c r="M212" s="295"/>
      <c r="N212" s="301"/>
    </row>
    <row r="213" spans="1:14">
      <c r="A213" s="207"/>
      <c r="B213" s="325"/>
      <c r="C213" s="326"/>
      <c r="D213" s="327"/>
      <c r="E213" s="328"/>
      <c r="F213" s="329"/>
      <c r="G213" s="330"/>
      <c r="H213" s="295"/>
      <c r="I213" s="295"/>
      <c r="J213" s="295"/>
      <c r="K213" s="295"/>
      <c r="L213" s="295"/>
      <c r="M213" s="295"/>
      <c r="N213" s="301"/>
    </row>
    <row r="214" spans="1:14">
      <c r="A214" s="207"/>
      <c r="B214" s="325"/>
      <c r="C214" s="326"/>
      <c r="D214" s="327"/>
      <c r="E214" s="328"/>
      <c r="F214" s="329"/>
      <c r="G214" s="330"/>
      <c r="H214" s="295"/>
      <c r="I214" s="295"/>
      <c r="J214" s="295"/>
      <c r="K214" s="295"/>
      <c r="L214" s="295"/>
      <c r="M214" s="295"/>
      <c r="N214" s="301"/>
    </row>
    <row r="215" spans="1:14">
      <c r="A215" s="207"/>
      <c r="B215" s="325"/>
      <c r="C215" s="326"/>
      <c r="D215" s="327"/>
      <c r="E215" s="328"/>
      <c r="F215" s="329"/>
      <c r="G215" s="330"/>
      <c r="H215" s="295"/>
      <c r="I215" s="295"/>
      <c r="J215" s="295"/>
      <c r="K215" s="295"/>
      <c r="L215" s="295"/>
      <c r="M215" s="295"/>
      <c r="N215" s="301"/>
    </row>
    <row r="216" spans="1:14">
      <c r="A216" s="207"/>
      <c r="B216" s="325"/>
      <c r="C216" s="326"/>
      <c r="D216" s="327"/>
      <c r="E216" s="328"/>
      <c r="F216" s="329"/>
      <c r="G216" s="330"/>
      <c r="H216" s="295"/>
      <c r="I216" s="295"/>
      <c r="J216" s="295"/>
      <c r="K216" s="295"/>
      <c r="L216" s="295"/>
      <c r="M216" s="295"/>
      <c r="N216" s="301"/>
    </row>
    <row r="217" spans="1:14">
      <c r="A217" s="207"/>
      <c r="B217" s="325"/>
      <c r="C217" s="326"/>
      <c r="D217" s="327"/>
      <c r="E217" s="328"/>
      <c r="F217" s="329"/>
      <c r="G217" s="330"/>
      <c r="H217" s="295"/>
      <c r="I217" s="295"/>
      <c r="J217" s="295"/>
      <c r="K217" s="295"/>
      <c r="L217" s="295"/>
      <c r="M217" s="295"/>
      <c r="N217" s="301"/>
    </row>
    <row r="218" spans="1:14">
      <c r="A218" s="207"/>
      <c r="B218" s="325"/>
      <c r="C218" s="326"/>
      <c r="D218" s="327"/>
      <c r="E218" s="328"/>
      <c r="F218" s="329"/>
      <c r="G218" s="330"/>
      <c r="H218" s="295"/>
      <c r="I218" s="295"/>
      <c r="J218" s="295"/>
      <c r="K218" s="295"/>
      <c r="L218" s="295"/>
      <c r="M218" s="295"/>
      <c r="N218" s="301"/>
    </row>
    <row r="219" spans="1:14">
      <c r="A219" s="207"/>
      <c r="B219" s="325"/>
      <c r="C219" s="326"/>
      <c r="D219" s="327"/>
      <c r="E219" s="328"/>
      <c r="F219" s="329"/>
      <c r="G219" s="330"/>
      <c r="H219" s="295"/>
      <c r="I219" s="295"/>
      <c r="J219" s="295"/>
      <c r="K219" s="295"/>
      <c r="L219" s="295"/>
      <c r="M219" s="295"/>
      <c r="N219" s="301"/>
    </row>
    <row r="220" spans="1:14">
      <c r="A220" s="207"/>
      <c r="B220" s="325"/>
      <c r="C220" s="326"/>
      <c r="D220" s="327"/>
      <c r="E220" s="328"/>
      <c r="F220" s="329"/>
      <c r="G220" s="330"/>
      <c r="H220" s="295"/>
      <c r="I220" s="295"/>
      <c r="J220" s="295"/>
      <c r="K220" s="295"/>
      <c r="L220" s="295"/>
      <c r="M220" s="295"/>
      <c r="N220" s="301"/>
    </row>
    <row r="221" spans="1:14">
      <c r="A221" s="207"/>
      <c r="B221" s="325"/>
      <c r="C221" s="326"/>
      <c r="D221" s="327"/>
      <c r="E221" s="328"/>
      <c r="F221" s="329"/>
      <c r="G221" s="330"/>
      <c r="H221" s="295"/>
      <c r="I221" s="295"/>
      <c r="J221" s="295"/>
      <c r="K221" s="295"/>
      <c r="L221" s="295"/>
      <c r="M221" s="295"/>
      <c r="N221" s="301"/>
    </row>
    <row r="222" spans="1:14">
      <c r="A222" s="207"/>
      <c r="B222" s="325"/>
      <c r="C222" s="326"/>
      <c r="D222" s="327"/>
      <c r="E222" s="328"/>
      <c r="F222" s="329"/>
      <c r="G222" s="330"/>
      <c r="H222" s="295"/>
      <c r="I222" s="295"/>
      <c r="J222" s="295"/>
      <c r="K222" s="295"/>
      <c r="L222" s="295"/>
      <c r="M222" s="295"/>
      <c r="N222" s="301"/>
    </row>
    <row r="223" spans="1:14">
      <c r="A223" s="207"/>
      <c r="B223" s="325"/>
      <c r="C223" s="326"/>
      <c r="D223" s="327"/>
      <c r="E223" s="328"/>
      <c r="F223" s="329"/>
      <c r="G223" s="330"/>
      <c r="H223" s="295"/>
      <c r="I223" s="295"/>
      <c r="J223" s="295"/>
      <c r="K223" s="295"/>
      <c r="L223" s="295"/>
      <c r="M223" s="295"/>
      <c r="N223" s="301"/>
    </row>
    <row r="224" spans="1:14">
      <c r="A224" s="207"/>
      <c r="B224" s="325"/>
      <c r="C224" s="326"/>
      <c r="D224" s="327"/>
      <c r="E224" s="328"/>
      <c r="F224" s="329"/>
      <c r="G224" s="330"/>
      <c r="H224" s="295"/>
      <c r="I224" s="295"/>
      <c r="J224" s="295"/>
      <c r="K224" s="295"/>
      <c r="L224" s="295"/>
      <c r="M224" s="295"/>
      <c r="N224" s="301"/>
    </row>
    <row r="225" spans="1:14">
      <c r="A225" s="207"/>
      <c r="B225" s="325"/>
      <c r="C225" s="326"/>
      <c r="D225" s="327"/>
      <c r="E225" s="328"/>
      <c r="F225" s="329"/>
      <c r="G225" s="330"/>
      <c r="H225" s="295"/>
      <c r="I225" s="295"/>
      <c r="J225" s="295"/>
      <c r="K225" s="295"/>
      <c r="L225" s="295"/>
      <c r="M225" s="295"/>
      <c r="N225" s="301"/>
    </row>
    <row r="226" spans="1:14">
      <c r="A226" s="207"/>
      <c r="B226" s="325"/>
      <c r="C226" s="326"/>
      <c r="D226" s="327"/>
      <c r="E226" s="328"/>
      <c r="F226" s="329"/>
      <c r="G226" s="330"/>
      <c r="H226" s="295"/>
      <c r="I226" s="295"/>
      <c r="J226" s="295"/>
      <c r="K226" s="295"/>
      <c r="L226" s="295"/>
      <c r="M226" s="295"/>
      <c r="N226" s="301"/>
    </row>
    <row r="227" spans="1:14">
      <c r="A227" s="207"/>
      <c r="B227" s="325"/>
      <c r="C227" s="326"/>
      <c r="D227" s="327"/>
      <c r="E227" s="328"/>
      <c r="F227" s="329"/>
      <c r="G227" s="330"/>
      <c r="H227" s="295"/>
      <c r="I227" s="295"/>
      <c r="J227" s="295"/>
      <c r="K227" s="295"/>
      <c r="L227" s="295"/>
      <c r="M227" s="295"/>
      <c r="N227" s="301"/>
    </row>
    <row r="228" spans="1:14">
      <c r="A228" s="207"/>
      <c r="B228" s="325"/>
      <c r="C228" s="326"/>
      <c r="D228" s="327"/>
      <c r="E228" s="328"/>
      <c r="F228" s="329"/>
      <c r="G228" s="330"/>
      <c r="H228" s="295"/>
      <c r="I228" s="295"/>
      <c r="J228" s="295"/>
      <c r="K228" s="295"/>
      <c r="L228" s="295"/>
      <c r="M228" s="295"/>
      <c r="N228" s="301"/>
    </row>
    <row r="229" spans="1:14">
      <c r="A229" s="207"/>
      <c r="B229" s="325"/>
      <c r="C229" s="326"/>
      <c r="D229" s="327"/>
      <c r="E229" s="328"/>
      <c r="F229" s="329"/>
      <c r="G229" s="330"/>
      <c r="H229" s="295"/>
      <c r="I229" s="295"/>
      <c r="J229" s="295"/>
      <c r="K229" s="295"/>
      <c r="L229" s="295"/>
      <c r="M229" s="295"/>
      <c r="N229" s="301"/>
    </row>
    <row r="230" spans="1:14">
      <c r="A230" s="207"/>
      <c r="B230" s="325"/>
      <c r="C230" s="326"/>
      <c r="D230" s="327"/>
      <c r="E230" s="328"/>
      <c r="F230" s="329"/>
      <c r="G230" s="330"/>
      <c r="H230" s="295"/>
      <c r="I230" s="295"/>
      <c r="J230" s="295"/>
      <c r="K230" s="295"/>
      <c r="L230" s="295"/>
      <c r="M230" s="295"/>
      <c r="N230" s="301"/>
    </row>
    <row r="231" spans="1:14">
      <c r="A231" s="207"/>
      <c r="B231" s="325"/>
      <c r="C231" s="326"/>
      <c r="D231" s="327"/>
      <c r="E231" s="328"/>
      <c r="F231" s="329"/>
      <c r="G231" s="330"/>
      <c r="H231" s="295"/>
      <c r="I231" s="295"/>
      <c r="J231" s="295"/>
      <c r="K231" s="295"/>
      <c r="L231" s="295"/>
      <c r="M231" s="295"/>
      <c r="N231" s="301"/>
    </row>
    <row r="232" spans="1:14">
      <c r="A232" s="207"/>
      <c r="B232" s="325"/>
      <c r="C232" s="326"/>
      <c r="D232" s="327"/>
      <c r="E232" s="328"/>
      <c r="F232" s="329"/>
      <c r="G232" s="330"/>
      <c r="H232" s="295"/>
      <c r="I232" s="295"/>
      <c r="J232" s="295"/>
      <c r="K232" s="295"/>
      <c r="L232" s="295"/>
      <c r="M232" s="295"/>
      <c r="N232" s="301"/>
    </row>
    <row r="233" spans="1:14">
      <c r="A233" s="207"/>
      <c r="B233" s="325"/>
      <c r="C233" s="326"/>
      <c r="D233" s="327"/>
      <c r="E233" s="328"/>
      <c r="F233" s="329"/>
      <c r="G233" s="330"/>
      <c r="H233" s="295"/>
      <c r="I233" s="295"/>
      <c r="J233" s="295"/>
      <c r="K233" s="295"/>
      <c r="L233" s="295"/>
      <c r="M233" s="295"/>
      <c r="N233" s="301"/>
    </row>
    <row r="234" spans="1:14">
      <c r="A234" s="207"/>
      <c r="B234" s="325"/>
      <c r="C234" s="326"/>
      <c r="D234" s="327"/>
      <c r="E234" s="328"/>
      <c r="F234" s="329"/>
      <c r="G234" s="330"/>
      <c r="H234" s="295"/>
      <c r="I234" s="295"/>
      <c r="J234" s="295"/>
      <c r="K234" s="295"/>
      <c r="L234" s="295"/>
      <c r="M234" s="295"/>
      <c r="N234" s="301"/>
    </row>
    <row r="235" spans="1:14">
      <c r="A235" s="207"/>
      <c r="B235" s="325"/>
      <c r="C235" s="326"/>
      <c r="D235" s="327"/>
      <c r="E235" s="328"/>
      <c r="F235" s="329"/>
      <c r="G235" s="330"/>
      <c r="H235" s="295"/>
      <c r="I235" s="295"/>
      <c r="J235" s="295"/>
      <c r="K235" s="295"/>
      <c r="L235" s="295"/>
      <c r="M235" s="295"/>
      <c r="N235" s="301"/>
    </row>
    <row r="236" spans="1:14">
      <c r="A236" s="207"/>
      <c r="B236" s="325"/>
      <c r="C236" s="326"/>
      <c r="D236" s="327"/>
      <c r="E236" s="328"/>
      <c r="F236" s="329"/>
      <c r="G236" s="330"/>
      <c r="H236" s="295"/>
      <c r="I236" s="295"/>
      <c r="J236" s="295"/>
      <c r="K236" s="295"/>
      <c r="L236" s="295"/>
      <c r="M236" s="295"/>
      <c r="N236" s="301"/>
    </row>
    <row r="237" spans="1:14">
      <c r="A237" s="207"/>
      <c r="B237" s="325"/>
      <c r="C237" s="326"/>
      <c r="D237" s="327"/>
      <c r="E237" s="328"/>
      <c r="F237" s="329"/>
      <c r="G237" s="330"/>
      <c r="H237" s="295"/>
      <c r="I237" s="295"/>
      <c r="J237" s="295"/>
      <c r="K237" s="295"/>
      <c r="L237" s="295"/>
      <c r="M237" s="295"/>
      <c r="N237" s="301"/>
    </row>
    <row r="238" spans="1:14">
      <c r="A238" s="207"/>
      <c r="B238" s="325"/>
      <c r="C238" s="326"/>
      <c r="D238" s="327"/>
      <c r="E238" s="328"/>
      <c r="F238" s="329"/>
      <c r="G238" s="330"/>
      <c r="H238" s="295"/>
      <c r="I238" s="295"/>
      <c r="J238" s="295"/>
      <c r="K238" s="295"/>
      <c r="L238" s="295"/>
      <c r="M238" s="295"/>
      <c r="N238" s="301"/>
    </row>
    <row r="239" spans="1:14">
      <c r="A239" s="207"/>
      <c r="B239" s="325"/>
      <c r="C239" s="326"/>
      <c r="D239" s="327"/>
      <c r="E239" s="328"/>
      <c r="F239" s="329"/>
      <c r="G239" s="330"/>
      <c r="H239" s="295"/>
      <c r="I239" s="295"/>
      <c r="J239" s="295"/>
      <c r="K239" s="295"/>
      <c r="L239" s="295"/>
      <c r="M239" s="295"/>
      <c r="N239" s="301"/>
    </row>
    <row r="240" spans="1:14">
      <c r="A240" s="207"/>
      <c r="B240" s="325"/>
      <c r="C240" s="326"/>
      <c r="D240" s="327"/>
      <c r="E240" s="328"/>
      <c r="F240" s="329"/>
      <c r="G240" s="330"/>
      <c r="H240" s="295"/>
      <c r="I240" s="295"/>
      <c r="J240" s="295"/>
      <c r="K240" s="295"/>
      <c r="L240" s="295"/>
      <c r="M240" s="295"/>
      <c r="N240" s="301"/>
    </row>
    <row r="241" spans="1:14">
      <c r="A241" s="207"/>
      <c r="B241" s="325"/>
      <c r="C241" s="326"/>
      <c r="D241" s="327"/>
      <c r="E241" s="328"/>
      <c r="F241" s="329"/>
      <c r="G241" s="330"/>
      <c r="H241" s="295"/>
      <c r="I241" s="295"/>
      <c r="J241" s="295"/>
      <c r="K241" s="295"/>
      <c r="L241" s="295"/>
      <c r="M241" s="295"/>
      <c r="N241" s="301"/>
    </row>
    <row r="242" spans="1:14">
      <c r="A242" s="207"/>
      <c r="B242" s="325"/>
      <c r="C242" s="326"/>
      <c r="D242" s="327"/>
      <c r="E242" s="328"/>
      <c r="F242" s="329"/>
      <c r="G242" s="330"/>
      <c r="H242" s="295"/>
      <c r="I242" s="295"/>
      <c r="J242" s="295"/>
      <c r="K242" s="295"/>
      <c r="L242" s="295"/>
      <c r="M242" s="295"/>
      <c r="N242" s="301"/>
    </row>
    <row r="243" spans="1:14">
      <c r="A243" s="207"/>
      <c r="B243" s="325"/>
      <c r="C243" s="326"/>
      <c r="D243" s="327"/>
      <c r="E243" s="328"/>
      <c r="F243" s="329"/>
      <c r="G243" s="330"/>
      <c r="H243" s="295"/>
      <c r="I243" s="295"/>
      <c r="J243" s="295"/>
      <c r="K243" s="295"/>
      <c r="L243" s="295"/>
      <c r="M243" s="295"/>
      <c r="N243" s="301"/>
    </row>
    <row r="244" spans="1:14">
      <c r="A244" s="207"/>
      <c r="B244" s="325"/>
      <c r="C244" s="326"/>
      <c r="D244" s="327"/>
      <c r="E244" s="328"/>
      <c r="F244" s="329"/>
      <c r="G244" s="330"/>
      <c r="H244" s="295"/>
      <c r="I244" s="295"/>
      <c r="J244" s="295"/>
      <c r="K244" s="295"/>
      <c r="L244" s="295"/>
      <c r="M244" s="295"/>
      <c r="N244" s="301"/>
    </row>
    <row r="245" spans="1:14">
      <c r="A245" s="207"/>
      <c r="B245" s="325"/>
      <c r="C245" s="326"/>
      <c r="D245" s="327"/>
      <c r="E245" s="328"/>
      <c r="F245" s="329"/>
      <c r="G245" s="330"/>
      <c r="H245" s="295"/>
      <c r="I245" s="295"/>
      <c r="J245" s="295"/>
      <c r="K245" s="295"/>
      <c r="L245" s="295"/>
      <c r="M245" s="295"/>
      <c r="N245" s="301"/>
    </row>
    <row r="246" spans="1:14">
      <c r="A246" s="207"/>
      <c r="B246" s="325"/>
      <c r="C246" s="326"/>
      <c r="D246" s="327"/>
      <c r="E246" s="328"/>
      <c r="F246" s="329"/>
      <c r="G246" s="330"/>
      <c r="H246" s="295"/>
      <c r="I246" s="295"/>
      <c r="J246" s="295"/>
      <c r="K246" s="295"/>
      <c r="L246" s="295"/>
      <c r="M246" s="295"/>
      <c r="N246" s="301"/>
    </row>
    <row r="247" spans="1:14">
      <c r="A247" s="207"/>
      <c r="B247" s="325"/>
      <c r="C247" s="326"/>
      <c r="D247" s="327"/>
      <c r="E247" s="328"/>
      <c r="F247" s="329"/>
      <c r="G247" s="330"/>
      <c r="H247" s="295"/>
      <c r="I247" s="295"/>
      <c r="J247" s="295"/>
      <c r="K247" s="295"/>
      <c r="L247" s="295"/>
      <c r="M247" s="295"/>
      <c r="N247" s="301"/>
    </row>
    <row r="248" spans="1:14">
      <c r="A248" s="207"/>
      <c r="B248" s="325"/>
      <c r="C248" s="326"/>
      <c r="D248" s="327"/>
      <c r="E248" s="328"/>
      <c r="F248" s="329"/>
      <c r="G248" s="330"/>
      <c r="H248" s="295"/>
      <c r="I248" s="295"/>
      <c r="J248" s="295"/>
      <c r="K248" s="295"/>
      <c r="L248" s="295"/>
      <c r="M248" s="295"/>
      <c r="N248" s="301"/>
    </row>
    <row r="249" spans="1:14">
      <c r="A249" s="207"/>
      <c r="B249" s="325"/>
      <c r="C249" s="326"/>
      <c r="D249" s="327"/>
      <c r="E249" s="328"/>
      <c r="F249" s="329"/>
      <c r="G249" s="330"/>
      <c r="H249" s="295"/>
      <c r="I249" s="295"/>
      <c r="J249" s="295"/>
      <c r="K249" s="295"/>
      <c r="L249" s="295"/>
      <c r="M249" s="295"/>
      <c r="N249" s="301"/>
    </row>
    <row r="250" spans="1:14">
      <c r="A250" s="207"/>
      <c r="B250" s="325"/>
      <c r="C250" s="326"/>
      <c r="D250" s="327"/>
      <c r="E250" s="328"/>
      <c r="F250" s="329"/>
      <c r="G250" s="330"/>
      <c r="H250" s="295"/>
      <c r="I250" s="295"/>
      <c r="J250" s="295"/>
      <c r="K250" s="295"/>
      <c r="L250" s="295"/>
      <c r="M250" s="295"/>
      <c r="N250" s="301"/>
    </row>
    <row r="251" spans="1:14">
      <c r="A251" s="207"/>
      <c r="B251" s="325"/>
      <c r="C251" s="326"/>
      <c r="D251" s="327"/>
      <c r="E251" s="328"/>
      <c r="F251" s="329"/>
      <c r="G251" s="330"/>
      <c r="H251" s="295"/>
      <c r="I251" s="295"/>
      <c r="J251" s="295"/>
      <c r="K251" s="295"/>
      <c r="L251" s="295"/>
      <c r="M251" s="295"/>
      <c r="N251" s="301"/>
    </row>
    <row r="252" spans="1:14">
      <c r="A252" s="207"/>
      <c r="B252" s="325"/>
      <c r="C252" s="326"/>
      <c r="D252" s="327"/>
      <c r="E252" s="328"/>
      <c r="F252" s="329"/>
      <c r="G252" s="330"/>
      <c r="H252" s="295"/>
      <c r="I252" s="295"/>
      <c r="J252" s="295"/>
      <c r="K252" s="295"/>
      <c r="L252" s="295"/>
      <c r="M252" s="295"/>
      <c r="N252" s="301"/>
    </row>
    <row r="253" spans="1:14">
      <c r="A253" s="207"/>
      <c r="B253" s="325"/>
      <c r="C253" s="326"/>
      <c r="D253" s="327"/>
      <c r="E253" s="328"/>
      <c r="F253" s="329"/>
      <c r="G253" s="330"/>
      <c r="H253" s="295"/>
      <c r="I253" s="295"/>
      <c r="J253" s="295"/>
      <c r="K253" s="295"/>
      <c r="L253" s="295"/>
      <c r="M253" s="295"/>
      <c r="N253" s="301"/>
    </row>
    <row r="254" spans="1:14">
      <c r="A254" s="207"/>
      <c r="B254" s="325"/>
      <c r="C254" s="326"/>
      <c r="D254" s="327"/>
      <c r="E254" s="328"/>
      <c r="F254" s="329"/>
      <c r="G254" s="330"/>
      <c r="H254" s="295"/>
      <c r="I254" s="295"/>
      <c r="J254" s="295"/>
      <c r="K254" s="295"/>
      <c r="L254" s="295"/>
      <c r="M254" s="295"/>
      <c r="N254" s="301"/>
    </row>
    <row r="255" spans="1:14">
      <c r="A255" s="207"/>
      <c r="B255" s="325"/>
      <c r="C255" s="326"/>
      <c r="D255" s="327"/>
      <c r="E255" s="328"/>
      <c r="F255" s="329"/>
      <c r="G255" s="330"/>
      <c r="H255" s="295"/>
      <c r="I255" s="295"/>
      <c r="J255" s="295"/>
      <c r="K255" s="295"/>
      <c r="L255" s="295"/>
      <c r="M255" s="295"/>
      <c r="N255" s="301"/>
    </row>
    <row r="256" spans="1:14">
      <c r="A256" s="207"/>
      <c r="B256" s="325"/>
      <c r="C256" s="326"/>
      <c r="D256" s="327"/>
      <c r="E256" s="328"/>
      <c r="F256" s="329"/>
      <c r="G256" s="330"/>
      <c r="H256" s="295"/>
      <c r="I256" s="295"/>
      <c r="J256" s="295"/>
      <c r="K256" s="295"/>
      <c r="L256" s="295"/>
      <c r="M256" s="295"/>
      <c r="N256" s="301"/>
    </row>
    <row r="257" spans="1:14">
      <c r="A257" s="207"/>
      <c r="B257" s="325"/>
      <c r="C257" s="326"/>
      <c r="D257" s="327"/>
      <c r="E257" s="328"/>
      <c r="F257" s="329"/>
      <c r="G257" s="330"/>
      <c r="H257" s="295"/>
      <c r="I257" s="295"/>
      <c r="J257" s="295"/>
      <c r="K257" s="295"/>
      <c r="L257" s="295"/>
      <c r="M257" s="295"/>
      <c r="N257" s="301"/>
    </row>
    <row r="258" spans="1:14">
      <c r="A258" s="207"/>
      <c r="B258" s="325"/>
      <c r="C258" s="326"/>
      <c r="D258" s="327"/>
      <c r="E258" s="328"/>
      <c r="F258" s="329"/>
      <c r="G258" s="330"/>
      <c r="H258" s="295"/>
      <c r="I258" s="295"/>
      <c r="J258" s="295"/>
      <c r="K258" s="295"/>
      <c r="L258" s="295"/>
      <c r="M258" s="295"/>
      <c r="N258" s="301"/>
    </row>
    <row r="259" spans="1:14">
      <c r="A259" s="207"/>
      <c r="B259" s="325"/>
      <c r="C259" s="326"/>
      <c r="D259" s="327"/>
      <c r="E259" s="328"/>
      <c r="F259" s="329"/>
      <c r="G259" s="330"/>
      <c r="H259" s="295"/>
      <c r="I259" s="295"/>
      <c r="J259" s="295"/>
      <c r="K259" s="295"/>
      <c r="L259" s="295"/>
      <c r="M259" s="295"/>
      <c r="N259" s="301"/>
    </row>
    <row r="260" spans="1:14">
      <c r="A260" s="207"/>
      <c r="B260" s="325"/>
      <c r="C260" s="326"/>
      <c r="D260" s="327"/>
      <c r="E260" s="328"/>
      <c r="F260" s="329"/>
      <c r="G260" s="330"/>
      <c r="H260" s="295"/>
      <c r="I260" s="295"/>
      <c r="J260" s="295"/>
      <c r="K260" s="295"/>
      <c r="L260" s="295"/>
      <c r="M260" s="295"/>
      <c r="N260" s="301"/>
    </row>
    <row r="261" spans="1:14">
      <c r="A261" s="207"/>
      <c r="B261" s="325"/>
      <c r="C261" s="326"/>
      <c r="D261" s="327"/>
      <c r="E261" s="328"/>
      <c r="F261" s="329"/>
      <c r="G261" s="330"/>
      <c r="H261" s="295"/>
      <c r="I261" s="295"/>
      <c r="J261" s="295"/>
      <c r="K261" s="295"/>
      <c r="L261" s="295"/>
      <c r="M261" s="295"/>
      <c r="N261" s="301"/>
    </row>
    <row r="262" spans="1:14">
      <c r="A262" s="207"/>
      <c r="B262" s="325"/>
      <c r="C262" s="326"/>
      <c r="D262" s="327"/>
      <c r="E262" s="328"/>
      <c r="F262" s="329"/>
      <c r="G262" s="330"/>
      <c r="H262" s="295"/>
      <c r="I262" s="295"/>
      <c r="J262" s="295"/>
      <c r="K262" s="295"/>
      <c r="L262" s="295"/>
      <c r="M262" s="295"/>
      <c r="N262" s="301"/>
    </row>
    <row r="263" spans="1:14">
      <c r="A263" s="207"/>
      <c r="B263" s="325"/>
      <c r="C263" s="326"/>
      <c r="D263" s="327"/>
      <c r="E263" s="328"/>
      <c r="F263" s="329"/>
      <c r="G263" s="330"/>
      <c r="H263" s="295"/>
      <c r="I263" s="295"/>
      <c r="J263" s="295"/>
      <c r="K263" s="295"/>
      <c r="L263" s="295"/>
      <c r="M263" s="295"/>
      <c r="N263" s="301"/>
    </row>
    <row r="264" spans="1:14">
      <c r="A264" s="207"/>
      <c r="B264" s="325"/>
      <c r="C264" s="326"/>
      <c r="D264" s="327"/>
      <c r="E264" s="328"/>
      <c r="F264" s="329"/>
      <c r="G264" s="330"/>
      <c r="H264" s="295"/>
      <c r="I264" s="295"/>
      <c r="J264" s="295"/>
      <c r="K264" s="295"/>
      <c r="L264" s="295"/>
      <c r="M264" s="295"/>
      <c r="N264" s="301"/>
    </row>
    <row r="265" spans="1:14">
      <c r="A265" s="207"/>
      <c r="B265" s="325"/>
      <c r="C265" s="326"/>
      <c r="D265" s="327"/>
      <c r="E265" s="328"/>
      <c r="F265" s="329"/>
      <c r="G265" s="330"/>
      <c r="H265" s="295"/>
      <c r="I265" s="295"/>
      <c r="J265" s="295"/>
      <c r="K265" s="295"/>
      <c r="L265" s="295"/>
      <c r="M265" s="295"/>
      <c r="N265" s="301"/>
    </row>
    <row r="266" spans="1:14">
      <c r="A266" s="207"/>
      <c r="B266" s="325"/>
      <c r="C266" s="326"/>
      <c r="D266" s="327"/>
      <c r="E266" s="328"/>
      <c r="F266" s="329"/>
      <c r="G266" s="330"/>
      <c r="H266" s="295"/>
      <c r="I266" s="295"/>
      <c r="J266" s="295"/>
      <c r="K266" s="295"/>
      <c r="L266" s="295"/>
      <c r="M266" s="295"/>
      <c r="N266" s="301"/>
    </row>
    <row r="267" spans="1:14">
      <c r="A267" s="207"/>
      <c r="B267" s="325"/>
      <c r="C267" s="326"/>
      <c r="D267" s="327"/>
      <c r="E267" s="328"/>
      <c r="F267" s="329"/>
      <c r="G267" s="330"/>
      <c r="H267" s="295"/>
      <c r="I267" s="295"/>
      <c r="J267" s="295"/>
      <c r="K267" s="295"/>
      <c r="L267" s="295"/>
      <c r="M267" s="295"/>
      <c r="N267" s="301"/>
    </row>
    <row r="268" spans="1:14">
      <c r="A268" s="207"/>
      <c r="B268" s="325"/>
      <c r="C268" s="326"/>
      <c r="D268" s="327"/>
      <c r="E268" s="328"/>
      <c r="F268" s="329"/>
      <c r="G268" s="330"/>
      <c r="H268" s="295"/>
      <c r="I268" s="295"/>
      <c r="J268" s="295"/>
      <c r="K268" s="295"/>
      <c r="L268" s="295"/>
      <c r="M268" s="295"/>
      <c r="N268" s="301"/>
    </row>
    <row r="269" spans="1:14">
      <c r="A269" s="207"/>
      <c r="B269" s="325"/>
      <c r="C269" s="326"/>
      <c r="D269" s="327"/>
      <c r="E269" s="328"/>
      <c r="F269" s="329"/>
      <c r="G269" s="330"/>
      <c r="H269" s="295"/>
      <c r="I269" s="295"/>
      <c r="J269" s="295"/>
      <c r="K269" s="295"/>
      <c r="L269" s="295"/>
      <c r="M269" s="295"/>
      <c r="N269" s="301"/>
    </row>
    <row r="270" spans="1:14">
      <c r="A270" s="207"/>
      <c r="B270" s="325"/>
      <c r="C270" s="326"/>
      <c r="D270" s="327"/>
      <c r="E270" s="328"/>
      <c r="F270" s="329"/>
      <c r="G270" s="330"/>
      <c r="H270" s="295"/>
      <c r="I270" s="295"/>
      <c r="J270" s="295"/>
      <c r="K270" s="295"/>
      <c r="L270" s="295"/>
      <c r="M270" s="295"/>
      <c r="N270" s="301"/>
    </row>
    <row r="271" spans="1:14">
      <c r="A271" s="207"/>
      <c r="B271" s="325"/>
      <c r="C271" s="326"/>
      <c r="D271" s="327"/>
      <c r="E271" s="328"/>
      <c r="F271" s="329"/>
      <c r="G271" s="330"/>
      <c r="H271" s="295"/>
      <c r="I271" s="295"/>
      <c r="J271" s="295"/>
      <c r="K271" s="295"/>
      <c r="L271" s="295"/>
      <c r="M271" s="295"/>
      <c r="N271" s="301"/>
    </row>
    <row r="272" spans="1:14">
      <c r="A272" s="207"/>
      <c r="B272" s="325"/>
      <c r="C272" s="326"/>
      <c r="D272" s="327"/>
      <c r="E272" s="328"/>
      <c r="F272" s="329"/>
      <c r="G272" s="330"/>
      <c r="H272" s="295"/>
      <c r="I272" s="295"/>
      <c r="J272" s="295"/>
      <c r="K272" s="295"/>
      <c r="L272" s="295"/>
      <c r="M272" s="295"/>
      <c r="N272" s="301"/>
    </row>
    <row r="273" spans="1:14">
      <c r="A273" s="207"/>
      <c r="B273" s="325"/>
      <c r="C273" s="326"/>
      <c r="D273" s="327"/>
      <c r="E273" s="328"/>
      <c r="F273" s="329"/>
      <c r="G273" s="330"/>
      <c r="H273" s="295"/>
      <c r="I273" s="295"/>
      <c r="J273" s="295"/>
      <c r="K273" s="295"/>
      <c r="L273" s="295"/>
      <c r="M273" s="295"/>
      <c r="N273" s="301"/>
    </row>
    <row r="274" spans="1:14">
      <c r="A274" s="207"/>
      <c r="B274" s="325"/>
      <c r="C274" s="326"/>
      <c r="D274" s="327"/>
      <c r="E274" s="328"/>
      <c r="F274" s="329"/>
      <c r="G274" s="330"/>
      <c r="H274" s="295"/>
      <c r="I274" s="295"/>
      <c r="J274" s="295"/>
      <c r="K274" s="295"/>
      <c r="L274" s="295"/>
      <c r="M274" s="295"/>
      <c r="N274" s="301"/>
    </row>
    <row r="275" spans="1:14">
      <c r="A275" s="207"/>
      <c r="B275" s="325"/>
      <c r="C275" s="326"/>
      <c r="D275" s="327"/>
      <c r="E275" s="328"/>
      <c r="F275" s="329"/>
      <c r="G275" s="330"/>
      <c r="H275" s="295"/>
      <c r="I275" s="295"/>
      <c r="J275" s="295"/>
      <c r="K275" s="295"/>
      <c r="L275" s="295"/>
      <c r="M275" s="295"/>
      <c r="N275" s="301"/>
    </row>
    <row r="276" spans="1:14">
      <c r="A276" s="207"/>
      <c r="B276" s="325"/>
      <c r="C276" s="326"/>
      <c r="D276" s="327"/>
      <c r="E276" s="328"/>
      <c r="F276" s="329"/>
      <c r="G276" s="330"/>
      <c r="H276" s="295"/>
      <c r="I276" s="295"/>
      <c r="J276" s="295"/>
      <c r="K276" s="295"/>
      <c r="L276" s="295"/>
      <c r="M276" s="295"/>
      <c r="N276" s="301"/>
    </row>
    <row r="277" spans="1:14">
      <c r="A277" s="207"/>
      <c r="B277" s="325"/>
      <c r="C277" s="326"/>
      <c r="D277" s="327"/>
      <c r="E277" s="328"/>
      <c r="F277" s="329"/>
      <c r="G277" s="330"/>
      <c r="H277" s="295"/>
      <c r="I277" s="295"/>
      <c r="J277" s="295"/>
      <c r="K277" s="295"/>
      <c r="L277" s="295"/>
      <c r="M277" s="295"/>
      <c r="N277" s="301"/>
    </row>
    <row r="278" spans="1:14">
      <c r="A278" s="207"/>
      <c r="B278" s="325"/>
      <c r="C278" s="326"/>
      <c r="D278" s="327"/>
      <c r="E278" s="328"/>
      <c r="F278" s="329"/>
      <c r="G278" s="330"/>
      <c r="H278" s="295"/>
      <c r="I278" s="295"/>
      <c r="J278" s="295"/>
      <c r="K278" s="295"/>
      <c r="L278" s="295"/>
      <c r="M278" s="295"/>
      <c r="N278" s="301"/>
    </row>
    <row r="279" spans="1:14">
      <c r="A279" s="207"/>
      <c r="B279" s="325"/>
      <c r="C279" s="326"/>
      <c r="D279" s="327"/>
      <c r="E279" s="328"/>
      <c r="F279" s="329"/>
      <c r="G279" s="330"/>
      <c r="H279" s="295"/>
      <c r="I279" s="295"/>
      <c r="J279" s="295"/>
      <c r="K279" s="295"/>
      <c r="L279" s="295"/>
      <c r="M279" s="295"/>
      <c r="N279" s="301"/>
    </row>
    <row r="280" spans="1:14">
      <c r="A280" s="207"/>
      <c r="B280" s="325"/>
      <c r="C280" s="326"/>
      <c r="D280" s="327"/>
      <c r="E280" s="328"/>
      <c r="F280" s="329"/>
      <c r="G280" s="330"/>
      <c r="H280" s="295"/>
      <c r="I280" s="295"/>
      <c r="J280" s="295"/>
      <c r="K280" s="295"/>
      <c r="L280" s="295"/>
      <c r="M280" s="295"/>
      <c r="N280" s="301"/>
    </row>
    <row r="281" spans="1:14">
      <c r="A281" s="207"/>
      <c r="B281" s="325"/>
      <c r="C281" s="326"/>
      <c r="D281" s="327"/>
      <c r="E281" s="328"/>
      <c r="F281" s="329"/>
      <c r="G281" s="330"/>
      <c r="H281" s="295"/>
      <c r="I281" s="295"/>
      <c r="J281" s="295"/>
      <c r="K281" s="295"/>
      <c r="L281" s="295"/>
      <c r="M281" s="295"/>
      <c r="N281" s="301"/>
    </row>
    <row r="282" spans="1:14">
      <c r="A282" s="207"/>
      <c r="B282" s="325"/>
      <c r="C282" s="326"/>
      <c r="D282" s="327"/>
      <c r="E282" s="328"/>
      <c r="F282" s="329"/>
      <c r="G282" s="330"/>
      <c r="H282" s="295"/>
      <c r="I282" s="295"/>
      <c r="J282" s="295"/>
      <c r="K282" s="295"/>
      <c r="L282" s="295"/>
      <c r="M282" s="295"/>
      <c r="N282" s="301"/>
    </row>
    <row r="283" spans="1:14">
      <c r="A283" s="207"/>
      <c r="B283" s="325"/>
      <c r="C283" s="326"/>
      <c r="D283" s="327"/>
      <c r="E283" s="328"/>
      <c r="F283" s="329"/>
      <c r="G283" s="330"/>
      <c r="H283" s="295"/>
      <c r="I283" s="295"/>
      <c r="J283" s="295"/>
      <c r="K283" s="295"/>
      <c r="L283" s="295"/>
      <c r="M283" s="295"/>
      <c r="N283" s="301"/>
    </row>
    <row r="284" spans="1:14">
      <c r="A284" s="207"/>
      <c r="B284" s="325"/>
      <c r="C284" s="326"/>
      <c r="D284" s="327"/>
      <c r="E284" s="328"/>
      <c r="F284" s="329"/>
      <c r="G284" s="330"/>
      <c r="H284" s="295"/>
      <c r="I284" s="295"/>
      <c r="J284" s="295"/>
      <c r="K284" s="295"/>
      <c r="L284" s="295"/>
      <c r="M284" s="295"/>
      <c r="N284" s="301"/>
    </row>
    <row r="285" spans="1:14">
      <c r="A285" s="207"/>
      <c r="B285" s="325"/>
      <c r="C285" s="326"/>
      <c r="D285" s="327"/>
      <c r="E285" s="328"/>
      <c r="F285" s="329"/>
      <c r="G285" s="330"/>
      <c r="H285" s="295"/>
      <c r="I285" s="295"/>
      <c r="J285" s="295"/>
      <c r="K285" s="295"/>
      <c r="L285" s="295"/>
      <c r="M285" s="295"/>
      <c r="N285" s="301"/>
    </row>
    <row r="286" spans="1:14">
      <c r="A286" s="207"/>
      <c r="B286" s="325"/>
      <c r="C286" s="326"/>
      <c r="D286" s="327"/>
      <c r="E286" s="328"/>
      <c r="F286" s="329"/>
      <c r="G286" s="330"/>
      <c r="H286" s="295"/>
      <c r="I286" s="295"/>
      <c r="J286" s="295"/>
      <c r="K286" s="295"/>
      <c r="L286" s="295"/>
      <c r="M286" s="295"/>
      <c r="N286" s="301"/>
    </row>
    <row r="287" spans="1:14">
      <c r="A287" s="207"/>
      <c r="B287" s="325"/>
      <c r="C287" s="326"/>
      <c r="D287" s="327"/>
      <c r="E287" s="328"/>
      <c r="F287" s="329"/>
      <c r="G287" s="330"/>
      <c r="H287" s="295"/>
      <c r="I287" s="295"/>
      <c r="J287" s="295"/>
      <c r="K287" s="295"/>
      <c r="L287" s="295"/>
      <c r="M287" s="295"/>
      <c r="N287" s="301"/>
    </row>
    <row r="288" spans="1:14">
      <c r="A288" s="207"/>
      <c r="B288" s="325"/>
      <c r="C288" s="326"/>
      <c r="D288" s="327"/>
      <c r="E288" s="328"/>
      <c r="F288" s="329"/>
      <c r="G288" s="330"/>
      <c r="H288" s="295"/>
      <c r="I288" s="295"/>
      <c r="J288" s="295"/>
      <c r="K288" s="295"/>
      <c r="L288" s="295"/>
      <c r="M288" s="295"/>
      <c r="N288" s="301"/>
    </row>
    <row r="289" spans="1:14">
      <c r="A289" s="207"/>
      <c r="B289" s="325"/>
      <c r="C289" s="326"/>
      <c r="D289" s="327"/>
      <c r="E289" s="328"/>
      <c r="F289" s="329"/>
      <c r="G289" s="330"/>
      <c r="H289" s="295"/>
      <c r="I289" s="295"/>
      <c r="J289" s="295"/>
      <c r="K289" s="295"/>
      <c r="L289" s="295"/>
      <c r="M289" s="295"/>
      <c r="N289" s="301"/>
    </row>
    <row r="290" spans="1:14">
      <c r="A290" s="207"/>
      <c r="B290" s="325"/>
      <c r="C290" s="326"/>
      <c r="D290" s="327"/>
      <c r="E290" s="328"/>
      <c r="F290" s="329"/>
      <c r="G290" s="330"/>
      <c r="H290" s="295"/>
      <c r="I290" s="295"/>
      <c r="J290" s="295"/>
      <c r="K290" s="295"/>
      <c r="L290" s="295"/>
      <c r="M290" s="295"/>
      <c r="N290" s="301"/>
    </row>
    <row r="291" spans="1:14">
      <c r="A291" s="207"/>
      <c r="B291" s="325"/>
      <c r="C291" s="326"/>
      <c r="D291" s="327"/>
      <c r="E291" s="328"/>
      <c r="F291" s="329"/>
      <c r="G291" s="330"/>
      <c r="H291" s="295"/>
      <c r="I291" s="295"/>
      <c r="J291" s="295"/>
      <c r="K291" s="295"/>
      <c r="L291" s="295"/>
      <c r="M291" s="295"/>
      <c r="N291" s="301"/>
    </row>
    <row r="292" spans="1:14">
      <c r="A292" s="207"/>
      <c r="B292" s="325"/>
      <c r="C292" s="326"/>
      <c r="D292" s="327"/>
      <c r="E292" s="328"/>
      <c r="F292" s="329"/>
      <c r="G292" s="330"/>
      <c r="H292" s="295"/>
      <c r="I292" s="295"/>
      <c r="J292" s="295"/>
      <c r="K292" s="295"/>
      <c r="L292" s="295"/>
      <c r="M292" s="295"/>
      <c r="N292" s="301"/>
    </row>
    <row r="293" spans="1:14">
      <c r="A293" s="207"/>
      <c r="B293" s="325"/>
      <c r="C293" s="326"/>
      <c r="D293" s="327"/>
      <c r="E293" s="328"/>
      <c r="F293" s="329"/>
      <c r="G293" s="330"/>
      <c r="H293" s="295"/>
      <c r="I293" s="295"/>
      <c r="J293" s="295"/>
      <c r="K293" s="295"/>
      <c r="L293" s="295"/>
      <c r="M293" s="295"/>
      <c r="N293" s="301"/>
    </row>
    <row r="294" spans="1:14">
      <c r="A294" s="207"/>
      <c r="B294" s="325"/>
      <c r="C294" s="326"/>
      <c r="D294" s="327"/>
      <c r="E294" s="328"/>
      <c r="F294" s="329"/>
      <c r="G294" s="330"/>
      <c r="H294" s="295"/>
      <c r="I294" s="295"/>
      <c r="J294" s="295"/>
      <c r="K294" s="295"/>
      <c r="L294" s="295"/>
      <c r="M294" s="295"/>
      <c r="N294" s="301"/>
    </row>
    <row r="295" spans="1:14">
      <c r="A295" s="207"/>
      <c r="B295" s="325"/>
      <c r="C295" s="326"/>
      <c r="D295" s="327"/>
      <c r="E295" s="328"/>
      <c r="F295" s="329"/>
      <c r="G295" s="330"/>
      <c r="H295" s="295"/>
      <c r="I295" s="295"/>
      <c r="J295" s="295"/>
      <c r="K295" s="295"/>
      <c r="L295" s="295"/>
      <c r="M295" s="295"/>
      <c r="N295" s="301"/>
    </row>
    <row r="296" spans="1:14">
      <c r="A296" s="207"/>
      <c r="B296" s="325"/>
      <c r="C296" s="326"/>
      <c r="D296" s="327"/>
      <c r="E296" s="328"/>
      <c r="F296" s="329"/>
      <c r="G296" s="330"/>
      <c r="H296" s="295"/>
      <c r="I296" s="295"/>
      <c r="J296" s="295"/>
      <c r="K296" s="295"/>
      <c r="L296" s="295"/>
      <c r="M296" s="295"/>
      <c r="N296" s="301"/>
    </row>
    <row r="297" spans="1:14">
      <c r="A297" s="207"/>
      <c r="B297" s="325"/>
      <c r="C297" s="326"/>
      <c r="D297" s="327"/>
      <c r="E297" s="328"/>
      <c r="F297" s="329"/>
      <c r="G297" s="330"/>
      <c r="H297" s="295"/>
      <c r="I297" s="295"/>
      <c r="J297" s="295"/>
      <c r="K297" s="295"/>
      <c r="L297" s="295"/>
      <c r="M297" s="295"/>
      <c r="N297" s="301"/>
    </row>
    <row r="298" spans="1:14">
      <c r="A298" s="207"/>
      <c r="B298" s="325"/>
      <c r="C298" s="326"/>
      <c r="D298" s="327"/>
      <c r="E298" s="328"/>
      <c r="F298" s="329"/>
      <c r="G298" s="330"/>
      <c r="H298" s="295"/>
      <c r="I298" s="295"/>
      <c r="J298" s="295"/>
      <c r="K298" s="295"/>
      <c r="L298" s="295"/>
      <c r="M298" s="295"/>
      <c r="N298" s="301"/>
    </row>
    <row r="299" spans="1:14">
      <c r="A299" s="207"/>
      <c r="B299" s="325"/>
      <c r="C299" s="326"/>
      <c r="D299" s="327"/>
      <c r="E299" s="328"/>
      <c r="F299" s="329"/>
      <c r="G299" s="330"/>
      <c r="H299" s="295"/>
      <c r="I299" s="295"/>
      <c r="J299" s="295"/>
      <c r="K299" s="295"/>
      <c r="L299" s="295"/>
      <c r="M299" s="295"/>
      <c r="N299" s="301"/>
    </row>
    <row r="300" spans="1:14">
      <c r="A300" s="207"/>
      <c r="B300" s="325"/>
      <c r="C300" s="326"/>
      <c r="D300" s="327"/>
      <c r="E300" s="328"/>
      <c r="F300" s="329"/>
      <c r="G300" s="330"/>
      <c r="H300" s="295"/>
      <c r="I300" s="295"/>
      <c r="J300" s="295"/>
      <c r="K300" s="295"/>
      <c r="L300" s="295"/>
      <c r="M300" s="295"/>
      <c r="N300" s="301"/>
    </row>
    <row r="301" spans="1:14">
      <c r="A301" s="207"/>
      <c r="B301" s="325"/>
      <c r="C301" s="326"/>
      <c r="D301" s="327"/>
      <c r="E301" s="328"/>
      <c r="F301" s="329"/>
      <c r="G301" s="330"/>
      <c r="H301" s="295"/>
      <c r="I301" s="295"/>
      <c r="J301" s="295"/>
      <c r="K301" s="295"/>
      <c r="L301" s="295"/>
      <c r="M301" s="295"/>
      <c r="N301" s="301"/>
    </row>
    <row r="302" spans="1:14">
      <c r="A302" s="207"/>
      <c r="B302" s="325"/>
      <c r="C302" s="326"/>
      <c r="D302" s="327"/>
      <c r="E302" s="328"/>
      <c r="F302" s="329"/>
      <c r="G302" s="330"/>
      <c r="H302" s="295"/>
      <c r="I302" s="295"/>
      <c r="J302" s="295"/>
      <c r="K302" s="295"/>
      <c r="L302" s="295"/>
      <c r="M302" s="295"/>
      <c r="N302" s="301"/>
    </row>
    <row r="303" spans="1:14">
      <c r="A303" s="207"/>
      <c r="B303" s="325"/>
      <c r="C303" s="326"/>
      <c r="D303" s="327"/>
      <c r="E303" s="328"/>
      <c r="F303" s="329"/>
      <c r="G303" s="330"/>
      <c r="H303" s="295"/>
      <c r="I303" s="295"/>
      <c r="J303" s="295"/>
      <c r="K303" s="295"/>
      <c r="L303" s="295"/>
      <c r="M303" s="295"/>
      <c r="N303" s="301"/>
    </row>
    <row r="304" spans="1:14">
      <c r="A304" s="207"/>
      <c r="B304" s="325"/>
      <c r="C304" s="326"/>
      <c r="D304" s="327"/>
      <c r="E304" s="328"/>
      <c r="F304" s="329"/>
      <c r="G304" s="330"/>
      <c r="H304" s="295"/>
      <c r="I304" s="295"/>
      <c r="J304" s="295"/>
      <c r="K304" s="295"/>
      <c r="L304" s="295"/>
      <c r="M304" s="295"/>
      <c r="N304" s="301"/>
    </row>
    <row r="305" spans="1:14">
      <c r="A305" s="207"/>
      <c r="B305" s="325"/>
      <c r="C305" s="326"/>
      <c r="D305" s="327"/>
      <c r="E305" s="328"/>
      <c r="F305" s="329"/>
      <c r="G305" s="330"/>
      <c r="H305" s="295"/>
      <c r="I305" s="295"/>
      <c r="J305" s="295"/>
      <c r="K305" s="295"/>
      <c r="L305" s="295"/>
      <c r="M305" s="295"/>
      <c r="N305" s="301"/>
    </row>
    <row r="306" spans="1:14">
      <c r="A306" s="207"/>
      <c r="B306" s="325"/>
      <c r="C306" s="326"/>
      <c r="D306" s="327"/>
      <c r="E306" s="328"/>
      <c r="F306" s="329"/>
      <c r="G306" s="330"/>
      <c r="H306" s="295"/>
      <c r="I306" s="295"/>
      <c r="J306" s="295"/>
      <c r="K306" s="295"/>
      <c r="L306" s="295"/>
      <c r="M306" s="295"/>
      <c r="N306" s="301"/>
    </row>
    <row r="307" spans="1:14">
      <c r="A307" s="207"/>
      <c r="B307" s="325"/>
      <c r="C307" s="326"/>
      <c r="D307" s="327"/>
      <c r="E307" s="328"/>
      <c r="F307" s="329"/>
      <c r="G307" s="330"/>
      <c r="H307" s="295"/>
      <c r="I307" s="295"/>
      <c r="J307" s="295"/>
      <c r="K307" s="295"/>
      <c r="L307" s="295"/>
      <c r="M307" s="295"/>
      <c r="N307" s="301"/>
    </row>
    <row r="308" spans="1:14">
      <c r="A308" s="207"/>
      <c r="B308" s="325"/>
      <c r="C308" s="326"/>
      <c r="D308" s="327"/>
      <c r="E308" s="328"/>
      <c r="F308" s="329"/>
      <c r="G308" s="330"/>
      <c r="H308" s="295"/>
      <c r="I308" s="295"/>
      <c r="J308" s="295"/>
      <c r="K308" s="295"/>
      <c r="L308" s="295"/>
      <c r="M308" s="295"/>
      <c r="N308" s="301"/>
    </row>
    <row r="309" spans="1:14">
      <c r="A309" s="207"/>
      <c r="B309" s="325"/>
      <c r="C309" s="326"/>
      <c r="D309" s="327"/>
      <c r="E309" s="328"/>
      <c r="F309" s="329"/>
      <c r="G309" s="330"/>
      <c r="H309" s="295"/>
      <c r="I309" s="295"/>
      <c r="J309" s="295"/>
      <c r="K309" s="295"/>
      <c r="L309" s="295"/>
      <c r="M309" s="295"/>
      <c r="N309" s="301"/>
    </row>
    <row r="310" spans="1:14">
      <c r="A310" s="207"/>
      <c r="B310" s="325"/>
      <c r="C310" s="326"/>
      <c r="D310" s="327"/>
      <c r="E310" s="328"/>
      <c r="F310" s="329"/>
      <c r="G310" s="330"/>
      <c r="H310" s="295"/>
      <c r="I310" s="295"/>
      <c r="J310" s="295"/>
      <c r="K310" s="295"/>
      <c r="L310" s="295"/>
      <c r="M310" s="295"/>
      <c r="N310" s="301"/>
    </row>
    <row r="311" spans="1:14">
      <c r="A311" s="207"/>
      <c r="B311" s="325"/>
      <c r="C311" s="326"/>
      <c r="D311" s="327"/>
      <c r="E311" s="328"/>
      <c r="F311" s="329"/>
      <c r="G311" s="330"/>
      <c r="H311" s="295"/>
      <c r="I311" s="295"/>
      <c r="J311" s="295"/>
      <c r="K311" s="295"/>
      <c r="L311" s="295"/>
      <c r="M311" s="295"/>
      <c r="N311" s="301"/>
    </row>
    <row r="312" spans="1:14">
      <c r="A312" s="207"/>
      <c r="B312" s="325"/>
      <c r="C312" s="326"/>
      <c r="D312" s="327"/>
      <c r="E312" s="328"/>
      <c r="F312" s="329"/>
      <c r="G312" s="330"/>
      <c r="H312" s="295"/>
      <c r="I312" s="295"/>
      <c r="J312" s="295"/>
      <c r="K312" s="295"/>
      <c r="L312" s="295"/>
      <c r="M312" s="295"/>
      <c r="N312" s="301"/>
    </row>
    <row r="313" spans="1:14">
      <c r="A313" s="207"/>
      <c r="B313" s="325"/>
      <c r="C313" s="326"/>
      <c r="D313" s="327"/>
      <c r="E313" s="328"/>
      <c r="F313" s="329"/>
      <c r="G313" s="330"/>
      <c r="H313" s="295"/>
      <c r="I313" s="295"/>
      <c r="J313" s="295"/>
      <c r="K313" s="295"/>
      <c r="L313" s="295"/>
      <c r="M313" s="295"/>
      <c r="N313" s="301"/>
    </row>
    <row r="314" spans="1:14">
      <c r="A314" s="207"/>
      <c r="B314" s="325"/>
      <c r="C314" s="326"/>
      <c r="D314" s="327"/>
      <c r="E314" s="328"/>
      <c r="F314" s="329"/>
      <c r="G314" s="330"/>
      <c r="H314" s="295"/>
      <c r="I314" s="295"/>
      <c r="J314" s="295"/>
      <c r="K314" s="295"/>
      <c r="L314" s="295"/>
      <c r="M314" s="295"/>
      <c r="N314" s="301"/>
    </row>
    <row r="315" spans="1:14">
      <c r="A315" s="207"/>
      <c r="B315" s="325"/>
      <c r="C315" s="326"/>
      <c r="D315" s="327"/>
      <c r="E315" s="328"/>
      <c r="F315" s="329"/>
      <c r="G315" s="330"/>
      <c r="H315" s="295"/>
      <c r="I315" s="295"/>
      <c r="J315" s="295"/>
      <c r="K315" s="295"/>
      <c r="L315" s="295"/>
      <c r="M315" s="295"/>
      <c r="N315" s="301"/>
    </row>
    <row r="316" spans="1:14">
      <c r="A316" s="207"/>
      <c r="B316" s="325"/>
      <c r="C316" s="326"/>
      <c r="D316" s="327"/>
      <c r="E316" s="328"/>
      <c r="F316" s="329"/>
      <c r="G316" s="330"/>
      <c r="H316" s="295"/>
      <c r="I316" s="295"/>
      <c r="J316" s="295"/>
      <c r="K316" s="295"/>
      <c r="L316" s="295"/>
      <c r="M316" s="295"/>
      <c r="N316" s="301"/>
    </row>
    <row r="317" spans="1:14">
      <c r="A317" s="207"/>
      <c r="B317" s="325"/>
      <c r="C317" s="326"/>
      <c r="D317" s="327"/>
      <c r="E317" s="328"/>
      <c r="F317" s="329"/>
      <c r="G317" s="330"/>
      <c r="H317" s="295"/>
      <c r="I317" s="295"/>
      <c r="J317" s="295"/>
      <c r="K317" s="295"/>
      <c r="L317" s="295"/>
      <c r="M317" s="295"/>
      <c r="N317" s="301"/>
    </row>
    <row r="318" spans="1:14">
      <c r="A318" s="207"/>
      <c r="B318" s="325"/>
      <c r="C318" s="326"/>
      <c r="D318" s="327"/>
      <c r="E318" s="328"/>
      <c r="F318" s="329"/>
      <c r="G318" s="330"/>
      <c r="H318" s="295"/>
      <c r="I318" s="295"/>
      <c r="J318" s="295"/>
      <c r="K318" s="295"/>
      <c r="L318" s="295"/>
      <c r="M318" s="295"/>
      <c r="N318" s="301"/>
    </row>
    <row r="319" spans="1:14">
      <c r="A319" s="207"/>
      <c r="B319" s="325"/>
      <c r="C319" s="326"/>
      <c r="D319" s="327"/>
      <c r="E319" s="328"/>
      <c r="F319" s="329"/>
      <c r="G319" s="330"/>
      <c r="H319" s="295"/>
      <c r="I319" s="295"/>
      <c r="J319" s="295"/>
      <c r="K319" s="295"/>
      <c r="L319" s="295"/>
      <c r="M319" s="295"/>
      <c r="N319" s="301"/>
    </row>
    <row r="320" spans="1:14">
      <c r="A320" s="207"/>
      <c r="B320" s="325"/>
      <c r="C320" s="326"/>
      <c r="D320" s="327"/>
      <c r="E320" s="328"/>
      <c r="F320" s="329"/>
      <c r="G320" s="330"/>
      <c r="H320" s="295"/>
      <c r="I320" s="295"/>
      <c r="J320" s="295"/>
      <c r="K320" s="295"/>
      <c r="L320" s="295"/>
      <c r="M320" s="295"/>
      <c r="N320" s="301"/>
    </row>
    <row r="321" spans="1:14">
      <c r="A321" s="207"/>
      <c r="B321" s="325"/>
      <c r="C321" s="326"/>
      <c r="D321" s="327"/>
      <c r="E321" s="328"/>
      <c r="F321" s="329"/>
      <c r="G321" s="330"/>
      <c r="H321" s="295"/>
      <c r="I321" s="295"/>
      <c r="J321" s="295"/>
      <c r="K321" s="295"/>
      <c r="L321" s="295"/>
      <c r="M321" s="295"/>
      <c r="N321" s="301"/>
    </row>
    <row r="322" spans="1:14">
      <c r="A322" s="207"/>
      <c r="B322" s="325"/>
      <c r="C322" s="326"/>
      <c r="D322" s="327"/>
      <c r="E322" s="328"/>
      <c r="F322" s="329"/>
      <c r="G322" s="330"/>
      <c r="H322" s="295"/>
      <c r="I322" s="295"/>
      <c r="J322" s="295"/>
      <c r="K322" s="295"/>
      <c r="L322" s="295"/>
      <c r="M322" s="295"/>
      <c r="N322" s="301"/>
    </row>
    <row r="323" spans="1:14">
      <c r="A323" s="207"/>
      <c r="B323" s="325"/>
      <c r="C323" s="326"/>
      <c r="D323" s="327"/>
      <c r="E323" s="328"/>
      <c r="F323" s="329"/>
      <c r="G323" s="330"/>
      <c r="H323" s="295"/>
      <c r="I323" s="295"/>
      <c r="J323" s="295"/>
      <c r="K323" s="295"/>
      <c r="L323" s="295"/>
      <c r="M323" s="295"/>
      <c r="N323" s="301"/>
    </row>
    <row r="324" spans="1:14">
      <c r="A324" s="207"/>
      <c r="B324" s="325"/>
      <c r="C324" s="326"/>
      <c r="D324" s="327"/>
      <c r="E324" s="328"/>
      <c r="F324" s="329"/>
      <c r="G324" s="330"/>
      <c r="H324" s="295"/>
      <c r="I324" s="295"/>
      <c r="J324" s="295"/>
      <c r="K324" s="295"/>
      <c r="L324" s="295"/>
      <c r="M324" s="295"/>
      <c r="N324" s="301"/>
    </row>
    <row r="325" spans="1:14">
      <c r="A325" s="207"/>
      <c r="B325" s="325"/>
      <c r="C325" s="326"/>
      <c r="D325" s="327"/>
      <c r="E325" s="328"/>
      <c r="F325" s="329"/>
      <c r="G325" s="330"/>
      <c r="H325" s="295"/>
      <c r="I325" s="295"/>
      <c r="J325" s="295"/>
      <c r="K325" s="295"/>
      <c r="L325" s="295"/>
      <c r="M325" s="295"/>
      <c r="N325" s="301"/>
    </row>
    <row r="326" spans="1:14">
      <c r="A326" s="207"/>
      <c r="B326" s="325"/>
      <c r="C326" s="326"/>
      <c r="D326" s="327"/>
      <c r="E326" s="328"/>
      <c r="F326" s="329"/>
      <c r="G326" s="330"/>
      <c r="H326" s="295"/>
      <c r="I326" s="295"/>
      <c r="J326" s="295"/>
      <c r="K326" s="295"/>
      <c r="L326" s="295"/>
      <c r="M326" s="295"/>
      <c r="N326" s="301"/>
    </row>
    <row r="327" spans="1:14">
      <c r="A327" s="207"/>
      <c r="B327" s="325"/>
      <c r="C327" s="326"/>
      <c r="D327" s="327"/>
      <c r="E327" s="328"/>
      <c r="F327" s="329"/>
      <c r="G327" s="330"/>
      <c r="H327" s="295"/>
      <c r="I327" s="295"/>
      <c r="J327" s="295"/>
      <c r="K327" s="295"/>
      <c r="L327" s="295"/>
      <c r="M327" s="295"/>
      <c r="N327" s="301"/>
    </row>
    <row r="328" spans="1:14">
      <c r="A328" s="207"/>
      <c r="B328" s="325"/>
      <c r="C328" s="326"/>
      <c r="D328" s="327"/>
      <c r="E328" s="328"/>
      <c r="F328" s="329"/>
      <c r="G328" s="330"/>
      <c r="H328" s="295"/>
      <c r="I328" s="295"/>
      <c r="J328" s="295"/>
      <c r="K328" s="295"/>
      <c r="L328" s="295"/>
      <c r="M328" s="295"/>
      <c r="N328" s="301"/>
    </row>
    <row r="329" spans="1:14">
      <c r="A329" s="207"/>
      <c r="B329" s="325"/>
      <c r="C329" s="326"/>
      <c r="D329" s="327"/>
      <c r="E329" s="328"/>
      <c r="F329" s="329"/>
      <c r="G329" s="330"/>
      <c r="H329" s="295"/>
      <c r="I329" s="295"/>
      <c r="J329" s="295"/>
      <c r="K329" s="295"/>
      <c r="L329" s="295"/>
      <c r="M329" s="295"/>
      <c r="N329" s="301"/>
    </row>
    <row r="330" spans="1:14">
      <c r="A330" s="207"/>
      <c r="B330" s="325"/>
      <c r="C330" s="326"/>
      <c r="D330" s="327"/>
      <c r="E330" s="328"/>
      <c r="F330" s="329"/>
      <c r="G330" s="330"/>
      <c r="H330" s="295"/>
      <c r="I330" s="295"/>
      <c r="J330" s="295"/>
      <c r="K330" s="295"/>
      <c r="L330" s="295"/>
      <c r="M330" s="295"/>
      <c r="N330" s="301"/>
    </row>
    <row r="331" spans="1:14">
      <c r="A331" s="207"/>
      <c r="B331" s="325"/>
      <c r="C331" s="326"/>
      <c r="D331" s="327"/>
      <c r="E331" s="328"/>
      <c r="F331" s="329"/>
      <c r="G331" s="330"/>
      <c r="H331" s="295"/>
      <c r="I331" s="295"/>
      <c r="J331" s="295"/>
      <c r="K331" s="295"/>
      <c r="L331" s="295"/>
      <c r="M331" s="295"/>
      <c r="N331" s="301"/>
    </row>
    <row r="332" spans="1:14">
      <c r="A332" s="207"/>
      <c r="B332" s="325"/>
      <c r="C332" s="326"/>
      <c r="D332" s="327"/>
      <c r="E332" s="328"/>
      <c r="F332" s="329"/>
      <c r="G332" s="330"/>
      <c r="H332" s="295"/>
      <c r="I332" s="295"/>
      <c r="J332" s="295"/>
      <c r="K332" s="295"/>
      <c r="L332" s="295"/>
      <c r="M332" s="295"/>
      <c r="N332" s="301"/>
    </row>
    <row r="333" spans="1:14">
      <c r="A333" s="207"/>
      <c r="B333" s="325"/>
      <c r="C333" s="326"/>
      <c r="D333" s="327"/>
      <c r="E333" s="328"/>
      <c r="F333" s="329"/>
      <c r="G333" s="330"/>
      <c r="H333" s="295"/>
      <c r="I333" s="295"/>
      <c r="J333" s="295"/>
      <c r="K333" s="295"/>
      <c r="L333" s="295"/>
      <c r="M333" s="295"/>
      <c r="N333" s="301"/>
    </row>
    <row r="334" spans="1:14">
      <c r="A334" s="207"/>
      <c r="B334" s="325"/>
      <c r="C334" s="326"/>
      <c r="D334" s="327"/>
      <c r="E334" s="328"/>
      <c r="F334" s="329"/>
      <c r="G334" s="330"/>
      <c r="H334" s="295"/>
      <c r="I334" s="295"/>
      <c r="J334" s="295"/>
      <c r="K334" s="295"/>
      <c r="L334" s="295"/>
      <c r="M334" s="295"/>
      <c r="N334" s="301"/>
    </row>
    <row r="335" spans="1:14">
      <c r="A335" s="207"/>
      <c r="B335" s="325"/>
      <c r="C335" s="326"/>
      <c r="D335" s="327"/>
      <c r="E335" s="328"/>
      <c r="F335" s="329"/>
      <c r="G335" s="330"/>
      <c r="H335" s="295"/>
      <c r="I335" s="295"/>
      <c r="J335" s="295"/>
      <c r="K335" s="295"/>
      <c r="L335" s="295"/>
      <c r="M335" s="295"/>
      <c r="N335" s="301"/>
    </row>
    <row r="336" spans="1:14">
      <c r="A336" s="207"/>
      <c r="B336" s="325"/>
      <c r="C336" s="326"/>
      <c r="D336" s="327"/>
      <c r="E336" s="328"/>
      <c r="F336" s="329"/>
      <c r="G336" s="330"/>
      <c r="H336" s="295"/>
      <c r="I336" s="295"/>
      <c r="J336" s="295"/>
      <c r="K336" s="295"/>
      <c r="L336" s="295"/>
      <c r="M336" s="295"/>
      <c r="N336" s="301"/>
    </row>
    <row r="337" spans="1:14">
      <c r="A337" s="207"/>
      <c r="B337" s="325"/>
      <c r="C337" s="326"/>
      <c r="D337" s="327"/>
      <c r="E337" s="328"/>
      <c r="F337" s="329"/>
      <c r="G337" s="330"/>
      <c r="H337" s="295"/>
      <c r="I337" s="295"/>
      <c r="J337" s="295"/>
      <c r="K337" s="295"/>
      <c r="L337" s="295"/>
      <c r="M337" s="295"/>
      <c r="N337" s="301"/>
    </row>
    <row r="338" spans="1:14">
      <c r="A338" s="207"/>
      <c r="B338" s="325"/>
      <c r="C338" s="326"/>
      <c r="D338" s="327"/>
      <c r="E338" s="328"/>
      <c r="F338" s="329"/>
      <c r="G338" s="330"/>
      <c r="H338" s="295"/>
      <c r="I338" s="295"/>
      <c r="J338" s="295"/>
      <c r="K338" s="295"/>
      <c r="L338" s="295"/>
      <c r="M338" s="295"/>
      <c r="N338" s="301"/>
    </row>
    <row r="339" spans="1:14">
      <c r="A339" s="207"/>
      <c r="B339" s="325"/>
      <c r="C339" s="326"/>
      <c r="D339" s="327"/>
      <c r="E339" s="328"/>
      <c r="F339" s="329"/>
      <c r="G339" s="330"/>
      <c r="H339" s="295"/>
      <c r="I339" s="295"/>
      <c r="J339" s="295"/>
      <c r="K339" s="295"/>
      <c r="L339" s="295"/>
      <c r="M339" s="295"/>
      <c r="N339" s="301"/>
    </row>
    <row r="340" spans="1:14">
      <c r="A340" s="207"/>
      <c r="B340" s="325"/>
      <c r="C340" s="326"/>
      <c r="D340" s="327"/>
      <c r="E340" s="328"/>
      <c r="F340" s="329"/>
      <c r="G340" s="330"/>
      <c r="H340" s="295"/>
      <c r="I340" s="295"/>
      <c r="J340" s="295"/>
      <c r="K340" s="295"/>
      <c r="L340" s="295"/>
      <c r="M340" s="295"/>
      <c r="N340" s="301"/>
    </row>
    <row r="341" spans="1:14">
      <c r="A341" s="207"/>
      <c r="B341" s="325"/>
      <c r="C341" s="326"/>
      <c r="D341" s="327"/>
      <c r="E341" s="328"/>
      <c r="F341" s="329"/>
      <c r="G341" s="330"/>
      <c r="H341" s="295"/>
      <c r="I341" s="295"/>
      <c r="J341" s="295"/>
      <c r="K341" s="295"/>
      <c r="L341" s="295"/>
      <c r="M341" s="295"/>
      <c r="N341" s="301"/>
    </row>
    <row r="342" spans="1:14">
      <c r="A342" s="207"/>
      <c r="B342" s="325"/>
      <c r="C342" s="326"/>
      <c r="D342" s="327"/>
      <c r="E342" s="328"/>
      <c r="F342" s="329"/>
      <c r="G342" s="330"/>
      <c r="H342" s="295"/>
      <c r="I342" s="295"/>
      <c r="J342" s="295"/>
      <c r="K342" s="295"/>
      <c r="L342" s="295"/>
      <c r="M342" s="295"/>
      <c r="N342" s="301"/>
    </row>
    <row r="343" spans="1:14">
      <c r="A343" s="207"/>
      <c r="B343" s="325"/>
      <c r="C343" s="326"/>
      <c r="D343" s="327"/>
      <c r="E343" s="328"/>
      <c r="F343" s="329"/>
      <c r="G343" s="330"/>
      <c r="H343" s="295"/>
      <c r="I343" s="295"/>
      <c r="J343" s="295"/>
      <c r="K343" s="295"/>
      <c r="L343" s="295"/>
      <c r="M343" s="295"/>
      <c r="N343" s="301"/>
    </row>
    <row r="344" spans="1:14">
      <c r="A344" s="207"/>
      <c r="B344" s="325"/>
      <c r="C344" s="326"/>
      <c r="D344" s="327"/>
      <c r="E344" s="328"/>
      <c r="F344" s="329"/>
      <c r="G344" s="330"/>
      <c r="H344" s="295"/>
      <c r="I344" s="295"/>
      <c r="J344" s="295"/>
      <c r="K344" s="295"/>
      <c r="L344" s="295"/>
      <c r="M344" s="295"/>
      <c r="N344" s="301"/>
    </row>
    <row r="345" spans="1:14">
      <c r="A345" s="207"/>
      <c r="B345" s="325"/>
      <c r="C345" s="326"/>
      <c r="D345" s="327"/>
      <c r="E345" s="328"/>
      <c r="F345" s="329"/>
      <c r="G345" s="330"/>
      <c r="H345" s="295"/>
      <c r="I345" s="295"/>
      <c r="J345" s="295"/>
      <c r="K345" s="295"/>
      <c r="L345" s="295"/>
      <c r="M345" s="295"/>
      <c r="N345" s="301"/>
    </row>
    <row r="346" spans="1:14">
      <c r="A346" s="207"/>
      <c r="B346" s="325"/>
      <c r="C346" s="326"/>
      <c r="D346" s="327"/>
      <c r="E346" s="328"/>
      <c r="F346" s="329"/>
      <c r="G346" s="330"/>
      <c r="H346" s="295"/>
      <c r="I346" s="295"/>
      <c r="J346" s="295"/>
      <c r="K346" s="295"/>
      <c r="L346" s="295"/>
      <c r="M346" s="295"/>
      <c r="N346" s="301"/>
    </row>
    <row r="347" spans="1:14">
      <c r="A347" s="207"/>
      <c r="B347" s="325"/>
      <c r="C347" s="326"/>
      <c r="D347" s="327"/>
      <c r="E347" s="328"/>
      <c r="F347" s="329"/>
      <c r="G347" s="330"/>
      <c r="H347" s="295"/>
      <c r="I347" s="295"/>
      <c r="J347" s="295"/>
      <c r="K347" s="295"/>
      <c r="L347" s="295"/>
      <c r="M347" s="295"/>
      <c r="N347" s="301"/>
    </row>
    <row r="348" spans="1:14">
      <c r="A348" s="207"/>
      <c r="B348" s="325"/>
      <c r="C348" s="326"/>
      <c r="D348" s="327"/>
      <c r="E348" s="328"/>
      <c r="F348" s="329"/>
      <c r="G348" s="330"/>
      <c r="H348" s="295"/>
      <c r="I348" s="295"/>
      <c r="J348" s="295"/>
      <c r="K348" s="295"/>
      <c r="L348" s="295"/>
      <c r="M348" s="295"/>
      <c r="N348" s="301"/>
    </row>
    <row r="349" spans="1:14">
      <c r="A349" s="207"/>
      <c r="B349" s="325"/>
      <c r="C349" s="326"/>
      <c r="D349" s="327"/>
      <c r="E349" s="328"/>
      <c r="F349" s="329"/>
      <c r="G349" s="330"/>
      <c r="H349" s="295"/>
      <c r="I349" s="295"/>
      <c r="J349" s="295"/>
      <c r="K349" s="295"/>
      <c r="L349" s="295"/>
      <c r="M349" s="295"/>
      <c r="N349" s="301"/>
    </row>
    <row r="350" spans="1:14">
      <c r="A350" s="207"/>
      <c r="B350" s="325"/>
      <c r="C350" s="326"/>
      <c r="D350" s="327"/>
      <c r="E350" s="328"/>
      <c r="F350" s="329"/>
      <c r="G350" s="330"/>
      <c r="H350" s="295"/>
      <c r="I350" s="295"/>
      <c r="J350" s="295"/>
      <c r="K350" s="295"/>
      <c r="L350" s="295"/>
      <c r="M350" s="295"/>
      <c r="N350" s="301"/>
    </row>
    <row r="351" spans="1:14">
      <c r="A351" s="207"/>
      <c r="B351" s="325"/>
      <c r="C351" s="326"/>
      <c r="D351" s="327"/>
      <c r="E351" s="328"/>
      <c r="F351" s="329"/>
      <c r="G351" s="330"/>
      <c r="H351" s="295"/>
      <c r="I351" s="295"/>
      <c r="J351" s="295"/>
      <c r="K351" s="295"/>
      <c r="L351" s="295"/>
      <c r="M351" s="295"/>
      <c r="N351" s="301"/>
    </row>
    <row r="352" spans="1:14">
      <c r="A352" s="207"/>
      <c r="B352" s="325"/>
      <c r="C352" s="326"/>
      <c r="D352" s="327"/>
      <c r="E352" s="328"/>
      <c r="F352" s="329"/>
      <c r="G352" s="330"/>
      <c r="H352" s="295"/>
      <c r="I352" s="295"/>
      <c r="J352" s="295"/>
      <c r="K352" s="295"/>
      <c r="L352" s="295"/>
      <c r="M352" s="295"/>
      <c r="N352" s="301"/>
    </row>
    <row r="353" spans="1:14">
      <c r="A353" s="207"/>
      <c r="B353" s="325"/>
      <c r="C353" s="326"/>
      <c r="D353" s="327"/>
      <c r="E353" s="328"/>
      <c r="F353" s="329"/>
      <c r="G353" s="330"/>
      <c r="H353" s="295"/>
      <c r="I353" s="295"/>
      <c r="J353" s="295"/>
      <c r="K353" s="295"/>
      <c r="L353" s="295"/>
      <c r="M353" s="295"/>
      <c r="N353" s="301"/>
    </row>
    <row r="354" spans="1:14">
      <c r="A354" s="207"/>
      <c r="B354" s="325"/>
      <c r="C354" s="326"/>
      <c r="D354" s="327"/>
      <c r="E354" s="328"/>
      <c r="F354" s="329"/>
      <c r="G354" s="330"/>
      <c r="H354" s="295"/>
      <c r="I354" s="295"/>
      <c r="J354" s="295"/>
      <c r="K354" s="295"/>
      <c r="L354" s="295"/>
      <c r="M354" s="295"/>
      <c r="N354" s="301"/>
    </row>
    <row r="355" spans="1:14">
      <c r="A355" s="207"/>
      <c r="B355" s="325"/>
      <c r="C355" s="326"/>
      <c r="D355" s="327"/>
      <c r="E355" s="328"/>
      <c r="F355" s="329"/>
      <c r="G355" s="330"/>
      <c r="H355" s="295"/>
      <c r="I355" s="295"/>
      <c r="J355" s="295"/>
      <c r="K355" s="295"/>
      <c r="L355" s="295"/>
      <c r="M355" s="295"/>
      <c r="N355" s="301"/>
    </row>
    <row r="356" spans="1:14">
      <c r="A356" s="207"/>
      <c r="B356" s="325"/>
      <c r="C356" s="326"/>
      <c r="D356" s="327"/>
      <c r="E356" s="328"/>
      <c r="F356" s="329"/>
      <c r="G356" s="330"/>
      <c r="H356" s="295"/>
      <c r="I356" s="295"/>
      <c r="J356" s="295"/>
      <c r="K356" s="295"/>
      <c r="L356" s="295"/>
      <c r="M356" s="295"/>
      <c r="N356" s="301"/>
    </row>
    <row r="357" spans="1:14">
      <c r="A357" s="207"/>
      <c r="B357" s="325"/>
      <c r="C357" s="326"/>
      <c r="D357" s="327"/>
      <c r="E357" s="328"/>
      <c r="F357" s="329"/>
      <c r="G357" s="330"/>
      <c r="H357" s="295"/>
      <c r="I357" s="295"/>
      <c r="J357" s="295"/>
      <c r="K357" s="295"/>
      <c r="L357" s="295"/>
      <c r="M357" s="295"/>
      <c r="N357" s="301"/>
    </row>
    <row r="358" spans="1:14">
      <c r="A358" s="207"/>
      <c r="B358" s="325"/>
      <c r="C358" s="326"/>
      <c r="D358" s="327"/>
      <c r="E358" s="328"/>
      <c r="F358" s="329"/>
      <c r="G358" s="330"/>
      <c r="H358" s="295"/>
      <c r="I358" s="295"/>
      <c r="J358" s="295"/>
      <c r="K358" s="295"/>
      <c r="L358" s="295"/>
      <c r="M358" s="295"/>
      <c r="N358" s="301"/>
    </row>
    <row r="359" spans="1:14">
      <c r="A359" s="207"/>
      <c r="B359" s="325"/>
      <c r="C359" s="326"/>
      <c r="D359" s="327"/>
      <c r="E359" s="328"/>
      <c r="F359" s="329"/>
      <c r="G359" s="330"/>
      <c r="H359" s="295"/>
      <c r="I359" s="295"/>
      <c r="J359" s="295"/>
      <c r="K359" s="295"/>
      <c r="L359" s="295"/>
      <c r="M359" s="295"/>
      <c r="N359" s="301"/>
    </row>
    <row r="360" spans="1:14">
      <c r="A360" s="207"/>
      <c r="B360" s="325"/>
      <c r="C360" s="326"/>
      <c r="D360" s="327"/>
      <c r="E360" s="328"/>
      <c r="F360" s="329"/>
      <c r="G360" s="330"/>
      <c r="H360" s="295"/>
      <c r="I360" s="295"/>
      <c r="J360" s="295"/>
      <c r="K360" s="295"/>
      <c r="L360" s="295"/>
      <c r="M360" s="295"/>
      <c r="N360" s="301"/>
    </row>
    <row r="361" spans="1:14">
      <c r="A361" s="207"/>
      <c r="B361" s="325"/>
      <c r="C361" s="326"/>
      <c r="D361" s="327"/>
      <c r="E361" s="328"/>
      <c r="F361" s="329"/>
      <c r="G361" s="330"/>
      <c r="H361" s="295"/>
      <c r="I361" s="295"/>
      <c r="J361" s="295"/>
      <c r="K361" s="295"/>
      <c r="L361" s="295"/>
      <c r="M361" s="295"/>
      <c r="N361" s="301"/>
    </row>
    <row r="362" spans="1:14">
      <c r="A362" s="207"/>
      <c r="B362" s="325"/>
      <c r="C362" s="326"/>
      <c r="D362" s="327"/>
      <c r="E362" s="328"/>
      <c r="F362" s="329"/>
      <c r="G362" s="330"/>
      <c r="H362" s="295"/>
      <c r="I362" s="295"/>
      <c r="J362" s="295"/>
      <c r="K362" s="295"/>
      <c r="L362" s="295"/>
      <c r="M362" s="295"/>
      <c r="N362" s="301"/>
    </row>
    <row r="363" spans="1:14">
      <c r="A363" s="207"/>
      <c r="B363" s="325"/>
      <c r="C363" s="326"/>
      <c r="D363" s="327"/>
      <c r="E363" s="328"/>
      <c r="F363" s="329"/>
      <c r="G363" s="330"/>
      <c r="H363" s="295"/>
      <c r="I363" s="295"/>
      <c r="J363" s="295"/>
      <c r="K363" s="295"/>
      <c r="L363" s="295"/>
      <c r="M363" s="295"/>
      <c r="N363" s="301"/>
    </row>
    <row r="364" spans="1:14">
      <c r="A364" s="207"/>
      <c r="B364" s="325"/>
      <c r="C364" s="326"/>
      <c r="D364" s="327"/>
      <c r="E364" s="328"/>
      <c r="F364" s="329"/>
      <c r="G364" s="330"/>
      <c r="H364" s="295"/>
      <c r="I364" s="295"/>
      <c r="J364" s="295"/>
      <c r="K364" s="295"/>
      <c r="L364" s="295"/>
      <c r="M364" s="295"/>
      <c r="N364" s="301"/>
    </row>
    <row r="365" spans="1:14">
      <c r="A365" s="207"/>
      <c r="B365" s="325"/>
      <c r="C365" s="326"/>
      <c r="D365" s="327"/>
      <c r="E365" s="328"/>
      <c r="F365" s="329"/>
      <c r="G365" s="330"/>
      <c r="H365" s="295"/>
      <c r="I365" s="295"/>
      <c r="J365" s="295"/>
      <c r="K365" s="295"/>
      <c r="L365" s="295"/>
      <c r="M365" s="295"/>
      <c r="N365" s="301"/>
    </row>
    <row r="366" spans="1:14">
      <c r="A366" s="207"/>
      <c r="B366" s="325"/>
      <c r="C366" s="326"/>
      <c r="D366" s="327"/>
      <c r="E366" s="328"/>
      <c r="F366" s="329"/>
      <c r="G366" s="330"/>
      <c r="H366" s="295"/>
      <c r="I366" s="295"/>
      <c r="J366" s="295"/>
      <c r="K366" s="295"/>
      <c r="L366" s="295"/>
      <c r="M366" s="295"/>
      <c r="N366" s="301"/>
    </row>
    <row r="367" spans="1:14">
      <c r="A367" s="207"/>
      <c r="B367" s="325"/>
      <c r="C367" s="326"/>
      <c r="D367" s="327"/>
      <c r="E367" s="328"/>
      <c r="F367" s="329"/>
      <c r="G367" s="330"/>
      <c r="H367" s="295"/>
      <c r="I367" s="295"/>
      <c r="J367" s="295"/>
      <c r="K367" s="295"/>
      <c r="L367" s="295"/>
      <c r="M367" s="295"/>
      <c r="N367" s="301"/>
    </row>
    <row r="368" spans="1:14">
      <c r="A368" s="207"/>
      <c r="B368" s="325"/>
      <c r="C368" s="326"/>
      <c r="D368" s="327"/>
      <c r="E368" s="328"/>
      <c r="F368" s="329"/>
      <c r="G368" s="330"/>
      <c r="H368" s="295"/>
      <c r="I368" s="295"/>
      <c r="J368" s="295"/>
      <c r="K368" s="295"/>
      <c r="L368" s="295"/>
      <c r="M368" s="295"/>
      <c r="N368" s="301"/>
    </row>
    <row r="369" spans="1:14">
      <c r="A369" s="207"/>
      <c r="B369" s="325"/>
      <c r="C369" s="326"/>
      <c r="D369" s="327"/>
      <c r="E369" s="328"/>
      <c r="F369" s="329"/>
      <c r="G369" s="330"/>
      <c r="H369" s="295"/>
      <c r="I369" s="295"/>
      <c r="J369" s="295"/>
      <c r="K369" s="295"/>
      <c r="L369" s="295"/>
      <c r="M369" s="295"/>
      <c r="N369" s="301"/>
    </row>
    <row r="370" spans="1:14">
      <c r="A370" s="207"/>
      <c r="B370" s="325"/>
      <c r="C370" s="326"/>
      <c r="D370" s="327"/>
      <c r="E370" s="328"/>
      <c r="F370" s="329"/>
      <c r="G370" s="330"/>
      <c r="H370" s="295"/>
      <c r="I370" s="295"/>
      <c r="J370" s="295"/>
      <c r="K370" s="295"/>
      <c r="L370" s="295"/>
      <c r="M370" s="295"/>
      <c r="N370" s="301"/>
    </row>
    <row r="371" spans="1:14">
      <c r="A371" s="207"/>
      <c r="B371" s="325"/>
      <c r="C371" s="326"/>
      <c r="D371" s="327"/>
      <c r="E371" s="328"/>
      <c r="F371" s="329"/>
      <c r="G371" s="330"/>
      <c r="H371" s="295"/>
      <c r="I371" s="295"/>
      <c r="J371" s="295"/>
      <c r="K371" s="295"/>
      <c r="L371" s="295"/>
      <c r="M371" s="295"/>
      <c r="N371" s="301"/>
    </row>
    <row r="372" spans="1:14">
      <c r="A372" s="207"/>
      <c r="B372" s="325"/>
      <c r="C372" s="326"/>
      <c r="D372" s="327"/>
      <c r="E372" s="328"/>
      <c r="F372" s="329"/>
      <c r="G372" s="330"/>
      <c r="H372" s="295"/>
      <c r="I372" s="295"/>
      <c r="J372" s="295"/>
      <c r="K372" s="295"/>
      <c r="L372" s="295"/>
      <c r="M372" s="295"/>
      <c r="N372" s="301"/>
    </row>
    <row r="373" spans="1:14">
      <c r="A373" s="207"/>
      <c r="B373" s="325"/>
      <c r="C373" s="326"/>
      <c r="D373" s="327"/>
      <c r="E373" s="328"/>
      <c r="F373" s="329"/>
      <c r="G373" s="330"/>
      <c r="H373" s="295"/>
      <c r="I373" s="295"/>
      <c r="J373" s="295"/>
      <c r="K373" s="295"/>
      <c r="L373" s="295"/>
      <c r="M373" s="295"/>
      <c r="N373" s="301"/>
    </row>
    <row r="374" spans="1:14">
      <c r="A374" s="207"/>
      <c r="B374" s="325"/>
      <c r="C374" s="326"/>
      <c r="D374" s="327"/>
      <c r="E374" s="328"/>
      <c r="F374" s="329"/>
      <c r="G374" s="330"/>
      <c r="H374" s="295"/>
      <c r="I374" s="295"/>
      <c r="J374" s="295"/>
      <c r="K374" s="295"/>
      <c r="L374" s="295"/>
      <c r="M374" s="295"/>
      <c r="N374" s="301"/>
    </row>
    <row r="375" spans="1:14">
      <c r="A375" s="207"/>
      <c r="B375" s="325"/>
      <c r="C375" s="326"/>
      <c r="D375" s="327"/>
      <c r="E375" s="328"/>
      <c r="F375" s="329"/>
      <c r="G375" s="330"/>
      <c r="H375" s="295"/>
      <c r="I375" s="295"/>
      <c r="J375" s="295"/>
      <c r="K375" s="295"/>
      <c r="L375" s="295"/>
      <c r="M375" s="295"/>
      <c r="N375" s="301"/>
    </row>
    <row r="376" spans="1:14">
      <c r="A376" s="207"/>
      <c r="B376" s="325"/>
      <c r="C376" s="326"/>
      <c r="D376" s="327"/>
      <c r="E376" s="328"/>
      <c r="F376" s="329"/>
      <c r="G376" s="330"/>
      <c r="H376" s="295"/>
      <c r="I376" s="295"/>
      <c r="J376" s="295"/>
      <c r="K376" s="295"/>
      <c r="L376" s="295"/>
      <c r="M376" s="295"/>
      <c r="N376" s="301"/>
    </row>
    <row r="377" spans="1:14">
      <c r="A377" s="207"/>
      <c r="B377" s="325"/>
      <c r="C377" s="326"/>
      <c r="D377" s="327"/>
      <c r="E377" s="328"/>
      <c r="F377" s="329"/>
      <c r="G377" s="330"/>
      <c r="H377" s="295"/>
      <c r="I377" s="295"/>
      <c r="J377" s="295"/>
      <c r="K377" s="295"/>
      <c r="L377" s="295"/>
      <c r="M377" s="295"/>
      <c r="N377" s="301"/>
    </row>
    <row r="378" spans="1:14">
      <c r="A378" s="207"/>
      <c r="B378" s="325"/>
      <c r="C378" s="326"/>
      <c r="D378" s="327"/>
      <c r="E378" s="328"/>
      <c r="F378" s="329"/>
      <c r="G378" s="330"/>
      <c r="H378" s="295"/>
      <c r="I378" s="295"/>
      <c r="J378" s="295"/>
      <c r="K378" s="295"/>
      <c r="L378" s="295"/>
      <c r="M378" s="295"/>
      <c r="N378" s="301"/>
    </row>
    <row r="379" spans="1:14">
      <c r="A379" s="207"/>
      <c r="B379" s="325"/>
      <c r="C379" s="326"/>
      <c r="D379" s="327"/>
      <c r="E379" s="328"/>
      <c r="F379" s="329"/>
      <c r="G379" s="330"/>
      <c r="H379" s="295"/>
      <c r="I379" s="295"/>
      <c r="J379" s="295"/>
      <c r="K379" s="295"/>
      <c r="L379" s="295"/>
      <c r="M379" s="295"/>
      <c r="N379" s="301"/>
    </row>
    <row r="380" spans="1:14">
      <c r="A380" s="207"/>
      <c r="B380" s="325"/>
      <c r="C380" s="326"/>
      <c r="D380" s="327"/>
      <c r="E380" s="328"/>
      <c r="F380" s="329"/>
      <c r="G380" s="330"/>
      <c r="H380" s="295"/>
      <c r="I380" s="295"/>
      <c r="J380" s="295"/>
      <c r="K380" s="295"/>
      <c r="L380" s="295"/>
      <c r="M380" s="295"/>
      <c r="N380" s="301"/>
    </row>
    <row r="381" spans="1:14">
      <c r="A381" s="207"/>
      <c r="B381" s="325"/>
      <c r="C381" s="326"/>
      <c r="D381" s="327"/>
      <c r="E381" s="328"/>
      <c r="F381" s="329"/>
      <c r="G381" s="330"/>
      <c r="H381" s="295"/>
      <c r="I381" s="295"/>
      <c r="J381" s="295"/>
      <c r="K381" s="295"/>
      <c r="L381" s="295"/>
      <c r="M381" s="295"/>
      <c r="N381" s="301"/>
    </row>
    <row r="382" spans="1:14">
      <c r="A382" s="207"/>
      <c r="B382" s="325"/>
      <c r="C382" s="326"/>
      <c r="D382" s="327"/>
      <c r="E382" s="328"/>
      <c r="F382" s="329"/>
      <c r="G382" s="330"/>
      <c r="H382" s="295"/>
      <c r="I382" s="295"/>
      <c r="J382" s="295"/>
      <c r="K382" s="295"/>
      <c r="L382" s="295"/>
      <c r="M382" s="295"/>
      <c r="N382" s="301"/>
    </row>
    <row r="383" spans="1:14">
      <c r="A383" s="207"/>
      <c r="B383" s="325"/>
      <c r="C383" s="326"/>
      <c r="D383" s="327"/>
      <c r="E383" s="328"/>
      <c r="F383" s="329"/>
      <c r="G383" s="330"/>
      <c r="H383" s="295"/>
      <c r="I383" s="295"/>
      <c r="J383" s="295"/>
      <c r="K383" s="295"/>
      <c r="L383" s="295"/>
      <c r="M383" s="295"/>
      <c r="N383" s="301"/>
    </row>
    <row r="384" spans="1:14">
      <c r="A384" s="207"/>
      <c r="B384" s="325"/>
      <c r="C384" s="326"/>
      <c r="D384" s="327"/>
      <c r="E384" s="328"/>
      <c r="F384" s="329"/>
      <c r="G384" s="330"/>
      <c r="H384" s="295"/>
      <c r="I384" s="295"/>
      <c r="J384" s="295"/>
      <c r="K384" s="295"/>
      <c r="L384" s="295"/>
      <c r="M384" s="295"/>
      <c r="N384" s="301"/>
    </row>
    <row r="385" spans="1:14">
      <c r="A385" s="207"/>
      <c r="B385" s="325"/>
      <c r="C385" s="326"/>
      <c r="D385" s="327"/>
      <c r="E385" s="328"/>
      <c r="F385" s="329"/>
      <c r="G385" s="330"/>
      <c r="H385" s="295"/>
      <c r="I385" s="295"/>
      <c r="J385" s="295"/>
      <c r="K385" s="295"/>
      <c r="L385" s="295"/>
      <c r="M385" s="295"/>
      <c r="N385" s="301"/>
    </row>
    <row r="386" spans="1:14">
      <c r="A386" s="207"/>
      <c r="B386" s="325"/>
      <c r="C386" s="326"/>
      <c r="D386" s="327"/>
      <c r="E386" s="328"/>
      <c r="F386" s="329"/>
      <c r="G386" s="330"/>
      <c r="H386" s="295"/>
      <c r="I386" s="295"/>
      <c r="J386" s="295"/>
      <c r="K386" s="295"/>
      <c r="L386" s="295"/>
      <c r="M386" s="295"/>
      <c r="N386" s="301"/>
    </row>
    <row r="387" spans="1:14">
      <c r="A387" s="207"/>
      <c r="B387" s="325"/>
      <c r="C387" s="326"/>
      <c r="D387" s="327"/>
      <c r="E387" s="328"/>
      <c r="F387" s="329"/>
      <c r="G387" s="330"/>
      <c r="H387" s="295"/>
      <c r="I387" s="295"/>
      <c r="J387" s="295"/>
      <c r="K387" s="295"/>
      <c r="L387" s="295"/>
      <c r="M387" s="295"/>
      <c r="N387" s="301"/>
    </row>
    <row r="388" spans="1:14">
      <c r="A388" s="207"/>
      <c r="B388" s="325"/>
      <c r="C388" s="326"/>
      <c r="D388" s="327"/>
      <c r="E388" s="328"/>
      <c r="F388" s="329"/>
      <c r="G388" s="330"/>
      <c r="H388" s="295"/>
      <c r="I388" s="295"/>
      <c r="J388" s="295"/>
      <c r="K388" s="295"/>
      <c r="L388" s="295"/>
      <c r="M388" s="295"/>
      <c r="N388" s="301"/>
    </row>
    <row r="389" spans="1:14">
      <c r="A389" s="207"/>
      <c r="B389" s="325"/>
      <c r="C389" s="326"/>
      <c r="D389" s="327"/>
      <c r="E389" s="328"/>
      <c r="F389" s="329"/>
      <c r="G389" s="330"/>
      <c r="H389" s="295"/>
      <c r="I389" s="295"/>
      <c r="J389" s="295"/>
      <c r="K389" s="295"/>
      <c r="L389" s="295"/>
      <c r="M389" s="295"/>
      <c r="N389" s="301"/>
    </row>
    <row r="390" spans="1:14">
      <c r="A390" s="207"/>
      <c r="B390" s="325"/>
      <c r="C390" s="326"/>
      <c r="D390" s="327"/>
      <c r="E390" s="328"/>
      <c r="F390" s="329"/>
      <c r="G390" s="330"/>
      <c r="H390" s="295"/>
      <c r="I390" s="295"/>
      <c r="J390" s="295"/>
      <c r="K390" s="295"/>
      <c r="L390" s="295"/>
      <c r="M390" s="295"/>
      <c r="N390" s="301"/>
    </row>
    <row r="391" spans="1:14">
      <c r="A391" s="207"/>
      <c r="B391" s="325"/>
      <c r="C391" s="326"/>
      <c r="D391" s="327"/>
      <c r="E391" s="328"/>
      <c r="F391" s="329"/>
      <c r="G391" s="330"/>
      <c r="H391" s="295"/>
      <c r="I391" s="295"/>
      <c r="J391" s="295"/>
      <c r="K391" s="295"/>
      <c r="L391" s="295"/>
      <c r="M391" s="295"/>
      <c r="N391" s="301"/>
    </row>
    <row r="392" spans="1:14">
      <c r="A392" s="207"/>
      <c r="B392" s="325"/>
      <c r="C392" s="326"/>
      <c r="D392" s="327"/>
      <c r="E392" s="328"/>
      <c r="F392" s="329"/>
      <c r="G392" s="330"/>
      <c r="H392" s="295"/>
      <c r="I392" s="295"/>
      <c r="J392" s="295"/>
      <c r="K392" s="295"/>
      <c r="L392" s="295"/>
      <c r="M392" s="295"/>
      <c r="N392" s="301"/>
    </row>
    <row r="393" spans="1:14">
      <c r="A393" s="207"/>
      <c r="B393" s="325"/>
      <c r="C393" s="326"/>
      <c r="D393" s="327"/>
      <c r="E393" s="328"/>
      <c r="F393" s="329"/>
      <c r="G393" s="330"/>
      <c r="H393" s="295"/>
      <c r="I393" s="295"/>
      <c r="J393" s="295"/>
      <c r="K393" s="295"/>
      <c r="L393" s="295"/>
      <c r="M393" s="295"/>
      <c r="N393" s="301"/>
    </row>
    <row r="394" spans="1:14">
      <c r="A394" s="207"/>
      <c r="B394" s="325"/>
      <c r="C394" s="326"/>
      <c r="D394" s="327"/>
      <c r="E394" s="328"/>
      <c r="F394" s="329"/>
      <c r="G394" s="330"/>
      <c r="H394" s="295"/>
      <c r="I394" s="295"/>
      <c r="J394" s="295"/>
      <c r="K394" s="295"/>
      <c r="L394" s="295"/>
      <c r="M394" s="295"/>
      <c r="N394" s="301"/>
    </row>
    <row r="395" spans="1:14">
      <c r="A395" s="207"/>
      <c r="B395" s="325"/>
      <c r="C395" s="326"/>
      <c r="D395" s="327"/>
      <c r="E395" s="328"/>
      <c r="F395" s="329"/>
      <c r="G395" s="330"/>
      <c r="H395" s="295"/>
      <c r="I395" s="295"/>
      <c r="J395" s="295"/>
      <c r="K395" s="295"/>
      <c r="L395" s="295"/>
      <c r="M395" s="295"/>
      <c r="N395" s="301"/>
    </row>
    <row r="396" spans="1:14">
      <c r="A396" s="207"/>
      <c r="B396" s="325"/>
      <c r="C396" s="326"/>
      <c r="D396" s="327"/>
      <c r="E396" s="328"/>
      <c r="F396" s="329"/>
      <c r="G396" s="330"/>
      <c r="H396" s="295"/>
      <c r="I396" s="295"/>
      <c r="J396" s="295"/>
      <c r="K396" s="295"/>
      <c r="L396" s="295"/>
      <c r="M396" s="295"/>
      <c r="N396" s="301"/>
    </row>
    <row r="397" spans="1:14">
      <c r="A397" s="207"/>
      <c r="B397" s="325"/>
      <c r="C397" s="326"/>
      <c r="D397" s="327"/>
      <c r="E397" s="328"/>
      <c r="F397" s="329"/>
      <c r="G397" s="330"/>
      <c r="H397" s="295"/>
      <c r="I397" s="295"/>
      <c r="J397" s="295"/>
      <c r="K397" s="295"/>
      <c r="L397" s="295"/>
      <c r="M397" s="295"/>
      <c r="N397" s="301"/>
    </row>
    <row r="398" spans="1:14">
      <c r="A398" s="207"/>
      <c r="B398" s="325"/>
      <c r="C398" s="326"/>
      <c r="D398" s="327"/>
      <c r="E398" s="328"/>
      <c r="F398" s="329"/>
      <c r="G398" s="330"/>
      <c r="H398" s="295"/>
      <c r="I398" s="295"/>
      <c r="J398" s="295"/>
      <c r="K398" s="295"/>
      <c r="L398" s="295"/>
      <c r="M398" s="295"/>
      <c r="N398" s="301"/>
    </row>
    <row r="399" spans="1:14">
      <c r="A399" s="207"/>
      <c r="B399" s="325"/>
      <c r="C399" s="326"/>
      <c r="D399" s="327"/>
      <c r="E399" s="328"/>
      <c r="F399" s="329"/>
      <c r="G399" s="330"/>
      <c r="H399" s="295"/>
      <c r="I399" s="295"/>
      <c r="J399" s="295"/>
      <c r="K399" s="295"/>
      <c r="L399" s="295"/>
      <c r="M399" s="295"/>
      <c r="N399" s="301"/>
    </row>
    <row r="400" spans="1:14">
      <c r="A400" s="207"/>
      <c r="B400" s="325"/>
      <c r="C400" s="326"/>
      <c r="D400" s="327"/>
      <c r="E400" s="328"/>
      <c r="F400" s="329"/>
      <c r="G400" s="330"/>
      <c r="H400" s="295"/>
      <c r="I400" s="295"/>
      <c r="J400" s="295"/>
      <c r="K400" s="295"/>
      <c r="L400" s="295"/>
      <c r="M400" s="295"/>
      <c r="N400" s="301"/>
    </row>
    <row r="401" spans="1:14">
      <c r="A401" s="207"/>
      <c r="B401" s="325"/>
      <c r="C401" s="326"/>
      <c r="D401" s="327"/>
      <c r="E401" s="328"/>
      <c r="F401" s="329"/>
      <c r="G401" s="330"/>
      <c r="H401" s="295"/>
      <c r="I401" s="295"/>
      <c r="J401" s="295"/>
      <c r="K401" s="295"/>
      <c r="L401" s="295"/>
      <c r="M401" s="295"/>
      <c r="N401" s="301"/>
    </row>
    <row r="402" spans="1:14">
      <c r="A402" s="207"/>
      <c r="B402" s="325"/>
      <c r="C402" s="326"/>
      <c r="D402" s="327"/>
      <c r="E402" s="328"/>
      <c r="F402" s="329"/>
      <c r="G402" s="330"/>
      <c r="H402" s="295"/>
      <c r="I402" s="295"/>
      <c r="J402" s="295"/>
      <c r="K402" s="295"/>
      <c r="L402" s="295"/>
      <c r="M402" s="295"/>
      <c r="N402" s="301"/>
    </row>
    <row r="403" spans="1:14">
      <c r="A403" s="207"/>
      <c r="B403" s="325"/>
      <c r="C403" s="326"/>
      <c r="D403" s="327"/>
      <c r="E403" s="328"/>
      <c r="F403" s="329"/>
      <c r="G403" s="330"/>
      <c r="H403" s="295"/>
      <c r="I403" s="295"/>
      <c r="J403" s="295"/>
      <c r="K403" s="295"/>
      <c r="L403" s="295"/>
      <c r="M403" s="295"/>
      <c r="N403" s="301"/>
    </row>
    <row r="404" spans="1:14">
      <c r="A404" s="207"/>
      <c r="B404" s="325"/>
      <c r="C404" s="326"/>
      <c r="D404" s="327"/>
      <c r="E404" s="328"/>
      <c r="F404" s="329"/>
      <c r="G404" s="330"/>
      <c r="H404" s="295"/>
      <c r="I404" s="295"/>
      <c r="J404" s="295"/>
      <c r="K404" s="295"/>
      <c r="L404" s="295"/>
      <c r="M404" s="295"/>
      <c r="N404" s="301"/>
    </row>
    <row r="405" spans="1:14">
      <c r="A405" s="207"/>
      <c r="B405" s="325"/>
      <c r="C405" s="326"/>
      <c r="D405" s="327"/>
      <c r="E405" s="328"/>
      <c r="F405" s="329"/>
      <c r="G405" s="330"/>
      <c r="H405" s="295"/>
      <c r="I405" s="295"/>
      <c r="J405" s="295"/>
      <c r="K405" s="295"/>
      <c r="L405" s="295"/>
      <c r="M405" s="295"/>
      <c r="N405" s="301"/>
    </row>
    <row r="406" spans="1:14">
      <c r="A406" s="207"/>
      <c r="B406" s="325"/>
      <c r="C406" s="326"/>
      <c r="D406" s="327"/>
      <c r="E406" s="328"/>
      <c r="F406" s="329"/>
      <c r="G406" s="330"/>
      <c r="H406" s="295"/>
      <c r="I406" s="295"/>
      <c r="J406" s="295"/>
      <c r="K406" s="295"/>
      <c r="L406" s="295"/>
      <c r="M406" s="295"/>
      <c r="N406" s="301"/>
    </row>
    <row r="407" spans="1:14">
      <c r="A407" s="207"/>
      <c r="B407" s="325"/>
      <c r="C407" s="326"/>
      <c r="D407" s="327"/>
      <c r="E407" s="328"/>
      <c r="F407" s="329"/>
      <c r="G407" s="330"/>
      <c r="H407" s="295"/>
      <c r="I407" s="295"/>
      <c r="J407" s="295"/>
      <c r="K407" s="295"/>
      <c r="L407" s="295"/>
      <c r="M407" s="295"/>
      <c r="N407" s="301"/>
    </row>
    <row r="408" spans="1:14">
      <c r="A408" s="207"/>
      <c r="B408" s="325"/>
      <c r="C408" s="326"/>
      <c r="D408" s="327"/>
      <c r="E408" s="328"/>
      <c r="F408" s="329"/>
      <c r="G408" s="330"/>
      <c r="H408" s="295"/>
      <c r="I408" s="295"/>
      <c r="J408" s="295"/>
      <c r="K408" s="295"/>
      <c r="L408" s="295"/>
      <c r="M408" s="295"/>
      <c r="N408" s="301"/>
    </row>
    <row r="409" spans="1:14">
      <c r="A409" s="207"/>
      <c r="B409" s="325"/>
      <c r="C409" s="326"/>
      <c r="D409" s="327"/>
      <c r="E409" s="328"/>
      <c r="F409" s="329"/>
      <c r="G409" s="330"/>
      <c r="H409" s="295"/>
      <c r="I409" s="295"/>
      <c r="J409" s="295"/>
      <c r="K409" s="295"/>
      <c r="L409" s="295"/>
      <c r="M409" s="295"/>
      <c r="N409" s="301"/>
    </row>
    <row r="410" spans="1:14">
      <c r="A410" s="207"/>
      <c r="B410" s="325"/>
      <c r="C410" s="326"/>
      <c r="D410" s="327"/>
      <c r="E410" s="328"/>
      <c r="F410" s="329"/>
      <c r="G410" s="330"/>
      <c r="H410" s="295"/>
      <c r="I410" s="295"/>
      <c r="J410" s="295"/>
      <c r="K410" s="295"/>
      <c r="L410" s="295"/>
      <c r="M410" s="295"/>
      <c r="N410" s="301"/>
    </row>
    <row r="411" spans="1:14">
      <c r="A411" s="207"/>
      <c r="B411" s="325"/>
      <c r="C411" s="326"/>
      <c r="D411" s="327"/>
      <c r="E411" s="328"/>
      <c r="F411" s="329"/>
      <c r="G411" s="330"/>
      <c r="H411" s="295"/>
      <c r="I411" s="295"/>
      <c r="J411" s="295"/>
      <c r="K411" s="295"/>
      <c r="L411" s="295"/>
      <c r="M411" s="295"/>
      <c r="N411" s="301"/>
    </row>
    <row r="412" spans="1:14">
      <c r="A412" s="207"/>
      <c r="B412" s="325"/>
      <c r="C412" s="326"/>
      <c r="D412" s="327"/>
      <c r="E412" s="328"/>
      <c r="F412" s="329"/>
      <c r="G412" s="330"/>
      <c r="H412" s="295"/>
      <c r="I412" s="295"/>
      <c r="J412" s="295"/>
      <c r="K412" s="295"/>
      <c r="L412" s="295"/>
      <c r="M412" s="295"/>
      <c r="N412" s="301"/>
    </row>
    <row r="413" spans="1:14">
      <c r="A413" s="207"/>
      <c r="B413" s="325"/>
      <c r="C413" s="326"/>
      <c r="D413" s="327"/>
      <c r="E413" s="328"/>
      <c r="F413" s="329"/>
      <c r="G413" s="330"/>
      <c r="H413" s="295"/>
      <c r="I413" s="295"/>
      <c r="J413" s="295"/>
      <c r="K413" s="295"/>
      <c r="L413" s="295"/>
      <c r="M413" s="295"/>
      <c r="N413" s="301"/>
    </row>
    <row r="414" spans="1:14">
      <c r="A414" s="207"/>
      <c r="B414" s="325"/>
      <c r="C414" s="326"/>
      <c r="D414" s="327"/>
      <c r="E414" s="328"/>
      <c r="F414" s="329"/>
      <c r="G414" s="330"/>
      <c r="H414" s="295"/>
      <c r="I414" s="295"/>
      <c r="J414" s="295"/>
      <c r="K414" s="295"/>
      <c r="L414" s="295"/>
      <c r="M414" s="295"/>
      <c r="N414" s="301"/>
    </row>
    <row r="415" spans="1:14">
      <c r="A415" s="207"/>
      <c r="B415" s="325"/>
      <c r="C415" s="326"/>
      <c r="D415" s="327"/>
      <c r="E415" s="328"/>
      <c r="F415" s="329"/>
      <c r="G415" s="330"/>
      <c r="H415" s="295"/>
      <c r="I415" s="295"/>
      <c r="J415" s="295"/>
      <c r="K415" s="295"/>
      <c r="L415" s="295"/>
      <c r="M415" s="295"/>
      <c r="N415" s="301"/>
    </row>
    <row r="416" spans="1:14">
      <c r="A416" s="207"/>
      <c r="B416" s="325"/>
      <c r="C416" s="326"/>
      <c r="D416" s="327"/>
      <c r="E416" s="328"/>
      <c r="F416" s="329"/>
      <c r="G416" s="330"/>
      <c r="H416" s="295"/>
      <c r="I416" s="295"/>
      <c r="J416" s="295"/>
      <c r="K416" s="295"/>
      <c r="L416" s="295"/>
      <c r="M416" s="295"/>
      <c r="N416" s="301"/>
    </row>
    <row r="417" spans="1:14">
      <c r="A417" s="207"/>
      <c r="B417" s="325"/>
      <c r="C417" s="326"/>
      <c r="D417" s="327"/>
      <c r="E417" s="328"/>
      <c r="F417" s="329"/>
      <c r="G417" s="330"/>
      <c r="H417" s="295"/>
      <c r="I417" s="295"/>
      <c r="J417" s="295"/>
      <c r="K417" s="295"/>
      <c r="L417" s="295"/>
      <c r="M417" s="295"/>
      <c r="N417" s="301"/>
    </row>
    <row r="418" spans="1:14">
      <c r="A418" s="207"/>
      <c r="B418" s="325"/>
      <c r="C418" s="326"/>
      <c r="D418" s="327"/>
      <c r="E418" s="328"/>
      <c r="F418" s="329"/>
      <c r="G418" s="330"/>
      <c r="H418" s="295"/>
      <c r="I418" s="295"/>
      <c r="J418" s="295"/>
      <c r="K418" s="295"/>
      <c r="L418" s="295"/>
      <c r="M418" s="295"/>
      <c r="N418" s="301"/>
    </row>
    <row r="419" spans="1:14">
      <c r="A419" s="207"/>
      <c r="B419" s="325"/>
      <c r="C419" s="326"/>
      <c r="D419" s="327"/>
      <c r="E419" s="328"/>
      <c r="F419" s="329"/>
      <c r="G419" s="330"/>
      <c r="H419" s="295"/>
      <c r="I419" s="295"/>
      <c r="J419" s="295"/>
      <c r="K419" s="295"/>
      <c r="L419" s="295"/>
      <c r="M419" s="295"/>
      <c r="N419" s="301"/>
    </row>
    <row r="420" spans="1:14">
      <c r="A420" s="207"/>
      <c r="B420" s="325"/>
      <c r="C420" s="326"/>
      <c r="D420" s="327"/>
      <c r="E420" s="328"/>
      <c r="F420" s="329"/>
      <c r="G420" s="330"/>
      <c r="H420" s="295"/>
      <c r="I420" s="295"/>
      <c r="J420" s="295"/>
      <c r="K420" s="295"/>
      <c r="L420" s="295"/>
      <c r="M420" s="295"/>
      <c r="N420" s="301"/>
    </row>
    <row r="421" spans="1:14">
      <c r="A421" s="207"/>
      <c r="B421" s="325"/>
      <c r="C421" s="326"/>
      <c r="D421" s="327"/>
      <c r="E421" s="328"/>
      <c r="F421" s="329"/>
      <c r="G421" s="330"/>
      <c r="H421" s="295"/>
      <c r="I421" s="295"/>
      <c r="J421" s="295"/>
      <c r="K421" s="295"/>
      <c r="L421" s="295"/>
      <c r="M421" s="295"/>
      <c r="N421" s="301"/>
    </row>
    <row r="422" spans="1:14">
      <c r="A422" s="207"/>
      <c r="B422" s="325"/>
      <c r="C422" s="326"/>
      <c r="D422" s="327"/>
      <c r="E422" s="328"/>
      <c r="F422" s="329"/>
      <c r="G422" s="330"/>
      <c r="H422" s="295"/>
      <c r="I422" s="295"/>
      <c r="J422" s="295"/>
      <c r="K422" s="295"/>
      <c r="L422" s="295"/>
      <c r="M422" s="295"/>
      <c r="N422" s="301"/>
    </row>
    <row r="423" spans="1:14">
      <c r="A423" s="207"/>
      <c r="B423" s="325"/>
      <c r="C423" s="326"/>
      <c r="D423" s="327"/>
      <c r="E423" s="328"/>
      <c r="F423" s="329"/>
      <c r="G423" s="330"/>
      <c r="H423" s="295"/>
      <c r="I423" s="295"/>
      <c r="J423" s="295"/>
      <c r="K423" s="295"/>
      <c r="L423" s="295"/>
      <c r="M423" s="295"/>
      <c r="N423" s="301"/>
    </row>
    <row r="424" spans="1:14">
      <c r="A424" s="207"/>
      <c r="B424" s="325"/>
      <c r="C424" s="326"/>
      <c r="D424" s="327"/>
      <c r="E424" s="328"/>
      <c r="F424" s="329"/>
      <c r="G424" s="330"/>
      <c r="H424" s="295"/>
      <c r="I424" s="295"/>
      <c r="J424" s="295"/>
      <c r="K424" s="295"/>
      <c r="L424" s="295"/>
      <c r="M424" s="295"/>
      <c r="N424" s="301"/>
    </row>
    <row r="425" spans="1:14">
      <c r="A425" s="207"/>
      <c r="B425" s="325"/>
      <c r="C425" s="326"/>
      <c r="D425" s="327"/>
      <c r="E425" s="328"/>
      <c r="F425" s="329"/>
      <c r="G425" s="330"/>
      <c r="H425" s="295"/>
      <c r="I425" s="295"/>
      <c r="J425" s="295"/>
      <c r="K425" s="295"/>
      <c r="L425" s="295"/>
      <c r="M425" s="295"/>
      <c r="N425" s="301"/>
    </row>
    <row r="426" spans="1:14">
      <c r="A426" s="207"/>
      <c r="B426" s="325"/>
      <c r="C426" s="326"/>
      <c r="D426" s="327"/>
      <c r="E426" s="328"/>
      <c r="F426" s="329"/>
      <c r="G426" s="330"/>
      <c r="H426" s="295"/>
      <c r="I426" s="295"/>
      <c r="J426" s="295"/>
      <c r="K426" s="295"/>
      <c r="L426" s="295"/>
      <c r="M426" s="295"/>
      <c r="N426" s="301"/>
    </row>
    <row r="427" spans="1:14">
      <c r="A427" s="207"/>
      <c r="B427" s="325"/>
      <c r="C427" s="326"/>
      <c r="D427" s="327"/>
      <c r="E427" s="328"/>
      <c r="F427" s="329"/>
      <c r="G427" s="330"/>
      <c r="H427" s="295"/>
      <c r="I427" s="295"/>
      <c r="J427" s="295"/>
      <c r="K427" s="295"/>
      <c r="L427" s="295"/>
      <c r="M427" s="295"/>
      <c r="N427" s="301"/>
    </row>
    <row r="428" spans="1:14">
      <c r="A428" s="207"/>
      <c r="B428" s="325"/>
      <c r="C428" s="326"/>
      <c r="D428" s="327"/>
      <c r="E428" s="328"/>
      <c r="F428" s="329"/>
      <c r="G428" s="330"/>
      <c r="H428" s="295"/>
      <c r="I428" s="295"/>
      <c r="J428" s="295"/>
      <c r="K428" s="295"/>
      <c r="L428" s="295"/>
      <c r="M428" s="295"/>
      <c r="N428" s="301"/>
    </row>
    <row r="429" spans="1:14">
      <c r="A429" s="207"/>
      <c r="B429" s="325"/>
      <c r="C429" s="326"/>
      <c r="D429" s="327"/>
      <c r="E429" s="328"/>
      <c r="F429" s="329"/>
      <c r="G429" s="330"/>
      <c r="H429" s="295"/>
      <c r="I429" s="295"/>
      <c r="J429" s="295"/>
      <c r="K429" s="295"/>
      <c r="L429" s="295"/>
      <c r="M429" s="295"/>
      <c r="N429" s="301"/>
    </row>
    <row r="430" spans="1:14">
      <c r="A430" s="207"/>
      <c r="B430" s="325"/>
      <c r="C430" s="326"/>
      <c r="D430" s="327"/>
      <c r="E430" s="328"/>
      <c r="F430" s="329"/>
      <c r="G430" s="330"/>
      <c r="H430" s="295"/>
      <c r="I430" s="295"/>
      <c r="J430" s="295"/>
      <c r="K430" s="295"/>
      <c r="L430" s="295"/>
      <c r="M430" s="295"/>
      <c r="N430" s="301"/>
    </row>
    <row r="431" spans="1:14">
      <c r="A431" s="207"/>
      <c r="B431" s="325"/>
      <c r="C431" s="326"/>
      <c r="D431" s="327"/>
      <c r="E431" s="328"/>
      <c r="F431" s="329"/>
      <c r="G431" s="330"/>
      <c r="H431" s="295"/>
      <c r="I431" s="295"/>
      <c r="J431" s="295"/>
      <c r="K431" s="295"/>
      <c r="L431" s="295"/>
      <c r="M431" s="295"/>
      <c r="N431" s="301"/>
    </row>
    <row r="432" spans="1:14">
      <c r="A432" s="207"/>
      <c r="B432" s="325"/>
      <c r="C432" s="326"/>
      <c r="D432" s="327"/>
      <c r="E432" s="328"/>
      <c r="F432" s="329"/>
      <c r="G432" s="330"/>
      <c r="H432" s="295"/>
      <c r="I432" s="295"/>
      <c r="J432" s="295"/>
      <c r="K432" s="295"/>
      <c r="L432" s="295"/>
      <c r="M432" s="295"/>
      <c r="N432" s="301"/>
    </row>
    <row r="433" spans="1:14">
      <c r="A433" s="207"/>
      <c r="B433" s="325"/>
      <c r="C433" s="326"/>
      <c r="D433" s="327"/>
      <c r="E433" s="328"/>
      <c r="F433" s="329"/>
      <c r="G433" s="330"/>
      <c r="H433" s="295"/>
      <c r="I433" s="295"/>
      <c r="J433" s="295"/>
      <c r="K433" s="295"/>
      <c r="L433" s="295"/>
      <c r="M433" s="295"/>
      <c r="N433" s="301"/>
    </row>
    <row r="434" spans="1:14">
      <c r="A434" s="207"/>
      <c r="B434" s="325"/>
      <c r="C434" s="326"/>
      <c r="D434" s="327"/>
      <c r="E434" s="328"/>
      <c r="F434" s="329"/>
      <c r="G434" s="330"/>
      <c r="H434" s="295"/>
      <c r="I434" s="295"/>
      <c r="J434" s="295"/>
      <c r="K434" s="295"/>
      <c r="L434" s="295"/>
      <c r="M434" s="295"/>
      <c r="N434" s="301"/>
    </row>
    <row r="435" spans="1:14">
      <c r="A435" s="207"/>
      <c r="B435" s="325"/>
      <c r="C435" s="326"/>
      <c r="D435" s="327"/>
      <c r="E435" s="328"/>
      <c r="F435" s="329"/>
      <c r="G435" s="330"/>
      <c r="H435" s="295"/>
      <c r="I435" s="295"/>
      <c r="J435" s="295"/>
      <c r="K435" s="295"/>
      <c r="L435" s="295"/>
      <c r="M435" s="295"/>
      <c r="N435" s="301"/>
    </row>
    <row r="436" spans="1:14">
      <c r="A436" s="207"/>
      <c r="B436" s="325"/>
      <c r="C436" s="326"/>
      <c r="D436" s="327"/>
      <c r="E436" s="328"/>
      <c r="F436" s="329"/>
      <c r="G436" s="330"/>
      <c r="H436" s="295"/>
      <c r="I436" s="295"/>
      <c r="J436" s="295"/>
      <c r="K436" s="295"/>
      <c r="L436" s="295"/>
      <c r="M436" s="295"/>
      <c r="N436" s="301"/>
    </row>
    <row r="437" spans="1:14">
      <c r="A437" s="207"/>
      <c r="B437" s="325"/>
      <c r="C437" s="326"/>
      <c r="D437" s="327"/>
      <c r="E437" s="328"/>
      <c r="F437" s="329"/>
      <c r="G437" s="330"/>
      <c r="H437" s="295"/>
      <c r="I437" s="295"/>
      <c r="J437" s="295"/>
      <c r="K437" s="295"/>
      <c r="L437" s="295"/>
      <c r="M437" s="295"/>
      <c r="N437" s="301"/>
    </row>
    <row r="438" spans="1:14">
      <c r="A438" s="207"/>
      <c r="B438" s="325"/>
      <c r="C438" s="326"/>
      <c r="D438" s="327"/>
      <c r="E438" s="328"/>
      <c r="F438" s="329"/>
      <c r="G438" s="330"/>
      <c r="H438" s="295"/>
      <c r="I438" s="295"/>
      <c r="J438" s="295"/>
      <c r="K438" s="295"/>
      <c r="L438" s="295"/>
      <c r="M438" s="295"/>
      <c r="N438" s="301"/>
    </row>
    <row r="439" spans="1:14">
      <c r="A439" s="207"/>
      <c r="B439" s="325"/>
      <c r="C439" s="326"/>
      <c r="D439" s="327"/>
      <c r="E439" s="328"/>
      <c r="F439" s="329"/>
      <c r="G439" s="330"/>
      <c r="H439" s="295"/>
      <c r="I439" s="295"/>
      <c r="J439" s="295"/>
      <c r="K439" s="295"/>
      <c r="L439" s="295"/>
      <c r="M439" s="295"/>
      <c r="N439" s="301"/>
    </row>
    <row r="440" spans="1:14">
      <c r="A440" s="207"/>
      <c r="B440" s="325"/>
      <c r="C440" s="326"/>
      <c r="D440" s="327"/>
      <c r="E440" s="328"/>
      <c r="F440" s="329"/>
      <c r="G440" s="330"/>
      <c r="H440" s="295"/>
      <c r="I440" s="295"/>
      <c r="J440" s="295"/>
      <c r="K440" s="295"/>
      <c r="L440" s="295"/>
      <c r="M440" s="295"/>
      <c r="N440" s="301"/>
    </row>
    <row r="441" spans="1:14">
      <c r="A441" s="207"/>
      <c r="B441" s="325"/>
      <c r="C441" s="326"/>
      <c r="D441" s="327"/>
      <c r="E441" s="328"/>
      <c r="F441" s="329"/>
      <c r="G441" s="330"/>
      <c r="H441" s="295"/>
      <c r="I441" s="295"/>
      <c r="J441" s="295"/>
      <c r="K441" s="295"/>
      <c r="L441" s="295"/>
      <c r="M441" s="295"/>
      <c r="N441" s="301"/>
    </row>
    <row r="442" spans="1:14">
      <c r="A442" s="207"/>
      <c r="B442" s="325"/>
      <c r="C442" s="326"/>
      <c r="D442" s="327"/>
      <c r="E442" s="328"/>
      <c r="F442" s="329"/>
      <c r="G442" s="330"/>
      <c r="H442" s="295"/>
      <c r="I442" s="295"/>
      <c r="J442" s="295"/>
      <c r="K442" s="295"/>
      <c r="L442" s="295"/>
      <c r="M442" s="295"/>
      <c r="N442" s="301"/>
    </row>
    <row r="443" spans="1:14">
      <c r="A443" s="207"/>
      <c r="B443" s="325"/>
      <c r="C443" s="326"/>
      <c r="D443" s="327"/>
      <c r="E443" s="328"/>
      <c r="F443" s="329"/>
      <c r="G443" s="330"/>
      <c r="H443" s="295"/>
      <c r="I443" s="295"/>
      <c r="J443" s="295"/>
      <c r="K443" s="295"/>
      <c r="L443" s="295"/>
      <c r="M443" s="295"/>
      <c r="N443" s="301"/>
    </row>
    <row r="444" spans="1:14">
      <c r="A444" s="207"/>
      <c r="B444" s="325"/>
      <c r="C444" s="326"/>
      <c r="D444" s="327"/>
      <c r="E444" s="328"/>
      <c r="F444" s="329"/>
      <c r="G444" s="330"/>
      <c r="H444" s="295"/>
      <c r="I444" s="295"/>
      <c r="J444" s="295"/>
      <c r="K444" s="295"/>
      <c r="L444" s="295"/>
      <c r="M444" s="295"/>
      <c r="N444" s="301"/>
    </row>
    <row r="445" spans="1:14">
      <c r="A445" s="207"/>
      <c r="B445" s="325"/>
      <c r="C445" s="326"/>
      <c r="D445" s="327"/>
      <c r="E445" s="328"/>
      <c r="F445" s="329"/>
      <c r="G445" s="330"/>
      <c r="H445" s="295"/>
      <c r="I445" s="295"/>
      <c r="J445" s="295"/>
      <c r="K445" s="295"/>
      <c r="L445" s="295"/>
      <c r="M445" s="295"/>
      <c r="N445" s="301"/>
    </row>
    <row r="446" spans="1:14">
      <c r="A446" s="207"/>
      <c r="B446" s="325"/>
      <c r="C446" s="326"/>
      <c r="D446" s="327"/>
      <c r="E446" s="328"/>
      <c r="F446" s="329"/>
      <c r="G446" s="330"/>
      <c r="H446" s="295"/>
      <c r="I446" s="295"/>
      <c r="J446" s="295"/>
      <c r="K446" s="295"/>
      <c r="L446" s="295"/>
      <c r="M446" s="295"/>
      <c r="N446" s="301"/>
    </row>
    <row r="447" spans="1:14">
      <c r="A447" s="207"/>
      <c r="B447" s="325"/>
      <c r="C447" s="326"/>
      <c r="D447" s="327"/>
      <c r="E447" s="328"/>
      <c r="F447" s="329"/>
      <c r="G447" s="330"/>
      <c r="H447" s="295"/>
      <c r="I447" s="295"/>
      <c r="J447" s="295"/>
      <c r="K447" s="295"/>
      <c r="L447" s="295"/>
      <c r="M447" s="295"/>
      <c r="N447" s="301"/>
    </row>
    <row r="448" spans="1:14">
      <c r="A448" s="207"/>
      <c r="B448" s="325"/>
      <c r="C448" s="326"/>
      <c r="D448" s="327"/>
      <c r="E448" s="328"/>
      <c r="F448" s="329"/>
      <c r="G448" s="330"/>
      <c r="H448" s="295"/>
      <c r="I448" s="295"/>
      <c r="J448" s="295"/>
      <c r="K448" s="295"/>
      <c r="L448" s="295"/>
      <c r="M448" s="295"/>
      <c r="N448" s="301"/>
    </row>
    <row r="449" spans="1:14">
      <c r="A449" s="207"/>
      <c r="B449" s="325"/>
      <c r="C449" s="326"/>
      <c r="D449" s="327"/>
      <c r="E449" s="328"/>
      <c r="F449" s="329"/>
      <c r="G449" s="330"/>
      <c r="H449" s="295"/>
      <c r="I449" s="295"/>
      <c r="J449" s="295"/>
      <c r="K449" s="295"/>
      <c r="L449" s="295"/>
      <c r="M449" s="295"/>
      <c r="N449" s="301"/>
    </row>
    <row r="450" spans="1:14">
      <c r="A450" s="207"/>
      <c r="B450" s="325"/>
      <c r="C450" s="326"/>
      <c r="D450" s="327"/>
      <c r="E450" s="328"/>
      <c r="F450" s="329"/>
      <c r="G450" s="330"/>
      <c r="H450" s="295"/>
      <c r="I450" s="295"/>
      <c r="J450" s="295"/>
      <c r="K450" s="295"/>
      <c r="L450" s="295"/>
      <c r="M450" s="295"/>
      <c r="N450" s="301"/>
    </row>
    <row r="451" spans="1:14">
      <c r="A451" s="207"/>
      <c r="B451" s="325"/>
      <c r="C451" s="326"/>
      <c r="D451" s="327"/>
      <c r="E451" s="328"/>
      <c r="F451" s="329"/>
      <c r="G451" s="330"/>
      <c r="H451" s="295"/>
      <c r="I451" s="295"/>
      <c r="J451" s="295"/>
      <c r="K451" s="295"/>
      <c r="L451" s="295"/>
      <c r="M451" s="295"/>
      <c r="N451" s="301"/>
    </row>
    <row r="452" spans="1:14">
      <c r="A452" s="207"/>
      <c r="B452" s="325"/>
      <c r="C452" s="326"/>
      <c r="D452" s="327"/>
      <c r="E452" s="328"/>
      <c r="F452" s="329"/>
      <c r="G452" s="330"/>
      <c r="H452" s="295"/>
      <c r="I452" s="295"/>
      <c r="J452" s="295"/>
      <c r="K452" s="295"/>
      <c r="L452" s="295"/>
      <c r="M452" s="295"/>
      <c r="N452" s="301"/>
    </row>
    <row r="453" spans="1:14">
      <c r="A453" s="207"/>
      <c r="B453" s="325"/>
      <c r="C453" s="326"/>
      <c r="D453" s="327"/>
      <c r="E453" s="328"/>
      <c r="F453" s="329"/>
      <c r="G453" s="330"/>
      <c r="H453" s="295"/>
      <c r="I453" s="295"/>
      <c r="J453" s="295"/>
      <c r="K453" s="295"/>
      <c r="L453" s="295"/>
      <c r="M453" s="295"/>
      <c r="N453" s="301"/>
    </row>
    <row r="454" spans="1:14">
      <c r="A454" s="207"/>
      <c r="B454" s="325"/>
      <c r="C454" s="326"/>
      <c r="D454" s="327"/>
      <c r="E454" s="328"/>
      <c r="F454" s="329"/>
      <c r="G454" s="330"/>
      <c r="H454" s="295"/>
      <c r="I454" s="295"/>
      <c r="J454" s="295"/>
      <c r="K454" s="295"/>
      <c r="L454" s="295"/>
      <c r="M454" s="295"/>
      <c r="N454" s="301"/>
    </row>
    <row r="455" spans="1:14">
      <c r="A455" s="207"/>
      <c r="B455" s="325"/>
      <c r="C455" s="326"/>
      <c r="D455" s="327"/>
      <c r="E455" s="328"/>
      <c r="F455" s="329"/>
      <c r="G455" s="330"/>
      <c r="H455" s="295"/>
      <c r="I455" s="295"/>
      <c r="J455" s="295"/>
      <c r="K455" s="295"/>
      <c r="L455" s="295"/>
      <c r="M455" s="295"/>
      <c r="N455" s="301"/>
    </row>
    <row r="456" spans="1:14">
      <c r="A456" s="207"/>
      <c r="B456" s="325"/>
      <c r="C456" s="326"/>
      <c r="D456" s="327"/>
      <c r="E456" s="328"/>
      <c r="F456" s="329"/>
      <c r="G456" s="330"/>
      <c r="H456" s="295"/>
      <c r="I456" s="295"/>
      <c r="J456" s="295"/>
      <c r="K456" s="295"/>
      <c r="L456" s="295"/>
      <c r="M456" s="295"/>
      <c r="N456" s="301"/>
    </row>
    <row r="457" spans="1:14">
      <c r="A457" s="207"/>
      <c r="B457" s="325"/>
      <c r="C457" s="326"/>
      <c r="D457" s="327"/>
      <c r="E457" s="328"/>
      <c r="F457" s="329"/>
      <c r="G457" s="330"/>
      <c r="H457" s="295"/>
      <c r="I457" s="295"/>
      <c r="J457" s="295"/>
      <c r="K457" s="295"/>
      <c r="L457" s="295"/>
      <c r="M457" s="295"/>
      <c r="N457" s="301"/>
    </row>
    <row r="458" spans="1:14">
      <c r="A458" s="207"/>
      <c r="B458" s="325"/>
      <c r="C458" s="326"/>
      <c r="D458" s="327"/>
      <c r="E458" s="328"/>
      <c r="F458" s="329"/>
      <c r="G458" s="330"/>
      <c r="H458" s="295"/>
      <c r="I458" s="295"/>
      <c r="J458" s="295"/>
      <c r="K458" s="295"/>
      <c r="L458" s="295"/>
      <c r="M458" s="295"/>
      <c r="N458" s="301"/>
    </row>
    <row r="459" spans="1:14">
      <c r="A459" s="207"/>
      <c r="B459" s="325"/>
      <c r="C459" s="326"/>
      <c r="D459" s="327"/>
      <c r="E459" s="328"/>
      <c r="F459" s="329"/>
      <c r="G459" s="330"/>
      <c r="H459" s="295"/>
      <c r="I459" s="295"/>
      <c r="J459" s="295"/>
      <c r="K459" s="295"/>
      <c r="L459" s="295"/>
      <c r="M459" s="295"/>
      <c r="N459" s="301"/>
    </row>
    <row r="460" spans="1:14">
      <c r="A460" s="207"/>
      <c r="B460" s="325"/>
      <c r="C460" s="326"/>
      <c r="D460" s="327"/>
      <c r="E460" s="328"/>
      <c r="F460" s="329"/>
      <c r="G460" s="330"/>
      <c r="H460" s="295"/>
      <c r="I460" s="295"/>
      <c r="J460" s="295"/>
      <c r="K460" s="295"/>
      <c r="L460" s="295"/>
      <c r="M460" s="295"/>
      <c r="N460" s="301"/>
    </row>
    <row r="461" spans="1:14">
      <c r="A461" s="207"/>
      <c r="B461" s="325"/>
      <c r="C461" s="326"/>
      <c r="D461" s="327"/>
      <c r="E461" s="328"/>
      <c r="F461" s="329"/>
      <c r="G461" s="330"/>
      <c r="H461" s="295"/>
      <c r="I461" s="295"/>
      <c r="J461" s="295"/>
      <c r="K461" s="295"/>
      <c r="L461" s="295"/>
      <c r="M461" s="295"/>
      <c r="N461" s="301"/>
    </row>
    <row r="462" spans="1:14">
      <c r="A462" s="207"/>
      <c r="B462" s="325"/>
      <c r="C462" s="326"/>
      <c r="D462" s="327"/>
      <c r="E462" s="328"/>
      <c r="F462" s="329"/>
      <c r="G462" s="330"/>
      <c r="H462" s="295"/>
      <c r="I462" s="295"/>
      <c r="J462" s="295"/>
      <c r="K462" s="295"/>
      <c r="L462" s="295"/>
      <c r="M462" s="295"/>
      <c r="N462" s="301"/>
    </row>
    <row r="463" spans="1:14">
      <c r="A463" s="207"/>
      <c r="B463" s="325"/>
      <c r="C463" s="326"/>
      <c r="D463" s="327"/>
      <c r="E463" s="328"/>
      <c r="F463" s="329"/>
      <c r="G463" s="330"/>
      <c r="H463" s="295"/>
      <c r="I463" s="295"/>
      <c r="J463" s="295"/>
      <c r="K463" s="295"/>
      <c r="L463" s="295"/>
      <c r="M463" s="295"/>
      <c r="N463" s="301"/>
    </row>
    <row r="464" spans="1:14">
      <c r="A464" s="207"/>
      <c r="B464" s="325"/>
      <c r="C464" s="326"/>
      <c r="D464" s="327"/>
      <c r="E464" s="328"/>
      <c r="F464" s="329"/>
      <c r="G464" s="330"/>
      <c r="H464" s="295"/>
      <c r="I464" s="295"/>
      <c r="J464" s="295"/>
      <c r="K464" s="295"/>
      <c r="L464" s="295"/>
      <c r="M464" s="295"/>
      <c r="N464" s="301"/>
    </row>
    <row r="465" spans="1:14">
      <c r="A465" s="207"/>
      <c r="B465" s="325"/>
      <c r="C465" s="326"/>
      <c r="D465" s="327"/>
      <c r="E465" s="328"/>
      <c r="F465" s="329"/>
      <c r="G465" s="330"/>
      <c r="H465" s="295"/>
      <c r="I465" s="295"/>
      <c r="J465" s="295"/>
      <c r="K465" s="295"/>
      <c r="L465" s="295"/>
      <c r="M465" s="295"/>
      <c r="N465" s="301"/>
    </row>
    <row r="466" spans="1:14">
      <c r="A466" s="207"/>
      <c r="B466" s="325"/>
      <c r="C466" s="326"/>
      <c r="D466" s="327"/>
      <c r="E466" s="328"/>
      <c r="F466" s="329"/>
      <c r="G466" s="330"/>
      <c r="H466" s="295"/>
      <c r="I466" s="295"/>
      <c r="J466" s="295"/>
      <c r="K466" s="295"/>
      <c r="L466" s="295"/>
      <c r="M466" s="295"/>
      <c r="N466" s="301"/>
    </row>
    <row r="467" spans="1:14">
      <c r="A467" s="207"/>
      <c r="B467" s="325"/>
      <c r="C467" s="326"/>
      <c r="D467" s="327"/>
      <c r="E467" s="328"/>
      <c r="F467" s="329"/>
      <c r="G467" s="330"/>
      <c r="H467" s="295"/>
      <c r="I467" s="295"/>
      <c r="J467" s="295"/>
      <c r="K467" s="295"/>
      <c r="L467" s="295"/>
      <c r="M467" s="295"/>
      <c r="N467" s="301"/>
    </row>
    <row r="468" spans="1:14">
      <c r="A468" s="207"/>
      <c r="B468" s="325"/>
      <c r="C468" s="326"/>
      <c r="D468" s="327"/>
      <c r="E468" s="328"/>
      <c r="F468" s="329"/>
      <c r="G468" s="330"/>
      <c r="H468" s="295"/>
      <c r="I468" s="295"/>
      <c r="J468" s="295"/>
      <c r="K468" s="295"/>
      <c r="L468" s="295"/>
      <c r="M468" s="295"/>
      <c r="N468" s="301"/>
    </row>
    <row r="469" spans="1:14">
      <c r="A469" s="207"/>
      <c r="B469" s="325"/>
      <c r="C469" s="326"/>
      <c r="D469" s="327"/>
      <c r="E469" s="328"/>
      <c r="F469" s="329"/>
      <c r="G469" s="330"/>
      <c r="H469" s="295"/>
      <c r="I469" s="295"/>
      <c r="J469" s="295"/>
      <c r="K469" s="295"/>
      <c r="L469" s="295"/>
      <c r="M469" s="295"/>
      <c r="N469" s="301"/>
    </row>
    <row r="470" spans="1:14">
      <c r="A470" s="207"/>
      <c r="B470" s="325"/>
      <c r="C470" s="326"/>
      <c r="D470" s="327"/>
      <c r="E470" s="328"/>
      <c r="F470" s="329"/>
      <c r="G470" s="330"/>
      <c r="H470" s="295"/>
      <c r="I470" s="295"/>
      <c r="J470" s="295"/>
      <c r="K470" s="295"/>
      <c r="L470" s="295"/>
      <c r="M470" s="295"/>
      <c r="N470" s="301"/>
    </row>
    <row r="471" spans="1:14">
      <c r="A471" s="207"/>
      <c r="B471" s="325"/>
      <c r="C471" s="326"/>
      <c r="D471" s="327"/>
      <c r="E471" s="328"/>
      <c r="F471" s="329"/>
      <c r="G471" s="330"/>
      <c r="H471" s="295"/>
      <c r="I471" s="295"/>
      <c r="J471" s="295"/>
      <c r="K471" s="295"/>
      <c r="L471" s="295"/>
      <c r="M471" s="295"/>
      <c r="N471" s="301"/>
    </row>
    <row r="472" spans="1:14">
      <c r="A472" s="207"/>
      <c r="B472" s="325"/>
      <c r="C472" s="326"/>
      <c r="D472" s="327"/>
      <c r="E472" s="328"/>
      <c r="F472" s="329"/>
      <c r="G472" s="330"/>
      <c r="H472" s="295"/>
      <c r="I472" s="295"/>
      <c r="J472" s="295"/>
      <c r="K472" s="295"/>
      <c r="L472" s="295"/>
      <c r="M472" s="295"/>
      <c r="N472" s="301"/>
    </row>
    <row r="473" spans="1:14">
      <c r="A473" s="207"/>
      <c r="B473" s="325"/>
      <c r="C473" s="326"/>
      <c r="D473" s="327"/>
      <c r="E473" s="328"/>
      <c r="F473" s="329"/>
      <c r="G473" s="330"/>
      <c r="H473" s="295"/>
      <c r="I473" s="295"/>
      <c r="J473" s="295"/>
      <c r="K473" s="295"/>
      <c r="L473" s="295"/>
      <c r="M473" s="295"/>
      <c r="N473" s="301"/>
    </row>
    <row r="474" spans="1:14">
      <c r="A474" s="207"/>
      <c r="B474" s="325"/>
      <c r="C474" s="326"/>
      <c r="D474" s="327"/>
      <c r="E474" s="328"/>
      <c r="F474" s="329"/>
      <c r="G474" s="330"/>
      <c r="H474" s="295"/>
      <c r="I474" s="295"/>
      <c r="J474" s="295"/>
      <c r="K474" s="295"/>
      <c r="L474" s="295"/>
      <c r="M474" s="295"/>
      <c r="N474" s="301"/>
    </row>
    <row r="475" spans="1:14">
      <c r="A475" s="207"/>
      <c r="B475" s="325"/>
      <c r="C475" s="326"/>
      <c r="D475" s="327"/>
      <c r="E475" s="328"/>
      <c r="F475" s="329"/>
      <c r="G475" s="330"/>
      <c r="H475" s="295"/>
      <c r="I475" s="295"/>
      <c r="J475" s="295"/>
      <c r="K475" s="295"/>
      <c r="L475" s="295"/>
      <c r="M475" s="295"/>
      <c r="N475" s="301"/>
    </row>
    <row r="476" spans="1:14">
      <c r="A476" s="207"/>
      <c r="B476" s="325"/>
      <c r="C476" s="326"/>
      <c r="D476" s="327"/>
      <c r="E476" s="328"/>
      <c r="F476" s="329"/>
      <c r="G476" s="330"/>
      <c r="H476" s="295"/>
      <c r="I476" s="295"/>
      <c r="J476" s="295"/>
      <c r="K476" s="295"/>
      <c r="L476" s="295"/>
      <c r="M476" s="295"/>
      <c r="N476" s="301"/>
    </row>
    <row r="477" spans="1:14">
      <c r="A477" s="207"/>
      <c r="B477" s="325"/>
      <c r="C477" s="326"/>
      <c r="D477" s="327"/>
      <c r="E477" s="328"/>
      <c r="F477" s="329"/>
      <c r="G477" s="330"/>
      <c r="H477" s="295"/>
      <c r="I477" s="295"/>
      <c r="J477" s="295"/>
      <c r="K477" s="295"/>
      <c r="L477" s="295"/>
      <c r="M477" s="295"/>
      <c r="N477" s="301"/>
    </row>
    <row r="478" spans="1:14">
      <c r="A478" s="207"/>
      <c r="B478" s="325"/>
      <c r="C478" s="326"/>
      <c r="D478" s="327"/>
      <c r="E478" s="328"/>
      <c r="F478" s="329"/>
      <c r="G478" s="330"/>
      <c r="H478" s="295"/>
      <c r="I478" s="295"/>
      <c r="J478" s="295"/>
      <c r="K478" s="295"/>
      <c r="L478" s="295"/>
      <c r="M478" s="295"/>
      <c r="N478" s="301"/>
    </row>
    <row r="479" spans="1:14">
      <c r="A479" s="207"/>
      <c r="B479" s="325"/>
      <c r="C479" s="326"/>
      <c r="D479" s="327"/>
      <c r="E479" s="328"/>
      <c r="F479" s="329"/>
      <c r="G479" s="330"/>
      <c r="H479" s="295"/>
      <c r="I479" s="295"/>
      <c r="J479" s="295"/>
      <c r="K479" s="295"/>
      <c r="L479" s="295"/>
      <c r="M479" s="295"/>
      <c r="N479" s="301"/>
    </row>
    <row r="480" spans="1:14">
      <c r="A480" s="207"/>
      <c r="B480" s="325"/>
      <c r="C480" s="326"/>
      <c r="D480" s="327"/>
      <c r="E480" s="328"/>
      <c r="F480" s="329"/>
      <c r="G480" s="330"/>
      <c r="H480" s="295"/>
      <c r="I480" s="295"/>
      <c r="J480" s="295"/>
      <c r="K480" s="295"/>
      <c r="L480" s="295"/>
      <c r="M480" s="295"/>
      <c r="N480" s="301"/>
    </row>
    <row r="481" spans="1:14">
      <c r="A481" s="207"/>
      <c r="B481" s="325"/>
      <c r="C481" s="326"/>
      <c r="D481" s="327"/>
      <c r="E481" s="328"/>
      <c r="F481" s="329"/>
      <c r="G481" s="330"/>
      <c r="H481" s="295"/>
      <c r="I481" s="295"/>
      <c r="J481" s="295"/>
      <c r="K481" s="295"/>
      <c r="L481" s="295"/>
      <c r="M481" s="295"/>
      <c r="N481" s="301"/>
    </row>
    <row r="482" spans="1:14">
      <c r="A482" s="207"/>
      <c r="B482" s="325"/>
      <c r="C482" s="326"/>
      <c r="D482" s="327"/>
      <c r="E482" s="328"/>
      <c r="F482" s="329"/>
      <c r="G482" s="330"/>
      <c r="H482" s="295"/>
      <c r="I482" s="295"/>
      <c r="J482" s="295"/>
      <c r="K482" s="295"/>
      <c r="L482" s="295"/>
      <c r="M482" s="295"/>
      <c r="N482" s="301"/>
    </row>
    <row r="483" spans="1:14">
      <c r="A483" s="207"/>
      <c r="B483" s="325"/>
      <c r="C483" s="326"/>
      <c r="D483" s="327"/>
      <c r="E483" s="328"/>
      <c r="F483" s="329"/>
      <c r="G483" s="330"/>
      <c r="H483" s="295"/>
      <c r="I483" s="295"/>
      <c r="J483" s="295"/>
      <c r="K483" s="295"/>
      <c r="L483" s="295"/>
      <c r="M483" s="295"/>
      <c r="N483" s="301"/>
    </row>
    <row r="484" spans="1:14">
      <c r="A484" s="207"/>
      <c r="B484" s="325"/>
      <c r="C484" s="326"/>
      <c r="D484" s="327"/>
      <c r="E484" s="328"/>
      <c r="F484" s="329"/>
      <c r="G484" s="330"/>
      <c r="H484" s="295"/>
      <c r="I484" s="295"/>
      <c r="J484" s="295"/>
      <c r="K484" s="295"/>
      <c r="L484" s="295"/>
      <c r="M484" s="295"/>
      <c r="N484" s="301"/>
    </row>
    <row r="485" spans="1:14">
      <c r="A485" s="207"/>
      <c r="B485" s="325"/>
      <c r="C485" s="326"/>
      <c r="D485" s="327"/>
      <c r="E485" s="328"/>
      <c r="F485" s="329"/>
      <c r="G485" s="330"/>
      <c r="H485" s="295"/>
      <c r="I485" s="295"/>
      <c r="J485" s="295"/>
      <c r="K485" s="295"/>
      <c r="L485" s="295"/>
      <c r="M485" s="295"/>
      <c r="N485" s="301"/>
    </row>
    <row r="486" spans="1:14">
      <c r="A486" s="207"/>
      <c r="B486" s="325"/>
      <c r="C486" s="326"/>
      <c r="D486" s="327"/>
      <c r="E486" s="328"/>
      <c r="F486" s="329"/>
      <c r="G486" s="330"/>
      <c r="H486" s="295"/>
      <c r="I486" s="295"/>
      <c r="J486" s="295"/>
      <c r="K486" s="295"/>
      <c r="L486" s="295"/>
      <c r="M486" s="295"/>
      <c r="N486" s="301"/>
    </row>
    <row r="487" spans="1:14">
      <c r="A487" s="207"/>
      <c r="B487" s="325"/>
      <c r="C487" s="326"/>
      <c r="D487" s="327"/>
      <c r="E487" s="328"/>
      <c r="F487" s="329"/>
      <c r="G487" s="330"/>
      <c r="H487" s="295"/>
      <c r="I487" s="295"/>
      <c r="J487" s="295"/>
      <c r="K487" s="295"/>
      <c r="L487" s="295"/>
      <c r="M487" s="295"/>
      <c r="N487" s="301"/>
    </row>
    <row r="488" spans="1:14">
      <c r="A488" s="207"/>
      <c r="B488" s="325"/>
      <c r="C488" s="326"/>
      <c r="D488" s="327"/>
      <c r="E488" s="328"/>
      <c r="F488" s="329"/>
      <c r="G488" s="330"/>
      <c r="H488" s="295"/>
      <c r="I488" s="295"/>
      <c r="J488" s="295"/>
      <c r="K488" s="295"/>
      <c r="L488" s="295"/>
      <c r="M488" s="295"/>
      <c r="N488" s="301"/>
    </row>
    <row r="489" spans="1:14">
      <c r="A489" s="207"/>
      <c r="B489" s="325"/>
      <c r="C489" s="326"/>
      <c r="D489" s="327"/>
      <c r="E489" s="328"/>
      <c r="F489" s="329"/>
      <c r="G489" s="330"/>
      <c r="H489" s="295"/>
      <c r="I489" s="295"/>
      <c r="J489" s="295"/>
      <c r="K489" s="295"/>
      <c r="L489" s="295"/>
      <c r="M489" s="295"/>
      <c r="N489" s="301"/>
    </row>
    <row r="490" spans="1:14">
      <c r="A490" s="207"/>
      <c r="B490" s="325"/>
      <c r="C490" s="326"/>
      <c r="D490" s="327"/>
      <c r="E490" s="328"/>
      <c r="F490" s="329"/>
      <c r="G490" s="330"/>
      <c r="H490" s="295"/>
      <c r="I490" s="295"/>
      <c r="J490" s="295"/>
      <c r="K490" s="295"/>
      <c r="L490" s="295"/>
      <c r="M490" s="295"/>
      <c r="N490" s="301"/>
    </row>
    <row r="491" spans="1:14">
      <c r="A491" s="207"/>
      <c r="B491" s="325"/>
      <c r="C491" s="326"/>
      <c r="D491" s="327"/>
      <c r="E491" s="328"/>
      <c r="F491" s="329"/>
      <c r="G491" s="330"/>
      <c r="H491" s="295"/>
      <c r="I491" s="295"/>
      <c r="J491" s="295"/>
      <c r="K491" s="295"/>
      <c r="L491" s="295"/>
      <c r="M491" s="295"/>
      <c r="N491" s="301"/>
    </row>
    <row r="492" spans="1:14">
      <c r="A492" s="207"/>
      <c r="B492" s="325"/>
      <c r="C492" s="326"/>
      <c r="D492" s="327"/>
      <c r="E492" s="328"/>
      <c r="F492" s="329"/>
      <c r="G492" s="330"/>
      <c r="H492" s="295"/>
      <c r="I492" s="295"/>
      <c r="J492" s="295"/>
      <c r="K492" s="295"/>
      <c r="L492" s="295"/>
      <c r="M492" s="295"/>
      <c r="N492" s="301"/>
    </row>
    <row r="493" spans="1:14">
      <c r="A493" s="207"/>
      <c r="B493" s="325"/>
      <c r="C493" s="326"/>
      <c r="D493" s="327"/>
      <c r="E493" s="328"/>
      <c r="F493" s="329"/>
      <c r="G493" s="330"/>
      <c r="H493" s="295"/>
      <c r="I493" s="295"/>
      <c r="J493" s="295"/>
      <c r="K493" s="295"/>
      <c r="L493" s="295"/>
      <c r="M493" s="295"/>
      <c r="N493" s="301"/>
    </row>
    <row r="494" spans="1:14">
      <c r="A494" s="207"/>
      <c r="B494" s="325"/>
      <c r="C494" s="326"/>
      <c r="D494" s="327"/>
      <c r="E494" s="328"/>
      <c r="F494" s="329"/>
      <c r="G494" s="330"/>
      <c r="H494" s="295"/>
      <c r="I494" s="295"/>
      <c r="J494" s="295"/>
      <c r="K494" s="295"/>
      <c r="L494" s="295"/>
      <c r="M494" s="295"/>
      <c r="N494" s="301"/>
    </row>
    <row r="495" spans="1:14">
      <c r="A495" s="207"/>
      <c r="B495" s="325"/>
      <c r="C495" s="326"/>
      <c r="D495" s="327"/>
      <c r="E495" s="328"/>
      <c r="F495" s="329"/>
      <c r="G495" s="330"/>
      <c r="H495" s="295"/>
      <c r="I495" s="295"/>
      <c r="J495" s="295"/>
      <c r="K495" s="295"/>
      <c r="L495" s="295"/>
      <c r="M495" s="295"/>
      <c r="N495" s="301"/>
    </row>
    <row r="496" spans="1:14">
      <c r="A496" s="207"/>
      <c r="B496" s="325"/>
      <c r="C496" s="326"/>
      <c r="D496" s="327"/>
      <c r="E496" s="328"/>
      <c r="F496" s="329"/>
      <c r="G496" s="330"/>
      <c r="H496" s="295"/>
      <c r="I496" s="295"/>
      <c r="J496" s="295"/>
      <c r="K496" s="295"/>
      <c r="L496" s="295"/>
      <c r="M496" s="295"/>
      <c r="N496" s="301"/>
    </row>
    <row r="497" spans="1:14">
      <c r="A497" s="207"/>
      <c r="B497" s="325"/>
      <c r="C497" s="326"/>
      <c r="D497" s="327"/>
      <c r="E497" s="328"/>
      <c r="F497" s="329"/>
      <c r="G497" s="330"/>
      <c r="H497" s="295"/>
      <c r="I497" s="295"/>
      <c r="J497" s="295"/>
      <c r="K497" s="295"/>
      <c r="L497" s="295"/>
      <c r="M497" s="295"/>
      <c r="N497" s="301"/>
    </row>
    <row r="498" spans="1:14">
      <c r="A498" s="207"/>
      <c r="B498" s="325"/>
      <c r="C498" s="326"/>
      <c r="D498" s="327"/>
      <c r="E498" s="328"/>
      <c r="F498" s="329"/>
      <c r="G498" s="330"/>
      <c r="H498" s="295"/>
      <c r="I498" s="295"/>
      <c r="J498" s="295"/>
      <c r="K498" s="295"/>
      <c r="L498" s="295"/>
      <c r="M498" s="295"/>
      <c r="N498" s="301"/>
    </row>
    <row r="499" spans="1:14">
      <c r="A499" s="207"/>
      <c r="B499" s="325"/>
      <c r="C499" s="326"/>
      <c r="D499" s="327"/>
      <c r="E499" s="328"/>
      <c r="F499" s="329"/>
      <c r="G499" s="330"/>
      <c r="H499" s="295"/>
      <c r="I499" s="295"/>
      <c r="J499" s="295"/>
      <c r="K499" s="295"/>
      <c r="L499" s="295"/>
      <c r="M499" s="295"/>
      <c r="N499" s="301"/>
    </row>
    <row r="500" spans="1:14">
      <c r="A500" s="207"/>
      <c r="B500" s="325"/>
      <c r="C500" s="326"/>
      <c r="D500" s="327"/>
      <c r="E500" s="328"/>
      <c r="F500" s="329"/>
      <c r="G500" s="330"/>
      <c r="H500" s="295"/>
      <c r="I500" s="295"/>
      <c r="J500" s="295"/>
      <c r="K500" s="295"/>
      <c r="L500" s="295"/>
      <c r="M500" s="295"/>
      <c r="N500" s="301"/>
    </row>
    <row r="501" spans="1:14">
      <c r="A501" s="207"/>
      <c r="B501" s="325"/>
      <c r="C501" s="326"/>
      <c r="D501" s="327"/>
      <c r="E501" s="328"/>
      <c r="F501" s="329"/>
      <c r="G501" s="330"/>
      <c r="H501" s="295"/>
      <c r="I501" s="295"/>
      <c r="J501" s="295"/>
      <c r="K501" s="295"/>
      <c r="L501" s="295"/>
      <c r="M501" s="295"/>
      <c r="N501" s="301"/>
    </row>
    <row r="502" spans="1:14">
      <c r="A502" s="207"/>
      <c r="B502" s="325"/>
      <c r="C502" s="326"/>
      <c r="D502" s="327"/>
      <c r="E502" s="328"/>
      <c r="F502" s="329"/>
      <c r="G502" s="330"/>
      <c r="H502" s="295"/>
      <c r="I502" s="295"/>
      <c r="J502" s="295"/>
      <c r="K502" s="295"/>
      <c r="L502" s="295"/>
      <c r="M502" s="295"/>
      <c r="N502" s="301"/>
    </row>
    <row r="503" spans="1:14">
      <c r="A503" s="207"/>
      <c r="B503" s="325"/>
      <c r="C503" s="326"/>
      <c r="D503" s="327"/>
      <c r="E503" s="328"/>
      <c r="F503" s="329"/>
      <c r="G503" s="330"/>
      <c r="H503" s="295"/>
      <c r="I503" s="295"/>
      <c r="J503" s="295"/>
      <c r="K503" s="295"/>
      <c r="L503" s="295"/>
      <c r="M503" s="295"/>
      <c r="N503" s="301"/>
    </row>
    <row r="504" spans="1:14">
      <c r="A504" s="207"/>
      <c r="B504" s="325"/>
      <c r="C504" s="326"/>
      <c r="D504" s="327"/>
      <c r="E504" s="328"/>
      <c r="F504" s="329"/>
      <c r="G504" s="330"/>
      <c r="H504" s="295"/>
      <c r="I504" s="295"/>
      <c r="J504" s="295"/>
      <c r="K504" s="295"/>
      <c r="L504" s="295"/>
      <c r="M504" s="295"/>
      <c r="N504" s="301"/>
    </row>
    <row r="505" spans="1:14">
      <c r="A505" s="207"/>
      <c r="B505" s="325"/>
      <c r="C505" s="326"/>
      <c r="D505" s="327"/>
      <c r="E505" s="328"/>
      <c r="F505" s="329"/>
      <c r="G505" s="330"/>
      <c r="H505" s="295"/>
      <c r="I505" s="295"/>
      <c r="J505" s="295"/>
      <c r="K505" s="295"/>
      <c r="L505" s="295"/>
      <c r="M505" s="295"/>
      <c r="N505" s="301"/>
    </row>
    <row r="506" spans="1:14">
      <c r="A506" s="207"/>
      <c r="B506" s="325"/>
      <c r="C506" s="326"/>
      <c r="D506" s="327"/>
      <c r="E506" s="328"/>
      <c r="F506" s="329"/>
      <c r="G506" s="330"/>
      <c r="H506" s="295"/>
      <c r="I506" s="295"/>
      <c r="J506" s="295"/>
      <c r="K506" s="295"/>
      <c r="L506" s="295"/>
      <c r="M506" s="295"/>
      <c r="N506" s="301"/>
    </row>
    <row r="507" spans="1:14">
      <c r="A507" s="207"/>
      <c r="B507" s="325"/>
      <c r="C507" s="326"/>
      <c r="D507" s="327"/>
      <c r="E507" s="328"/>
      <c r="F507" s="329"/>
      <c r="G507" s="330"/>
      <c r="H507" s="295"/>
      <c r="I507" s="295"/>
      <c r="J507" s="295"/>
      <c r="K507" s="295"/>
      <c r="L507" s="295"/>
      <c r="M507" s="295"/>
      <c r="N507" s="301"/>
    </row>
    <row r="508" spans="1:14">
      <c r="A508" s="207"/>
      <c r="B508" s="325"/>
      <c r="C508" s="326"/>
      <c r="D508" s="327"/>
      <c r="E508" s="328"/>
      <c r="F508" s="329"/>
      <c r="G508" s="330"/>
      <c r="H508" s="295"/>
      <c r="I508" s="295"/>
      <c r="J508" s="295"/>
      <c r="K508" s="295"/>
      <c r="L508" s="295"/>
      <c r="M508" s="295"/>
      <c r="N508" s="301"/>
    </row>
    <row r="509" spans="1:14">
      <c r="A509" s="207"/>
      <c r="B509" s="325"/>
      <c r="C509" s="326"/>
      <c r="D509" s="327"/>
      <c r="E509" s="328"/>
      <c r="F509" s="329"/>
      <c r="G509" s="330"/>
      <c r="H509" s="295"/>
      <c r="I509" s="295"/>
      <c r="J509" s="295"/>
      <c r="K509" s="295"/>
      <c r="L509" s="295"/>
      <c r="M509" s="295"/>
      <c r="N509" s="301"/>
    </row>
    <row r="510" spans="1:14">
      <c r="A510" s="207"/>
      <c r="B510" s="325"/>
      <c r="C510" s="326"/>
      <c r="D510" s="327"/>
      <c r="E510" s="328"/>
      <c r="F510" s="329"/>
      <c r="G510" s="330"/>
      <c r="H510" s="295"/>
      <c r="I510" s="295"/>
      <c r="J510" s="295"/>
      <c r="K510" s="295"/>
      <c r="L510" s="295"/>
      <c r="M510" s="295"/>
      <c r="N510" s="301"/>
    </row>
    <row r="511" spans="1:14">
      <c r="A511" s="207"/>
      <c r="B511" s="325"/>
      <c r="C511" s="326"/>
      <c r="D511" s="327"/>
      <c r="E511" s="328"/>
      <c r="F511" s="329"/>
      <c r="G511" s="330"/>
      <c r="H511" s="295"/>
      <c r="I511" s="295"/>
      <c r="J511" s="295"/>
      <c r="K511" s="295"/>
      <c r="L511" s="295"/>
      <c r="M511" s="295"/>
      <c r="N511" s="301"/>
    </row>
    <row r="512" spans="1:14">
      <c r="A512" s="207"/>
      <c r="B512" s="325"/>
      <c r="C512" s="326"/>
      <c r="D512" s="327"/>
      <c r="E512" s="328"/>
      <c r="F512" s="329"/>
      <c r="G512" s="330"/>
      <c r="H512" s="295"/>
      <c r="I512" s="295"/>
      <c r="J512" s="295"/>
      <c r="K512" s="295"/>
      <c r="L512" s="295"/>
      <c r="M512" s="295"/>
      <c r="N512" s="301"/>
    </row>
    <row r="513" spans="1:14">
      <c r="A513" s="207"/>
      <c r="B513" s="325"/>
      <c r="C513" s="326"/>
      <c r="D513" s="327"/>
      <c r="E513" s="328"/>
      <c r="F513" s="329"/>
      <c r="G513" s="330"/>
      <c r="H513" s="295"/>
      <c r="I513" s="295"/>
      <c r="J513" s="295"/>
      <c r="K513" s="295"/>
      <c r="L513" s="295"/>
      <c r="M513" s="295"/>
      <c r="N513" s="301"/>
    </row>
    <row r="514" spans="1:14">
      <c r="A514" s="207"/>
      <c r="B514" s="325"/>
      <c r="C514" s="326"/>
      <c r="D514" s="327"/>
      <c r="E514" s="328"/>
      <c r="F514" s="329"/>
      <c r="G514" s="330"/>
      <c r="H514" s="295"/>
      <c r="I514" s="295"/>
      <c r="J514" s="295"/>
      <c r="K514" s="295"/>
      <c r="L514" s="295"/>
      <c r="M514" s="295"/>
      <c r="N514" s="301"/>
    </row>
    <row r="515" spans="1:14">
      <c r="A515" s="207"/>
      <c r="B515" s="325"/>
      <c r="C515" s="326"/>
      <c r="D515" s="327"/>
      <c r="E515" s="328"/>
      <c r="F515" s="329"/>
      <c r="G515" s="330"/>
      <c r="H515" s="295"/>
      <c r="I515" s="295"/>
      <c r="J515" s="295"/>
      <c r="K515" s="295"/>
      <c r="L515" s="295"/>
      <c r="M515" s="295"/>
      <c r="N515" s="301"/>
    </row>
    <row r="516" spans="1:14">
      <c r="A516" s="207"/>
      <c r="B516" s="325"/>
      <c r="C516" s="326"/>
      <c r="D516" s="327"/>
      <c r="E516" s="328"/>
      <c r="F516" s="329"/>
      <c r="G516" s="330"/>
      <c r="H516" s="295"/>
      <c r="I516" s="295"/>
      <c r="J516" s="295"/>
      <c r="K516" s="295"/>
      <c r="L516" s="295"/>
      <c r="M516" s="295"/>
      <c r="N516" s="301"/>
    </row>
    <row r="517" spans="1:14">
      <c r="A517" s="207"/>
      <c r="B517" s="325"/>
      <c r="C517" s="326"/>
      <c r="D517" s="327"/>
      <c r="E517" s="328"/>
      <c r="F517" s="329"/>
      <c r="G517" s="330"/>
      <c r="H517" s="295"/>
      <c r="I517" s="295"/>
      <c r="J517" s="295"/>
      <c r="K517" s="295"/>
      <c r="L517" s="295"/>
      <c r="M517" s="295"/>
      <c r="N517" s="301"/>
    </row>
    <row r="518" spans="1:14">
      <c r="A518" s="207"/>
      <c r="B518" s="325"/>
      <c r="C518" s="326"/>
      <c r="D518" s="327"/>
      <c r="E518" s="328"/>
      <c r="F518" s="329"/>
      <c r="G518" s="330"/>
      <c r="H518" s="295"/>
      <c r="I518" s="295"/>
      <c r="J518" s="295"/>
      <c r="K518" s="295"/>
      <c r="L518" s="295"/>
      <c r="M518" s="295"/>
      <c r="N518" s="301"/>
    </row>
    <row r="519" spans="1:14">
      <c r="A519" s="207"/>
      <c r="B519" s="325"/>
      <c r="C519" s="326"/>
      <c r="D519" s="327"/>
      <c r="E519" s="328"/>
      <c r="F519" s="329"/>
      <c r="G519" s="330"/>
      <c r="H519" s="295"/>
      <c r="I519" s="295"/>
      <c r="J519" s="295"/>
      <c r="K519" s="295"/>
      <c r="L519" s="295"/>
      <c r="M519" s="295"/>
      <c r="N519" s="301"/>
    </row>
    <row r="520" spans="1:14">
      <c r="A520" s="207"/>
      <c r="B520" s="325"/>
      <c r="C520" s="326"/>
      <c r="D520" s="327"/>
      <c r="E520" s="328"/>
      <c r="F520" s="329"/>
      <c r="G520" s="330"/>
      <c r="H520" s="295"/>
      <c r="I520" s="295"/>
      <c r="J520" s="295"/>
      <c r="K520" s="295"/>
      <c r="L520" s="295"/>
      <c r="M520" s="295"/>
      <c r="N520" s="301"/>
    </row>
    <row r="521" spans="1:14">
      <c r="A521" s="207"/>
      <c r="B521" s="325"/>
      <c r="C521" s="326"/>
      <c r="D521" s="327"/>
      <c r="E521" s="328"/>
      <c r="F521" s="329"/>
      <c r="G521" s="330"/>
      <c r="H521" s="295"/>
      <c r="I521" s="295"/>
      <c r="J521" s="295"/>
      <c r="K521" s="295"/>
      <c r="L521" s="295"/>
      <c r="M521" s="295"/>
      <c r="N521" s="301"/>
    </row>
    <row r="522" spans="1:14">
      <c r="A522" s="207"/>
      <c r="B522" s="325"/>
      <c r="C522" s="326"/>
      <c r="D522" s="327"/>
      <c r="E522" s="328"/>
      <c r="F522" s="329"/>
      <c r="G522" s="330"/>
      <c r="H522" s="295"/>
      <c r="I522" s="295"/>
      <c r="J522" s="295"/>
      <c r="K522" s="295"/>
      <c r="L522" s="295"/>
      <c r="M522" s="295"/>
      <c r="N522" s="301"/>
    </row>
    <row r="523" spans="1:14">
      <c r="A523" s="207"/>
      <c r="B523" s="325"/>
      <c r="C523" s="326"/>
      <c r="D523" s="327"/>
      <c r="E523" s="328"/>
      <c r="F523" s="329"/>
      <c r="G523" s="330"/>
      <c r="H523" s="295"/>
      <c r="I523" s="295"/>
      <c r="J523" s="295"/>
      <c r="K523" s="295"/>
      <c r="L523" s="295"/>
      <c r="M523" s="295"/>
      <c r="N523" s="301"/>
    </row>
    <row r="524" spans="1:14">
      <c r="A524" s="207"/>
      <c r="B524" s="325"/>
      <c r="C524" s="326"/>
      <c r="D524" s="327"/>
      <c r="E524" s="328"/>
      <c r="F524" s="329"/>
      <c r="G524" s="330"/>
      <c r="H524" s="295"/>
      <c r="I524" s="295"/>
      <c r="J524" s="295"/>
      <c r="K524" s="295"/>
      <c r="L524" s="295"/>
      <c r="M524" s="295"/>
      <c r="N524" s="301"/>
    </row>
    <row r="525" spans="1:14">
      <c r="A525" s="207"/>
      <c r="B525" s="325"/>
      <c r="C525" s="326"/>
      <c r="D525" s="327"/>
      <c r="E525" s="328"/>
      <c r="F525" s="329"/>
      <c r="G525" s="330"/>
      <c r="H525" s="295"/>
      <c r="I525" s="295"/>
      <c r="J525" s="295"/>
      <c r="K525" s="295"/>
      <c r="L525" s="295"/>
      <c r="M525" s="295"/>
      <c r="N525" s="301"/>
    </row>
    <row r="526" spans="1:14">
      <c r="A526" s="207"/>
      <c r="B526" s="325"/>
      <c r="C526" s="326"/>
      <c r="D526" s="327"/>
      <c r="E526" s="328"/>
      <c r="F526" s="329"/>
      <c r="G526" s="330"/>
      <c r="H526" s="295"/>
      <c r="I526" s="295"/>
      <c r="J526" s="295"/>
      <c r="K526" s="295"/>
      <c r="L526" s="295"/>
      <c r="M526" s="295"/>
      <c r="N526" s="301"/>
    </row>
    <row r="527" spans="1:14">
      <c r="A527" s="207"/>
      <c r="B527" s="325"/>
      <c r="C527" s="326"/>
      <c r="D527" s="327"/>
      <c r="E527" s="328"/>
      <c r="F527" s="329"/>
      <c r="G527" s="330"/>
      <c r="H527" s="295"/>
      <c r="I527" s="295"/>
      <c r="J527" s="295"/>
      <c r="K527" s="295"/>
      <c r="L527" s="295"/>
      <c r="M527" s="295"/>
      <c r="N527" s="301"/>
    </row>
    <row r="528" spans="1:14">
      <c r="A528" s="207"/>
      <c r="B528" s="325"/>
      <c r="C528" s="326"/>
      <c r="D528" s="327"/>
      <c r="E528" s="328"/>
      <c r="F528" s="329"/>
      <c r="G528" s="330"/>
      <c r="H528" s="295"/>
      <c r="I528" s="295"/>
      <c r="J528" s="295"/>
      <c r="K528" s="295"/>
      <c r="L528" s="295"/>
      <c r="M528" s="295"/>
      <c r="N528" s="301"/>
    </row>
    <row r="529" spans="1:14">
      <c r="A529" s="207"/>
      <c r="B529" s="325"/>
      <c r="C529" s="326"/>
      <c r="D529" s="327"/>
      <c r="E529" s="328"/>
      <c r="F529" s="329"/>
      <c r="G529" s="330"/>
      <c r="H529" s="295"/>
      <c r="I529" s="295"/>
      <c r="J529" s="295"/>
      <c r="K529" s="295"/>
      <c r="L529" s="295"/>
      <c r="M529" s="295"/>
      <c r="N529" s="301"/>
    </row>
    <row r="530" spans="1:14">
      <c r="A530" s="207"/>
      <c r="B530" s="325"/>
      <c r="C530" s="326"/>
      <c r="D530" s="327"/>
      <c r="E530" s="328"/>
      <c r="F530" s="329"/>
      <c r="G530" s="330"/>
      <c r="H530" s="295"/>
      <c r="I530" s="295"/>
      <c r="J530" s="295"/>
      <c r="K530" s="295"/>
      <c r="L530" s="295"/>
      <c r="M530" s="295"/>
      <c r="N530" s="301"/>
    </row>
    <row r="531" spans="1:14">
      <c r="A531" s="207"/>
      <c r="B531" s="325"/>
      <c r="C531" s="326"/>
      <c r="D531" s="327"/>
      <c r="E531" s="328"/>
      <c r="F531" s="329"/>
      <c r="G531" s="330"/>
      <c r="H531" s="295"/>
      <c r="I531" s="295"/>
      <c r="J531" s="295"/>
      <c r="K531" s="295"/>
      <c r="L531" s="295"/>
      <c r="M531" s="295"/>
      <c r="N531" s="301"/>
    </row>
    <row r="532" spans="1:14">
      <c r="A532" s="207"/>
      <c r="B532" s="325"/>
      <c r="C532" s="326"/>
      <c r="D532" s="327"/>
      <c r="E532" s="328"/>
      <c r="F532" s="329"/>
      <c r="G532" s="330"/>
      <c r="H532" s="295"/>
      <c r="I532" s="295"/>
      <c r="J532" s="295"/>
      <c r="K532" s="295"/>
      <c r="L532" s="295"/>
      <c r="M532" s="295"/>
      <c r="N532" s="301"/>
    </row>
    <row r="533" spans="1:14">
      <c r="A533" s="207"/>
      <c r="B533" s="325"/>
      <c r="C533" s="326"/>
      <c r="D533" s="327"/>
      <c r="E533" s="328"/>
      <c r="F533" s="329"/>
      <c r="G533" s="330"/>
      <c r="H533" s="295"/>
      <c r="I533" s="295"/>
      <c r="J533" s="295"/>
      <c r="K533" s="295"/>
      <c r="L533" s="295"/>
      <c r="M533" s="295"/>
      <c r="N533" s="301"/>
    </row>
    <row r="534" spans="1:14">
      <c r="A534" s="207"/>
      <c r="B534" s="325"/>
      <c r="C534" s="326"/>
      <c r="D534" s="327"/>
      <c r="E534" s="328"/>
      <c r="F534" s="329"/>
      <c r="G534" s="330"/>
      <c r="H534" s="295"/>
      <c r="I534" s="295"/>
      <c r="J534" s="295"/>
      <c r="K534" s="295"/>
      <c r="L534" s="295"/>
      <c r="M534" s="295"/>
      <c r="N534" s="301"/>
    </row>
    <row r="535" spans="1:14">
      <c r="A535" s="207"/>
      <c r="B535" s="325"/>
      <c r="C535" s="326"/>
      <c r="D535" s="327"/>
      <c r="E535" s="328"/>
      <c r="F535" s="329"/>
      <c r="G535" s="330"/>
      <c r="H535" s="295"/>
      <c r="I535" s="295"/>
      <c r="J535" s="295"/>
      <c r="K535" s="295"/>
      <c r="L535" s="295"/>
      <c r="M535" s="295"/>
      <c r="N535" s="301"/>
    </row>
    <row r="536" spans="1:14">
      <c r="A536" s="207"/>
      <c r="B536" s="325"/>
      <c r="C536" s="326"/>
      <c r="D536" s="327"/>
      <c r="E536" s="328"/>
      <c r="F536" s="329"/>
      <c r="G536" s="330"/>
      <c r="H536" s="295"/>
      <c r="I536" s="295"/>
      <c r="J536" s="295"/>
      <c r="K536" s="295"/>
      <c r="L536" s="295"/>
      <c r="M536" s="295"/>
      <c r="N536" s="301"/>
    </row>
    <row r="537" spans="1:14">
      <c r="A537" s="207"/>
      <c r="B537" s="325"/>
      <c r="C537" s="326"/>
      <c r="D537" s="327"/>
      <c r="E537" s="328"/>
      <c r="F537" s="329"/>
      <c r="G537" s="330"/>
      <c r="H537" s="295"/>
      <c r="I537" s="295"/>
      <c r="J537" s="295"/>
      <c r="K537" s="295"/>
      <c r="L537" s="295"/>
      <c r="M537" s="295"/>
      <c r="N537" s="301"/>
    </row>
    <row r="538" spans="1:14">
      <c r="A538" s="207"/>
      <c r="B538" s="325"/>
      <c r="C538" s="326"/>
      <c r="D538" s="327"/>
      <c r="E538" s="328"/>
      <c r="F538" s="329"/>
      <c r="G538" s="330"/>
      <c r="H538" s="295"/>
      <c r="I538" s="295"/>
      <c r="J538" s="295"/>
      <c r="K538" s="295"/>
      <c r="L538" s="295"/>
      <c r="M538" s="295"/>
      <c r="N538" s="301"/>
    </row>
    <row r="539" spans="1:14">
      <c r="A539" s="207"/>
      <c r="B539" s="325"/>
      <c r="C539" s="326"/>
      <c r="D539" s="327"/>
      <c r="E539" s="328"/>
      <c r="F539" s="329"/>
      <c r="G539" s="330"/>
      <c r="H539" s="295"/>
      <c r="I539" s="295"/>
      <c r="J539" s="295"/>
      <c r="K539" s="295"/>
      <c r="L539" s="295"/>
      <c r="M539" s="295"/>
      <c r="N539" s="301"/>
    </row>
    <row r="540" spans="1:14">
      <c r="A540" s="207"/>
      <c r="B540" s="325"/>
      <c r="C540" s="326"/>
      <c r="D540" s="327"/>
      <c r="E540" s="328"/>
      <c r="F540" s="329"/>
      <c r="G540" s="330"/>
      <c r="H540" s="295"/>
      <c r="I540" s="295"/>
      <c r="J540" s="295"/>
      <c r="K540" s="295"/>
      <c r="L540" s="295"/>
      <c r="M540" s="295"/>
      <c r="N540" s="301"/>
    </row>
    <row r="541" spans="1:14">
      <c r="A541" s="207"/>
      <c r="B541" s="325"/>
      <c r="C541" s="326"/>
      <c r="D541" s="327"/>
      <c r="E541" s="328"/>
      <c r="F541" s="329"/>
      <c r="G541" s="330"/>
      <c r="H541" s="295"/>
      <c r="I541" s="295"/>
      <c r="J541" s="295"/>
      <c r="K541" s="295"/>
      <c r="L541" s="295"/>
      <c r="M541" s="295"/>
      <c r="N541" s="301"/>
    </row>
    <row r="542" spans="1:14">
      <c r="A542" s="207"/>
      <c r="B542" s="325"/>
      <c r="C542" s="326"/>
      <c r="D542" s="327"/>
      <c r="E542" s="328"/>
      <c r="F542" s="329"/>
      <c r="G542" s="330"/>
      <c r="H542" s="295"/>
      <c r="I542" s="295"/>
      <c r="J542" s="295"/>
      <c r="K542" s="295"/>
      <c r="L542" s="295"/>
      <c r="M542" s="295"/>
      <c r="N542" s="301"/>
    </row>
    <row r="543" spans="1:14">
      <c r="A543" s="207"/>
      <c r="B543" s="325"/>
      <c r="C543" s="326"/>
      <c r="D543" s="327"/>
      <c r="E543" s="328"/>
      <c r="F543" s="329"/>
      <c r="G543" s="330"/>
      <c r="H543" s="295"/>
      <c r="I543" s="295"/>
      <c r="J543" s="295"/>
      <c r="K543" s="295"/>
      <c r="L543" s="295"/>
      <c r="M543" s="295"/>
      <c r="N543" s="301"/>
    </row>
    <row r="544" spans="1:14">
      <c r="A544" s="207"/>
      <c r="B544" s="325"/>
      <c r="C544" s="326"/>
      <c r="D544" s="327"/>
      <c r="E544" s="328"/>
      <c r="F544" s="329"/>
      <c r="G544" s="330"/>
      <c r="H544" s="295"/>
      <c r="I544" s="295"/>
      <c r="J544" s="295"/>
      <c r="K544" s="295"/>
      <c r="L544" s="295"/>
      <c r="M544" s="295"/>
      <c r="N544" s="301"/>
    </row>
    <row r="545" spans="1:14">
      <c r="A545" s="207"/>
      <c r="B545" s="325"/>
      <c r="C545" s="326"/>
      <c r="D545" s="327"/>
      <c r="E545" s="328"/>
      <c r="F545" s="329"/>
      <c r="G545" s="330"/>
      <c r="H545" s="295"/>
      <c r="I545" s="295"/>
      <c r="J545" s="295"/>
      <c r="K545" s="295"/>
      <c r="L545" s="295"/>
      <c r="M545" s="295"/>
      <c r="N545" s="301"/>
    </row>
    <row r="546" spans="1:14">
      <c r="A546" s="207"/>
      <c r="B546" s="325"/>
      <c r="C546" s="326"/>
      <c r="D546" s="327"/>
      <c r="E546" s="328"/>
      <c r="F546" s="329"/>
      <c r="G546" s="330"/>
      <c r="H546" s="295"/>
      <c r="I546" s="295"/>
      <c r="J546" s="295"/>
      <c r="K546" s="295"/>
      <c r="L546" s="295"/>
      <c r="M546" s="295"/>
      <c r="N546" s="301"/>
    </row>
    <row r="547" spans="1:14">
      <c r="A547" s="207"/>
      <c r="B547" s="325"/>
      <c r="C547" s="326"/>
      <c r="D547" s="327"/>
      <c r="E547" s="328"/>
      <c r="F547" s="329"/>
      <c r="G547" s="330"/>
      <c r="H547" s="295"/>
      <c r="I547" s="295"/>
      <c r="J547" s="295"/>
      <c r="K547" s="295"/>
      <c r="L547" s="295"/>
      <c r="M547" s="295"/>
      <c r="N547" s="301"/>
    </row>
    <row r="548" spans="1:14">
      <c r="A548" s="207"/>
      <c r="B548" s="325"/>
      <c r="C548" s="326"/>
      <c r="D548" s="327"/>
      <c r="E548" s="328"/>
      <c r="F548" s="329"/>
      <c r="G548" s="330"/>
      <c r="H548" s="295"/>
      <c r="I548" s="295"/>
      <c r="J548" s="295"/>
      <c r="K548" s="295"/>
      <c r="L548" s="295"/>
      <c r="M548" s="295"/>
      <c r="N548" s="301"/>
    </row>
    <row r="549" spans="1:14">
      <c r="A549" s="207"/>
      <c r="B549" s="325"/>
      <c r="C549" s="326"/>
      <c r="D549" s="327"/>
      <c r="E549" s="328"/>
      <c r="F549" s="329"/>
      <c r="G549" s="330"/>
      <c r="H549" s="295"/>
      <c r="I549" s="295"/>
      <c r="J549" s="295"/>
      <c r="K549" s="295"/>
      <c r="L549" s="295"/>
      <c r="M549" s="295"/>
      <c r="N549" s="301"/>
    </row>
    <row r="550" spans="1:14">
      <c r="A550" s="207"/>
      <c r="B550" s="325"/>
      <c r="C550" s="326"/>
      <c r="D550" s="327"/>
      <c r="E550" s="328"/>
      <c r="F550" s="329"/>
      <c r="G550" s="330"/>
      <c r="H550" s="295"/>
      <c r="I550" s="295"/>
      <c r="J550" s="295"/>
      <c r="K550" s="295"/>
      <c r="L550" s="295"/>
      <c r="M550" s="295"/>
      <c r="N550" s="301"/>
    </row>
    <row r="551" spans="1:14">
      <c r="A551" s="207"/>
      <c r="B551" s="325"/>
      <c r="C551" s="326"/>
      <c r="D551" s="327"/>
      <c r="E551" s="328"/>
      <c r="F551" s="329"/>
      <c r="G551" s="330"/>
      <c r="H551" s="295"/>
      <c r="I551" s="295"/>
      <c r="J551" s="295"/>
      <c r="K551" s="295"/>
      <c r="L551" s="295"/>
      <c r="M551" s="295"/>
      <c r="N551" s="301"/>
    </row>
    <row r="552" spans="1:14">
      <c r="A552" s="207"/>
      <c r="B552" s="325"/>
      <c r="C552" s="326"/>
      <c r="D552" s="327"/>
      <c r="E552" s="328"/>
      <c r="F552" s="329"/>
      <c r="G552" s="330"/>
      <c r="H552" s="295"/>
      <c r="I552" s="295"/>
      <c r="J552" s="295"/>
      <c r="K552" s="295"/>
      <c r="L552" s="295"/>
      <c r="M552" s="295"/>
      <c r="N552" s="301"/>
    </row>
    <row r="553" spans="1:14">
      <c r="A553" s="207"/>
      <c r="B553" s="325"/>
      <c r="C553" s="326"/>
      <c r="D553" s="327"/>
      <c r="E553" s="328"/>
      <c r="F553" s="329"/>
      <c r="G553" s="330"/>
      <c r="H553" s="295"/>
      <c r="I553" s="295"/>
      <c r="J553" s="295"/>
      <c r="K553" s="295"/>
      <c r="L553" s="295"/>
      <c r="M553" s="295"/>
      <c r="N553" s="301"/>
    </row>
    <row r="554" spans="1:14">
      <c r="A554" s="207"/>
      <c r="B554" s="325"/>
      <c r="C554" s="326"/>
      <c r="D554" s="327"/>
      <c r="E554" s="328"/>
      <c r="F554" s="329"/>
      <c r="G554" s="330"/>
      <c r="H554" s="295"/>
      <c r="I554" s="295"/>
      <c r="J554" s="295"/>
      <c r="K554" s="295"/>
      <c r="L554" s="295"/>
      <c r="M554" s="295"/>
      <c r="N554" s="301"/>
    </row>
    <row r="555" spans="1:14">
      <c r="A555" s="207"/>
      <c r="B555" s="325"/>
      <c r="C555" s="326"/>
      <c r="D555" s="327"/>
      <c r="E555" s="328"/>
      <c r="F555" s="329"/>
      <c r="G555" s="330"/>
      <c r="H555" s="295"/>
      <c r="I555" s="295"/>
      <c r="J555" s="295"/>
      <c r="K555" s="295"/>
      <c r="L555" s="295"/>
      <c r="M555" s="295"/>
      <c r="N555" s="301"/>
    </row>
    <row r="556" spans="1:14">
      <c r="A556" s="207"/>
      <c r="B556" s="325"/>
      <c r="C556" s="326"/>
      <c r="D556" s="327"/>
      <c r="E556" s="328"/>
      <c r="F556" s="329"/>
      <c r="G556" s="330"/>
      <c r="H556" s="295"/>
      <c r="I556" s="295"/>
      <c r="J556" s="295"/>
      <c r="K556" s="295"/>
      <c r="L556" s="295"/>
      <c r="M556" s="295"/>
      <c r="N556" s="301"/>
    </row>
    <row r="557" spans="1:14">
      <c r="A557" s="207"/>
      <c r="B557" s="325"/>
      <c r="C557" s="326"/>
      <c r="D557" s="327"/>
      <c r="E557" s="328"/>
      <c r="F557" s="329"/>
      <c r="G557" s="330"/>
      <c r="H557" s="295"/>
      <c r="I557" s="295"/>
      <c r="J557" s="295"/>
      <c r="K557" s="295"/>
      <c r="L557" s="295"/>
      <c r="M557" s="295"/>
      <c r="N557" s="301"/>
    </row>
    <row r="558" spans="1:14">
      <c r="A558" s="207"/>
      <c r="B558" s="325"/>
      <c r="C558" s="326"/>
      <c r="D558" s="327"/>
      <c r="E558" s="328"/>
      <c r="F558" s="329"/>
      <c r="G558" s="330"/>
      <c r="H558" s="295"/>
      <c r="I558" s="295"/>
      <c r="J558" s="295"/>
      <c r="K558" s="295"/>
      <c r="L558" s="295"/>
      <c r="M558" s="295"/>
      <c r="N558" s="301"/>
    </row>
    <row r="559" spans="1:14">
      <c r="A559" s="207"/>
      <c r="B559" s="325"/>
      <c r="C559" s="326"/>
      <c r="D559" s="327"/>
      <c r="E559" s="328"/>
      <c r="F559" s="329"/>
      <c r="G559" s="330"/>
      <c r="H559" s="295"/>
      <c r="I559" s="295"/>
      <c r="J559" s="295"/>
      <c r="K559" s="295"/>
      <c r="L559" s="295"/>
      <c r="M559" s="295"/>
      <c r="N559" s="301"/>
    </row>
    <row r="560" spans="1:14">
      <c r="A560" s="207"/>
      <c r="B560" s="325"/>
      <c r="C560" s="326"/>
      <c r="D560" s="327"/>
      <c r="E560" s="328"/>
      <c r="F560" s="329"/>
      <c r="G560" s="330"/>
      <c r="H560" s="295"/>
      <c r="I560" s="295"/>
      <c r="J560" s="295"/>
      <c r="K560" s="295"/>
      <c r="L560" s="295"/>
      <c r="M560" s="295"/>
      <c r="N560" s="301"/>
    </row>
    <row r="561" spans="1:14">
      <c r="A561" s="207"/>
      <c r="B561" s="325"/>
      <c r="C561" s="326"/>
      <c r="D561" s="327"/>
      <c r="E561" s="328"/>
      <c r="F561" s="329"/>
      <c r="G561" s="330"/>
      <c r="H561" s="295"/>
      <c r="I561" s="295"/>
      <c r="J561" s="295"/>
      <c r="K561" s="295"/>
      <c r="L561" s="295"/>
      <c r="M561" s="295"/>
      <c r="N561" s="301"/>
    </row>
    <row r="562" spans="1:14">
      <c r="A562" s="207"/>
      <c r="B562" s="325"/>
      <c r="C562" s="326"/>
      <c r="D562" s="327"/>
      <c r="E562" s="328"/>
      <c r="F562" s="329"/>
      <c r="G562" s="330"/>
      <c r="H562" s="295"/>
      <c r="I562" s="295"/>
      <c r="J562" s="295"/>
      <c r="K562" s="295"/>
      <c r="L562" s="295"/>
      <c r="M562" s="295"/>
      <c r="N562" s="301"/>
    </row>
    <row r="563" spans="1:14">
      <c r="A563" s="207"/>
      <c r="B563" s="325"/>
      <c r="C563" s="326"/>
      <c r="D563" s="327"/>
      <c r="E563" s="328"/>
      <c r="F563" s="329"/>
      <c r="G563" s="330"/>
      <c r="H563" s="295"/>
      <c r="I563" s="295"/>
      <c r="J563" s="295"/>
      <c r="K563" s="295"/>
      <c r="L563" s="295"/>
      <c r="M563" s="295"/>
      <c r="N563" s="301"/>
    </row>
    <row r="564" spans="1:14">
      <c r="A564" s="207"/>
      <c r="B564" s="325"/>
      <c r="C564" s="326"/>
      <c r="D564" s="327"/>
      <c r="E564" s="328"/>
      <c r="F564" s="329"/>
      <c r="G564" s="330"/>
      <c r="H564" s="295"/>
      <c r="I564" s="295"/>
      <c r="J564" s="295"/>
      <c r="K564" s="295"/>
      <c r="L564" s="295"/>
      <c r="M564" s="295"/>
      <c r="N564" s="301"/>
    </row>
    <row r="565" spans="1:14">
      <c r="A565" s="207"/>
      <c r="B565" s="325"/>
      <c r="C565" s="326"/>
      <c r="D565" s="327"/>
      <c r="E565" s="328"/>
      <c r="F565" s="329"/>
      <c r="G565" s="330"/>
      <c r="H565" s="295"/>
      <c r="I565" s="295"/>
      <c r="J565" s="295"/>
      <c r="K565" s="295"/>
      <c r="L565" s="295"/>
      <c r="M565" s="295"/>
      <c r="N565" s="301"/>
    </row>
    <row r="566" spans="1:14">
      <c r="A566" s="207"/>
      <c r="B566" s="325"/>
      <c r="C566" s="326"/>
      <c r="D566" s="327"/>
      <c r="E566" s="328"/>
      <c r="F566" s="329"/>
      <c r="G566" s="330"/>
      <c r="H566" s="295"/>
      <c r="I566" s="295"/>
      <c r="J566" s="295"/>
      <c r="K566" s="295"/>
      <c r="L566" s="295"/>
      <c r="M566" s="295"/>
      <c r="N566" s="301"/>
    </row>
    <row r="567" spans="1:14">
      <c r="A567" s="207"/>
      <c r="B567" s="325"/>
      <c r="C567" s="326"/>
      <c r="D567" s="327"/>
      <c r="E567" s="328"/>
      <c r="F567" s="329"/>
      <c r="G567" s="330"/>
      <c r="H567" s="295"/>
      <c r="I567" s="295"/>
      <c r="J567" s="295"/>
      <c r="K567" s="295"/>
      <c r="L567" s="295"/>
      <c r="M567" s="295"/>
      <c r="N567" s="301"/>
    </row>
    <row r="568" spans="1:14">
      <c r="A568" s="207"/>
      <c r="B568" s="325"/>
      <c r="C568" s="326"/>
      <c r="D568" s="327"/>
      <c r="E568" s="328"/>
      <c r="F568" s="329"/>
      <c r="G568" s="330"/>
      <c r="H568" s="295"/>
      <c r="I568" s="295"/>
      <c r="J568" s="295"/>
      <c r="K568" s="295"/>
      <c r="L568" s="295"/>
      <c r="M568" s="295"/>
      <c r="N568" s="301"/>
    </row>
    <row r="569" spans="1:14">
      <c r="A569" s="207"/>
      <c r="B569" s="325"/>
      <c r="C569" s="326"/>
      <c r="D569" s="327"/>
      <c r="E569" s="328"/>
      <c r="F569" s="329"/>
      <c r="G569" s="330"/>
      <c r="H569" s="295"/>
      <c r="I569" s="295"/>
      <c r="J569" s="295"/>
      <c r="K569" s="295"/>
      <c r="L569" s="295"/>
      <c r="M569" s="295"/>
      <c r="N569" s="301"/>
    </row>
    <row r="570" spans="1:14">
      <c r="A570" s="207"/>
      <c r="B570" s="325"/>
      <c r="C570" s="326"/>
      <c r="D570" s="327"/>
      <c r="E570" s="328"/>
      <c r="F570" s="329"/>
      <c r="G570" s="330"/>
      <c r="H570" s="295"/>
      <c r="I570" s="295"/>
      <c r="J570" s="295"/>
      <c r="K570" s="295"/>
      <c r="L570" s="295"/>
      <c r="M570" s="295"/>
      <c r="N570" s="301"/>
    </row>
    <row r="571" spans="1:14">
      <c r="A571" s="207"/>
      <c r="B571" s="325"/>
      <c r="C571" s="326"/>
      <c r="D571" s="327"/>
      <c r="E571" s="328"/>
      <c r="F571" s="329"/>
      <c r="G571" s="330"/>
      <c r="H571" s="295"/>
      <c r="I571" s="295"/>
      <c r="J571" s="295"/>
      <c r="K571" s="295"/>
      <c r="L571" s="295"/>
      <c r="M571" s="295"/>
      <c r="N571" s="301"/>
    </row>
    <row r="572" spans="1:14">
      <c r="A572" s="207"/>
      <c r="B572" s="325"/>
      <c r="C572" s="326"/>
      <c r="D572" s="327"/>
      <c r="E572" s="328"/>
      <c r="F572" s="329"/>
      <c r="G572" s="330"/>
      <c r="H572" s="295"/>
      <c r="I572" s="295"/>
      <c r="J572" s="295"/>
      <c r="K572" s="295"/>
      <c r="L572" s="295"/>
      <c r="M572" s="295"/>
      <c r="N572" s="301"/>
    </row>
    <row r="573" spans="1:14">
      <c r="A573" s="207"/>
      <c r="B573" s="325"/>
      <c r="C573" s="326"/>
      <c r="D573" s="327"/>
      <c r="E573" s="328"/>
      <c r="F573" s="329"/>
      <c r="G573" s="330"/>
      <c r="H573" s="295"/>
      <c r="I573" s="295"/>
      <c r="J573" s="295"/>
      <c r="K573" s="295"/>
      <c r="L573" s="295"/>
      <c r="M573" s="295"/>
      <c r="N573" s="301"/>
    </row>
    <row r="574" spans="1:14">
      <c r="A574" s="207"/>
      <c r="B574" s="325"/>
      <c r="C574" s="326"/>
      <c r="D574" s="327"/>
      <c r="E574" s="328"/>
      <c r="F574" s="329"/>
      <c r="G574" s="330"/>
      <c r="H574" s="295"/>
      <c r="I574" s="295"/>
      <c r="J574" s="295"/>
      <c r="K574" s="295"/>
      <c r="L574" s="295"/>
      <c r="M574" s="295"/>
      <c r="N574" s="301"/>
    </row>
    <row r="575" spans="1:14">
      <c r="A575" s="207"/>
      <c r="B575" s="325"/>
      <c r="C575" s="326"/>
      <c r="D575" s="327"/>
      <c r="E575" s="328"/>
      <c r="F575" s="329"/>
      <c r="G575" s="330"/>
      <c r="H575" s="295"/>
      <c r="I575" s="295"/>
      <c r="J575" s="295"/>
      <c r="K575" s="295"/>
      <c r="L575" s="295"/>
      <c r="M575" s="295"/>
      <c r="N575" s="301"/>
    </row>
    <row r="576" spans="1:14">
      <c r="A576" s="207"/>
      <c r="B576" s="325"/>
      <c r="C576" s="326"/>
      <c r="D576" s="327"/>
      <c r="E576" s="328"/>
      <c r="F576" s="329"/>
      <c r="G576" s="330"/>
      <c r="H576" s="295"/>
      <c r="I576" s="295"/>
      <c r="J576" s="295"/>
      <c r="K576" s="295"/>
      <c r="L576" s="295"/>
      <c r="M576" s="295"/>
      <c r="N576" s="301"/>
    </row>
    <row r="577" spans="1:14">
      <c r="A577" s="207"/>
      <c r="B577" s="325"/>
      <c r="C577" s="326"/>
      <c r="D577" s="327"/>
      <c r="E577" s="328"/>
      <c r="F577" s="329"/>
      <c r="G577" s="330"/>
      <c r="H577" s="295"/>
      <c r="I577" s="295"/>
      <c r="J577" s="295"/>
      <c r="K577" s="295"/>
      <c r="L577" s="295"/>
      <c r="M577" s="295"/>
      <c r="N577" s="301"/>
    </row>
    <row r="578" spans="1:14">
      <c r="A578" s="207"/>
      <c r="B578" s="325"/>
      <c r="C578" s="326"/>
      <c r="D578" s="327"/>
      <c r="E578" s="328"/>
      <c r="F578" s="329"/>
      <c r="G578" s="330"/>
      <c r="H578" s="295"/>
      <c r="I578" s="295"/>
      <c r="J578" s="295"/>
      <c r="K578" s="295"/>
      <c r="L578" s="295"/>
      <c r="M578" s="295"/>
      <c r="N578" s="301"/>
    </row>
    <row r="579" spans="1:14">
      <c r="A579" s="207"/>
      <c r="B579" s="325"/>
      <c r="C579" s="326"/>
      <c r="D579" s="327"/>
      <c r="E579" s="328"/>
      <c r="F579" s="329"/>
      <c r="G579" s="330"/>
      <c r="H579" s="295"/>
      <c r="I579" s="295"/>
      <c r="J579" s="295"/>
      <c r="K579" s="295"/>
      <c r="L579" s="295"/>
      <c r="M579" s="295"/>
      <c r="N579" s="301"/>
    </row>
    <row r="580" spans="1:14">
      <c r="A580" s="207"/>
      <c r="B580" s="325"/>
      <c r="C580" s="326"/>
      <c r="D580" s="327"/>
      <c r="E580" s="328"/>
      <c r="F580" s="329"/>
      <c r="G580" s="330"/>
      <c r="H580" s="295"/>
      <c r="I580" s="295"/>
      <c r="J580" s="295"/>
      <c r="K580" s="295"/>
      <c r="L580" s="295"/>
      <c r="M580" s="295"/>
      <c r="N580" s="301"/>
    </row>
    <row r="581" spans="1:14">
      <c r="A581" s="207"/>
      <c r="B581" s="325"/>
      <c r="C581" s="326"/>
      <c r="D581" s="327"/>
      <c r="E581" s="328"/>
      <c r="F581" s="329"/>
      <c r="G581" s="330"/>
      <c r="H581" s="295"/>
      <c r="I581" s="295"/>
      <c r="J581" s="295"/>
      <c r="K581" s="295"/>
      <c r="L581" s="295"/>
      <c r="M581" s="295"/>
      <c r="N581" s="301"/>
    </row>
    <row r="582" spans="1:14">
      <c r="A582" s="207"/>
      <c r="B582" s="325"/>
      <c r="C582" s="326"/>
      <c r="D582" s="327"/>
      <c r="E582" s="328"/>
      <c r="F582" s="329"/>
      <c r="G582" s="330"/>
      <c r="H582" s="295"/>
      <c r="I582" s="295"/>
      <c r="J582" s="295"/>
      <c r="K582" s="295"/>
      <c r="L582" s="295"/>
      <c r="M582" s="295"/>
      <c r="N582" s="301"/>
    </row>
    <row r="583" spans="1:14">
      <c r="A583" s="207"/>
      <c r="B583" s="325"/>
      <c r="C583" s="326"/>
      <c r="D583" s="327"/>
      <c r="E583" s="328"/>
      <c r="F583" s="329"/>
      <c r="G583" s="330"/>
      <c r="H583" s="295"/>
      <c r="I583" s="295"/>
      <c r="J583" s="295"/>
      <c r="K583" s="295"/>
      <c r="L583" s="295"/>
      <c r="M583" s="295"/>
      <c r="N583" s="301"/>
    </row>
    <row r="584" spans="1:14">
      <c r="A584" s="207"/>
      <c r="B584" s="325"/>
      <c r="C584" s="326"/>
      <c r="D584" s="327"/>
      <c r="E584" s="328"/>
      <c r="F584" s="329"/>
      <c r="G584" s="330"/>
      <c r="H584" s="295"/>
      <c r="I584" s="295"/>
      <c r="J584" s="295"/>
      <c r="K584" s="295"/>
      <c r="L584" s="295"/>
      <c r="M584" s="295"/>
      <c r="N584" s="301"/>
    </row>
    <row r="585" spans="1:14">
      <c r="A585" s="207"/>
      <c r="B585" s="325"/>
      <c r="C585" s="326"/>
      <c r="D585" s="327"/>
      <c r="E585" s="328"/>
      <c r="F585" s="329"/>
      <c r="G585" s="330"/>
      <c r="H585" s="295"/>
      <c r="I585" s="295"/>
      <c r="J585" s="295"/>
      <c r="K585" s="295"/>
      <c r="L585" s="295"/>
      <c r="M585" s="295"/>
      <c r="N585" s="301"/>
    </row>
    <row r="586" spans="1:14">
      <c r="A586" s="207"/>
      <c r="B586" s="325"/>
      <c r="C586" s="326"/>
      <c r="D586" s="327"/>
      <c r="E586" s="328"/>
      <c r="F586" s="329"/>
      <c r="G586" s="330"/>
      <c r="H586" s="295"/>
      <c r="I586" s="295"/>
      <c r="J586" s="295"/>
      <c r="K586" s="295"/>
      <c r="L586" s="295"/>
      <c r="M586" s="295"/>
      <c r="N586" s="301"/>
    </row>
    <row r="587" spans="1:14">
      <c r="A587" s="207"/>
      <c r="B587" s="325"/>
      <c r="C587" s="326"/>
      <c r="D587" s="327"/>
      <c r="E587" s="328"/>
      <c r="F587" s="329"/>
      <c r="G587" s="330"/>
      <c r="H587" s="295"/>
      <c r="I587" s="295"/>
      <c r="J587" s="295"/>
      <c r="K587" s="295"/>
      <c r="L587" s="295"/>
      <c r="M587" s="295"/>
      <c r="N587" s="301"/>
    </row>
    <row r="588" spans="1:14">
      <c r="A588" s="207"/>
      <c r="B588" s="325"/>
      <c r="C588" s="326"/>
      <c r="D588" s="327"/>
      <c r="E588" s="328"/>
      <c r="F588" s="329"/>
      <c r="G588" s="330"/>
      <c r="H588" s="295"/>
      <c r="I588" s="295"/>
      <c r="J588" s="295"/>
      <c r="K588" s="295"/>
      <c r="L588" s="295"/>
      <c r="M588" s="295"/>
      <c r="N588" s="301"/>
    </row>
    <row r="589" spans="1:14">
      <c r="A589" s="207"/>
      <c r="B589" s="325"/>
      <c r="C589" s="326"/>
      <c r="D589" s="327"/>
      <c r="E589" s="328"/>
      <c r="F589" s="329"/>
      <c r="G589" s="330"/>
      <c r="H589" s="295"/>
      <c r="I589" s="295"/>
      <c r="J589" s="295"/>
      <c r="K589" s="295"/>
      <c r="L589" s="295"/>
      <c r="M589" s="295"/>
      <c r="N589" s="301"/>
    </row>
    <row r="590" spans="1:14">
      <c r="A590" s="207"/>
      <c r="B590" s="325"/>
      <c r="C590" s="326"/>
      <c r="D590" s="327"/>
      <c r="E590" s="328"/>
      <c r="F590" s="329"/>
      <c r="G590" s="330"/>
      <c r="H590" s="295"/>
      <c r="I590" s="295"/>
      <c r="J590" s="295"/>
      <c r="K590" s="295"/>
      <c r="L590" s="295"/>
      <c r="M590" s="295"/>
      <c r="N590" s="301"/>
    </row>
    <row r="591" spans="1:14">
      <c r="A591" s="207"/>
      <c r="B591" s="325"/>
      <c r="C591" s="326"/>
      <c r="D591" s="327"/>
      <c r="E591" s="328"/>
      <c r="F591" s="329"/>
      <c r="G591" s="330"/>
      <c r="H591" s="295"/>
      <c r="I591" s="295"/>
      <c r="J591" s="295"/>
      <c r="K591" s="295"/>
      <c r="L591" s="295"/>
      <c r="M591" s="295"/>
      <c r="N591" s="301"/>
    </row>
    <row r="592" spans="1:14">
      <c r="A592" s="207"/>
      <c r="B592" s="325"/>
      <c r="C592" s="326"/>
      <c r="D592" s="327"/>
      <c r="E592" s="328"/>
      <c r="F592" s="329"/>
      <c r="G592" s="330"/>
      <c r="H592" s="295"/>
      <c r="I592" s="295"/>
      <c r="J592" s="295"/>
      <c r="K592" s="295"/>
      <c r="L592" s="295"/>
      <c r="M592" s="295"/>
      <c r="N592" s="301"/>
    </row>
    <row r="593" spans="1:14">
      <c r="A593" s="207"/>
      <c r="B593" s="325"/>
      <c r="C593" s="326"/>
      <c r="D593" s="327"/>
      <c r="E593" s="328"/>
      <c r="F593" s="329"/>
      <c r="G593" s="330"/>
      <c r="H593" s="295"/>
      <c r="I593" s="295"/>
      <c r="J593" s="295"/>
      <c r="K593" s="295"/>
      <c r="L593" s="295"/>
      <c r="M593" s="295"/>
      <c r="N593" s="301"/>
    </row>
    <row r="594" spans="1:14">
      <c r="A594" s="207"/>
      <c r="B594" s="325"/>
      <c r="C594" s="326"/>
      <c r="D594" s="327"/>
      <c r="E594" s="328"/>
      <c r="F594" s="329"/>
      <c r="G594" s="330"/>
      <c r="H594" s="295"/>
      <c r="I594" s="295"/>
      <c r="J594" s="295"/>
      <c r="K594" s="295"/>
      <c r="L594" s="295"/>
      <c r="M594" s="295"/>
      <c r="N594" s="301"/>
    </row>
    <row r="595" spans="1:14">
      <c r="A595" s="207"/>
      <c r="B595" s="325"/>
      <c r="C595" s="326"/>
      <c r="D595" s="327"/>
      <c r="E595" s="328"/>
      <c r="F595" s="329"/>
      <c r="G595" s="330"/>
      <c r="H595" s="295"/>
      <c r="I595" s="295"/>
      <c r="J595" s="295"/>
      <c r="K595" s="295"/>
      <c r="L595" s="295"/>
      <c r="M595" s="295"/>
      <c r="N595" s="301"/>
    </row>
    <row r="596" spans="1:14">
      <c r="A596" s="207"/>
      <c r="B596" s="325"/>
      <c r="C596" s="326"/>
      <c r="D596" s="327"/>
      <c r="E596" s="328"/>
      <c r="F596" s="329"/>
      <c r="G596" s="330"/>
      <c r="H596" s="295"/>
      <c r="I596" s="295"/>
      <c r="J596" s="295"/>
      <c r="K596" s="295"/>
      <c r="L596" s="295"/>
      <c r="M596" s="295"/>
      <c r="N596" s="301"/>
    </row>
    <row r="597" spans="1:14">
      <c r="A597" s="207"/>
      <c r="B597" s="325"/>
      <c r="C597" s="326"/>
      <c r="D597" s="327"/>
      <c r="E597" s="328"/>
      <c r="F597" s="329"/>
      <c r="G597" s="330"/>
      <c r="H597" s="295"/>
      <c r="I597" s="295"/>
      <c r="J597" s="295"/>
      <c r="K597" s="295"/>
      <c r="L597" s="295"/>
      <c r="M597" s="295"/>
      <c r="N597" s="301"/>
    </row>
    <row r="598" spans="1:14">
      <c r="A598" s="207"/>
      <c r="B598" s="325"/>
      <c r="C598" s="326"/>
      <c r="D598" s="327"/>
      <c r="E598" s="328"/>
      <c r="F598" s="329"/>
      <c r="G598" s="330"/>
      <c r="H598" s="295"/>
      <c r="I598" s="295"/>
      <c r="J598" s="295"/>
      <c r="K598" s="295"/>
      <c r="L598" s="295"/>
      <c r="M598" s="295"/>
      <c r="N598" s="301"/>
    </row>
    <row r="599" spans="1:14">
      <c r="A599" s="207"/>
      <c r="B599" s="325"/>
      <c r="C599" s="326"/>
      <c r="D599" s="327"/>
      <c r="E599" s="328"/>
      <c r="F599" s="329"/>
      <c r="G599" s="330"/>
      <c r="H599" s="295"/>
      <c r="I599" s="295"/>
      <c r="J599" s="295"/>
      <c r="K599" s="295"/>
      <c r="L599" s="295"/>
      <c r="M599" s="295"/>
      <c r="N599" s="301"/>
    </row>
    <row r="600" spans="1:14">
      <c r="A600" s="207"/>
      <c r="B600" s="325"/>
      <c r="C600" s="326"/>
      <c r="D600" s="327"/>
      <c r="E600" s="328"/>
      <c r="F600" s="329"/>
      <c r="G600" s="330"/>
      <c r="H600" s="295"/>
      <c r="I600" s="295"/>
      <c r="J600" s="295"/>
      <c r="K600" s="295"/>
      <c r="L600" s="295"/>
      <c r="M600" s="295"/>
      <c r="N600" s="301"/>
    </row>
    <row r="601" spans="1:14">
      <c r="A601" s="207"/>
      <c r="B601" s="325"/>
      <c r="C601" s="326"/>
      <c r="D601" s="327"/>
      <c r="E601" s="328"/>
      <c r="F601" s="329"/>
      <c r="G601" s="330"/>
      <c r="H601" s="295"/>
      <c r="I601" s="295"/>
      <c r="J601" s="295"/>
      <c r="K601" s="295"/>
      <c r="L601" s="295"/>
      <c r="M601" s="295"/>
      <c r="N601" s="301"/>
    </row>
    <row r="602" spans="1:14">
      <c r="A602" s="207"/>
      <c r="B602" s="325"/>
      <c r="C602" s="326"/>
      <c r="D602" s="327"/>
      <c r="E602" s="328"/>
      <c r="F602" s="329"/>
      <c r="G602" s="330"/>
      <c r="H602" s="295"/>
      <c r="I602" s="295"/>
      <c r="J602" s="295"/>
      <c r="K602" s="295"/>
      <c r="L602" s="295"/>
      <c r="M602" s="295"/>
      <c r="N602" s="301"/>
    </row>
    <row r="603" spans="1:14">
      <c r="A603" s="207"/>
      <c r="B603" s="325"/>
      <c r="C603" s="326"/>
      <c r="D603" s="327"/>
      <c r="E603" s="328"/>
      <c r="F603" s="329"/>
      <c r="G603" s="330"/>
      <c r="H603" s="295"/>
      <c r="I603" s="295"/>
      <c r="J603" s="295"/>
      <c r="K603" s="295"/>
      <c r="L603" s="295"/>
      <c r="M603" s="295"/>
      <c r="N603" s="301"/>
    </row>
    <row r="604" spans="1:14">
      <c r="A604" s="207"/>
      <c r="B604" s="325"/>
      <c r="C604" s="326"/>
      <c r="D604" s="327"/>
      <c r="E604" s="328"/>
      <c r="F604" s="329"/>
      <c r="G604" s="330"/>
      <c r="H604" s="295"/>
      <c r="I604" s="295"/>
      <c r="J604" s="295"/>
      <c r="K604" s="295"/>
      <c r="L604" s="295"/>
      <c r="M604" s="295"/>
      <c r="N604" s="301"/>
    </row>
    <row r="605" spans="1:14">
      <c r="A605" s="207"/>
      <c r="B605" s="325"/>
      <c r="C605" s="326"/>
      <c r="D605" s="327"/>
      <c r="E605" s="328"/>
      <c r="F605" s="329"/>
      <c r="G605" s="330"/>
      <c r="H605" s="295"/>
      <c r="I605" s="295"/>
      <c r="J605" s="295"/>
      <c r="K605" s="295"/>
      <c r="L605" s="295"/>
      <c r="M605" s="295"/>
      <c r="N605" s="301"/>
    </row>
    <row r="606" spans="1:14">
      <c r="A606" s="207"/>
      <c r="B606" s="325"/>
      <c r="C606" s="326"/>
      <c r="D606" s="327"/>
      <c r="E606" s="328"/>
      <c r="F606" s="329"/>
      <c r="G606" s="330"/>
      <c r="H606" s="295"/>
      <c r="I606" s="295"/>
      <c r="J606" s="295"/>
      <c r="K606" s="295"/>
      <c r="L606" s="295"/>
      <c r="M606" s="295"/>
      <c r="N606" s="301"/>
    </row>
    <row r="607" spans="1:14">
      <c r="A607" s="207"/>
      <c r="B607" s="325"/>
      <c r="C607" s="326"/>
      <c r="D607" s="327"/>
      <c r="E607" s="328"/>
      <c r="F607" s="329"/>
      <c r="G607" s="330"/>
      <c r="H607" s="295"/>
      <c r="I607" s="295"/>
      <c r="J607" s="295"/>
      <c r="K607" s="295"/>
      <c r="L607" s="295"/>
      <c r="M607" s="295"/>
      <c r="N607" s="301"/>
    </row>
    <row r="608" spans="1:14">
      <c r="A608" s="207"/>
      <c r="B608" s="325"/>
      <c r="C608" s="326"/>
      <c r="D608" s="327"/>
      <c r="E608" s="328"/>
      <c r="F608" s="329"/>
      <c r="G608" s="330"/>
      <c r="H608" s="295"/>
      <c r="I608" s="295"/>
      <c r="J608" s="295"/>
      <c r="K608" s="295"/>
      <c r="L608" s="295"/>
      <c r="M608" s="295"/>
      <c r="N608" s="301"/>
    </row>
    <row r="609" spans="1:14">
      <c r="A609" s="207"/>
      <c r="B609" s="325"/>
      <c r="C609" s="326"/>
      <c r="D609" s="327"/>
      <c r="E609" s="328"/>
      <c r="F609" s="329"/>
      <c r="G609" s="330"/>
      <c r="H609" s="295"/>
      <c r="I609" s="295"/>
      <c r="J609" s="295"/>
      <c r="K609" s="295"/>
      <c r="L609" s="295"/>
      <c r="M609" s="295"/>
      <c r="N609" s="301"/>
    </row>
    <row r="610" spans="1:14">
      <c r="A610" s="207"/>
      <c r="B610" s="325"/>
      <c r="C610" s="326"/>
      <c r="D610" s="327"/>
      <c r="E610" s="328"/>
      <c r="F610" s="329"/>
      <c r="G610" s="330"/>
      <c r="H610" s="295"/>
      <c r="I610" s="295"/>
      <c r="J610" s="295"/>
      <c r="K610" s="295"/>
      <c r="L610" s="295"/>
      <c r="M610" s="295"/>
      <c r="N610" s="301"/>
    </row>
    <row r="611" spans="1:14">
      <c r="A611" s="207"/>
      <c r="B611" s="325"/>
      <c r="C611" s="326"/>
      <c r="D611" s="327"/>
      <c r="E611" s="328"/>
      <c r="F611" s="329"/>
      <c r="G611" s="330"/>
      <c r="H611" s="295"/>
      <c r="I611" s="295"/>
      <c r="J611" s="295"/>
      <c r="K611" s="295"/>
      <c r="L611" s="295"/>
      <c r="M611" s="295"/>
      <c r="N611" s="301"/>
    </row>
    <row r="612" spans="1:14">
      <c r="A612" s="207"/>
      <c r="B612" s="325"/>
      <c r="C612" s="326"/>
      <c r="D612" s="327"/>
      <c r="E612" s="328"/>
      <c r="F612" s="329"/>
      <c r="G612" s="330"/>
      <c r="H612" s="295"/>
      <c r="I612" s="295"/>
      <c r="J612" s="295"/>
      <c r="K612" s="295"/>
      <c r="L612" s="295"/>
      <c r="M612" s="295"/>
      <c r="N612" s="301"/>
    </row>
    <row r="613" spans="1:14">
      <c r="A613" s="207"/>
      <c r="B613" s="325"/>
      <c r="C613" s="326"/>
      <c r="D613" s="327"/>
      <c r="E613" s="328"/>
      <c r="F613" s="329"/>
      <c r="G613" s="330"/>
      <c r="H613" s="295"/>
      <c r="I613" s="295"/>
      <c r="J613" s="295"/>
      <c r="K613" s="295"/>
      <c r="L613" s="295"/>
      <c r="M613" s="295"/>
      <c r="N613" s="301"/>
    </row>
    <row r="614" spans="1:14">
      <c r="A614" s="207"/>
      <c r="B614" s="325"/>
      <c r="C614" s="326"/>
      <c r="D614" s="327"/>
      <c r="E614" s="328"/>
      <c r="F614" s="329"/>
      <c r="G614" s="330"/>
      <c r="H614" s="295"/>
      <c r="I614" s="295"/>
      <c r="J614" s="295"/>
      <c r="K614" s="295"/>
      <c r="L614" s="295"/>
      <c r="M614" s="295"/>
      <c r="N614" s="301"/>
    </row>
    <row r="615" spans="1:14">
      <c r="A615" s="207"/>
      <c r="B615" s="325"/>
      <c r="C615" s="326"/>
      <c r="D615" s="327"/>
      <c r="E615" s="328"/>
      <c r="F615" s="329"/>
      <c r="G615" s="330"/>
      <c r="H615" s="295"/>
      <c r="I615" s="295"/>
      <c r="J615" s="295"/>
      <c r="K615" s="295"/>
      <c r="L615" s="295"/>
      <c r="M615" s="295"/>
      <c r="N615" s="301"/>
    </row>
    <row r="616" spans="1:14">
      <c r="A616" s="207"/>
      <c r="B616" s="325"/>
      <c r="C616" s="326"/>
      <c r="D616" s="327"/>
      <c r="E616" s="328"/>
      <c r="F616" s="329"/>
      <c r="G616" s="330"/>
      <c r="H616" s="295"/>
      <c r="I616" s="295"/>
      <c r="J616" s="295"/>
      <c r="K616" s="295"/>
      <c r="L616" s="295"/>
      <c r="M616" s="295"/>
      <c r="N616" s="301"/>
    </row>
    <row r="617" spans="1:14">
      <c r="A617" s="207"/>
      <c r="B617" s="325"/>
      <c r="C617" s="326"/>
      <c r="D617" s="327"/>
      <c r="E617" s="328"/>
      <c r="F617" s="329"/>
      <c r="G617" s="330"/>
      <c r="H617" s="295"/>
      <c r="I617" s="295"/>
      <c r="J617" s="295"/>
      <c r="K617" s="295"/>
      <c r="L617" s="295"/>
      <c r="M617" s="295"/>
      <c r="N617" s="301"/>
    </row>
    <row r="618" spans="1:14">
      <c r="A618" s="207"/>
      <c r="B618" s="325"/>
      <c r="C618" s="326"/>
      <c r="D618" s="327"/>
      <c r="E618" s="328"/>
      <c r="F618" s="329"/>
      <c r="G618" s="330"/>
      <c r="H618" s="295"/>
      <c r="I618" s="295"/>
      <c r="J618" s="295"/>
      <c r="K618" s="295"/>
      <c r="L618" s="295"/>
      <c r="M618" s="295"/>
      <c r="N618" s="301"/>
    </row>
    <row r="619" spans="1:14">
      <c r="A619" s="207"/>
      <c r="B619" s="325"/>
      <c r="C619" s="326"/>
      <c r="D619" s="327"/>
      <c r="E619" s="328"/>
      <c r="F619" s="329"/>
      <c r="G619" s="330"/>
      <c r="H619" s="295"/>
      <c r="I619" s="295"/>
      <c r="J619" s="295"/>
      <c r="K619" s="295"/>
      <c r="L619" s="295"/>
      <c r="M619" s="295"/>
      <c r="N619" s="301"/>
    </row>
    <row r="620" spans="1:14">
      <c r="A620" s="207"/>
      <c r="B620" s="325"/>
      <c r="C620" s="326"/>
      <c r="D620" s="327"/>
      <c r="E620" s="328"/>
      <c r="F620" s="329"/>
      <c r="G620" s="330"/>
      <c r="H620" s="295"/>
      <c r="I620" s="295"/>
      <c r="J620" s="295"/>
      <c r="K620" s="295"/>
      <c r="L620" s="295"/>
      <c r="M620" s="295"/>
      <c r="N620" s="301"/>
    </row>
    <row r="621" spans="1:14">
      <c r="A621" s="207"/>
      <c r="B621" s="325"/>
      <c r="C621" s="326"/>
      <c r="D621" s="327"/>
      <c r="E621" s="328"/>
      <c r="F621" s="329"/>
      <c r="G621" s="330"/>
      <c r="H621" s="295"/>
      <c r="I621" s="295"/>
      <c r="J621" s="295"/>
      <c r="K621" s="295"/>
      <c r="L621" s="295"/>
      <c r="M621" s="295"/>
      <c r="N621" s="301"/>
    </row>
    <row r="622" spans="1:14">
      <c r="A622" s="207"/>
      <c r="B622" s="325"/>
      <c r="C622" s="326"/>
      <c r="D622" s="327"/>
      <c r="E622" s="328"/>
      <c r="F622" s="329"/>
      <c r="G622" s="330"/>
      <c r="H622" s="295"/>
      <c r="I622" s="295"/>
      <c r="J622" s="295"/>
      <c r="K622" s="295"/>
      <c r="L622" s="295"/>
      <c r="M622" s="295"/>
      <c r="N622" s="301"/>
    </row>
    <row r="623" spans="1:14">
      <c r="A623" s="207"/>
      <c r="B623" s="325"/>
      <c r="C623" s="326"/>
      <c r="D623" s="327"/>
      <c r="E623" s="328"/>
      <c r="F623" s="329"/>
      <c r="G623" s="330"/>
      <c r="H623" s="295"/>
      <c r="I623" s="295"/>
      <c r="J623" s="295"/>
      <c r="K623" s="295"/>
      <c r="L623" s="295"/>
      <c r="M623" s="295"/>
      <c r="N623" s="301"/>
    </row>
    <row r="624" spans="1:14">
      <c r="A624" s="207"/>
      <c r="B624" s="325"/>
      <c r="C624" s="326"/>
      <c r="D624" s="327"/>
      <c r="E624" s="328"/>
      <c r="F624" s="329"/>
      <c r="G624" s="330"/>
      <c r="H624" s="295"/>
      <c r="I624" s="295"/>
      <c r="J624" s="295"/>
      <c r="K624" s="295"/>
      <c r="L624" s="295"/>
      <c r="M624" s="295"/>
      <c r="N624" s="301"/>
    </row>
    <row r="625" spans="1:14">
      <c r="A625" s="207"/>
      <c r="B625" s="325"/>
      <c r="C625" s="326"/>
      <c r="D625" s="327"/>
      <c r="E625" s="328"/>
      <c r="F625" s="329"/>
      <c r="G625" s="330"/>
      <c r="H625" s="295"/>
      <c r="I625" s="295"/>
      <c r="J625" s="295"/>
      <c r="K625" s="295"/>
      <c r="L625" s="295"/>
      <c r="M625" s="295"/>
      <c r="N625" s="301"/>
    </row>
    <row r="626" spans="1:14">
      <c r="A626" s="207"/>
      <c r="B626" s="325"/>
      <c r="C626" s="326"/>
      <c r="D626" s="327"/>
      <c r="E626" s="328"/>
      <c r="F626" s="329"/>
      <c r="G626" s="330"/>
      <c r="H626" s="295"/>
      <c r="I626" s="295"/>
      <c r="J626" s="295"/>
      <c r="K626" s="295"/>
      <c r="L626" s="295"/>
      <c r="M626" s="295"/>
      <c r="N626" s="301"/>
    </row>
    <row r="627" spans="1:14">
      <c r="A627" s="207"/>
      <c r="B627" s="325"/>
      <c r="C627" s="326"/>
      <c r="D627" s="327"/>
      <c r="E627" s="328"/>
      <c r="F627" s="329"/>
      <c r="G627" s="330"/>
      <c r="H627" s="295"/>
      <c r="I627" s="295"/>
      <c r="J627" s="295"/>
      <c r="K627" s="295"/>
      <c r="L627" s="295"/>
      <c r="M627" s="295"/>
      <c r="N627" s="301"/>
    </row>
    <row r="628" spans="1:14">
      <c r="A628" s="207"/>
      <c r="B628" s="325"/>
      <c r="C628" s="326"/>
      <c r="D628" s="327"/>
      <c r="E628" s="328"/>
      <c r="F628" s="329"/>
      <c r="G628" s="330"/>
      <c r="H628" s="295"/>
      <c r="I628" s="295"/>
      <c r="J628" s="295"/>
      <c r="K628" s="295"/>
      <c r="L628" s="295"/>
      <c r="M628" s="295"/>
      <c r="N628" s="301"/>
    </row>
    <row r="629" spans="1:14">
      <c r="A629" s="207"/>
      <c r="B629" s="325"/>
      <c r="C629" s="326"/>
      <c r="D629" s="327"/>
      <c r="E629" s="328"/>
      <c r="F629" s="329"/>
      <c r="G629" s="330"/>
      <c r="H629" s="295"/>
      <c r="I629" s="295"/>
      <c r="J629" s="295"/>
      <c r="K629" s="295"/>
      <c r="L629" s="295"/>
      <c r="M629" s="295"/>
      <c r="N629" s="301"/>
    </row>
    <row r="630" spans="1:14">
      <c r="A630" s="207"/>
      <c r="B630" s="325"/>
      <c r="C630" s="326"/>
      <c r="D630" s="327"/>
      <c r="E630" s="328"/>
      <c r="F630" s="329"/>
      <c r="G630" s="330"/>
      <c r="H630" s="295"/>
      <c r="I630" s="295"/>
      <c r="J630" s="295"/>
      <c r="K630" s="295"/>
      <c r="L630" s="295"/>
      <c r="M630" s="295"/>
      <c r="N630" s="301"/>
    </row>
    <row r="631" spans="1:14">
      <c r="A631" s="207"/>
      <c r="B631" s="325"/>
      <c r="C631" s="326"/>
      <c r="D631" s="327"/>
      <c r="E631" s="328"/>
      <c r="F631" s="329"/>
      <c r="G631" s="330"/>
      <c r="H631" s="295"/>
      <c r="I631" s="295"/>
      <c r="J631" s="295"/>
      <c r="K631" s="295"/>
      <c r="L631" s="295"/>
      <c r="M631" s="295"/>
      <c r="N631" s="301"/>
    </row>
    <row r="632" spans="1:14">
      <c r="A632" s="207"/>
      <c r="B632" s="325"/>
      <c r="C632" s="326"/>
      <c r="D632" s="327"/>
      <c r="E632" s="328"/>
      <c r="F632" s="329"/>
      <c r="G632" s="330"/>
      <c r="H632" s="295"/>
      <c r="I632" s="295"/>
      <c r="J632" s="295"/>
      <c r="K632" s="295"/>
      <c r="L632" s="295"/>
      <c r="M632" s="295"/>
      <c r="N632" s="301"/>
    </row>
    <row r="633" spans="1:14">
      <c r="A633" s="207"/>
      <c r="B633" s="325"/>
      <c r="C633" s="326"/>
      <c r="D633" s="327"/>
      <c r="E633" s="328"/>
      <c r="F633" s="329"/>
      <c r="G633" s="330"/>
      <c r="H633" s="295"/>
      <c r="I633" s="295"/>
      <c r="J633" s="295"/>
      <c r="K633" s="295"/>
      <c r="L633" s="295"/>
      <c r="M633" s="295"/>
      <c r="N633" s="301"/>
    </row>
    <row r="634" spans="1:14">
      <c r="A634" s="207"/>
      <c r="B634" s="325"/>
      <c r="C634" s="326"/>
      <c r="D634" s="327"/>
      <c r="E634" s="328"/>
      <c r="F634" s="329"/>
      <c r="G634" s="330"/>
      <c r="H634" s="295"/>
      <c r="I634" s="295"/>
      <c r="J634" s="295"/>
      <c r="K634" s="295"/>
      <c r="L634" s="295"/>
      <c r="M634" s="295"/>
      <c r="N634" s="301"/>
    </row>
    <row r="635" spans="1:14">
      <c r="A635" s="207"/>
      <c r="B635" s="325"/>
      <c r="C635" s="326"/>
      <c r="D635" s="327"/>
      <c r="E635" s="328"/>
      <c r="F635" s="329"/>
      <c r="G635" s="330"/>
      <c r="H635" s="295"/>
      <c r="I635" s="295"/>
      <c r="J635" s="295"/>
      <c r="K635" s="295"/>
      <c r="L635" s="295"/>
      <c r="M635" s="295"/>
      <c r="N635" s="301"/>
    </row>
    <row r="636" spans="1:14">
      <c r="A636" s="207"/>
      <c r="B636" s="325"/>
      <c r="C636" s="326"/>
      <c r="D636" s="327"/>
      <c r="E636" s="328"/>
      <c r="F636" s="329"/>
      <c r="G636" s="330"/>
      <c r="H636" s="295"/>
      <c r="I636" s="295"/>
      <c r="J636" s="295"/>
      <c r="K636" s="295"/>
      <c r="L636" s="295"/>
      <c r="M636" s="295"/>
      <c r="N636" s="301"/>
    </row>
    <row r="637" spans="1:14">
      <c r="A637" s="207"/>
      <c r="B637" s="325"/>
      <c r="C637" s="326"/>
      <c r="D637" s="327"/>
      <c r="E637" s="328"/>
      <c r="F637" s="329"/>
      <c r="G637" s="330"/>
      <c r="H637" s="295"/>
      <c r="I637" s="295"/>
      <c r="J637" s="295"/>
      <c r="K637" s="295"/>
      <c r="L637" s="295"/>
      <c r="M637" s="295"/>
      <c r="N637" s="301"/>
    </row>
    <row r="638" spans="1:14">
      <c r="A638" s="207"/>
      <c r="B638" s="325"/>
      <c r="C638" s="326"/>
      <c r="D638" s="327"/>
      <c r="E638" s="328"/>
      <c r="F638" s="329"/>
      <c r="G638" s="330"/>
      <c r="H638" s="295"/>
      <c r="I638" s="295"/>
      <c r="J638" s="295"/>
      <c r="K638" s="295"/>
      <c r="L638" s="295"/>
      <c r="M638" s="295"/>
      <c r="N638" s="301"/>
    </row>
    <row r="639" spans="1:14">
      <c r="A639" s="207"/>
      <c r="B639" s="325"/>
      <c r="C639" s="326"/>
      <c r="D639" s="327"/>
      <c r="E639" s="328"/>
      <c r="F639" s="329"/>
      <c r="G639" s="330"/>
      <c r="H639" s="295"/>
      <c r="I639" s="295"/>
      <c r="J639" s="295"/>
      <c r="K639" s="295"/>
      <c r="L639" s="295"/>
      <c r="M639" s="295"/>
      <c r="N639" s="301"/>
    </row>
    <row r="640" spans="1:14">
      <c r="A640" s="207"/>
      <c r="B640" s="325"/>
      <c r="C640" s="326"/>
      <c r="D640" s="327"/>
      <c r="E640" s="328"/>
      <c r="F640" s="329"/>
      <c r="G640" s="330"/>
      <c r="H640" s="295"/>
      <c r="I640" s="295"/>
      <c r="J640" s="295"/>
      <c r="K640" s="295"/>
      <c r="L640" s="295"/>
      <c r="M640" s="295"/>
      <c r="N640" s="301"/>
    </row>
    <row r="641" spans="1:14">
      <c r="A641" s="207"/>
      <c r="B641" s="325"/>
      <c r="C641" s="326"/>
      <c r="D641" s="327"/>
      <c r="E641" s="328"/>
      <c r="F641" s="329"/>
      <c r="G641" s="330"/>
      <c r="H641" s="295"/>
      <c r="I641" s="295"/>
      <c r="J641" s="295"/>
      <c r="K641" s="295"/>
      <c r="L641" s="295"/>
      <c r="M641" s="295"/>
      <c r="N641" s="301"/>
    </row>
    <row r="642" spans="1:14">
      <c r="A642" s="207"/>
      <c r="B642" s="325"/>
      <c r="C642" s="326"/>
      <c r="D642" s="327"/>
      <c r="E642" s="328"/>
      <c r="F642" s="329"/>
      <c r="G642" s="330"/>
      <c r="H642" s="295"/>
      <c r="I642" s="295"/>
      <c r="J642" s="295"/>
      <c r="K642" s="295"/>
      <c r="L642" s="295"/>
      <c r="M642" s="295"/>
      <c r="N642" s="301"/>
    </row>
    <row r="643" spans="1:14">
      <c r="A643" s="207"/>
      <c r="B643" s="325"/>
      <c r="C643" s="326"/>
      <c r="D643" s="327"/>
      <c r="E643" s="328"/>
      <c r="F643" s="329"/>
      <c r="G643" s="330"/>
      <c r="H643" s="295"/>
      <c r="I643" s="295"/>
      <c r="J643" s="295"/>
      <c r="K643" s="295"/>
      <c r="L643" s="295"/>
      <c r="M643" s="295"/>
      <c r="N643" s="301"/>
    </row>
    <row r="644" spans="1:14">
      <c r="A644" s="207"/>
      <c r="B644" s="325"/>
      <c r="C644" s="326"/>
      <c r="D644" s="327"/>
      <c r="E644" s="328"/>
      <c r="F644" s="329"/>
      <c r="G644" s="330"/>
      <c r="H644" s="295"/>
      <c r="I644" s="295"/>
      <c r="J644" s="295"/>
      <c r="K644" s="295"/>
      <c r="L644" s="295"/>
      <c r="M644" s="295"/>
      <c r="N644" s="301"/>
    </row>
    <row r="645" spans="1:14">
      <c r="A645" s="207"/>
      <c r="B645" s="325"/>
      <c r="C645" s="326"/>
      <c r="D645" s="327"/>
      <c r="E645" s="328"/>
      <c r="F645" s="329"/>
      <c r="G645" s="330"/>
      <c r="H645" s="295"/>
      <c r="I645" s="295"/>
      <c r="J645" s="295"/>
      <c r="K645" s="295"/>
      <c r="L645" s="295"/>
      <c r="M645" s="295"/>
      <c r="N645" s="301"/>
    </row>
    <row r="646" spans="1:14">
      <c r="A646" s="207"/>
      <c r="B646" s="325"/>
      <c r="C646" s="326"/>
      <c r="D646" s="327"/>
      <c r="E646" s="328"/>
      <c r="F646" s="329"/>
      <c r="G646" s="330"/>
      <c r="H646" s="295"/>
      <c r="I646" s="295"/>
      <c r="J646" s="295"/>
      <c r="K646" s="295"/>
      <c r="L646" s="295"/>
      <c r="M646" s="295"/>
      <c r="N646" s="301"/>
    </row>
    <row r="647" spans="1:14">
      <c r="A647" s="207"/>
      <c r="B647" s="325"/>
      <c r="C647" s="326"/>
      <c r="D647" s="327"/>
      <c r="E647" s="328"/>
      <c r="F647" s="329"/>
      <c r="G647" s="330"/>
      <c r="H647" s="295"/>
      <c r="I647" s="295"/>
      <c r="J647" s="295"/>
      <c r="K647" s="295"/>
      <c r="L647" s="295"/>
      <c r="M647" s="295"/>
      <c r="N647" s="301"/>
    </row>
    <row r="648" spans="1:14">
      <c r="A648" s="207"/>
      <c r="B648" s="325"/>
      <c r="C648" s="326"/>
      <c r="D648" s="327"/>
      <c r="E648" s="328"/>
      <c r="F648" s="329"/>
      <c r="G648" s="330"/>
      <c r="H648" s="295"/>
      <c r="I648" s="295"/>
      <c r="J648" s="295"/>
      <c r="K648" s="295"/>
      <c r="L648" s="295"/>
      <c r="M648" s="295"/>
      <c r="N648" s="301"/>
    </row>
    <row r="649" spans="1:14">
      <c r="A649" s="207"/>
      <c r="B649" s="325"/>
      <c r="C649" s="326"/>
      <c r="D649" s="327"/>
      <c r="E649" s="328"/>
      <c r="F649" s="329"/>
      <c r="G649" s="330"/>
      <c r="H649" s="295"/>
      <c r="I649" s="295"/>
      <c r="J649" s="295"/>
      <c r="K649" s="295"/>
      <c r="L649" s="295"/>
      <c r="M649" s="295"/>
      <c r="N649" s="301"/>
    </row>
    <row r="650" spans="1:14">
      <c r="A650" s="207"/>
      <c r="B650" s="325"/>
      <c r="C650" s="326"/>
      <c r="D650" s="327"/>
      <c r="E650" s="328"/>
      <c r="F650" s="329"/>
      <c r="G650" s="330"/>
      <c r="H650" s="295"/>
      <c r="I650" s="295"/>
      <c r="J650" s="295"/>
      <c r="K650" s="295"/>
      <c r="L650" s="295"/>
      <c r="M650" s="295"/>
      <c r="N650" s="301"/>
    </row>
    <row r="651" spans="1:14">
      <c r="A651" s="207"/>
      <c r="B651" s="325"/>
      <c r="C651" s="326"/>
      <c r="D651" s="327"/>
      <c r="E651" s="328"/>
      <c r="F651" s="329"/>
      <c r="G651" s="330"/>
      <c r="H651" s="295"/>
      <c r="I651" s="295"/>
      <c r="J651" s="295"/>
      <c r="K651" s="295"/>
      <c r="L651" s="295"/>
      <c r="M651" s="295"/>
      <c r="N651" s="301"/>
    </row>
    <row r="652" spans="1:14">
      <c r="A652" s="207"/>
      <c r="B652" s="325"/>
      <c r="C652" s="326"/>
      <c r="D652" s="327"/>
      <c r="E652" s="328"/>
      <c r="F652" s="329"/>
      <c r="G652" s="330"/>
      <c r="H652" s="295"/>
      <c r="I652" s="295"/>
      <c r="J652" s="295"/>
      <c r="K652" s="295"/>
      <c r="L652" s="295"/>
      <c r="M652" s="295"/>
      <c r="N652" s="301"/>
    </row>
    <row r="653" spans="1:14">
      <c r="A653" s="207"/>
      <c r="B653" s="325"/>
      <c r="C653" s="326"/>
      <c r="D653" s="327"/>
      <c r="E653" s="328"/>
      <c r="F653" s="329"/>
      <c r="G653" s="330"/>
      <c r="H653" s="295"/>
      <c r="I653" s="295"/>
      <c r="J653" s="295"/>
      <c r="K653" s="295"/>
      <c r="L653" s="295"/>
      <c r="M653" s="295"/>
      <c r="N653" s="301"/>
    </row>
    <row r="654" spans="1:14">
      <c r="A654" s="207"/>
      <c r="B654" s="325"/>
      <c r="C654" s="326"/>
      <c r="D654" s="327"/>
      <c r="E654" s="328"/>
      <c r="F654" s="329"/>
      <c r="G654" s="330"/>
      <c r="H654" s="295"/>
      <c r="I654" s="295"/>
      <c r="J654" s="295"/>
      <c r="K654" s="295"/>
      <c r="L654" s="295"/>
      <c r="M654" s="295"/>
      <c r="N654" s="301"/>
    </row>
    <row r="655" spans="1:14">
      <c r="A655" s="207"/>
      <c r="B655" s="325"/>
      <c r="C655" s="326"/>
      <c r="D655" s="327"/>
      <c r="E655" s="328"/>
      <c r="F655" s="329"/>
      <c r="G655" s="330"/>
      <c r="H655" s="295"/>
      <c r="I655" s="295"/>
      <c r="J655" s="295"/>
      <c r="K655" s="295"/>
      <c r="L655" s="295"/>
      <c r="M655" s="295"/>
      <c r="N655" s="301"/>
    </row>
    <row r="656" spans="1:14">
      <c r="A656" s="207"/>
      <c r="B656" s="325"/>
      <c r="C656" s="326"/>
      <c r="D656" s="327"/>
      <c r="E656" s="328"/>
      <c r="F656" s="329"/>
      <c r="G656" s="330"/>
      <c r="H656" s="295"/>
      <c r="I656" s="295"/>
      <c r="J656" s="295"/>
      <c r="K656" s="295"/>
      <c r="L656" s="295"/>
      <c r="M656" s="295"/>
      <c r="N656" s="301"/>
    </row>
    <row r="657" spans="1:14">
      <c r="A657" s="207"/>
      <c r="B657" s="325"/>
      <c r="C657" s="326"/>
      <c r="D657" s="327"/>
      <c r="E657" s="328"/>
      <c r="F657" s="329"/>
      <c r="G657" s="330"/>
      <c r="H657" s="295"/>
      <c r="I657" s="295"/>
      <c r="J657" s="295"/>
      <c r="K657" s="295"/>
      <c r="L657" s="295"/>
      <c r="M657" s="295"/>
      <c r="N657" s="301"/>
    </row>
    <row r="658" spans="1:14">
      <c r="A658" s="207"/>
      <c r="B658" s="325"/>
      <c r="C658" s="326"/>
      <c r="D658" s="327"/>
      <c r="E658" s="328"/>
      <c r="F658" s="329"/>
      <c r="G658" s="330"/>
      <c r="H658" s="295"/>
      <c r="I658" s="295"/>
      <c r="J658" s="295"/>
      <c r="K658" s="295"/>
      <c r="L658" s="295"/>
      <c r="M658" s="295"/>
      <c r="N658" s="301"/>
    </row>
    <row r="659" spans="1:14">
      <c r="A659" s="207"/>
      <c r="B659" s="325"/>
      <c r="C659" s="326"/>
      <c r="D659" s="327"/>
      <c r="E659" s="328"/>
      <c r="F659" s="329"/>
      <c r="G659" s="330"/>
      <c r="H659" s="295"/>
      <c r="I659" s="295"/>
      <c r="J659" s="295"/>
      <c r="K659" s="295"/>
      <c r="L659" s="295"/>
      <c r="M659" s="295"/>
      <c r="N659" s="301"/>
    </row>
    <row r="660" spans="1:14">
      <c r="A660" s="207"/>
      <c r="B660" s="325"/>
      <c r="C660" s="326"/>
      <c r="D660" s="327"/>
      <c r="E660" s="328"/>
      <c r="F660" s="329"/>
      <c r="G660" s="330"/>
      <c r="H660" s="295"/>
      <c r="I660" s="295"/>
      <c r="J660" s="295"/>
      <c r="K660" s="295"/>
      <c r="L660" s="295"/>
      <c r="M660" s="295"/>
      <c r="N660" s="301"/>
    </row>
    <row r="661" spans="1:14">
      <c r="A661" s="207"/>
      <c r="B661" s="325"/>
      <c r="C661" s="326"/>
      <c r="D661" s="327"/>
      <c r="E661" s="328"/>
      <c r="F661" s="329"/>
      <c r="G661" s="330"/>
      <c r="H661" s="295"/>
      <c r="I661" s="295"/>
      <c r="J661" s="295"/>
      <c r="K661" s="295"/>
      <c r="L661" s="295"/>
      <c r="M661" s="295"/>
      <c r="N661" s="301"/>
    </row>
    <row r="662" spans="1:14">
      <c r="A662" s="207"/>
      <c r="B662" s="325"/>
      <c r="C662" s="326"/>
      <c r="D662" s="327"/>
      <c r="E662" s="328"/>
      <c r="F662" s="329"/>
      <c r="G662" s="330"/>
      <c r="H662" s="295"/>
      <c r="I662" s="295"/>
      <c r="J662" s="295"/>
      <c r="K662" s="295"/>
      <c r="L662" s="295"/>
      <c r="M662" s="295"/>
      <c r="N662" s="301"/>
    </row>
    <row r="663" spans="1:14">
      <c r="A663" s="207"/>
      <c r="B663" s="325"/>
      <c r="C663" s="326"/>
      <c r="D663" s="327"/>
      <c r="E663" s="328"/>
      <c r="F663" s="329"/>
      <c r="G663" s="330"/>
      <c r="H663" s="295"/>
      <c r="I663" s="295"/>
      <c r="J663" s="295"/>
      <c r="K663" s="295"/>
      <c r="L663" s="295"/>
      <c r="M663" s="295"/>
      <c r="N663" s="301"/>
    </row>
    <row r="664" spans="1:14">
      <c r="A664" s="207"/>
      <c r="B664" s="325"/>
      <c r="C664" s="326"/>
      <c r="D664" s="327"/>
      <c r="E664" s="328"/>
      <c r="F664" s="329"/>
      <c r="G664" s="330"/>
      <c r="H664" s="295"/>
      <c r="I664" s="295"/>
      <c r="J664" s="295"/>
      <c r="K664" s="295"/>
      <c r="L664" s="295"/>
      <c r="M664" s="295"/>
      <c r="N664" s="301"/>
    </row>
    <row r="665" spans="1:14">
      <c r="A665" s="207"/>
      <c r="B665" s="325"/>
      <c r="C665" s="326"/>
      <c r="D665" s="327"/>
      <c r="E665" s="328"/>
      <c r="F665" s="329"/>
      <c r="G665" s="330"/>
      <c r="H665" s="295"/>
      <c r="I665" s="295"/>
      <c r="J665" s="295"/>
      <c r="K665" s="295"/>
      <c r="L665" s="295"/>
      <c r="M665" s="295"/>
      <c r="N665" s="301"/>
    </row>
    <row r="666" spans="1:14">
      <c r="A666" s="207"/>
      <c r="B666" s="325"/>
      <c r="C666" s="326"/>
      <c r="D666" s="327"/>
      <c r="E666" s="328"/>
      <c r="F666" s="329"/>
      <c r="G666" s="330"/>
      <c r="H666" s="295"/>
      <c r="I666" s="295"/>
      <c r="J666" s="295"/>
      <c r="K666" s="295"/>
      <c r="L666" s="295"/>
      <c r="M666" s="295"/>
      <c r="N666" s="301"/>
    </row>
    <row r="667" spans="1:14">
      <c r="A667" s="207"/>
      <c r="B667" s="325"/>
      <c r="C667" s="326"/>
      <c r="D667" s="327"/>
      <c r="E667" s="328"/>
      <c r="F667" s="329"/>
      <c r="G667" s="330"/>
      <c r="H667" s="295"/>
      <c r="I667" s="295"/>
      <c r="J667" s="295"/>
      <c r="K667" s="295"/>
      <c r="L667" s="295"/>
      <c r="M667" s="295"/>
      <c r="N667" s="301"/>
    </row>
    <row r="668" spans="1:14">
      <c r="A668" s="207"/>
      <c r="B668" s="325"/>
      <c r="C668" s="326"/>
      <c r="D668" s="327"/>
      <c r="E668" s="328"/>
      <c r="F668" s="329"/>
      <c r="G668" s="330"/>
      <c r="H668" s="295"/>
      <c r="I668" s="295"/>
      <c r="J668" s="295"/>
      <c r="K668" s="295"/>
      <c r="L668" s="295"/>
      <c r="M668" s="295"/>
      <c r="N668" s="301"/>
    </row>
    <row r="669" spans="1:14">
      <c r="A669" s="207"/>
      <c r="B669" s="325"/>
      <c r="C669" s="326"/>
      <c r="D669" s="327"/>
      <c r="E669" s="328"/>
      <c r="F669" s="329"/>
      <c r="G669" s="330"/>
      <c r="H669" s="295"/>
      <c r="I669" s="295"/>
      <c r="J669" s="295"/>
      <c r="K669" s="295"/>
      <c r="L669" s="295"/>
      <c r="M669" s="295"/>
      <c r="N669" s="301"/>
    </row>
    <row r="670" spans="1:14">
      <c r="A670" s="207"/>
      <c r="B670" s="325"/>
      <c r="C670" s="326"/>
      <c r="D670" s="327"/>
      <c r="E670" s="328"/>
      <c r="F670" s="329"/>
      <c r="G670" s="330"/>
      <c r="H670" s="295"/>
      <c r="I670" s="295"/>
      <c r="J670" s="295"/>
      <c r="K670" s="295"/>
      <c r="L670" s="295"/>
      <c r="M670" s="295"/>
      <c r="N670" s="301"/>
    </row>
    <row r="671" spans="1:14">
      <c r="A671" s="207"/>
      <c r="B671" s="325"/>
      <c r="C671" s="326"/>
      <c r="D671" s="327"/>
      <c r="E671" s="328"/>
      <c r="F671" s="329"/>
      <c r="G671" s="330"/>
      <c r="H671" s="295"/>
      <c r="I671" s="295"/>
      <c r="J671" s="295"/>
      <c r="K671" s="295"/>
      <c r="L671" s="295"/>
      <c r="M671" s="295"/>
      <c r="N671" s="301"/>
    </row>
    <row r="672" spans="1:14">
      <c r="A672" s="207"/>
      <c r="B672" s="325"/>
      <c r="C672" s="326"/>
      <c r="D672" s="327"/>
      <c r="E672" s="328"/>
      <c r="F672" s="329"/>
      <c r="G672" s="330"/>
      <c r="H672" s="295"/>
      <c r="I672" s="295"/>
      <c r="J672" s="295"/>
      <c r="K672" s="295"/>
      <c r="L672" s="295"/>
      <c r="M672" s="295"/>
      <c r="N672" s="301"/>
    </row>
    <row r="673" spans="1:14">
      <c r="A673" s="207"/>
      <c r="B673" s="325"/>
      <c r="C673" s="326"/>
      <c r="D673" s="327"/>
      <c r="E673" s="328"/>
      <c r="F673" s="329"/>
      <c r="G673" s="330"/>
      <c r="H673" s="295"/>
      <c r="I673" s="295"/>
      <c r="J673" s="295"/>
      <c r="K673" s="295"/>
      <c r="L673" s="295"/>
      <c r="M673" s="295"/>
      <c r="N673" s="301"/>
    </row>
    <row r="674" spans="1:14">
      <c r="A674" s="207"/>
      <c r="B674" s="325"/>
      <c r="C674" s="326"/>
      <c r="D674" s="327"/>
      <c r="E674" s="328"/>
      <c r="F674" s="329"/>
      <c r="G674" s="330"/>
      <c r="H674" s="295"/>
      <c r="I674" s="295"/>
      <c r="J674" s="295"/>
      <c r="K674" s="295"/>
      <c r="L674" s="295"/>
      <c r="M674" s="295"/>
      <c r="N674" s="301"/>
    </row>
    <row r="675" spans="1:14">
      <c r="A675" s="207"/>
      <c r="B675" s="325"/>
      <c r="C675" s="326"/>
      <c r="D675" s="327"/>
      <c r="E675" s="328"/>
      <c r="F675" s="329"/>
      <c r="G675" s="330"/>
      <c r="H675" s="295"/>
      <c r="I675" s="295"/>
      <c r="J675" s="295"/>
      <c r="K675" s="295"/>
      <c r="L675" s="295"/>
      <c r="M675" s="295"/>
      <c r="N675" s="301"/>
    </row>
    <row r="676" spans="1:14">
      <c r="A676" s="207"/>
      <c r="B676" s="325"/>
      <c r="C676" s="326"/>
      <c r="D676" s="327"/>
      <c r="E676" s="328"/>
      <c r="F676" s="329"/>
      <c r="G676" s="330"/>
      <c r="H676" s="295"/>
      <c r="I676" s="295"/>
      <c r="J676" s="295"/>
      <c r="K676" s="295"/>
      <c r="L676" s="295"/>
      <c r="M676" s="295"/>
      <c r="N676" s="301"/>
    </row>
    <row r="677" spans="1:14">
      <c r="A677" s="207"/>
      <c r="B677" s="325"/>
      <c r="C677" s="326"/>
      <c r="D677" s="327"/>
      <c r="E677" s="328"/>
      <c r="F677" s="329"/>
      <c r="G677" s="330"/>
      <c r="H677" s="295"/>
      <c r="I677" s="295"/>
      <c r="J677" s="295"/>
      <c r="K677" s="295"/>
      <c r="L677" s="295"/>
      <c r="M677" s="295"/>
      <c r="N677" s="301"/>
    </row>
    <row r="678" spans="1:14">
      <c r="A678" s="207"/>
      <c r="B678" s="325"/>
      <c r="C678" s="326"/>
      <c r="D678" s="327"/>
      <c r="E678" s="328"/>
      <c r="F678" s="329"/>
      <c r="G678" s="330"/>
      <c r="H678" s="295"/>
      <c r="I678" s="295"/>
      <c r="J678" s="295"/>
      <c r="K678" s="295"/>
      <c r="L678" s="295"/>
      <c r="M678" s="295"/>
      <c r="N678" s="301"/>
    </row>
    <row r="679" spans="1:14">
      <c r="A679" s="207"/>
      <c r="B679" s="325"/>
      <c r="C679" s="326"/>
      <c r="D679" s="327"/>
      <c r="E679" s="328"/>
      <c r="F679" s="329"/>
      <c r="G679" s="330"/>
      <c r="H679" s="295"/>
      <c r="I679" s="295"/>
      <c r="J679" s="295"/>
      <c r="K679" s="295"/>
      <c r="L679" s="295"/>
      <c r="M679" s="295"/>
      <c r="N679" s="301"/>
    </row>
    <row r="680" spans="1:14">
      <c r="A680" s="207"/>
      <c r="B680" s="325"/>
      <c r="C680" s="326"/>
      <c r="D680" s="327"/>
      <c r="E680" s="328"/>
      <c r="F680" s="329"/>
      <c r="G680" s="330"/>
      <c r="H680" s="295"/>
      <c r="I680" s="295"/>
      <c r="J680" s="295"/>
      <c r="K680" s="295"/>
      <c r="L680" s="295"/>
      <c r="M680" s="295"/>
      <c r="N680" s="301"/>
    </row>
    <row r="681" spans="1:14">
      <c r="A681" s="207"/>
      <c r="B681" s="325"/>
      <c r="C681" s="326"/>
      <c r="D681" s="327"/>
      <c r="E681" s="328"/>
      <c r="F681" s="329"/>
      <c r="G681" s="330"/>
      <c r="H681" s="295"/>
      <c r="I681" s="295"/>
      <c r="J681" s="295"/>
      <c r="K681" s="295"/>
      <c r="L681" s="295"/>
      <c r="M681" s="295"/>
      <c r="N681" s="301"/>
    </row>
    <row r="682" spans="1:14">
      <c r="A682" s="207"/>
      <c r="B682" s="325"/>
      <c r="C682" s="326"/>
      <c r="D682" s="327"/>
      <c r="E682" s="328"/>
      <c r="F682" s="329"/>
      <c r="G682" s="330"/>
      <c r="H682" s="295"/>
      <c r="I682" s="295"/>
      <c r="J682" s="295"/>
      <c r="K682" s="295"/>
      <c r="L682" s="295"/>
      <c r="M682" s="295"/>
      <c r="N682" s="301"/>
    </row>
    <row r="683" spans="1:14">
      <c r="A683" s="207"/>
      <c r="B683" s="325"/>
      <c r="C683" s="326"/>
      <c r="D683" s="327"/>
      <c r="E683" s="328"/>
      <c r="F683" s="329"/>
      <c r="G683" s="330"/>
      <c r="H683" s="295"/>
      <c r="I683" s="295"/>
      <c r="J683" s="295"/>
      <c r="K683" s="295"/>
      <c r="L683" s="295"/>
      <c r="M683" s="295"/>
      <c r="N683" s="301"/>
    </row>
    <row r="684" spans="1:14">
      <c r="A684" s="207"/>
      <c r="B684" s="325"/>
      <c r="C684" s="326"/>
      <c r="D684" s="327"/>
      <c r="E684" s="328"/>
      <c r="F684" s="329"/>
      <c r="G684" s="330"/>
      <c r="H684" s="295"/>
      <c r="I684" s="295"/>
      <c r="J684" s="295"/>
      <c r="K684" s="295"/>
      <c r="L684" s="295"/>
      <c r="M684" s="295"/>
      <c r="N684" s="301"/>
    </row>
    <row r="685" spans="1:14">
      <c r="A685" s="207"/>
      <c r="B685" s="325"/>
      <c r="C685" s="326"/>
      <c r="D685" s="327"/>
      <c r="E685" s="328"/>
      <c r="F685" s="329"/>
      <c r="G685" s="330"/>
      <c r="H685" s="295"/>
      <c r="I685" s="295"/>
      <c r="J685" s="295"/>
      <c r="K685" s="295"/>
      <c r="L685" s="295"/>
      <c r="M685" s="295"/>
      <c r="N685" s="301"/>
    </row>
    <row r="686" spans="1:14">
      <c r="A686" s="207"/>
      <c r="B686" s="325"/>
      <c r="C686" s="326"/>
      <c r="D686" s="327"/>
      <c r="E686" s="328"/>
      <c r="F686" s="329"/>
      <c r="G686" s="330"/>
      <c r="H686" s="295"/>
      <c r="I686" s="295"/>
      <c r="J686" s="295"/>
      <c r="K686" s="295"/>
      <c r="L686" s="295"/>
      <c r="M686" s="295"/>
      <c r="N686" s="301"/>
    </row>
    <row r="687" spans="1:14">
      <c r="A687" s="207"/>
      <c r="B687" s="325"/>
      <c r="C687" s="326"/>
      <c r="D687" s="327"/>
      <c r="E687" s="328"/>
      <c r="F687" s="329"/>
      <c r="G687" s="330"/>
      <c r="H687" s="295"/>
      <c r="I687" s="295"/>
      <c r="J687" s="295"/>
      <c r="K687" s="295"/>
      <c r="L687" s="295"/>
      <c r="M687" s="295"/>
      <c r="N687" s="301"/>
    </row>
    <row r="688" spans="1:14">
      <c r="A688" s="207"/>
      <c r="B688" s="325"/>
      <c r="C688" s="326"/>
      <c r="D688" s="327"/>
      <c r="E688" s="328"/>
      <c r="F688" s="329"/>
      <c r="G688" s="330"/>
      <c r="H688" s="295"/>
      <c r="I688" s="295"/>
      <c r="J688" s="295"/>
      <c r="K688" s="295"/>
      <c r="L688" s="295"/>
      <c r="M688" s="295"/>
      <c r="N688" s="301"/>
    </row>
    <row r="689" spans="1:14">
      <c r="A689" s="207"/>
      <c r="B689" s="325"/>
      <c r="C689" s="326"/>
      <c r="D689" s="327"/>
      <c r="E689" s="328"/>
      <c r="F689" s="329"/>
      <c r="G689" s="330"/>
      <c r="H689" s="295"/>
      <c r="I689" s="295"/>
      <c r="J689" s="295"/>
      <c r="K689" s="295"/>
      <c r="L689" s="295"/>
      <c r="M689" s="295"/>
      <c r="N689" s="301"/>
    </row>
    <row r="690" spans="1:14">
      <c r="A690" s="207"/>
      <c r="B690" s="325"/>
      <c r="C690" s="326"/>
      <c r="D690" s="327"/>
      <c r="E690" s="328"/>
      <c r="F690" s="329"/>
      <c r="G690" s="330"/>
      <c r="H690" s="295"/>
      <c r="I690" s="295"/>
      <c r="J690" s="295"/>
      <c r="K690" s="295"/>
      <c r="L690" s="295"/>
      <c r="M690" s="295"/>
      <c r="N690" s="301"/>
    </row>
    <row r="691" spans="1:14">
      <c r="A691" s="207"/>
      <c r="B691" s="325"/>
      <c r="C691" s="326"/>
      <c r="D691" s="327"/>
      <c r="E691" s="328"/>
      <c r="F691" s="329"/>
      <c r="G691" s="330"/>
      <c r="H691" s="295"/>
      <c r="I691" s="295"/>
      <c r="J691" s="295"/>
      <c r="K691" s="295"/>
      <c r="L691" s="295"/>
      <c r="M691" s="295"/>
      <c r="N691" s="301"/>
    </row>
    <row r="692" spans="1:14">
      <c r="A692" s="207"/>
      <c r="B692" s="325"/>
      <c r="C692" s="326"/>
      <c r="D692" s="327"/>
      <c r="E692" s="328"/>
      <c r="F692" s="329"/>
      <c r="G692" s="330"/>
      <c r="H692" s="295"/>
      <c r="I692" s="295"/>
      <c r="J692" s="295"/>
      <c r="K692" s="295"/>
      <c r="L692" s="295"/>
      <c r="M692" s="295"/>
      <c r="N692" s="301"/>
    </row>
    <row r="693" spans="1:14">
      <c r="A693" s="207"/>
      <c r="B693" s="325"/>
      <c r="C693" s="326"/>
      <c r="D693" s="327"/>
      <c r="E693" s="328"/>
      <c r="F693" s="329"/>
      <c r="G693" s="330"/>
      <c r="H693" s="295"/>
      <c r="I693" s="295"/>
      <c r="J693" s="295"/>
      <c r="K693" s="295"/>
      <c r="L693" s="295"/>
      <c r="M693" s="295"/>
      <c r="N693" s="301"/>
    </row>
    <row r="694" spans="1:14">
      <c r="A694" s="207"/>
      <c r="B694" s="325"/>
      <c r="C694" s="326"/>
      <c r="D694" s="327"/>
      <c r="E694" s="328"/>
      <c r="F694" s="329"/>
      <c r="G694" s="330"/>
      <c r="H694" s="295"/>
      <c r="I694" s="295"/>
      <c r="J694" s="295"/>
      <c r="K694" s="295"/>
      <c r="L694" s="295"/>
      <c r="M694" s="295"/>
      <c r="N694" s="301"/>
    </row>
    <row r="695" spans="1:14">
      <c r="A695" s="207"/>
      <c r="B695" s="325"/>
      <c r="C695" s="326"/>
      <c r="D695" s="327"/>
      <c r="E695" s="328"/>
      <c r="F695" s="329"/>
      <c r="G695" s="330"/>
      <c r="H695" s="295"/>
      <c r="I695" s="295"/>
      <c r="J695" s="295"/>
      <c r="K695" s="295"/>
      <c r="L695" s="295"/>
      <c r="M695" s="295"/>
      <c r="N695" s="301"/>
    </row>
    <row r="696" spans="1:14">
      <c r="A696" s="207"/>
      <c r="B696" s="325"/>
      <c r="C696" s="326"/>
      <c r="D696" s="327"/>
      <c r="E696" s="328"/>
      <c r="F696" s="329"/>
      <c r="G696" s="330"/>
      <c r="H696" s="295"/>
      <c r="I696" s="295"/>
      <c r="J696" s="295"/>
      <c r="K696" s="295"/>
      <c r="L696" s="295"/>
      <c r="M696" s="295"/>
      <c r="N696" s="301"/>
    </row>
    <row r="697" spans="1:14">
      <c r="A697" s="207"/>
      <c r="B697" s="325"/>
      <c r="C697" s="326"/>
      <c r="D697" s="327"/>
      <c r="E697" s="328"/>
      <c r="F697" s="329"/>
      <c r="G697" s="330"/>
      <c r="H697" s="295"/>
      <c r="I697" s="295"/>
      <c r="J697" s="295"/>
      <c r="K697" s="295"/>
      <c r="L697" s="295"/>
      <c r="M697" s="295"/>
      <c r="N697" s="301"/>
    </row>
    <row r="698" spans="1:14">
      <c r="A698" s="207"/>
      <c r="B698" s="325"/>
      <c r="C698" s="326"/>
      <c r="D698" s="327"/>
      <c r="E698" s="328"/>
      <c r="F698" s="329"/>
      <c r="G698" s="330"/>
      <c r="H698" s="295"/>
      <c r="I698" s="295"/>
      <c r="J698" s="295"/>
      <c r="K698" s="295"/>
      <c r="L698" s="295"/>
      <c r="M698" s="295"/>
      <c r="N698" s="301"/>
    </row>
    <row r="699" spans="1:14">
      <c r="A699" s="207"/>
      <c r="B699" s="325"/>
      <c r="C699" s="326"/>
      <c r="D699" s="327"/>
      <c r="E699" s="328"/>
      <c r="F699" s="329"/>
      <c r="G699" s="330"/>
      <c r="H699" s="295"/>
      <c r="I699" s="295"/>
      <c r="J699" s="295"/>
      <c r="K699" s="295"/>
      <c r="L699" s="295"/>
      <c r="M699" s="295"/>
      <c r="N699" s="301"/>
    </row>
    <row r="700" spans="1:14">
      <c r="A700" s="207"/>
      <c r="B700" s="325"/>
      <c r="C700" s="326"/>
      <c r="D700" s="327"/>
      <c r="E700" s="328"/>
      <c r="F700" s="329"/>
      <c r="G700" s="330"/>
      <c r="H700" s="295"/>
      <c r="I700" s="295"/>
      <c r="J700" s="295"/>
      <c r="K700" s="295"/>
      <c r="L700" s="295"/>
      <c r="M700" s="295"/>
      <c r="N700" s="301"/>
    </row>
    <row r="701" spans="1:14">
      <c r="A701" s="207"/>
      <c r="B701" s="325"/>
      <c r="C701" s="326"/>
      <c r="D701" s="327"/>
      <c r="E701" s="328"/>
      <c r="F701" s="329"/>
      <c r="G701" s="330"/>
      <c r="H701" s="295"/>
      <c r="I701" s="295"/>
      <c r="J701" s="295"/>
      <c r="K701" s="295"/>
      <c r="L701" s="295"/>
      <c r="M701" s="295"/>
      <c r="N701" s="301"/>
    </row>
    <row r="702" spans="1:14">
      <c r="A702" s="207"/>
      <c r="B702" s="325"/>
      <c r="C702" s="326"/>
      <c r="D702" s="327"/>
      <c r="E702" s="328"/>
      <c r="F702" s="329"/>
      <c r="G702" s="330"/>
      <c r="H702" s="295"/>
      <c r="I702" s="295"/>
      <c r="J702" s="295"/>
      <c r="K702" s="295"/>
      <c r="L702" s="295"/>
      <c r="M702" s="295"/>
      <c r="N702" s="301"/>
    </row>
    <row r="703" spans="1:14">
      <c r="A703" s="207"/>
      <c r="B703" s="325"/>
      <c r="C703" s="326"/>
      <c r="D703" s="327"/>
      <c r="E703" s="328"/>
      <c r="F703" s="329"/>
      <c r="G703" s="330"/>
      <c r="H703" s="295"/>
      <c r="I703" s="295"/>
      <c r="J703" s="295"/>
      <c r="K703" s="295"/>
      <c r="L703" s="295"/>
      <c r="M703" s="295"/>
      <c r="N703" s="301"/>
    </row>
    <row r="704" spans="1:14">
      <c r="A704" s="207"/>
      <c r="B704" s="325"/>
      <c r="C704" s="326"/>
      <c r="D704" s="327"/>
      <c r="E704" s="328"/>
      <c r="F704" s="329"/>
      <c r="G704" s="330"/>
      <c r="H704" s="295"/>
      <c r="I704" s="295"/>
      <c r="J704" s="295"/>
      <c r="K704" s="295"/>
      <c r="L704" s="295"/>
      <c r="M704" s="295"/>
      <c r="N704" s="301"/>
    </row>
    <row r="705" spans="1:14">
      <c r="A705" s="207"/>
      <c r="B705" s="325"/>
      <c r="C705" s="326"/>
      <c r="D705" s="327"/>
      <c r="E705" s="328"/>
      <c r="F705" s="329"/>
      <c r="G705" s="330"/>
      <c r="H705" s="295"/>
      <c r="I705" s="295"/>
      <c r="J705" s="295"/>
      <c r="K705" s="295"/>
      <c r="L705" s="295"/>
      <c r="M705" s="295"/>
      <c r="N705" s="301"/>
    </row>
    <row r="706" spans="1:14">
      <c r="A706" s="207"/>
      <c r="B706" s="325"/>
      <c r="C706" s="326"/>
      <c r="D706" s="327"/>
      <c r="E706" s="328"/>
      <c r="F706" s="329"/>
      <c r="G706" s="330"/>
      <c r="H706" s="295"/>
      <c r="I706" s="295"/>
      <c r="J706" s="295"/>
      <c r="K706" s="295"/>
      <c r="L706" s="295"/>
      <c r="M706" s="295"/>
      <c r="N706" s="301"/>
    </row>
    <row r="707" spans="1:14">
      <c r="A707" s="207"/>
      <c r="B707" s="325"/>
      <c r="C707" s="326"/>
      <c r="D707" s="327"/>
      <c r="E707" s="328"/>
      <c r="F707" s="329"/>
      <c r="G707" s="330"/>
      <c r="H707" s="295"/>
      <c r="I707" s="295"/>
      <c r="J707" s="295"/>
      <c r="K707" s="295"/>
      <c r="L707" s="295"/>
      <c r="M707" s="295"/>
      <c r="N707" s="301"/>
    </row>
    <row r="708" spans="1:14">
      <c r="A708" s="207"/>
      <c r="B708" s="325"/>
      <c r="C708" s="326"/>
      <c r="D708" s="327"/>
      <c r="E708" s="328"/>
      <c r="F708" s="329"/>
      <c r="G708" s="330"/>
      <c r="H708" s="295"/>
      <c r="I708" s="295"/>
      <c r="J708" s="295"/>
      <c r="K708" s="295"/>
      <c r="L708" s="295"/>
      <c r="M708" s="295"/>
      <c r="N708" s="301"/>
    </row>
    <row r="709" spans="1:14">
      <c r="A709" s="207"/>
      <c r="B709" s="325"/>
      <c r="C709" s="326"/>
      <c r="D709" s="327"/>
      <c r="E709" s="328"/>
      <c r="F709" s="329"/>
      <c r="G709" s="330"/>
      <c r="H709" s="295"/>
      <c r="I709" s="295"/>
      <c r="J709" s="295"/>
      <c r="K709" s="295"/>
      <c r="L709" s="295"/>
      <c r="M709" s="295"/>
      <c r="N709" s="301"/>
    </row>
    <row r="710" spans="1:14">
      <c r="A710" s="207"/>
      <c r="B710" s="325"/>
      <c r="C710" s="326"/>
      <c r="D710" s="327"/>
      <c r="E710" s="328"/>
      <c r="F710" s="329"/>
      <c r="G710" s="330"/>
      <c r="H710" s="295"/>
      <c r="I710" s="295"/>
      <c r="J710" s="295"/>
      <c r="K710" s="295"/>
      <c r="L710" s="295"/>
      <c r="M710" s="295"/>
      <c r="N710" s="301"/>
    </row>
    <row r="711" spans="1:14">
      <c r="A711" s="207"/>
      <c r="B711" s="325"/>
      <c r="C711" s="326"/>
      <c r="D711" s="327"/>
      <c r="E711" s="328"/>
      <c r="F711" s="329"/>
      <c r="G711" s="330"/>
      <c r="H711" s="295"/>
      <c r="I711" s="295"/>
      <c r="J711" s="295"/>
      <c r="K711" s="295"/>
      <c r="L711" s="295"/>
      <c r="M711" s="295"/>
      <c r="N711" s="301"/>
    </row>
    <row r="712" spans="1:14">
      <c r="A712" s="207"/>
      <c r="B712" s="325"/>
      <c r="C712" s="326"/>
      <c r="D712" s="327"/>
      <c r="E712" s="328"/>
      <c r="F712" s="329"/>
      <c r="G712" s="330"/>
      <c r="H712" s="295"/>
      <c r="I712" s="295"/>
      <c r="J712" s="295"/>
      <c r="K712" s="295"/>
      <c r="L712" s="295"/>
      <c r="M712" s="295"/>
      <c r="N712" s="301"/>
    </row>
    <row r="713" spans="1:14">
      <c r="A713" s="207"/>
      <c r="B713" s="325"/>
      <c r="C713" s="326"/>
      <c r="D713" s="327"/>
      <c r="E713" s="328"/>
      <c r="F713" s="329"/>
      <c r="G713" s="330"/>
      <c r="H713" s="295"/>
      <c r="I713" s="295"/>
      <c r="J713" s="295"/>
      <c r="K713" s="295"/>
      <c r="L713" s="295"/>
      <c r="M713" s="295"/>
      <c r="N713" s="301"/>
    </row>
    <row r="714" spans="1:14">
      <c r="A714" s="207"/>
      <c r="B714" s="325"/>
      <c r="C714" s="326"/>
      <c r="D714" s="327"/>
      <c r="E714" s="328"/>
      <c r="F714" s="329"/>
      <c r="G714" s="330"/>
      <c r="H714" s="295"/>
      <c r="I714" s="295"/>
      <c r="J714" s="295"/>
      <c r="K714" s="295"/>
      <c r="L714" s="295"/>
      <c r="M714" s="295"/>
      <c r="N714" s="301"/>
    </row>
    <row r="715" spans="1:14">
      <c r="A715" s="207"/>
      <c r="B715" s="325"/>
      <c r="C715" s="326"/>
      <c r="D715" s="327"/>
      <c r="E715" s="328"/>
      <c r="F715" s="329"/>
      <c r="G715" s="330"/>
      <c r="H715" s="295"/>
      <c r="I715" s="295"/>
      <c r="J715" s="295"/>
      <c r="K715" s="295"/>
      <c r="L715" s="295"/>
      <c r="M715" s="295"/>
      <c r="N715" s="301"/>
    </row>
    <row r="716" spans="1:14">
      <c r="A716" s="207"/>
      <c r="B716" s="325"/>
      <c r="C716" s="326"/>
      <c r="D716" s="327"/>
      <c r="E716" s="328"/>
      <c r="F716" s="329"/>
      <c r="G716" s="330"/>
      <c r="H716" s="295"/>
      <c r="I716" s="295"/>
      <c r="J716" s="295"/>
      <c r="K716" s="295"/>
      <c r="L716" s="295"/>
      <c r="M716" s="295"/>
      <c r="N716" s="301"/>
    </row>
    <row r="717" spans="1:14">
      <c r="A717" s="207"/>
      <c r="B717" s="325"/>
      <c r="C717" s="326"/>
      <c r="D717" s="327"/>
      <c r="E717" s="328"/>
      <c r="F717" s="329"/>
      <c r="G717" s="330"/>
      <c r="H717" s="295"/>
      <c r="I717" s="295"/>
      <c r="J717" s="295"/>
      <c r="K717" s="295"/>
      <c r="L717" s="295"/>
      <c r="M717" s="295"/>
      <c r="N717" s="301"/>
    </row>
    <row r="718" spans="1:14">
      <c r="A718" s="207"/>
      <c r="B718" s="325"/>
      <c r="C718" s="326"/>
      <c r="D718" s="327"/>
      <c r="E718" s="328"/>
      <c r="F718" s="329"/>
      <c r="G718" s="330"/>
      <c r="H718" s="295"/>
      <c r="I718" s="295"/>
      <c r="J718" s="295"/>
      <c r="K718" s="295"/>
      <c r="L718" s="295"/>
      <c r="M718" s="295"/>
      <c r="N718" s="301"/>
    </row>
    <row r="719" spans="1:14">
      <c r="A719" s="207"/>
      <c r="B719" s="325"/>
      <c r="C719" s="326"/>
      <c r="D719" s="327"/>
      <c r="E719" s="328"/>
      <c r="F719" s="329"/>
      <c r="G719" s="330"/>
      <c r="H719" s="295"/>
      <c r="I719" s="295"/>
      <c r="J719" s="295"/>
      <c r="K719" s="295"/>
      <c r="L719" s="295"/>
      <c r="M719" s="295"/>
      <c r="N719" s="301"/>
    </row>
    <row r="720" spans="1:14">
      <c r="A720" s="207"/>
      <c r="B720" s="325"/>
      <c r="C720" s="326"/>
      <c r="D720" s="327"/>
      <c r="E720" s="328"/>
      <c r="F720" s="329"/>
      <c r="G720" s="330"/>
      <c r="H720" s="295"/>
      <c r="I720" s="295"/>
      <c r="J720" s="295"/>
      <c r="K720" s="295"/>
      <c r="L720" s="295"/>
      <c r="M720" s="295"/>
      <c r="N720" s="301"/>
    </row>
    <row r="721" spans="1:14">
      <c r="A721" s="207"/>
      <c r="B721" s="325"/>
      <c r="C721" s="326"/>
      <c r="D721" s="327"/>
      <c r="E721" s="328"/>
      <c r="F721" s="329"/>
      <c r="G721" s="330"/>
      <c r="H721" s="295"/>
      <c r="I721" s="295"/>
      <c r="J721" s="295"/>
      <c r="K721" s="295"/>
      <c r="L721" s="295"/>
      <c r="M721" s="295"/>
      <c r="N721" s="301"/>
    </row>
    <row r="722" spans="1:14">
      <c r="A722" s="207"/>
      <c r="B722" s="325"/>
      <c r="C722" s="326"/>
      <c r="D722" s="327"/>
      <c r="E722" s="328"/>
      <c r="F722" s="329"/>
      <c r="G722" s="330"/>
      <c r="H722" s="295"/>
      <c r="I722" s="295"/>
      <c r="J722" s="295"/>
      <c r="K722" s="295"/>
      <c r="L722" s="295"/>
      <c r="M722" s="295"/>
      <c r="N722" s="301"/>
    </row>
    <row r="723" spans="1:14">
      <c r="A723" s="207"/>
      <c r="B723" s="325"/>
      <c r="C723" s="326"/>
      <c r="D723" s="327"/>
      <c r="E723" s="328"/>
      <c r="F723" s="329"/>
      <c r="G723" s="330"/>
      <c r="H723" s="295"/>
      <c r="I723" s="295"/>
      <c r="J723" s="295"/>
      <c r="K723" s="295"/>
      <c r="L723" s="295"/>
      <c r="M723" s="295"/>
      <c r="N723" s="301"/>
    </row>
    <row r="724" spans="1:14">
      <c r="A724" s="207"/>
      <c r="B724" s="325"/>
      <c r="C724" s="326"/>
      <c r="D724" s="327"/>
      <c r="E724" s="328"/>
      <c r="F724" s="329"/>
      <c r="G724" s="330"/>
      <c r="H724" s="295"/>
      <c r="I724" s="295"/>
      <c r="J724" s="295"/>
      <c r="K724" s="295"/>
      <c r="L724" s="295"/>
      <c r="M724" s="295"/>
      <c r="N724" s="301"/>
    </row>
    <row r="725" spans="1:14">
      <c r="A725" s="207"/>
      <c r="B725" s="325"/>
      <c r="C725" s="326"/>
      <c r="D725" s="327"/>
      <c r="E725" s="328"/>
      <c r="F725" s="329"/>
      <c r="G725" s="330"/>
      <c r="H725" s="295"/>
      <c r="I725" s="295"/>
      <c r="J725" s="295"/>
      <c r="K725" s="295"/>
      <c r="L725" s="295"/>
      <c r="M725" s="295"/>
      <c r="N725" s="301"/>
    </row>
    <row r="726" spans="1:14">
      <c r="A726" s="207"/>
      <c r="B726" s="325"/>
      <c r="C726" s="326"/>
      <c r="D726" s="327"/>
      <c r="E726" s="328"/>
      <c r="F726" s="329"/>
      <c r="G726" s="330"/>
      <c r="H726" s="295"/>
      <c r="I726" s="295"/>
      <c r="J726" s="295"/>
      <c r="K726" s="295"/>
      <c r="L726" s="295"/>
      <c r="M726" s="295"/>
      <c r="N726" s="301"/>
    </row>
    <row r="727" spans="1:14">
      <c r="A727" s="207"/>
      <c r="B727" s="325"/>
      <c r="C727" s="326"/>
      <c r="D727" s="327"/>
      <c r="E727" s="328"/>
      <c r="F727" s="329"/>
      <c r="G727" s="330"/>
      <c r="H727" s="295"/>
      <c r="I727" s="295"/>
      <c r="J727" s="295"/>
      <c r="K727" s="295"/>
      <c r="L727" s="295"/>
      <c r="M727" s="295"/>
      <c r="N727" s="301"/>
    </row>
    <row r="728" spans="1:14">
      <c r="A728" s="207"/>
      <c r="B728" s="325"/>
      <c r="C728" s="326"/>
      <c r="D728" s="327"/>
      <c r="E728" s="328"/>
      <c r="F728" s="329"/>
      <c r="G728" s="330"/>
      <c r="H728" s="295"/>
      <c r="I728" s="295"/>
      <c r="J728" s="295"/>
      <c r="K728" s="295"/>
      <c r="L728" s="295"/>
      <c r="M728" s="295"/>
      <c r="N728" s="301"/>
    </row>
    <row r="729" spans="1:14">
      <c r="A729" s="207"/>
      <c r="B729" s="325"/>
      <c r="C729" s="326"/>
      <c r="D729" s="327"/>
      <c r="E729" s="328"/>
      <c r="F729" s="329"/>
      <c r="G729" s="330"/>
      <c r="H729" s="295"/>
      <c r="I729" s="295"/>
      <c r="J729" s="295"/>
      <c r="K729" s="295"/>
      <c r="L729" s="295"/>
      <c r="M729" s="295"/>
      <c r="N729" s="301"/>
    </row>
    <row r="730" spans="1:14">
      <c r="A730" s="207"/>
      <c r="B730" s="325"/>
      <c r="C730" s="326"/>
      <c r="D730" s="327"/>
      <c r="E730" s="328"/>
      <c r="F730" s="329"/>
      <c r="G730" s="330"/>
      <c r="H730" s="295"/>
      <c r="I730" s="295"/>
      <c r="J730" s="295"/>
      <c r="K730" s="295"/>
      <c r="L730" s="295"/>
      <c r="M730" s="295"/>
      <c r="N730" s="301"/>
    </row>
    <row r="731" spans="1:14">
      <c r="A731" s="207"/>
      <c r="B731" s="325"/>
      <c r="C731" s="326"/>
      <c r="D731" s="327"/>
      <c r="E731" s="328"/>
      <c r="F731" s="329"/>
      <c r="G731" s="330"/>
      <c r="H731" s="295"/>
      <c r="I731" s="295"/>
      <c r="J731" s="295"/>
      <c r="K731" s="295"/>
      <c r="L731" s="295"/>
      <c r="M731" s="295"/>
      <c r="N731" s="301"/>
    </row>
    <row r="732" spans="1:14">
      <c r="A732" s="207"/>
      <c r="B732" s="325"/>
      <c r="C732" s="326"/>
      <c r="D732" s="327"/>
      <c r="E732" s="328"/>
      <c r="F732" s="329"/>
      <c r="G732" s="330"/>
      <c r="H732" s="295"/>
      <c r="I732" s="295"/>
      <c r="J732" s="295"/>
      <c r="K732" s="295"/>
      <c r="L732" s="295"/>
      <c r="M732" s="295"/>
      <c r="N732" s="301"/>
    </row>
    <row r="733" spans="1:14">
      <c r="A733" s="207"/>
      <c r="B733" s="325"/>
      <c r="C733" s="326"/>
      <c r="D733" s="327"/>
      <c r="E733" s="328"/>
      <c r="F733" s="329"/>
      <c r="G733" s="330"/>
      <c r="H733" s="295"/>
      <c r="I733" s="295"/>
      <c r="J733" s="295"/>
      <c r="K733" s="295"/>
      <c r="L733" s="295"/>
      <c r="M733" s="295"/>
      <c r="N733" s="301"/>
    </row>
    <row r="734" spans="1:14">
      <c r="A734" s="207"/>
      <c r="B734" s="325"/>
      <c r="C734" s="326"/>
      <c r="D734" s="327"/>
      <c r="E734" s="328"/>
      <c r="F734" s="329"/>
      <c r="G734" s="330"/>
      <c r="H734" s="295"/>
      <c r="I734" s="295"/>
      <c r="J734" s="295"/>
      <c r="K734" s="295"/>
      <c r="L734" s="295"/>
      <c r="M734" s="295"/>
      <c r="N734" s="301"/>
    </row>
    <row r="735" spans="1:14">
      <c r="A735" s="207"/>
      <c r="B735" s="325"/>
      <c r="C735" s="326"/>
      <c r="D735" s="327"/>
      <c r="E735" s="328"/>
      <c r="F735" s="329"/>
      <c r="G735" s="330"/>
      <c r="H735" s="295"/>
      <c r="I735" s="295"/>
      <c r="J735" s="295"/>
      <c r="K735" s="295"/>
      <c r="L735" s="295"/>
      <c r="M735" s="295"/>
      <c r="N735" s="301"/>
    </row>
    <row r="736" spans="1:14">
      <c r="A736" s="207"/>
      <c r="B736" s="325"/>
      <c r="C736" s="326"/>
      <c r="D736" s="327"/>
      <c r="E736" s="328"/>
      <c r="F736" s="329"/>
      <c r="G736" s="330"/>
      <c r="H736" s="295"/>
      <c r="I736" s="295"/>
      <c r="J736" s="295"/>
      <c r="K736" s="295"/>
      <c r="L736" s="295"/>
      <c r="M736" s="295"/>
      <c r="N736" s="301"/>
    </row>
    <row r="737" spans="1:14">
      <c r="A737" s="207"/>
      <c r="B737" s="325"/>
      <c r="C737" s="326"/>
      <c r="D737" s="327"/>
      <c r="E737" s="328"/>
      <c r="F737" s="329"/>
      <c r="G737" s="330"/>
      <c r="H737" s="295"/>
      <c r="I737" s="295"/>
      <c r="J737" s="295"/>
      <c r="K737" s="295"/>
      <c r="L737" s="295"/>
      <c r="M737" s="295"/>
      <c r="N737" s="301"/>
    </row>
    <row r="738" spans="1:14">
      <c r="A738" s="207"/>
      <c r="B738" s="325"/>
      <c r="C738" s="326"/>
      <c r="D738" s="327"/>
      <c r="E738" s="328"/>
      <c r="F738" s="329"/>
      <c r="G738" s="330"/>
      <c r="H738" s="295"/>
      <c r="I738" s="295"/>
      <c r="J738" s="295"/>
      <c r="K738" s="295"/>
      <c r="L738" s="295"/>
      <c r="M738" s="295"/>
      <c r="N738" s="301"/>
    </row>
    <row r="739" spans="1:14">
      <c r="A739" s="207"/>
      <c r="B739" s="325"/>
      <c r="C739" s="326"/>
      <c r="D739" s="327"/>
      <c r="E739" s="328"/>
      <c r="F739" s="329"/>
      <c r="G739" s="330"/>
      <c r="H739" s="295"/>
      <c r="I739" s="295"/>
      <c r="J739" s="295"/>
      <c r="K739" s="295"/>
      <c r="L739" s="295"/>
      <c r="M739" s="295"/>
      <c r="N739" s="301"/>
    </row>
    <row r="740" spans="1:14">
      <c r="A740" s="207"/>
      <c r="B740" s="325"/>
      <c r="C740" s="326"/>
      <c r="D740" s="327"/>
      <c r="E740" s="328"/>
      <c r="F740" s="329"/>
      <c r="G740" s="330"/>
      <c r="H740" s="295"/>
      <c r="I740" s="295"/>
      <c r="J740" s="295"/>
      <c r="K740" s="295"/>
      <c r="L740" s="295"/>
      <c r="M740" s="295"/>
      <c r="N740" s="301"/>
    </row>
    <row r="741" spans="1:14">
      <c r="A741" s="207"/>
      <c r="B741" s="325"/>
      <c r="C741" s="326"/>
      <c r="D741" s="327"/>
      <c r="E741" s="328"/>
      <c r="F741" s="329"/>
      <c r="G741" s="330"/>
      <c r="H741" s="295"/>
      <c r="I741" s="295"/>
      <c r="J741" s="295"/>
      <c r="K741" s="295"/>
      <c r="L741" s="295"/>
      <c r="M741" s="295"/>
      <c r="N741" s="301"/>
    </row>
    <row r="742" spans="1:14">
      <c r="A742" s="207"/>
      <c r="B742" s="325"/>
      <c r="C742" s="326"/>
      <c r="D742" s="327"/>
      <c r="E742" s="328"/>
      <c r="F742" s="329"/>
      <c r="G742" s="330"/>
      <c r="H742" s="295"/>
      <c r="I742" s="295"/>
      <c r="J742" s="295"/>
      <c r="K742" s="295"/>
      <c r="L742" s="295"/>
      <c r="M742" s="295"/>
      <c r="N742" s="301"/>
    </row>
    <row r="743" spans="1:14">
      <c r="A743" s="207"/>
      <c r="B743" s="325"/>
      <c r="C743" s="326"/>
      <c r="D743" s="327"/>
      <c r="E743" s="328"/>
      <c r="F743" s="329"/>
      <c r="G743" s="330"/>
      <c r="H743" s="295"/>
      <c r="I743" s="295"/>
      <c r="J743" s="295"/>
      <c r="K743" s="295"/>
      <c r="L743" s="295"/>
      <c r="M743" s="295"/>
      <c r="N743" s="301"/>
    </row>
    <row r="744" spans="1:14">
      <c r="A744" s="207"/>
      <c r="B744" s="325"/>
      <c r="C744" s="326"/>
      <c r="D744" s="327"/>
      <c r="E744" s="328"/>
      <c r="F744" s="329"/>
      <c r="G744" s="330"/>
      <c r="H744" s="295"/>
      <c r="I744" s="295"/>
      <c r="J744" s="295"/>
      <c r="K744" s="295"/>
      <c r="L744" s="295"/>
      <c r="M744" s="295"/>
      <c r="N744" s="301"/>
    </row>
    <row r="745" spans="1:14">
      <c r="A745" s="207"/>
      <c r="B745" s="325"/>
      <c r="C745" s="326"/>
      <c r="D745" s="327"/>
      <c r="E745" s="328"/>
      <c r="F745" s="329"/>
      <c r="G745" s="330"/>
      <c r="H745" s="295"/>
      <c r="I745" s="295"/>
      <c r="J745" s="295"/>
      <c r="K745" s="295"/>
      <c r="L745" s="295"/>
      <c r="M745" s="295"/>
      <c r="N745" s="301"/>
    </row>
    <row r="746" spans="1:14">
      <c r="A746" s="207"/>
      <c r="B746" s="325"/>
      <c r="C746" s="326"/>
      <c r="D746" s="327"/>
      <c r="E746" s="328"/>
      <c r="F746" s="329"/>
      <c r="G746" s="330"/>
      <c r="H746" s="295"/>
      <c r="I746" s="295"/>
      <c r="J746" s="295"/>
      <c r="K746" s="295"/>
      <c r="L746" s="295"/>
      <c r="M746" s="295"/>
      <c r="N746" s="301"/>
    </row>
    <row r="747" spans="1:14">
      <c r="A747" s="207"/>
      <c r="B747" s="325"/>
      <c r="C747" s="326"/>
      <c r="D747" s="327"/>
      <c r="E747" s="328"/>
      <c r="F747" s="329"/>
      <c r="G747" s="330"/>
      <c r="H747" s="295"/>
      <c r="I747" s="295"/>
      <c r="J747" s="295"/>
      <c r="K747" s="295"/>
      <c r="L747" s="295"/>
      <c r="M747" s="295"/>
      <c r="N747" s="301"/>
    </row>
    <row r="748" spans="1:14">
      <c r="A748" s="207"/>
      <c r="B748" s="325"/>
      <c r="C748" s="326"/>
      <c r="D748" s="327"/>
      <c r="E748" s="328"/>
      <c r="F748" s="329"/>
      <c r="G748" s="330"/>
      <c r="H748" s="295"/>
      <c r="I748" s="295"/>
      <c r="J748" s="295"/>
      <c r="K748" s="295"/>
      <c r="L748" s="295"/>
      <c r="M748" s="295"/>
      <c r="N748" s="301"/>
    </row>
    <row r="749" spans="1:14">
      <c r="A749" s="207"/>
      <c r="B749" s="325"/>
      <c r="C749" s="326"/>
      <c r="D749" s="327"/>
      <c r="E749" s="328"/>
      <c r="F749" s="329"/>
      <c r="G749" s="330"/>
      <c r="H749" s="295"/>
      <c r="I749" s="295"/>
      <c r="J749" s="295"/>
      <c r="K749" s="295"/>
      <c r="L749" s="295"/>
      <c r="M749" s="295"/>
      <c r="N749" s="301"/>
    </row>
    <row r="750" spans="1:14">
      <c r="A750" s="207"/>
      <c r="B750" s="325"/>
      <c r="C750" s="326"/>
      <c r="D750" s="327"/>
      <c r="E750" s="328"/>
      <c r="F750" s="329"/>
      <c r="G750" s="330"/>
      <c r="H750" s="295"/>
      <c r="I750" s="295"/>
      <c r="J750" s="295"/>
      <c r="K750" s="295"/>
      <c r="L750" s="295"/>
      <c r="M750" s="295"/>
      <c r="N750" s="301"/>
    </row>
    <row r="751" spans="1:14">
      <c r="A751" s="207"/>
      <c r="B751" s="325"/>
      <c r="C751" s="326"/>
      <c r="D751" s="327"/>
      <c r="E751" s="328"/>
      <c r="F751" s="329"/>
      <c r="G751" s="330"/>
      <c r="H751" s="295"/>
      <c r="I751" s="295"/>
      <c r="J751" s="295"/>
      <c r="K751" s="295"/>
      <c r="L751" s="295"/>
      <c r="M751" s="295"/>
      <c r="N751" s="301"/>
    </row>
    <row r="752" spans="1:14">
      <c r="A752" s="207"/>
      <c r="B752" s="325"/>
      <c r="C752" s="326"/>
      <c r="D752" s="327"/>
      <c r="E752" s="328"/>
      <c r="F752" s="329"/>
      <c r="G752" s="330"/>
      <c r="H752" s="295"/>
      <c r="I752" s="295"/>
      <c r="J752" s="295"/>
      <c r="K752" s="295"/>
      <c r="L752" s="295"/>
      <c r="M752" s="295"/>
      <c r="N752" s="301"/>
    </row>
    <row r="753" spans="1:14">
      <c r="A753" s="207"/>
      <c r="B753" s="325"/>
      <c r="C753" s="326"/>
      <c r="D753" s="327"/>
      <c r="E753" s="328"/>
      <c r="F753" s="329"/>
      <c r="G753" s="330"/>
      <c r="H753" s="295"/>
      <c r="I753" s="295"/>
      <c r="J753" s="295"/>
      <c r="K753" s="295"/>
      <c r="L753" s="295"/>
      <c r="M753" s="295"/>
      <c r="N753" s="301"/>
    </row>
    <row r="754" spans="1:14">
      <c r="A754" s="207"/>
      <c r="B754" s="325"/>
      <c r="C754" s="326"/>
      <c r="D754" s="327"/>
      <c r="E754" s="328"/>
      <c r="F754" s="329"/>
      <c r="G754" s="330"/>
      <c r="H754" s="295"/>
      <c r="I754" s="295"/>
      <c r="J754" s="295"/>
      <c r="K754" s="295"/>
      <c r="L754" s="295"/>
      <c r="M754" s="295"/>
      <c r="N754" s="301"/>
    </row>
    <row r="755" spans="1:14">
      <c r="A755" s="207"/>
      <c r="B755" s="325"/>
      <c r="C755" s="326"/>
      <c r="D755" s="327"/>
      <c r="E755" s="328"/>
      <c r="F755" s="329"/>
      <c r="G755" s="330"/>
      <c r="H755" s="295"/>
      <c r="I755" s="295"/>
      <c r="J755" s="295"/>
      <c r="K755" s="295"/>
      <c r="L755" s="295"/>
      <c r="M755" s="295"/>
      <c r="N755" s="301"/>
    </row>
    <row r="756" spans="1:14">
      <c r="A756" s="207"/>
      <c r="B756" s="325"/>
      <c r="C756" s="326"/>
      <c r="D756" s="327"/>
      <c r="E756" s="328"/>
      <c r="F756" s="329"/>
      <c r="G756" s="330"/>
      <c r="H756" s="295"/>
      <c r="I756" s="295"/>
      <c r="J756" s="295"/>
      <c r="K756" s="295"/>
      <c r="L756" s="295"/>
      <c r="M756" s="295"/>
      <c r="N756" s="301"/>
    </row>
    <row r="757" spans="1:14">
      <c r="A757" s="207"/>
      <c r="B757" s="325"/>
      <c r="C757" s="326"/>
      <c r="D757" s="327"/>
      <c r="E757" s="328"/>
      <c r="F757" s="329"/>
      <c r="G757" s="330"/>
      <c r="H757" s="295"/>
      <c r="I757" s="295"/>
      <c r="J757" s="295"/>
      <c r="K757" s="295"/>
      <c r="L757" s="295"/>
      <c r="M757" s="295"/>
      <c r="N757" s="301"/>
    </row>
    <row r="758" spans="1:14">
      <c r="A758" s="207"/>
      <c r="B758" s="325"/>
      <c r="C758" s="326"/>
      <c r="D758" s="327"/>
      <c r="E758" s="328"/>
      <c r="F758" s="329"/>
      <c r="G758" s="330"/>
      <c r="H758" s="295"/>
      <c r="I758" s="295"/>
      <c r="J758" s="295"/>
      <c r="K758" s="295"/>
      <c r="L758" s="295"/>
      <c r="M758" s="295"/>
      <c r="N758" s="301"/>
    </row>
    <row r="759" spans="1:14">
      <c r="A759" s="207"/>
      <c r="B759" s="325"/>
      <c r="C759" s="326"/>
      <c r="D759" s="327"/>
      <c r="E759" s="328"/>
      <c r="F759" s="329"/>
      <c r="G759" s="330"/>
      <c r="H759" s="295"/>
      <c r="I759" s="295"/>
      <c r="J759" s="295"/>
      <c r="K759" s="295"/>
      <c r="L759" s="295"/>
      <c r="M759" s="295"/>
      <c r="N759" s="301"/>
    </row>
    <row r="760" spans="1:14">
      <c r="A760" s="207"/>
      <c r="B760" s="325"/>
      <c r="C760" s="326"/>
      <c r="D760" s="327"/>
      <c r="E760" s="328"/>
      <c r="F760" s="329"/>
      <c r="G760" s="330"/>
      <c r="H760" s="295"/>
      <c r="I760" s="295"/>
      <c r="J760" s="295"/>
      <c r="K760" s="295"/>
      <c r="L760" s="295"/>
      <c r="M760" s="295"/>
      <c r="N760" s="301"/>
    </row>
    <row r="761" spans="1:14">
      <c r="A761" s="207"/>
      <c r="B761" s="325"/>
      <c r="C761" s="326"/>
      <c r="D761" s="327"/>
      <c r="E761" s="328"/>
      <c r="F761" s="329"/>
      <c r="G761" s="330"/>
      <c r="H761" s="295"/>
      <c r="I761" s="295"/>
      <c r="J761" s="295"/>
      <c r="K761" s="295"/>
      <c r="L761" s="295"/>
      <c r="M761" s="295"/>
      <c r="N761" s="301"/>
    </row>
    <row r="762" spans="1:14">
      <c r="A762" s="207"/>
      <c r="B762" s="325"/>
      <c r="C762" s="326"/>
      <c r="D762" s="327"/>
      <c r="E762" s="328"/>
      <c r="F762" s="329"/>
      <c r="G762" s="330"/>
      <c r="H762" s="295"/>
      <c r="I762" s="295"/>
      <c r="J762" s="295"/>
      <c r="K762" s="295"/>
      <c r="L762" s="295"/>
      <c r="M762" s="295"/>
      <c r="N762" s="301"/>
    </row>
    <row r="763" spans="1:14">
      <c r="A763" s="207"/>
      <c r="B763" s="325"/>
      <c r="C763" s="326"/>
      <c r="D763" s="327"/>
      <c r="E763" s="328"/>
      <c r="F763" s="329"/>
      <c r="G763" s="330"/>
      <c r="H763" s="295"/>
      <c r="I763" s="295"/>
      <c r="J763" s="295"/>
      <c r="K763" s="295"/>
      <c r="L763" s="295"/>
      <c r="M763" s="295"/>
      <c r="N763" s="301"/>
    </row>
    <row r="764" spans="1:14">
      <c r="A764" s="207"/>
      <c r="B764" s="325"/>
      <c r="C764" s="326"/>
      <c r="D764" s="327"/>
      <c r="E764" s="328"/>
      <c r="F764" s="329"/>
      <c r="G764" s="330"/>
      <c r="H764" s="295"/>
      <c r="I764" s="295"/>
      <c r="J764" s="295"/>
      <c r="K764" s="295"/>
      <c r="L764" s="295"/>
      <c r="M764" s="295"/>
      <c r="N764" s="301"/>
    </row>
    <row r="765" spans="1:14">
      <c r="A765" s="207"/>
      <c r="B765" s="325"/>
      <c r="C765" s="326"/>
      <c r="D765" s="327"/>
      <c r="E765" s="328"/>
      <c r="F765" s="329"/>
      <c r="G765" s="330"/>
      <c r="H765" s="295"/>
      <c r="I765" s="295"/>
      <c r="J765" s="295"/>
      <c r="K765" s="295"/>
      <c r="L765" s="295"/>
      <c r="M765" s="295"/>
      <c r="N765" s="301"/>
    </row>
    <row r="766" spans="1:14">
      <c r="A766" s="207"/>
      <c r="B766" s="325"/>
      <c r="C766" s="326"/>
      <c r="D766" s="327"/>
      <c r="E766" s="328"/>
      <c r="F766" s="329"/>
      <c r="G766" s="330"/>
      <c r="H766" s="295"/>
      <c r="I766" s="295"/>
      <c r="J766" s="295"/>
      <c r="K766" s="295"/>
      <c r="L766" s="295"/>
      <c r="M766" s="295"/>
      <c r="N766" s="301"/>
    </row>
    <row r="767" spans="1:14">
      <c r="A767" s="207"/>
      <c r="B767" s="325"/>
      <c r="C767" s="326"/>
      <c r="D767" s="327"/>
      <c r="E767" s="328"/>
      <c r="F767" s="329"/>
      <c r="G767" s="330"/>
      <c r="H767" s="295"/>
      <c r="I767" s="295"/>
      <c r="J767" s="295"/>
      <c r="K767" s="295"/>
      <c r="L767" s="295"/>
      <c r="M767" s="295"/>
      <c r="N767" s="301"/>
    </row>
    <row r="768" spans="1:14">
      <c r="A768" s="207"/>
      <c r="B768" s="325"/>
      <c r="C768" s="326"/>
      <c r="D768" s="327"/>
      <c r="E768" s="328"/>
      <c r="F768" s="329"/>
      <c r="G768" s="330"/>
      <c r="H768" s="295"/>
      <c r="I768" s="295"/>
      <c r="J768" s="295"/>
      <c r="K768" s="295"/>
      <c r="L768" s="295"/>
      <c r="M768" s="295"/>
      <c r="N768" s="301"/>
    </row>
    <row r="769" spans="1:14">
      <c r="A769" s="207"/>
      <c r="B769" s="325"/>
      <c r="C769" s="326"/>
      <c r="D769" s="327"/>
      <c r="E769" s="328"/>
      <c r="F769" s="329"/>
      <c r="G769" s="330"/>
      <c r="H769" s="295"/>
      <c r="I769" s="295"/>
      <c r="J769" s="295"/>
      <c r="K769" s="295"/>
      <c r="L769" s="295"/>
      <c r="M769" s="295"/>
      <c r="N769" s="301"/>
    </row>
    <row r="770" spans="1:14">
      <c r="A770" s="207"/>
      <c r="B770" s="325"/>
      <c r="C770" s="326"/>
      <c r="D770" s="327"/>
      <c r="E770" s="328"/>
      <c r="F770" s="329"/>
      <c r="G770" s="330"/>
      <c r="H770" s="295"/>
      <c r="I770" s="295"/>
      <c r="J770" s="295"/>
      <c r="K770" s="295"/>
      <c r="L770" s="295"/>
      <c r="M770" s="295"/>
      <c r="N770" s="301"/>
    </row>
    <row r="771" spans="1:14">
      <c r="A771" s="207"/>
      <c r="B771" s="325"/>
      <c r="C771" s="326"/>
      <c r="D771" s="327"/>
      <c r="E771" s="328"/>
      <c r="F771" s="329"/>
      <c r="G771" s="330"/>
      <c r="H771" s="295"/>
      <c r="I771" s="295"/>
      <c r="J771" s="295"/>
      <c r="K771" s="295"/>
      <c r="L771" s="295"/>
      <c r="M771" s="295"/>
      <c r="N771" s="301"/>
    </row>
    <row r="772" spans="1:14">
      <c r="A772" s="207"/>
      <c r="B772" s="325"/>
      <c r="C772" s="326"/>
      <c r="D772" s="327"/>
      <c r="E772" s="328"/>
      <c r="F772" s="329"/>
      <c r="G772" s="330"/>
      <c r="H772" s="295"/>
      <c r="I772" s="295"/>
      <c r="J772" s="295"/>
      <c r="K772" s="295"/>
      <c r="L772" s="295"/>
      <c r="M772" s="295"/>
      <c r="N772" s="301"/>
    </row>
    <row r="773" spans="1:14">
      <c r="A773" s="207"/>
      <c r="B773" s="325"/>
      <c r="C773" s="326"/>
      <c r="D773" s="327"/>
      <c r="E773" s="328"/>
      <c r="F773" s="329"/>
      <c r="G773" s="330"/>
      <c r="H773" s="295"/>
      <c r="I773" s="295"/>
      <c r="J773" s="295"/>
      <c r="K773" s="295"/>
      <c r="L773" s="295"/>
      <c r="M773" s="295"/>
      <c r="N773" s="301"/>
    </row>
    <row r="774" spans="1:14">
      <c r="A774" s="207"/>
      <c r="B774" s="325"/>
      <c r="C774" s="326"/>
      <c r="D774" s="327"/>
      <c r="E774" s="328"/>
      <c r="F774" s="329"/>
      <c r="G774" s="330"/>
      <c r="H774" s="295"/>
      <c r="I774" s="295"/>
      <c r="J774" s="295"/>
      <c r="K774" s="295"/>
      <c r="L774" s="295"/>
      <c r="M774" s="295"/>
      <c r="N774" s="301"/>
    </row>
    <row r="775" spans="1:14">
      <c r="A775" s="207"/>
      <c r="B775" s="325"/>
      <c r="C775" s="326"/>
      <c r="D775" s="327"/>
      <c r="E775" s="328"/>
      <c r="F775" s="329"/>
      <c r="G775" s="330"/>
      <c r="H775" s="295"/>
      <c r="I775" s="295"/>
      <c r="J775" s="295"/>
      <c r="K775" s="295"/>
      <c r="L775" s="295"/>
      <c r="M775" s="295"/>
      <c r="N775" s="301"/>
    </row>
    <row r="776" spans="1:14">
      <c r="A776" s="207"/>
      <c r="B776" s="325"/>
      <c r="C776" s="326"/>
      <c r="D776" s="327"/>
      <c r="E776" s="328"/>
      <c r="F776" s="329"/>
      <c r="G776" s="330"/>
      <c r="H776" s="295"/>
      <c r="I776" s="295"/>
      <c r="J776" s="295"/>
      <c r="K776" s="295"/>
      <c r="L776" s="295"/>
      <c r="M776" s="295"/>
      <c r="N776" s="301"/>
    </row>
    <row r="777" spans="1:14">
      <c r="A777" s="207"/>
      <c r="B777" s="325"/>
      <c r="C777" s="326"/>
      <c r="D777" s="327"/>
      <c r="E777" s="328"/>
      <c r="F777" s="329"/>
      <c r="G777" s="330"/>
      <c r="H777" s="295"/>
      <c r="I777" s="295"/>
      <c r="J777" s="295"/>
      <c r="K777" s="295"/>
      <c r="L777" s="295"/>
      <c r="M777" s="295"/>
      <c r="N777" s="301"/>
    </row>
    <row r="778" spans="1:14">
      <c r="A778" s="207"/>
      <c r="B778" s="325"/>
      <c r="C778" s="326"/>
      <c r="D778" s="327"/>
      <c r="E778" s="328"/>
      <c r="F778" s="329"/>
      <c r="G778" s="330"/>
      <c r="H778" s="295"/>
      <c r="I778" s="295"/>
      <c r="J778" s="295"/>
      <c r="K778" s="295"/>
      <c r="L778" s="295"/>
      <c r="M778" s="295"/>
      <c r="N778" s="301"/>
    </row>
    <row r="779" spans="1:14">
      <c r="A779" s="207"/>
      <c r="B779" s="325"/>
      <c r="C779" s="326"/>
      <c r="D779" s="327"/>
      <c r="E779" s="328"/>
      <c r="F779" s="329"/>
      <c r="G779" s="330"/>
      <c r="H779" s="295"/>
      <c r="I779" s="295"/>
      <c r="J779" s="295"/>
      <c r="K779" s="295"/>
      <c r="L779" s="295"/>
      <c r="M779" s="295"/>
      <c r="N779" s="301"/>
    </row>
    <row r="780" spans="1:14">
      <c r="A780" s="207"/>
      <c r="B780" s="325"/>
      <c r="C780" s="326"/>
      <c r="D780" s="327"/>
      <c r="E780" s="328"/>
      <c r="F780" s="329"/>
      <c r="G780" s="330"/>
      <c r="H780" s="295"/>
      <c r="I780" s="295"/>
      <c r="J780" s="295"/>
      <c r="K780" s="295"/>
      <c r="L780" s="295"/>
      <c r="M780" s="295"/>
      <c r="N780" s="301"/>
    </row>
    <row r="781" spans="1:14">
      <c r="A781" s="207"/>
      <c r="B781" s="325"/>
      <c r="C781" s="326"/>
      <c r="D781" s="327"/>
      <c r="E781" s="328"/>
      <c r="F781" s="329"/>
      <c r="G781" s="330"/>
      <c r="H781" s="295"/>
      <c r="I781" s="295"/>
      <c r="J781" s="295"/>
      <c r="K781" s="295"/>
      <c r="L781" s="295"/>
      <c r="M781" s="295"/>
      <c r="N781" s="301"/>
    </row>
    <row r="782" spans="1:14">
      <c r="A782" s="207"/>
      <c r="B782" s="325"/>
      <c r="C782" s="326"/>
      <c r="D782" s="327"/>
      <c r="E782" s="328"/>
      <c r="F782" s="329"/>
      <c r="G782" s="330"/>
      <c r="H782" s="295"/>
      <c r="I782" s="295"/>
      <c r="J782" s="295"/>
      <c r="K782" s="295"/>
      <c r="L782" s="295"/>
      <c r="M782" s="295"/>
      <c r="N782" s="301"/>
    </row>
    <row r="783" spans="1:14">
      <c r="A783" s="207"/>
      <c r="B783" s="325"/>
      <c r="C783" s="326"/>
      <c r="D783" s="327"/>
      <c r="E783" s="328"/>
      <c r="F783" s="329"/>
      <c r="G783" s="330"/>
      <c r="H783" s="295"/>
      <c r="I783" s="295"/>
      <c r="J783" s="295"/>
      <c r="K783" s="295"/>
      <c r="L783" s="295"/>
      <c r="M783" s="295"/>
      <c r="N783" s="301"/>
    </row>
    <row r="784" spans="1:14">
      <c r="A784" s="207"/>
      <c r="B784" s="325"/>
      <c r="C784" s="326"/>
      <c r="D784" s="327"/>
      <c r="E784" s="328"/>
      <c r="F784" s="329"/>
      <c r="G784" s="330"/>
      <c r="H784" s="295"/>
      <c r="I784" s="295"/>
      <c r="J784" s="295"/>
      <c r="K784" s="295"/>
      <c r="L784" s="295"/>
      <c r="M784" s="295"/>
      <c r="N784" s="301"/>
    </row>
    <row r="785" spans="1:14">
      <c r="A785" s="207"/>
      <c r="B785" s="325"/>
      <c r="C785" s="326"/>
      <c r="D785" s="327"/>
      <c r="E785" s="328"/>
      <c r="F785" s="329"/>
      <c r="G785" s="330"/>
      <c r="H785" s="295"/>
      <c r="I785" s="295"/>
      <c r="J785" s="295"/>
      <c r="K785" s="295"/>
      <c r="L785" s="295"/>
      <c r="M785" s="295"/>
      <c r="N785" s="301"/>
    </row>
    <row r="786" spans="1:14">
      <c r="A786" s="207"/>
      <c r="B786" s="325"/>
      <c r="C786" s="326"/>
      <c r="D786" s="327"/>
      <c r="E786" s="328"/>
      <c r="F786" s="329"/>
      <c r="G786" s="330"/>
      <c r="H786" s="295"/>
      <c r="I786" s="295"/>
      <c r="J786" s="295"/>
      <c r="K786" s="295"/>
      <c r="L786" s="295"/>
      <c r="M786" s="295"/>
      <c r="N786" s="301"/>
    </row>
    <row r="787" spans="1:14">
      <c r="A787" s="207"/>
      <c r="B787" s="325"/>
      <c r="C787" s="326"/>
      <c r="D787" s="327"/>
      <c r="E787" s="328"/>
      <c r="F787" s="329"/>
      <c r="G787" s="330"/>
      <c r="H787" s="295"/>
      <c r="I787" s="295"/>
      <c r="J787" s="295"/>
      <c r="K787" s="295"/>
      <c r="L787" s="295"/>
      <c r="M787" s="295"/>
      <c r="N787" s="301"/>
    </row>
    <row r="788" spans="1:14">
      <c r="A788" s="207"/>
      <c r="B788" s="325"/>
      <c r="C788" s="326"/>
      <c r="D788" s="327"/>
      <c r="E788" s="328"/>
      <c r="F788" s="329"/>
      <c r="G788" s="330"/>
      <c r="H788" s="295"/>
      <c r="I788" s="295"/>
      <c r="J788" s="295"/>
      <c r="K788" s="295"/>
      <c r="L788" s="295"/>
      <c r="M788" s="295"/>
      <c r="N788" s="301"/>
    </row>
    <row r="789" spans="1:14">
      <c r="A789" s="207"/>
      <c r="B789" s="325"/>
      <c r="C789" s="326"/>
      <c r="D789" s="327"/>
      <c r="E789" s="328"/>
      <c r="F789" s="329"/>
      <c r="G789" s="330"/>
      <c r="H789" s="295"/>
      <c r="I789" s="295"/>
      <c r="J789" s="295"/>
      <c r="K789" s="295"/>
      <c r="L789" s="295"/>
      <c r="M789" s="295"/>
      <c r="N789" s="301"/>
    </row>
    <row r="790" spans="1:14">
      <c r="A790" s="207"/>
      <c r="B790" s="325"/>
      <c r="C790" s="326"/>
      <c r="D790" s="327"/>
      <c r="E790" s="328"/>
      <c r="F790" s="329"/>
      <c r="G790" s="330"/>
      <c r="H790" s="295"/>
      <c r="I790" s="295"/>
      <c r="J790" s="295"/>
      <c r="K790" s="295"/>
      <c r="L790" s="295"/>
      <c r="M790" s="295"/>
      <c r="N790" s="301"/>
    </row>
    <row r="791" spans="1:14">
      <c r="A791" s="207"/>
      <c r="B791" s="325"/>
      <c r="C791" s="326"/>
      <c r="D791" s="327"/>
      <c r="E791" s="328"/>
      <c r="F791" s="329"/>
      <c r="G791" s="330"/>
      <c r="H791" s="295"/>
      <c r="I791" s="295"/>
      <c r="J791" s="295"/>
      <c r="K791" s="295"/>
      <c r="L791" s="295"/>
      <c r="M791" s="295"/>
      <c r="N791" s="301"/>
    </row>
    <row r="792" spans="1:14">
      <c r="A792" s="207"/>
      <c r="B792" s="325"/>
      <c r="C792" s="326"/>
      <c r="D792" s="327"/>
      <c r="E792" s="328"/>
      <c r="F792" s="329"/>
      <c r="G792" s="330"/>
      <c r="H792" s="295"/>
      <c r="I792" s="295"/>
      <c r="J792" s="295"/>
      <c r="K792" s="295"/>
      <c r="L792" s="295"/>
      <c r="M792" s="295"/>
      <c r="N792" s="301"/>
    </row>
    <row r="793" spans="1:14">
      <c r="A793" s="207"/>
      <c r="B793" s="325"/>
      <c r="C793" s="326"/>
      <c r="D793" s="327"/>
      <c r="E793" s="328"/>
      <c r="F793" s="329"/>
      <c r="G793" s="330"/>
      <c r="H793" s="295"/>
      <c r="I793" s="295"/>
      <c r="J793" s="295"/>
      <c r="K793" s="295"/>
      <c r="L793" s="295"/>
      <c r="M793" s="295"/>
      <c r="N793" s="301"/>
    </row>
    <row r="794" spans="1:14">
      <c r="A794" s="207"/>
      <c r="B794" s="325"/>
      <c r="C794" s="326"/>
      <c r="D794" s="327"/>
      <c r="E794" s="328"/>
      <c r="F794" s="329"/>
      <c r="G794" s="330"/>
      <c r="H794" s="295"/>
      <c r="I794" s="295"/>
      <c r="J794" s="295"/>
      <c r="K794" s="295"/>
      <c r="L794" s="295"/>
      <c r="M794" s="295"/>
      <c r="N794" s="301"/>
    </row>
    <row r="795" spans="1:14">
      <c r="A795" s="207"/>
      <c r="B795" s="325"/>
      <c r="C795" s="326"/>
      <c r="D795" s="327"/>
      <c r="E795" s="328"/>
      <c r="F795" s="329"/>
      <c r="G795" s="330"/>
      <c r="H795" s="295"/>
      <c r="I795" s="295"/>
      <c r="J795" s="295"/>
      <c r="K795" s="295"/>
      <c r="L795" s="295"/>
      <c r="M795" s="295"/>
      <c r="N795" s="301"/>
    </row>
    <row r="796" spans="1:14">
      <c r="A796" s="207"/>
      <c r="B796" s="325"/>
      <c r="C796" s="326"/>
      <c r="D796" s="327"/>
      <c r="E796" s="328"/>
      <c r="F796" s="329"/>
      <c r="G796" s="330"/>
      <c r="H796" s="295"/>
      <c r="I796" s="295"/>
      <c r="J796" s="295"/>
      <c r="K796" s="295"/>
      <c r="L796" s="295"/>
      <c r="M796" s="295"/>
      <c r="N796" s="301"/>
    </row>
    <row r="797" spans="1:14">
      <c r="A797" s="207"/>
      <c r="B797" s="325"/>
      <c r="C797" s="326"/>
      <c r="D797" s="327"/>
      <c r="E797" s="328"/>
      <c r="F797" s="329"/>
      <c r="G797" s="330"/>
      <c r="H797" s="295"/>
      <c r="I797" s="295"/>
      <c r="J797" s="295"/>
      <c r="K797" s="295"/>
      <c r="L797" s="295"/>
      <c r="M797" s="295"/>
      <c r="N797" s="301"/>
    </row>
    <row r="798" spans="1:14">
      <c r="A798" s="207"/>
      <c r="B798" s="325"/>
      <c r="C798" s="326"/>
      <c r="D798" s="327"/>
      <c r="E798" s="328"/>
      <c r="F798" s="329"/>
      <c r="G798" s="330"/>
      <c r="H798" s="295"/>
      <c r="I798" s="295"/>
      <c r="J798" s="295"/>
      <c r="K798" s="295"/>
      <c r="L798" s="295"/>
      <c r="M798" s="295"/>
      <c r="N798" s="301"/>
    </row>
    <row r="799" spans="1:14">
      <c r="A799" s="207"/>
      <c r="B799" s="325"/>
      <c r="C799" s="326"/>
      <c r="D799" s="327"/>
      <c r="E799" s="328"/>
      <c r="F799" s="329"/>
      <c r="G799" s="330"/>
      <c r="H799" s="295"/>
      <c r="I799" s="295"/>
      <c r="J799" s="295"/>
      <c r="K799" s="295"/>
      <c r="L799" s="295"/>
      <c r="M799" s="295"/>
      <c r="N799" s="301"/>
    </row>
    <row r="800" spans="1:14">
      <c r="A800" s="207"/>
      <c r="B800" s="325"/>
      <c r="C800" s="326"/>
      <c r="D800" s="327"/>
      <c r="E800" s="328"/>
      <c r="F800" s="329"/>
      <c r="G800" s="330"/>
      <c r="H800" s="295"/>
      <c r="I800" s="295"/>
      <c r="J800" s="295"/>
      <c r="K800" s="295"/>
      <c r="L800" s="295"/>
      <c r="M800" s="295"/>
      <c r="N800" s="301"/>
    </row>
    <row r="801" spans="1:14">
      <c r="A801" s="207"/>
      <c r="B801" s="325"/>
      <c r="C801" s="326"/>
      <c r="D801" s="327"/>
      <c r="E801" s="328"/>
      <c r="F801" s="329"/>
      <c r="G801" s="330"/>
      <c r="H801" s="295"/>
      <c r="I801" s="295"/>
      <c r="J801" s="295"/>
      <c r="K801" s="295"/>
      <c r="L801" s="295"/>
      <c r="M801" s="295"/>
      <c r="N801" s="301"/>
    </row>
    <row r="802" spans="1:14">
      <c r="A802" s="207"/>
      <c r="B802" s="325"/>
      <c r="C802" s="326"/>
      <c r="D802" s="327"/>
      <c r="E802" s="328"/>
      <c r="F802" s="329"/>
      <c r="G802" s="330"/>
      <c r="H802" s="295"/>
      <c r="I802" s="295"/>
      <c r="J802" s="295"/>
      <c r="K802" s="295"/>
      <c r="L802" s="295"/>
      <c r="M802" s="295"/>
      <c r="N802" s="301"/>
    </row>
    <row r="803" spans="1:14">
      <c r="A803" s="207"/>
      <c r="B803" s="325"/>
      <c r="C803" s="326"/>
      <c r="D803" s="327"/>
      <c r="E803" s="328"/>
      <c r="F803" s="329"/>
      <c r="G803" s="330"/>
      <c r="H803" s="295"/>
      <c r="I803" s="295"/>
      <c r="J803" s="295"/>
      <c r="K803" s="295"/>
      <c r="L803" s="295"/>
      <c r="M803" s="295"/>
      <c r="N803" s="301"/>
    </row>
    <row r="804" spans="1:14">
      <c r="A804" s="207"/>
      <c r="B804" s="325"/>
      <c r="C804" s="326"/>
      <c r="D804" s="327"/>
      <c r="E804" s="328"/>
      <c r="F804" s="329"/>
      <c r="G804" s="330"/>
      <c r="H804" s="295"/>
      <c r="I804" s="295"/>
      <c r="J804" s="295"/>
      <c r="K804" s="295"/>
      <c r="L804" s="295"/>
      <c r="M804" s="295"/>
      <c r="N804" s="301"/>
    </row>
    <row r="805" spans="1:14">
      <c r="A805" s="207"/>
      <c r="B805" s="325"/>
      <c r="C805" s="326"/>
      <c r="D805" s="327"/>
      <c r="E805" s="328"/>
      <c r="F805" s="329"/>
      <c r="G805" s="330"/>
      <c r="H805" s="295"/>
      <c r="I805" s="295"/>
      <c r="J805" s="295"/>
      <c r="K805" s="295"/>
      <c r="L805" s="295"/>
      <c r="M805" s="295"/>
      <c r="N805" s="301"/>
    </row>
    <row r="806" spans="1:14">
      <c r="A806" s="207"/>
      <c r="B806" s="325"/>
      <c r="C806" s="326"/>
      <c r="D806" s="327"/>
      <c r="E806" s="328"/>
      <c r="F806" s="329"/>
      <c r="G806" s="330"/>
      <c r="H806" s="295"/>
      <c r="I806" s="295"/>
      <c r="J806" s="295"/>
      <c r="K806" s="295"/>
      <c r="L806" s="295"/>
      <c r="M806" s="295"/>
      <c r="N806" s="301"/>
    </row>
    <row r="807" spans="1:14">
      <c r="A807" s="207"/>
      <c r="B807" s="325"/>
      <c r="C807" s="326"/>
      <c r="D807" s="327"/>
      <c r="E807" s="328"/>
      <c r="F807" s="329"/>
      <c r="G807" s="330"/>
      <c r="H807" s="295"/>
      <c r="I807" s="295"/>
      <c r="J807" s="295"/>
      <c r="K807" s="295"/>
      <c r="L807" s="295"/>
      <c r="M807" s="295"/>
      <c r="N807" s="301"/>
    </row>
    <row r="808" spans="1:14">
      <c r="A808" s="207"/>
      <c r="B808" s="325"/>
      <c r="C808" s="326"/>
      <c r="D808" s="327"/>
      <c r="E808" s="328"/>
      <c r="F808" s="329"/>
      <c r="G808" s="330"/>
      <c r="H808" s="295"/>
      <c r="I808" s="295"/>
      <c r="J808" s="295"/>
      <c r="K808" s="295"/>
      <c r="L808" s="295"/>
      <c r="M808" s="295"/>
      <c r="N808" s="301"/>
    </row>
    <row r="809" spans="1:14">
      <c r="A809" s="207"/>
      <c r="B809" s="325"/>
      <c r="C809" s="326"/>
      <c r="D809" s="327"/>
      <c r="E809" s="328"/>
      <c r="F809" s="329"/>
      <c r="G809" s="330"/>
      <c r="H809" s="295"/>
      <c r="I809" s="295"/>
      <c r="J809" s="295"/>
      <c r="K809" s="295"/>
      <c r="L809" s="295"/>
      <c r="M809" s="295"/>
      <c r="N809" s="301"/>
    </row>
    <row r="810" spans="1:14">
      <c r="A810" s="207"/>
      <c r="B810" s="325"/>
      <c r="C810" s="326"/>
      <c r="D810" s="327"/>
      <c r="E810" s="328"/>
      <c r="F810" s="329"/>
      <c r="G810" s="330"/>
      <c r="H810" s="295"/>
      <c r="I810" s="295"/>
      <c r="J810" s="295"/>
      <c r="K810" s="295"/>
      <c r="L810" s="295"/>
      <c r="M810" s="295"/>
      <c r="N810" s="301"/>
    </row>
    <row r="811" spans="1:14">
      <c r="A811" s="207"/>
      <c r="B811" s="325"/>
      <c r="C811" s="326"/>
      <c r="D811" s="327"/>
      <c r="E811" s="328"/>
      <c r="F811" s="329"/>
      <c r="G811" s="330"/>
      <c r="H811" s="295"/>
      <c r="I811" s="295"/>
      <c r="J811" s="295"/>
      <c r="K811" s="295"/>
      <c r="L811" s="295"/>
      <c r="M811" s="295"/>
      <c r="N811" s="301"/>
    </row>
    <row r="812" spans="1:14">
      <c r="A812" s="207"/>
      <c r="B812" s="325"/>
      <c r="C812" s="326"/>
      <c r="D812" s="327"/>
      <c r="E812" s="328"/>
      <c r="F812" s="329"/>
      <c r="G812" s="330"/>
      <c r="H812" s="295"/>
      <c r="I812" s="295"/>
      <c r="J812" s="295"/>
      <c r="K812" s="295"/>
      <c r="L812" s="295"/>
      <c r="M812" s="295"/>
      <c r="N812" s="301"/>
    </row>
    <row r="813" spans="1:14">
      <c r="A813" s="207"/>
      <c r="B813" s="325"/>
      <c r="C813" s="326"/>
      <c r="D813" s="327"/>
      <c r="E813" s="328"/>
      <c r="F813" s="329"/>
      <c r="G813" s="330"/>
      <c r="H813" s="295"/>
      <c r="I813" s="295"/>
      <c r="J813" s="295"/>
      <c r="K813" s="295"/>
      <c r="L813" s="295"/>
      <c r="M813" s="295"/>
      <c r="N813" s="301"/>
    </row>
    <row r="814" spans="1:14">
      <c r="A814" s="207"/>
      <c r="B814" s="325"/>
      <c r="C814" s="326"/>
      <c r="D814" s="327"/>
      <c r="E814" s="328"/>
      <c r="F814" s="329"/>
      <c r="G814" s="330"/>
      <c r="H814" s="295"/>
      <c r="I814" s="295"/>
      <c r="J814" s="295"/>
      <c r="K814" s="295"/>
      <c r="L814" s="295"/>
      <c r="M814" s="295"/>
      <c r="N814" s="301"/>
    </row>
    <row r="815" spans="1:14">
      <c r="A815" s="207"/>
      <c r="B815" s="325"/>
      <c r="C815" s="326"/>
      <c r="D815" s="327"/>
      <c r="E815" s="328"/>
      <c r="F815" s="329"/>
      <c r="G815" s="330"/>
      <c r="H815" s="295"/>
      <c r="I815" s="295"/>
      <c r="J815" s="295"/>
      <c r="K815" s="295"/>
      <c r="L815" s="295"/>
      <c r="M815" s="295"/>
      <c r="N815" s="301"/>
    </row>
    <row r="816" spans="1:14">
      <c r="A816" s="207"/>
      <c r="B816" s="325"/>
      <c r="C816" s="326"/>
      <c r="D816" s="327"/>
      <c r="E816" s="328"/>
      <c r="F816" s="329"/>
      <c r="G816" s="330"/>
      <c r="H816" s="295"/>
      <c r="I816" s="295"/>
      <c r="J816" s="295"/>
      <c r="K816" s="295"/>
      <c r="L816" s="295"/>
      <c r="M816" s="295"/>
      <c r="N816" s="301"/>
    </row>
    <row r="817" spans="1:14">
      <c r="A817" s="207"/>
      <c r="B817" s="325"/>
      <c r="C817" s="326"/>
      <c r="D817" s="327"/>
      <c r="E817" s="328"/>
      <c r="F817" s="329"/>
      <c r="G817" s="330"/>
      <c r="H817" s="295"/>
      <c r="I817" s="295"/>
      <c r="J817" s="295"/>
      <c r="K817" s="295"/>
      <c r="L817" s="295"/>
      <c r="M817" s="295"/>
      <c r="N817" s="301"/>
    </row>
    <row r="818" spans="1:14">
      <c r="A818" s="207"/>
      <c r="B818" s="325"/>
      <c r="C818" s="326"/>
      <c r="D818" s="327"/>
      <c r="E818" s="328"/>
      <c r="F818" s="329"/>
      <c r="G818" s="330"/>
      <c r="H818" s="295"/>
      <c r="I818" s="295"/>
      <c r="J818" s="295"/>
      <c r="K818" s="295"/>
      <c r="L818" s="295"/>
      <c r="M818" s="295"/>
      <c r="N818" s="301"/>
    </row>
    <row r="819" spans="1:14">
      <c r="A819" s="207"/>
      <c r="B819" s="325"/>
      <c r="C819" s="326"/>
      <c r="D819" s="327"/>
      <c r="E819" s="328"/>
      <c r="F819" s="329"/>
      <c r="G819" s="330"/>
      <c r="H819" s="295"/>
      <c r="I819" s="295"/>
      <c r="J819" s="295"/>
      <c r="K819" s="295"/>
      <c r="L819" s="295"/>
      <c r="M819" s="295"/>
      <c r="N819" s="301"/>
    </row>
    <row r="820" spans="1:14">
      <c r="A820" s="207"/>
      <c r="B820" s="325"/>
      <c r="C820" s="326"/>
      <c r="D820" s="327"/>
      <c r="E820" s="328"/>
      <c r="F820" s="329"/>
      <c r="G820" s="330"/>
      <c r="H820" s="295"/>
      <c r="I820" s="295"/>
      <c r="J820" s="295"/>
      <c r="K820" s="295"/>
      <c r="L820" s="295"/>
      <c r="M820" s="295"/>
      <c r="N820" s="301"/>
    </row>
    <row r="821" spans="1:14">
      <c r="A821" s="207"/>
      <c r="B821" s="325"/>
      <c r="C821" s="326"/>
      <c r="D821" s="327"/>
      <c r="E821" s="328"/>
      <c r="F821" s="329"/>
      <c r="G821" s="330"/>
      <c r="H821" s="295"/>
      <c r="I821" s="295"/>
      <c r="J821" s="295"/>
      <c r="K821" s="295"/>
      <c r="L821" s="295"/>
      <c r="M821" s="295"/>
      <c r="N821" s="301"/>
    </row>
    <row r="822" spans="1:14">
      <c r="A822" s="207"/>
      <c r="B822" s="325"/>
      <c r="C822" s="326"/>
      <c r="D822" s="327"/>
      <c r="E822" s="328"/>
      <c r="F822" s="329"/>
      <c r="G822" s="330"/>
      <c r="H822" s="295"/>
      <c r="I822" s="295"/>
      <c r="J822" s="295"/>
      <c r="K822" s="295"/>
      <c r="L822" s="295"/>
      <c r="M822" s="295"/>
      <c r="N822" s="301"/>
    </row>
    <row r="823" spans="1:14">
      <c r="A823" s="207"/>
      <c r="B823" s="325"/>
      <c r="C823" s="326"/>
      <c r="D823" s="327"/>
      <c r="E823" s="328"/>
      <c r="F823" s="329"/>
      <c r="G823" s="330"/>
      <c r="H823" s="295"/>
      <c r="I823" s="295"/>
      <c r="J823" s="295"/>
      <c r="K823" s="295"/>
      <c r="L823" s="295"/>
      <c r="M823" s="295"/>
      <c r="N823" s="301"/>
    </row>
    <row r="824" spans="1:14">
      <c r="A824" s="207"/>
      <c r="B824" s="325"/>
      <c r="C824" s="326"/>
      <c r="D824" s="327"/>
      <c r="E824" s="328"/>
      <c r="F824" s="329"/>
      <c r="G824" s="330"/>
      <c r="H824" s="295"/>
      <c r="I824" s="295"/>
      <c r="J824" s="295"/>
      <c r="K824" s="295"/>
      <c r="L824" s="295"/>
      <c r="M824" s="295"/>
      <c r="N824" s="301"/>
    </row>
    <row r="825" spans="1:14">
      <c r="A825" s="207"/>
      <c r="B825" s="325"/>
      <c r="C825" s="326"/>
      <c r="D825" s="327"/>
      <c r="E825" s="328"/>
      <c r="F825" s="329"/>
      <c r="G825" s="330"/>
      <c r="H825" s="295"/>
      <c r="I825" s="295"/>
      <c r="J825" s="295"/>
      <c r="K825" s="295"/>
      <c r="L825" s="295"/>
      <c r="M825" s="295"/>
      <c r="N825" s="301"/>
    </row>
    <row r="826" spans="1:14">
      <c r="A826" s="207"/>
      <c r="B826" s="325"/>
      <c r="C826" s="326"/>
      <c r="D826" s="327"/>
      <c r="E826" s="328"/>
      <c r="F826" s="329"/>
      <c r="G826" s="330"/>
      <c r="H826" s="295"/>
      <c r="I826" s="295"/>
      <c r="J826" s="295"/>
      <c r="K826" s="295"/>
      <c r="L826" s="295"/>
      <c r="M826" s="295"/>
      <c r="N826" s="301"/>
    </row>
    <row r="827" spans="1:14">
      <c r="A827" s="207"/>
      <c r="B827" s="325"/>
      <c r="C827" s="326"/>
      <c r="D827" s="327"/>
      <c r="E827" s="328"/>
      <c r="F827" s="329"/>
      <c r="G827" s="330"/>
      <c r="H827" s="295"/>
      <c r="I827" s="295"/>
      <c r="J827" s="295"/>
      <c r="K827" s="295"/>
      <c r="L827" s="295"/>
      <c r="M827" s="295"/>
      <c r="N827" s="301"/>
    </row>
    <row r="828" spans="1:14">
      <c r="A828" s="207"/>
      <c r="B828" s="325"/>
      <c r="C828" s="326"/>
      <c r="D828" s="327"/>
      <c r="E828" s="328"/>
      <c r="F828" s="329"/>
      <c r="G828" s="330"/>
      <c r="H828" s="295"/>
      <c r="I828" s="295"/>
      <c r="J828" s="295"/>
      <c r="K828" s="295"/>
      <c r="L828" s="295"/>
      <c r="M828" s="295"/>
      <c r="N828" s="301"/>
    </row>
    <row r="829" spans="1:14">
      <c r="A829" s="207"/>
      <c r="B829" s="325"/>
      <c r="C829" s="326"/>
      <c r="D829" s="327"/>
      <c r="E829" s="328"/>
      <c r="F829" s="329"/>
      <c r="G829" s="330"/>
      <c r="H829" s="295"/>
      <c r="I829" s="295"/>
      <c r="J829" s="295"/>
      <c r="K829" s="295"/>
      <c r="L829" s="295"/>
      <c r="M829" s="295"/>
      <c r="N829" s="301"/>
    </row>
    <row r="830" spans="1:14">
      <c r="A830" s="207"/>
      <c r="B830" s="325"/>
      <c r="C830" s="326"/>
      <c r="D830" s="327"/>
      <c r="E830" s="328"/>
      <c r="F830" s="329"/>
      <c r="G830" s="330"/>
      <c r="H830" s="295"/>
      <c r="I830" s="295"/>
      <c r="J830" s="295"/>
      <c r="K830" s="295"/>
      <c r="L830" s="295"/>
      <c r="M830" s="295"/>
      <c r="N830" s="301"/>
    </row>
    <row r="831" spans="1:14">
      <c r="A831" s="207"/>
      <c r="B831" s="325"/>
      <c r="C831" s="326"/>
      <c r="D831" s="327"/>
      <c r="E831" s="328"/>
      <c r="F831" s="329"/>
      <c r="G831" s="330"/>
      <c r="H831" s="295"/>
      <c r="I831" s="295"/>
      <c r="J831" s="295"/>
      <c r="K831" s="295"/>
      <c r="L831" s="295"/>
      <c r="M831" s="295"/>
      <c r="N831" s="301"/>
    </row>
    <row r="832" spans="1:14">
      <c r="A832" s="207"/>
      <c r="B832" s="325"/>
      <c r="C832" s="326"/>
      <c r="D832" s="327"/>
      <c r="E832" s="328"/>
      <c r="F832" s="329"/>
      <c r="G832" s="330"/>
      <c r="H832" s="295"/>
      <c r="I832" s="295"/>
      <c r="J832" s="295"/>
      <c r="K832" s="295"/>
      <c r="L832" s="295"/>
      <c r="M832" s="295"/>
      <c r="N832" s="301"/>
    </row>
    <row r="833" spans="1:14">
      <c r="A833" s="207"/>
      <c r="B833" s="325"/>
      <c r="C833" s="326"/>
      <c r="D833" s="327"/>
      <c r="E833" s="328"/>
      <c r="F833" s="329"/>
      <c r="G833" s="330"/>
      <c r="H833" s="295"/>
      <c r="I833" s="295"/>
      <c r="J833" s="295"/>
      <c r="K833" s="295"/>
      <c r="L833" s="295"/>
      <c r="M833" s="295"/>
      <c r="N833" s="301"/>
    </row>
    <row r="834" spans="1:14">
      <c r="A834" s="207"/>
      <c r="B834" s="325"/>
      <c r="C834" s="326"/>
      <c r="D834" s="327"/>
      <c r="E834" s="328"/>
      <c r="F834" s="329"/>
      <c r="G834" s="330"/>
      <c r="H834" s="295"/>
      <c r="I834" s="295"/>
      <c r="J834" s="295"/>
      <c r="K834" s="295"/>
      <c r="L834" s="295"/>
      <c r="M834" s="295"/>
      <c r="N834" s="301"/>
    </row>
    <row r="835" spans="1:14">
      <c r="A835" s="207"/>
      <c r="B835" s="325"/>
      <c r="C835" s="326"/>
      <c r="D835" s="327"/>
      <c r="E835" s="328"/>
      <c r="F835" s="329"/>
      <c r="G835" s="330"/>
      <c r="H835" s="295"/>
      <c r="I835" s="295"/>
      <c r="J835" s="295"/>
      <c r="K835" s="295"/>
      <c r="L835" s="295"/>
      <c r="M835" s="295"/>
      <c r="N835" s="301"/>
    </row>
    <row r="836" spans="1:14">
      <c r="A836" s="207"/>
      <c r="B836" s="325"/>
      <c r="C836" s="326"/>
      <c r="D836" s="327"/>
      <c r="E836" s="328"/>
      <c r="F836" s="329"/>
      <c r="G836" s="330"/>
      <c r="H836" s="295"/>
      <c r="I836" s="295"/>
      <c r="J836" s="295"/>
      <c r="K836" s="295"/>
      <c r="L836" s="295"/>
      <c r="M836" s="295"/>
      <c r="N836" s="301"/>
    </row>
    <row r="837" spans="1:14">
      <c r="A837" s="207"/>
      <c r="B837" s="325"/>
      <c r="C837" s="326"/>
      <c r="D837" s="327"/>
      <c r="E837" s="328"/>
      <c r="F837" s="329"/>
      <c r="G837" s="330"/>
      <c r="H837" s="295"/>
      <c r="I837" s="295"/>
      <c r="J837" s="295"/>
      <c r="K837" s="295"/>
      <c r="L837" s="295"/>
      <c r="M837" s="295"/>
      <c r="N837" s="301"/>
    </row>
    <row r="838" spans="1:14">
      <c r="A838" s="207"/>
      <c r="B838" s="325"/>
      <c r="C838" s="326"/>
      <c r="D838" s="327"/>
      <c r="E838" s="328"/>
      <c r="F838" s="329"/>
      <c r="G838" s="330"/>
      <c r="H838" s="295"/>
      <c r="I838" s="295"/>
      <c r="J838" s="295"/>
      <c r="K838" s="295"/>
      <c r="L838" s="295"/>
      <c r="M838" s="295"/>
      <c r="N838" s="301"/>
    </row>
    <row r="839" spans="1:14">
      <c r="A839" s="207"/>
      <c r="B839" s="325"/>
      <c r="C839" s="326"/>
      <c r="D839" s="327"/>
      <c r="E839" s="328"/>
      <c r="F839" s="329"/>
      <c r="G839" s="330"/>
      <c r="H839" s="295"/>
      <c r="I839" s="295"/>
      <c r="J839" s="295"/>
      <c r="K839" s="295"/>
      <c r="L839" s="295"/>
      <c r="M839" s="295"/>
      <c r="N839" s="301"/>
    </row>
    <row r="840" spans="1:14">
      <c r="A840" s="207"/>
      <c r="B840" s="325"/>
      <c r="C840" s="326"/>
      <c r="D840" s="327"/>
      <c r="E840" s="328"/>
      <c r="F840" s="329"/>
      <c r="G840" s="330"/>
      <c r="H840" s="295"/>
      <c r="I840" s="295"/>
      <c r="J840" s="295"/>
      <c r="K840" s="295"/>
      <c r="L840" s="295"/>
      <c r="M840" s="295"/>
      <c r="N840" s="301"/>
    </row>
    <row r="841" spans="1:14">
      <c r="A841" s="207"/>
      <c r="B841" s="325"/>
      <c r="C841" s="326"/>
      <c r="D841" s="327"/>
      <c r="E841" s="328"/>
      <c r="F841" s="329"/>
      <c r="G841" s="330"/>
      <c r="H841" s="295"/>
      <c r="I841" s="295"/>
      <c r="J841" s="295"/>
      <c r="K841" s="295"/>
      <c r="L841" s="295"/>
      <c r="M841" s="295"/>
      <c r="N841" s="301"/>
    </row>
    <row r="842" spans="1:14">
      <c r="A842" s="207"/>
      <c r="B842" s="325"/>
      <c r="C842" s="326"/>
      <c r="D842" s="327"/>
      <c r="E842" s="328"/>
      <c r="F842" s="329"/>
      <c r="G842" s="330"/>
      <c r="H842" s="295"/>
      <c r="I842" s="295"/>
      <c r="J842" s="295"/>
      <c r="K842" s="295"/>
      <c r="L842" s="295"/>
      <c r="M842" s="295"/>
      <c r="N842" s="301"/>
    </row>
    <row r="843" spans="1:14">
      <c r="A843" s="207"/>
      <c r="B843" s="325"/>
      <c r="C843" s="326"/>
      <c r="D843" s="327"/>
      <c r="E843" s="328"/>
      <c r="F843" s="329"/>
      <c r="G843" s="330"/>
      <c r="H843" s="295"/>
      <c r="I843" s="295"/>
      <c r="J843" s="295"/>
      <c r="K843" s="295"/>
      <c r="L843" s="295"/>
      <c r="M843" s="295"/>
      <c r="N843" s="301"/>
    </row>
    <row r="844" spans="1:14">
      <c r="A844" s="207"/>
      <c r="B844" s="325"/>
      <c r="C844" s="326"/>
      <c r="D844" s="327"/>
      <c r="E844" s="328"/>
      <c r="F844" s="329"/>
      <c r="G844" s="330"/>
      <c r="H844" s="295"/>
      <c r="I844" s="295"/>
      <c r="J844" s="295"/>
      <c r="K844" s="295"/>
      <c r="L844" s="295"/>
      <c r="M844" s="295"/>
      <c r="N844" s="301"/>
    </row>
    <row r="845" spans="1:14">
      <c r="A845" s="207"/>
      <c r="B845" s="325"/>
      <c r="C845" s="326"/>
      <c r="D845" s="327"/>
      <c r="E845" s="328"/>
      <c r="F845" s="329"/>
      <c r="G845" s="330"/>
      <c r="H845" s="295"/>
      <c r="I845" s="295"/>
      <c r="J845" s="295"/>
      <c r="K845" s="295"/>
      <c r="L845" s="295"/>
      <c r="M845" s="295"/>
      <c r="N845" s="301"/>
    </row>
    <row r="846" spans="1:14">
      <c r="A846" s="207"/>
      <c r="B846" s="325"/>
      <c r="C846" s="326"/>
      <c r="D846" s="327"/>
      <c r="E846" s="328"/>
      <c r="F846" s="329"/>
      <c r="G846" s="330"/>
      <c r="H846" s="295"/>
      <c r="I846" s="295"/>
      <c r="J846" s="295"/>
      <c r="K846" s="295"/>
      <c r="L846" s="295"/>
      <c r="M846" s="295"/>
      <c r="N846" s="301"/>
    </row>
    <row r="847" spans="1:14">
      <c r="A847" s="207"/>
      <c r="B847" s="325"/>
      <c r="C847" s="326"/>
      <c r="D847" s="327"/>
      <c r="E847" s="328"/>
      <c r="F847" s="329"/>
      <c r="G847" s="330"/>
      <c r="H847" s="295"/>
      <c r="I847" s="295"/>
      <c r="J847" s="295"/>
      <c r="K847" s="295"/>
      <c r="L847" s="295"/>
      <c r="M847" s="295"/>
      <c r="N847" s="301"/>
    </row>
    <row r="848" spans="1:14">
      <c r="A848" s="207"/>
      <c r="B848" s="325"/>
      <c r="C848" s="326"/>
      <c r="D848" s="327"/>
      <c r="E848" s="328"/>
      <c r="F848" s="329"/>
      <c r="G848" s="330"/>
      <c r="H848" s="295"/>
      <c r="I848" s="295"/>
      <c r="J848" s="295"/>
      <c r="K848" s="295"/>
      <c r="L848" s="295"/>
      <c r="M848" s="295"/>
      <c r="N848" s="301"/>
    </row>
    <row r="849" spans="1:14">
      <c r="A849" s="207"/>
      <c r="B849" s="325"/>
      <c r="C849" s="326"/>
      <c r="D849" s="327"/>
      <c r="E849" s="328"/>
      <c r="F849" s="329"/>
      <c r="G849" s="330"/>
      <c r="H849" s="295"/>
      <c r="I849" s="295"/>
      <c r="J849" s="295"/>
      <c r="K849" s="295"/>
      <c r="L849" s="295"/>
      <c r="M849" s="295"/>
      <c r="N849" s="301"/>
    </row>
    <row r="850" spans="1:14">
      <c r="A850" s="207"/>
      <c r="B850" s="325"/>
      <c r="C850" s="326"/>
      <c r="D850" s="327"/>
      <c r="E850" s="328"/>
      <c r="F850" s="329"/>
      <c r="G850" s="330"/>
      <c r="H850" s="295"/>
      <c r="I850" s="295"/>
      <c r="J850" s="295"/>
      <c r="K850" s="295"/>
      <c r="L850" s="295"/>
      <c r="M850" s="295"/>
      <c r="N850" s="301"/>
    </row>
    <row r="851" spans="1:14">
      <c r="A851" s="207"/>
      <c r="B851" s="325"/>
      <c r="C851" s="326"/>
      <c r="D851" s="327"/>
      <c r="E851" s="328"/>
      <c r="F851" s="329"/>
      <c r="G851" s="330"/>
      <c r="H851" s="295"/>
      <c r="I851" s="295"/>
      <c r="J851" s="295"/>
      <c r="K851" s="295"/>
      <c r="L851" s="295"/>
      <c r="M851" s="295"/>
      <c r="N851" s="301"/>
    </row>
    <row r="852" spans="1:14">
      <c r="A852" s="207"/>
      <c r="B852" s="325"/>
      <c r="C852" s="326"/>
      <c r="D852" s="327"/>
      <c r="E852" s="328"/>
      <c r="F852" s="329"/>
      <c r="G852" s="330"/>
      <c r="H852" s="295"/>
      <c r="I852" s="295"/>
      <c r="J852" s="295"/>
      <c r="K852" s="295"/>
      <c r="L852" s="295"/>
      <c r="M852" s="295"/>
      <c r="N852" s="301"/>
    </row>
    <row r="853" spans="1:14">
      <c r="A853" s="207"/>
      <c r="B853" s="325"/>
      <c r="C853" s="326"/>
      <c r="D853" s="327"/>
      <c r="E853" s="328"/>
      <c r="F853" s="329"/>
      <c r="G853" s="330"/>
      <c r="H853" s="295"/>
      <c r="I853" s="295"/>
      <c r="J853" s="295"/>
      <c r="K853" s="295"/>
      <c r="L853" s="295"/>
      <c r="M853" s="295"/>
      <c r="N853" s="301"/>
    </row>
    <row r="854" spans="1:14">
      <c r="A854" s="207"/>
      <c r="B854" s="325"/>
      <c r="C854" s="326"/>
      <c r="D854" s="327"/>
      <c r="E854" s="328"/>
      <c r="F854" s="329"/>
      <c r="G854" s="330"/>
      <c r="H854" s="295"/>
      <c r="I854" s="295"/>
      <c r="J854" s="295"/>
      <c r="K854" s="295"/>
      <c r="L854" s="295"/>
      <c r="M854" s="295"/>
      <c r="N854" s="301"/>
    </row>
    <row r="855" spans="1:14">
      <c r="A855" s="207"/>
      <c r="B855" s="325"/>
      <c r="C855" s="326"/>
      <c r="D855" s="327"/>
      <c r="E855" s="328"/>
      <c r="F855" s="329"/>
      <c r="G855" s="330"/>
      <c r="H855" s="295"/>
      <c r="I855" s="295"/>
      <c r="J855" s="295"/>
      <c r="K855" s="295"/>
      <c r="L855" s="295"/>
      <c r="M855" s="295"/>
      <c r="N855" s="301"/>
    </row>
    <row r="856" spans="1:14">
      <c r="A856" s="207"/>
      <c r="B856" s="325"/>
      <c r="C856" s="326"/>
      <c r="D856" s="327"/>
      <c r="E856" s="328"/>
      <c r="F856" s="329"/>
      <c r="G856" s="330"/>
      <c r="H856" s="295"/>
      <c r="I856" s="295"/>
      <c r="J856" s="295"/>
      <c r="K856" s="295"/>
      <c r="L856" s="295"/>
      <c r="M856" s="295"/>
      <c r="N856" s="301"/>
    </row>
    <row r="857" spans="1:14">
      <c r="A857" s="207"/>
      <c r="B857" s="325"/>
      <c r="C857" s="326"/>
      <c r="D857" s="327"/>
      <c r="E857" s="328"/>
      <c r="F857" s="329"/>
      <c r="G857" s="330"/>
      <c r="H857" s="295"/>
      <c r="I857" s="295"/>
      <c r="J857" s="295"/>
      <c r="K857" s="295"/>
      <c r="L857" s="295"/>
      <c r="M857" s="295"/>
      <c r="N857" s="301"/>
    </row>
    <row r="858" spans="1:14">
      <c r="A858" s="207"/>
      <c r="B858" s="325"/>
      <c r="C858" s="326"/>
      <c r="D858" s="327"/>
      <c r="E858" s="328"/>
      <c r="F858" s="329"/>
      <c r="G858" s="330"/>
      <c r="H858" s="295"/>
      <c r="I858" s="295"/>
      <c r="J858" s="295"/>
      <c r="K858" s="295"/>
      <c r="L858" s="295"/>
      <c r="M858" s="295"/>
      <c r="N858" s="301"/>
    </row>
    <row r="859" spans="1:14">
      <c r="A859" s="207"/>
      <c r="B859" s="325"/>
      <c r="C859" s="326"/>
      <c r="D859" s="327"/>
      <c r="E859" s="328"/>
      <c r="F859" s="329"/>
      <c r="G859" s="330"/>
      <c r="H859" s="295"/>
      <c r="I859" s="295"/>
      <c r="J859" s="295"/>
      <c r="K859" s="295"/>
      <c r="L859" s="295"/>
      <c r="M859" s="295"/>
      <c r="N859" s="301"/>
    </row>
    <row r="860" spans="1:14">
      <c r="A860" s="207"/>
      <c r="B860" s="325"/>
      <c r="C860" s="326"/>
      <c r="D860" s="327"/>
      <c r="E860" s="328"/>
      <c r="F860" s="329"/>
      <c r="G860" s="330"/>
      <c r="H860" s="295"/>
      <c r="I860" s="295"/>
      <c r="J860" s="295"/>
      <c r="K860" s="295"/>
      <c r="L860" s="295"/>
      <c r="M860" s="295"/>
      <c r="N860" s="301"/>
    </row>
    <row r="861" spans="1:14">
      <c r="A861" s="207"/>
      <c r="B861" s="325"/>
      <c r="C861" s="326"/>
      <c r="D861" s="327"/>
      <c r="E861" s="328"/>
      <c r="F861" s="329"/>
      <c r="G861" s="330"/>
      <c r="H861" s="295"/>
      <c r="I861" s="295"/>
      <c r="J861" s="295"/>
      <c r="K861" s="295"/>
      <c r="L861" s="295"/>
      <c r="M861" s="295"/>
      <c r="N861" s="301"/>
    </row>
    <row r="862" spans="1:14">
      <c r="A862" s="207"/>
      <c r="B862" s="325"/>
      <c r="C862" s="326"/>
      <c r="D862" s="327"/>
      <c r="E862" s="328"/>
      <c r="F862" s="329"/>
      <c r="G862" s="330"/>
      <c r="H862" s="295"/>
      <c r="I862" s="295"/>
      <c r="J862" s="295"/>
      <c r="K862" s="295"/>
      <c r="L862" s="295"/>
      <c r="M862" s="295"/>
      <c r="N862" s="301"/>
    </row>
    <row r="863" spans="1:14">
      <c r="A863" s="207"/>
      <c r="B863" s="325"/>
      <c r="C863" s="326"/>
      <c r="D863" s="327"/>
      <c r="E863" s="328"/>
      <c r="F863" s="329"/>
      <c r="G863" s="330"/>
      <c r="H863" s="295"/>
      <c r="I863" s="295"/>
      <c r="J863" s="295"/>
      <c r="K863" s="295"/>
      <c r="L863" s="295"/>
      <c r="M863" s="295"/>
      <c r="N863" s="301"/>
    </row>
    <row r="864" spans="1:14">
      <c r="A864" s="207"/>
      <c r="B864" s="325"/>
      <c r="C864" s="326"/>
      <c r="D864" s="327"/>
      <c r="E864" s="328"/>
      <c r="F864" s="329"/>
      <c r="G864" s="330"/>
      <c r="H864" s="295"/>
      <c r="I864" s="295"/>
      <c r="J864" s="295"/>
      <c r="K864" s="295"/>
      <c r="L864" s="295"/>
      <c r="M864" s="295"/>
      <c r="N864" s="301"/>
    </row>
    <row r="865" spans="1:14">
      <c r="A865" s="207"/>
      <c r="B865" s="325"/>
      <c r="C865" s="326"/>
      <c r="D865" s="327"/>
      <c r="E865" s="328"/>
      <c r="F865" s="329"/>
      <c r="G865" s="330"/>
      <c r="H865" s="295"/>
      <c r="I865" s="295"/>
      <c r="J865" s="295"/>
      <c r="K865" s="295"/>
      <c r="L865" s="295"/>
      <c r="M865" s="295"/>
      <c r="N865" s="301"/>
    </row>
    <row r="866" spans="1:14">
      <c r="A866" s="207"/>
      <c r="B866" s="325"/>
      <c r="C866" s="326"/>
      <c r="D866" s="327"/>
      <c r="E866" s="328"/>
      <c r="F866" s="329"/>
      <c r="G866" s="330"/>
      <c r="H866" s="295"/>
      <c r="I866" s="295"/>
      <c r="J866" s="295"/>
      <c r="K866" s="295"/>
      <c r="L866" s="295"/>
      <c r="M866" s="295"/>
      <c r="N866" s="301"/>
    </row>
    <row r="867" spans="1:14">
      <c r="A867" s="207"/>
      <c r="B867" s="325"/>
      <c r="C867" s="326"/>
      <c r="D867" s="327"/>
      <c r="E867" s="328"/>
      <c r="F867" s="329"/>
      <c r="G867" s="330"/>
      <c r="H867" s="295"/>
      <c r="I867" s="295"/>
      <c r="J867" s="295"/>
      <c r="K867" s="295"/>
      <c r="L867" s="295"/>
      <c r="M867" s="295"/>
      <c r="N867" s="301"/>
    </row>
    <row r="868" spans="1:14">
      <c r="A868" s="207"/>
      <c r="B868" s="325"/>
      <c r="C868" s="326"/>
      <c r="D868" s="327"/>
      <c r="E868" s="328"/>
      <c r="F868" s="329"/>
      <c r="G868" s="330"/>
      <c r="H868" s="295"/>
      <c r="I868" s="295"/>
      <c r="J868" s="295"/>
      <c r="K868" s="295"/>
      <c r="L868" s="295"/>
      <c r="M868" s="295"/>
      <c r="N868" s="301"/>
    </row>
    <row r="869" spans="1:14">
      <c r="A869" s="207"/>
      <c r="B869" s="325"/>
      <c r="C869" s="326"/>
      <c r="D869" s="327"/>
      <c r="E869" s="328"/>
      <c r="F869" s="329"/>
      <c r="G869" s="330"/>
      <c r="H869" s="295"/>
      <c r="I869" s="295"/>
      <c r="J869" s="295"/>
      <c r="K869" s="295"/>
      <c r="L869" s="295"/>
      <c r="M869" s="295"/>
      <c r="N869" s="301"/>
    </row>
    <row r="870" spans="1:14">
      <c r="A870" s="207"/>
      <c r="B870" s="325"/>
      <c r="C870" s="326"/>
      <c r="D870" s="327"/>
      <c r="E870" s="328"/>
      <c r="F870" s="329"/>
      <c r="G870" s="330"/>
      <c r="H870" s="295"/>
      <c r="I870" s="295"/>
      <c r="J870" s="295"/>
      <c r="K870" s="295"/>
      <c r="L870" s="295"/>
      <c r="M870" s="295"/>
      <c r="N870" s="301"/>
    </row>
    <row r="871" spans="1:14">
      <c r="A871" s="207"/>
      <c r="B871" s="325"/>
      <c r="C871" s="326"/>
      <c r="D871" s="327"/>
      <c r="E871" s="328"/>
      <c r="F871" s="329"/>
      <c r="G871" s="330"/>
      <c r="H871" s="295"/>
      <c r="I871" s="295"/>
      <c r="J871" s="295"/>
      <c r="K871" s="295"/>
      <c r="L871" s="295"/>
      <c r="M871" s="295"/>
      <c r="N871" s="301"/>
    </row>
    <row r="872" spans="1:14">
      <c r="A872" s="207"/>
      <c r="B872" s="325"/>
      <c r="C872" s="326"/>
      <c r="D872" s="327"/>
      <c r="E872" s="328"/>
      <c r="F872" s="329"/>
      <c r="G872" s="330"/>
      <c r="H872" s="295"/>
      <c r="I872" s="295"/>
      <c r="J872" s="295"/>
      <c r="K872" s="295"/>
      <c r="L872" s="295"/>
      <c r="M872" s="295"/>
      <c r="N872" s="301"/>
    </row>
    <row r="873" spans="1:14">
      <c r="A873" s="207"/>
      <c r="B873" s="325"/>
      <c r="C873" s="326"/>
      <c r="D873" s="327"/>
      <c r="E873" s="328"/>
      <c r="F873" s="329"/>
      <c r="G873" s="330"/>
      <c r="H873" s="295"/>
      <c r="I873" s="295"/>
      <c r="J873" s="295"/>
      <c r="K873" s="295"/>
      <c r="L873" s="295"/>
      <c r="M873" s="295"/>
      <c r="N873" s="301"/>
    </row>
    <row r="874" spans="1:14">
      <c r="A874" s="207"/>
      <c r="B874" s="325"/>
      <c r="C874" s="326"/>
      <c r="D874" s="327"/>
      <c r="E874" s="328"/>
      <c r="F874" s="329"/>
      <c r="G874" s="330"/>
      <c r="H874" s="295"/>
      <c r="I874" s="295"/>
      <c r="J874" s="295"/>
      <c r="K874" s="295"/>
      <c r="L874" s="295"/>
      <c r="M874" s="295"/>
      <c r="N874" s="301"/>
    </row>
    <row r="875" spans="1:14">
      <c r="A875" s="207"/>
      <c r="B875" s="325"/>
      <c r="C875" s="326"/>
      <c r="D875" s="327"/>
      <c r="E875" s="328"/>
      <c r="F875" s="329"/>
      <c r="G875" s="330"/>
      <c r="H875" s="295"/>
      <c r="I875" s="295"/>
      <c r="J875" s="295"/>
      <c r="K875" s="295"/>
      <c r="L875" s="295"/>
      <c r="M875" s="295"/>
      <c r="N875" s="301"/>
    </row>
    <row r="876" spans="1:14">
      <c r="A876" s="207"/>
      <c r="B876" s="325"/>
      <c r="C876" s="326"/>
      <c r="D876" s="327"/>
      <c r="E876" s="328"/>
      <c r="F876" s="329"/>
      <c r="G876" s="330"/>
      <c r="H876" s="295"/>
      <c r="I876" s="295"/>
      <c r="J876" s="295"/>
      <c r="K876" s="295"/>
      <c r="L876" s="295"/>
      <c r="M876" s="295"/>
      <c r="N876" s="301"/>
    </row>
    <row r="877" spans="1:14">
      <c r="A877" s="207"/>
      <c r="B877" s="325"/>
      <c r="C877" s="326"/>
      <c r="D877" s="327"/>
      <c r="E877" s="328"/>
      <c r="F877" s="329"/>
      <c r="G877" s="330"/>
      <c r="H877" s="295"/>
      <c r="I877" s="295"/>
      <c r="J877" s="295"/>
      <c r="K877" s="295"/>
      <c r="L877" s="295"/>
      <c r="M877" s="295"/>
      <c r="N877" s="301"/>
    </row>
    <row r="878" spans="1:14">
      <c r="A878" s="207"/>
      <c r="B878" s="325"/>
      <c r="C878" s="326"/>
      <c r="D878" s="327"/>
      <c r="E878" s="328"/>
      <c r="F878" s="329"/>
      <c r="G878" s="330"/>
      <c r="H878" s="295"/>
      <c r="I878" s="295"/>
      <c r="J878" s="295"/>
      <c r="K878" s="295"/>
      <c r="L878" s="295"/>
      <c r="M878" s="295"/>
      <c r="N878" s="301"/>
    </row>
    <row r="879" spans="1:14">
      <c r="A879" s="207"/>
      <c r="B879" s="325"/>
      <c r="C879" s="326"/>
      <c r="D879" s="327"/>
      <c r="E879" s="328"/>
      <c r="F879" s="329"/>
      <c r="G879" s="330"/>
      <c r="H879" s="295"/>
      <c r="I879" s="295"/>
      <c r="J879" s="295"/>
      <c r="K879" s="295"/>
      <c r="L879" s="295"/>
      <c r="M879" s="295"/>
      <c r="N879" s="301"/>
    </row>
    <row r="880" spans="1:14">
      <c r="A880" s="207"/>
      <c r="B880" s="325"/>
      <c r="C880" s="326"/>
      <c r="D880" s="327"/>
      <c r="E880" s="328"/>
      <c r="F880" s="329"/>
      <c r="G880" s="330"/>
      <c r="H880" s="295"/>
      <c r="I880" s="295"/>
      <c r="J880" s="295"/>
      <c r="K880" s="295"/>
      <c r="L880" s="295"/>
      <c r="M880" s="295"/>
      <c r="N880" s="301"/>
    </row>
    <row r="881" spans="1:14">
      <c r="A881" s="207"/>
      <c r="B881" s="325"/>
      <c r="C881" s="326"/>
      <c r="D881" s="327"/>
      <c r="E881" s="328"/>
      <c r="F881" s="329"/>
      <c r="G881" s="330"/>
      <c r="H881" s="295"/>
      <c r="I881" s="295"/>
      <c r="J881" s="295"/>
      <c r="K881" s="295"/>
      <c r="L881" s="295"/>
      <c r="M881" s="295"/>
      <c r="N881" s="301"/>
    </row>
    <row r="882" spans="1:14">
      <c r="A882" s="207"/>
      <c r="B882" s="325"/>
      <c r="C882" s="326"/>
      <c r="D882" s="327"/>
      <c r="E882" s="328"/>
      <c r="F882" s="329"/>
      <c r="G882" s="330"/>
      <c r="H882" s="295"/>
      <c r="I882" s="295"/>
      <c r="J882" s="295"/>
      <c r="K882" s="295"/>
      <c r="L882" s="295"/>
      <c r="M882" s="295"/>
      <c r="N882" s="301"/>
    </row>
    <row r="883" spans="1:14">
      <c r="A883" s="207"/>
      <c r="B883" s="325"/>
      <c r="C883" s="326"/>
      <c r="D883" s="327"/>
      <c r="E883" s="328"/>
      <c r="F883" s="329"/>
      <c r="G883" s="330"/>
      <c r="H883" s="295"/>
      <c r="I883" s="295"/>
      <c r="J883" s="295"/>
      <c r="K883" s="295"/>
      <c r="L883" s="295"/>
      <c r="M883" s="295"/>
      <c r="N883" s="301"/>
    </row>
    <row r="884" spans="1:14">
      <c r="A884" s="207"/>
      <c r="B884" s="325"/>
      <c r="C884" s="326"/>
      <c r="D884" s="327"/>
      <c r="E884" s="328"/>
      <c r="F884" s="329"/>
      <c r="G884" s="330"/>
      <c r="H884" s="295"/>
      <c r="I884" s="295"/>
      <c r="J884" s="295"/>
      <c r="K884" s="295"/>
      <c r="L884" s="295"/>
      <c r="M884" s="295"/>
      <c r="N884" s="301"/>
    </row>
    <row r="885" spans="1:14">
      <c r="A885" s="207"/>
      <c r="B885" s="325"/>
      <c r="C885" s="326"/>
      <c r="D885" s="327"/>
      <c r="E885" s="328"/>
      <c r="F885" s="329"/>
      <c r="G885" s="330"/>
      <c r="H885" s="295"/>
      <c r="I885" s="295"/>
      <c r="J885" s="295"/>
      <c r="K885" s="295"/>
      <c r="L885" s="295"/>
      <c r="M885" s="295"/>
      <c r="N885" s="301"/>
    </row>
    <row r="886" spans="1:14">
      <c r="A886" s="207"/>
      <c r="B886" s="325"/>
      <c r="C886" s="326"/>
      <c r="D886" s="327"/>
      <c r="E886" s="328"/>
      <c r="F886" s="329"/>
      <c r="G886" s="330"/>
      <c r="H886" s="295"/>
      <c r="I886" s="295"/>
      <c r="J886" s="295"/>
      <c r="K886" s="295"/>
      <c r="L886" s="295"/>
      <c r="M886" s="295"/>
      <c r="N886" s="301"/>
    </row>
    <row r="887" spans="1:14">
      <c r="A887" s="207"/>
      <c r="B887" s="325"/>
      <c r="C887" s="326"/>
      <c r="D887" s="327"/>
      <c r="E887" s="328"/>
      <c r="F887" s="329"/>
      <c r="G887" s="330"/>
      <c r="H887" s="295"/>
      <c r="I887" s="295"/>
      <c r="J887" s="295"/>
      <c r="K887" s="295"/>
      <c r="L887" s="295"/>
      <c r="M887" s="295"/>
      <c r="N887" s="301"/>
    </row>
    <row r="888" spans="1:14">
      <c r="A888" s="207"/>
      <c r="B888" s="325"/>
      <c r="C888" s="326"/>
      <c r="D888" s="327"/>
      <c r="E888" s="328"/>
      <c r="F888" s="329"/>
      <c r="G888" s="330"/>
      <c r="H888" s="295"/>
      <c r="I888" s="295"/>
      <c r="J888" s="295"/>
      <c r="K888" s="295"/>
      <c r="L888" s="295"/>
      <c r="M888" s="295"/>
      <c r="N888" s="301"/>
    </row>
    <row r="889" spans="1:14">
      <c r="A889" s="207"/>
      <c r="B889" s="325"/>
      <c r="C889" s="326"/>
      <c r="D889" s="327"/>
      <c r="E889" s="328"/>
      <c r="F889" s="329"/>
      <c r="G889" s="330"/>
      <c r="H889" s="295"/>
      <c r="I889" s="295"/>
      <c r="J889" s="295"/>
      <c r="K889" s="295"/>
      <c r="L889" s="295"/>
      <c r="M889" s="295"/>
      <c r="N889" s="301"/>
    </row>
    <row r="890" spans="1:14">
      <c r="A890" s="207"/>
      <c r="B890" s="325"/>
      <c r="C890" s="326"/>
      <c r="D890" s="327"/>
      <c r="E890" s="328"/>
      <c r="F890" s="329"/>
      <c r="G890" s="330"/>
      <c r="H890" s="295"/>
      <c r="I890" s="295"/>
      <c r="J890" s="295"/>
      <c r="K890" s="295"/>
      <c r="L890" s="295"/>
      <c r="M890" s="295"/>
      <c r="N890" s="301"/>
    </row>
    <row r="891" spans="1:14">
      <c r="A891" s="207"/>
      <c r="B891" s="325"/>
      <c r="C891" s="326"/>
      <c r="D891" s="327"/>
      <c r="E891" s="328"/>
      <c r="F891" s="329"/>
      <c r="G891" s="330"/>
      <c r="H891" s="295"/>
      <c r="I891" s="295"/>
      <c r="J891" s="295"/>
      <c r="K891" s="295"/>
      <c r="L891" s="295"/>
      <c r="M891" s="295"/>
      <c r="N891" s="301"/>
    </row>
    <row r="892" spans="1:14">
      <c r="A892" s="207"/>
      <c r="B892" s="325"/>
      <c r="C892" s="326"/>
      <c r="D892" s="327"/>
      <c r="E892" s="328"/>
      <c r="F892" s="329"/>
      <c r="G892" s="330"/>
      <c r="H892" s="295"/>
      <c r="I892" s="295"/>
      <c r="J892" s="295"/>
      <c r="K892" s="295"/>
      <c r="L892" s="295"/>
      <c r="M892" s="295"/>
      <c r="N892" s="301"/>
    </row>
    <row r="893" spans="1:14">
      <c r="A893" s="207"/>
      <c r="B893" s="325"/>
      <c r="C893" s="326"/>
      <c r="D893" s="327"/>
      <c r="E893" s="328"/>
      <c r="F893" s="329"/>
      <c r="G893" s="330"/>
      <c r="H893" s="295"/>
      <c r="I893" s="295"/>
      <c r="J893" s="295"/>
      <c r="K893" s="295"/>
      <c r="L893" s="295"/>
      <c r="M893" s="295"/>
      <c r="N893" s="301"/>
    </row>
    <row r="894" spans="1:14">
      <c r="A894" s="207"/>
      <c r="B894" s="325"/>
      <c r="C894" s="326"/>
      <c r="D894" s="327"/>
      <c r="E894" s="328"/>
      <c r="F894" s="329"/>
      <c r="G894" s="330"/>
      <c r="H894" s="295"/>
      <c r="I894" s="295"/>
      <c r="J894" s="295"/>
      <c r="K894" s="295"/>
      <c r="L894" s="295"/>
      <c r="M894" s="295"/>
      <c r="N894" s="301"/>
    </row>
    <row r="895" spans="1:14">
      <c r="A895" s="207"/>
      <c r="B895" s="325"/>
      <c r="C895" s="326"/>
      <c r="D895" s="327"/>
      <c r="E895" s="328"/>
      <c r="F895" s="329"/>
      <c r="G895" s="330"/>
      <c r="H895" s="295"/>
      <c r="I895" s="295"/>
      <c r="J895" s="295"/>
      <c r="K895" s="295"/>
      <c r="L895" s="295"/>
      <c r="M895" s="295"/>
      <c r="N895" s="301"/>
    </row>
    <row r="896" spans="1:14">
      <c r="A896" s="207"/>
      <c r="B896" s="325"/>
      <c r="C896" s="326"/>
      <c r="D896" s="327"/>
      <c r="E896" s="328"/>
      <c r="F896" s="329"/>
      <c r="G896" s="330"/>
      <c r="H896" s="295"/>
      <c r="I896" s="295"/>
      <c r="J896" s="295"/>
      <c r="K896" s="295"/>
      <c r="L896" s="295"/>
      <c r="M896" s="295"/>
      <c r="N896" s="301"/>
    </row>
    <row r="897" spans="1:14">
      <c r="A897" s="207"/>
      <c r="B897" s="325"/>
      <c r="C897" s="326"/>
      <c r="D897" s="327"/>
      <c r="E897" s="328"/>
      <c r="F897" s="329"/>
      <c r="G897" s="330"/>
      <c r="H897" s="295"/>
      <c r="I897" s="295"/>
      <c r="J897" s="295"/>
      <c r="K897" s="295"/>
      <c r="L897" s="295"/>
      <c r="M897" s="295"/>
      <c r="N897" s="301"/>
    </row>
    <row r="898" spans="1:14">
      <c r="A898" s="207"/>
      <c r="B898" s="325"/>
      <c r="C898" s="326"/>
      <c r="D898" s="327"/>
      <c r="E898" s="328"/>
      <c r="F898" s="329"/>
      <c r="G898" s="330"/>
      <c r="H898" s="295"/>
      <c r="I898" s="295"/>
      <c r="J898" s="295"/>
      <c r="K898" s="295"/>
      <c r="L898" s="295"/>
      <c r="M898" s="295"/>
      <c r="N898" s="301"/>
    </row>
    <row r="899" spans="1:14">
      <c r="A899" s="207"/>
      <c r="B899" s="325"/>
      <c r="C899" s="326"/>
      <c r="D899" s="327"/>
      <c r="E899" s="328"/>
      <c r="F899" s="329"/>
      <c r="G899" s="330"/>
      <c r="H899" s="295"/>
      <c r="I899" s="295"/>
      <c r="J899" s="295"/>
      <c r="K899" s="295"/>
      <c r="L899" s="295"/>
      <c r="M899" s="295"/>
      <c r="N899" s="301"/>
    </row>
    <row r="900" spans="1:14">
      <c r="A900" s="207"/>
      <c r="B900" s="325"/>
      <c r="C900" s="326"/>
      <c r="D900" s="327"/>
      <c r="E900" s="328"/>
      <c r="F900" s="329"/>
      <c r="G900" s="330"/>
      <c r="H900" s="295"/>
      <c r="I900" s="295"/>
      <c r="J900" s="295"/>
      <c r="K900" s="295"/>
      <c r="L900" s="295"/>
      <c r="M900" s="295"/>
      <c r="N900" s="301"/>
    </row>
    <row r="901" spans="1:14">
      <c r="A901" s="207"/>
      <c r="B901" s="325"/>
      <c r="C901" s="326"/>
      <c r="D901" s="327"/>
      <c r="E901" s="328"/>
      <c r="F901" s="329"/>
      <c r="G901" s="330"/>
      <c r="H901" s="295"/>
      <c r="I901" s="295"/>
      <c r="J901" s="295"/>
      <c r="K901" s="295"/>
      <c r="L901" s="295"/>
      <c r="M901" s="295"/>
      <c r="N901" s="301"/>
    </row>
    <row r="902" spans="1:14">
      <c r="A902" s="207"/>
      <c r="B902" s="325"/>
      <c r="C902" s="326"/>
      <c r="D902" s="327"/>
      <c r="E902" s="328"/>
      <c r="F902" s="329"/>
      <c r="G902" s="330"/>
      <c r="H902" s="295"/>
      <c r="I902" s="295"/>
      <c r="J902" s="295"/>
      <c r="K902" s="295"/>
      <c r="L902" s="295"/>
      <c r="M902" s="295"/>
      <c r="N902" s="301"/>
    </row>
    <row r="903" spans="1:14">
      <c r="A903" s="207"/>
      <c r="B903" s="325"/>
      <c r="C903" s="326"/>
      <c r="D903" s="327"/>
      <c r="E903" s="328"/>
      <c r="F903" s="329"/>
      <c r="G903" s="330"/>
      <c r="H903" s="295"/>
      <c r="I903" s="295"/>
      <c r="J903" s="295"/>
      <c r="K903" s="295"/>
      <c r="L903" s="295"/>
      <c r="M903" s="295"/>
      <c r="N903" s="301"/>
    </row>
    <row r="904" spans="1:14">
      <c r="A904" s="207"/>
      <c r="B904" s="325"/>
      <c r="C904" s="326"/>
      <c r="D904" s="327"/>
      <c r="E904" s="328"/>
      <c r="F904" s="329"/>
      <c r="G904" s="330"/>
      <c r="H904" s="295"/>
      <c r="I904" s="295"/>
      <c r="J904" s="295"/>
      <c r="K904" s="295"/>
      <c r="L904" s="295"/>
      <c r="M904" s="295"/>
      <c r="N904" s="301"/>
    </row>
    <row r="905" spans="1:14">
      <c r="A905" s="207"/>
      <c r="B905" s="325"/>
      <c r="C905" s="326"/>
      <c r="D905" s="327"/>
      <c r="E905" s="328"/>
      <c r="F905" s="329"/>
      <c r="G905" s="330"/>
      <c r="H905" s="295"/>
      <c r="I905" s="295"/>
      <c r="J905" s="295"/>
      <c r="K905" s="295"/>
      <c r="L905" s="295"/>
      <c r="M905" s="295"/>
      <c r="N905" s="301"/>
    </row>
    <row r="906" spans="1:14">
      <c r="A906" s="207"/>
      <c r="B906" s="325"/>
      <c r="C906" s="326"/>
      <c r="D906" s="327"/>
      <c r="E906" s="328"/>
      <c r="F906" s="329"/>
      <c r="G906" s="330"/>
      <c r="H906" s="295"/>
      <c r="I906" s="295"/>
      <c r="J906" s="295"/>
      <c r="K906" s="295"/>
      <c r="L906" s="295"/>
      <c r="M906" s="295"/>
      <c r="N906" s="301"/>
    </row>
    <row r="907" spans="1:14">
      <c r="A907" s="207"/>
      <c r="B907" s="325"/>
      <c r="C907" s="326"/>
      <c r="D907" s="327"/>
      <c r="E907" s="328"/>
      <c r="F907" s="329"/>
      <c r="G907" s="330"/>
      <c r="H907" s="295"/>
      <c r="I907" s="295"/>
      <c r="J907" s="295"/>
      <c r="K907" s="295"/>
      <c r="L907" s="295"/>
      <c r="M907" s="295"/>
      <c r="N907" s="301"/>
    </row>
    <row r="908" spans="1:14">
      <c r="A908" s="207"/>
      <c r="B908" s="325"/>
      <c r="C908" s="326"/>
      <c r="D908" s="327"/>
      <c r="E908" s="328"/>
      <c r="F908" s="329"/>
      <c r="G908" s="330"/>
      <c r="H908" s="295"/>
      <c r="I908" s="295"/>
      <c r="J908" s="295"/>
      <c r="K908" s="295"/>
      <c r="L908" s="295"/>
      <c r="M908" s="295"/>
      <c r="N908" s="301"/>
    </row>
    <row r="909" spans="1:14">
      <c r="A909" s="207"/>
      <c r="B909" s="325"/>
      <c r="C909" s="326"/>
      <c r="D909" s="327"/>
      <c r="E909" s="328"/>
      <c r="F909" s="329"/>
      <c r="G909" s="330"/>
      <c r="H909" s="295"/>
      <c r="I909" s="295"/>
      <c r="J909" s="295"/>
      <c r="K909" s="295"/>
      <c r="L909" s="295"/>
      <c r="M909" s="295"/>
      <c r="N909" s="301"/>
    </row>
    <row r="910" spans="1:14">
      <c r="A910" s="207"/>
      <c r="B910" s="325"/>
      <c r="C910" s="326"/>
      <c r="D910" s="327"/>
      <c r="E910" s="328"/>
      <c r="F910" s="329"/>
      <c r="G910" s="330"/>
      <c r="H910" s="295"/>
      <c r="I910" s="295"/>
      <c r="J910" s="295"/>
      <c r="K910" s="295"/>
      <c r="L910" s="295"/>
      <c r="M910" s="295"/>
      <c r="N910" s="301"/>
    </row>
    <row r="911" spans="1:14">
      <c r="A911" s="207"/>
      <c r="B911" s="325"/>
      <c r="C911" s="326"/>
      <c r="D911" s="327"/>
      <c r="E911" s="328"/>
      <c r="F911" s="329"/>
      <c r="G911" s="330"/>
      <c r="H911" s="295"/>
      <c r="I911" s="295"/>
      <c r="J911" s="295"/>
      <c r="K911" s="295"/>
      <c r="L911" s="295"/>
      <c r="M911" s="295"/>
      <c r="N911" s="301"/>
    </row>
    <row r="912" spans="1:14">
      <c r="A912" s="207"/>
      <c r="B912" s="325"/>
      <c r="C912" s="326"/>
      <c r="D912" s="327"/>
      <c r="E912" s="328"/>
      <c r="F912" s="329"/>
      <c r="G912" s="330"/>
      <c r="H912" s="295"/>
      <c r="I912" s="295"/>
      <c r="J912" s="295"/>
      <c r="K912" s="295"/>
      <c r="L912" s="295"/>
      <c r="M912" s="295"/>
      <c r="N912" s="301"/>
    </row>
    <row r="913" spans="1:14">
      <c r="A913" s="207"/>
      <c r="B913" s="325"/>
      <c r="C913" s="326"/>
      <c r="D913" s="327"/>
      <c r="E913" s="328"/>
      <c r="F913" s="329"/>
      <c r="G913" s="330"/>
      <c r="H913" s="295"/>
      <c r="I913" s="295"/>
      <c r="J913" s="295"/>
      <c r="K913" s="295"/>
      <c r="L913" s="295"/>
      <c r="M913" s="295"/>
      <c r="N913" s="301"/>
    </row>
    <row r="914" spans="1:14">
      <c r="A914" s="207"/>
      <c r="B914" s="325"/>
      <c r="C914" s="326"/>
      <c r="D914" s="327"/>
      <c r="E914" s="328"/>
      <c r="F914" s="329"/>
      <c r="G914" s="330"/>
      <c r="H914" s="295"/>
      <c r="I914" s="295"/>
      <c r="J914" s="295"/>
      <c r="K914" s="295"/>
      <c r="L914" s="295"/>
      <c r="M914" s="295"/>
      <c r="N914" s="301"/>
    </row>
    <row r="915" spans="1:14">
      <c r="A915" s="207"/>
      <c r="B915" s="325"/>
      <c r="C915" s="326"/>
      <c r="D915" s="327"/>
      <c r="E915" s="328"/>
      <c r="F915" s="329"/>
      <c r="G915" s="330"/>
      <c r="H915" s="295"/>
      <c r="I915" s="295"/>
      <c r="J915" s="295"/>
      <c r="K915" s="295"/>
      <c r="L915" s="295"/>
      <c r="M915" s="295"/>
      <c r="N915" s="301"/>
    </row>
    <row r="916" spans="1:14">
      <c r="A916" s="207"/>
      <c r="B916" s="325"/>
      <c r="C916" s="326"/>
      <c r="D916" s="327"/>
      <c r="E916" s="328"/>
      <c r="F916" s="329"/>
      <c r="G916" s="330"/>
      <c r="H916" s="295"/>
      <c r="I916" s="295"/>
      <c r="J916" s="295"/>
      <c r="K916" s="295"/>
      <c r="L916" s="295"/>
      <c r="M916" s="295"/>
      <c r="N916" s="301"/>
    </row>
    <row r="917" spans="1:14">
      <c r="A917" s="207"/>
      <c r="B917" s="325"/>
      <c r="C917" s="326"/>
      <c r="D917" s="327"/>
      <c r="E917" s="328"/>
      <c r="F917" s="329"/>
      <c r="G917" s="330"/>
      <c r="H917" s="295"/>
      <c r="I917" s="295"/>
      <c r="J917" s="295"/>
      <c r="K917" s="295"/>
      <c r="L917" s="295"/>
      <c r="M917" s="295"/>
      <c r="N917" s="301"/>
    </row>
    <row r="918" spans="1:14">
      <c r="A918" s="207"/>
      <c r="B918" s="325"/>
      <c r="C918" s="326"/>
      <c r="D918" s="327"/>
      <c r="E918" s="328"/>
      <c r="F918" s="329"/>
      <c r="G918" s="330"/>
      <c r="H918" s="295"/>
      <c r="I918" s="295"/>
      <c r="J918" s="295"/>
      <c r="K918" s="295"/>
      <c r="L918" s="295"/>
      <c r="M918" s="295"/>
      <c r="N918" s="301"/>
    </row>
    <row r="919" spans="1:14">
      <c r="A919" s="207"/>
      <c r="B919" s="325"/>
      <c r="C919" s="326"/>
      <c r="D919" s="327"/>
      <c r="E919" s="328"/>
      <c r="F919" s="329"/>
      <c r="G919" s="330"/>
      <c r="H919" s="295"/>
      <c r="I919" s="295"/>
      <c r="J919" s="295"/>
      <c r="K919" s="295"/>
      <c r="L919" s="295"/>
      <c r="M919" s="295"/>
      <c r="N919" s="301"/>
    </row>
    <row r="920" spans="1:14">
      <c r="A920" s="207"/>
      <c r="B920" s="325"/>
      <c r="C920" s="326"/>
      <c r="D920" s="327"/>
      <c r="E920" s="328"/>
      <c r="F920" s="329"/>
      <c r="G920" s="330"/>
      <c r="H920" s="295"/>
      <c r="I920" s="295"/>
      <c r="J920" s="295"/>
      <c r="K920" s="295"/>
      <c r="L920" s="295"/>
      <c r="M920" s="295"/>
      <c r="N920" s="301"/>
    </row>
    <row r="921" spans="1:14">
      <c r="A921" s="207"/>
      <c r="B921" s="325"/>
      <c r="C921" s="326"/>
      <c r="D921" s="327"/>
      <c r="E921" s="328"/>
      <c r="F921" s="329"/>
      <c r="G921" s="330"/>
      <c r="H921" s="295"/>
      <c r="I921" s="295"/>
      <c r="J921" s="295"/>
      <c r="K921" s="295"/>
      <c r="L921" s="295"/>
      <c r="M921" s="295"/>
      <c r="N921" s="301"/>
    </row>
    <row r="922" spans="1:14">
      <c r="A922" s="207"/>
      <c r="B922" s="325"/>
      <c r="C922" s="326"/>
      <c r="D922" s="327"/>
      <c r="E922" s="328"/>
      <c r="F922" s="329"/>
      <c r="G922" s="330"/>
      <c r="H922" s="295"/>
      <c r="I922" s="295"/>
      <c r="J922" s="295"/>
      <c r="K922" s="295"/>
      <c r="L922" s="295"/>
      <c r="M922" s="295"/>
      <c r="N922" s="301"/>
    </row>
    <row r="923" spans="1:14">
      <c r="A923" s="207"/>
      <c r="B923" s="325"/>
      <c r="C923" s="326"/>
      <c r="D923" s="327"/>
      <c r="E923" s="328"/>
      <c r="F923" s="329"/>
      <c r="G923" s="330"/>
      <c r="H923" s="295"/>
      <c r="I923" s="295"/>
      <c r="J923" s="295"/>
      <c r="K923" s="295"/>
      <c r="L923" s="295"/>
      <c r="M923" s="295"/>
      <c r="N923" s="301"/>
    </row>
    <row r="924" spans="1:14">
      <c r="A924" s="207"/>
      <c r="B924" s="325"/>
      <c r="C924" s="326"/>
      <c r="D924" s="327"/>
      <c r="E924" s="328"/>
      <c r="F924" s="329"/>
      <c r="G924" s="330"/>
      <c r="H924" s="295"/>
      <c r="I924" s="295"/>
      <c r="J924" s="295"/>
      <c r="K924" s="295"/>
      <c r="L924" s="295"/>
      <c r="M924" s="295"/>
      <c r="N924" s="301"/>
    </row>
    <row r="925" spans="1:14">
      <c r="A925" s="207"/>
      <c r="B925" s="325"/>
      <c r="C925" s="326"/>
      <c r="D925" s="327"/>
      <c r="E925" s="328"/>
      <c r="F925" s="329"/>
      <c r="G925" s="330"/>
      <c r="H925" s="295"/>
      <c r="I925" s="295"/>
      <c r="J925" s="295"/>
      <c r="K925" s="295"/>
      <c r="L925" s="295"/>
      <c r="M925" s="295"/>
      <c r="N925" s="301"/>
    </row>
    <row r="926" spans="1:14">
      <c r="A926" s="207"/>
      <c r="B926" s="325"/>
      <c r="C926" s="326"/>
      <c r="D926" s="327"/>
      <c r="E926" s="328"/>
      <c r="F926" s="329"/>
      <c r="G926" s="330"/>
      <c r="H926" s="295"/>
      <c r="I926" s="295"/>
      <c r="J926" s="295"/>
      <c r="K926" s="295"/>
      <c r="L926" s="295"/>
      <c r="M926" s="295"/>
      <c r="N926" s="301"/>
    </row>
    <row r="927" spans="1:14">
      <c r="A927" s="207"/>
      <c r="B927" s="325"/>
      <c r="C927" s="326"/>
      <c r="D927" s="327"/>
      <c r="E927" s="328"/>
      <c r="F927" s="329"/>
      <c r="G927" s="330"/>
      <c r="H927" s="295"/>
      <c r="I927" s="295"/>
      <c r="J927" s="295"/>
      <c r="K927" s="295"/>
      <c r="L927" s="295"/>
      <c r="M927" s="295"/>
      <c r="N927" s="301"/>
    </row>
    <row r="928" spans="1:14">
      <c r="A928" s="207"/>
      <c r="B928" s="325"/>
      <c r="C928" s="326"/>
      <c r="D928" s="327"/>
      <c r="E928" s="328"/>
      <c r="F928" s="329"/>
      <c r="G928" s="330"/>
      <c r="H928" s="295"/>
      <c r="I928" s="295"/>
      <c r="J928" s="295"/>
      <c r="K928" s="295"/>
      <c r="L928" s="295"/>
      <c r="M928" s="295"/>
      <c r="N928" s="301"/>
    </row>
    <row r="929" spans="1:14">
      <c r="A929" s="207"/>
      <c r="B929" s="325"/>
      <c r="C929" s="326"/>
      <c r="D929" s="327"/>
      <c r="E929" s="328"/>
      <c r="F929" s="329"/>
      <c r="G929" s="330"/>
      <c r="H929" s="295"/>
      <c r="I929" s="295"/>
      <c r="J929" s="295"/>
      <c r="K929" s="295"/>
      <c r="L929" s="295"/>
      <c r="M929" s="295"/>
      <c r="N929" s="301"/>
    </row>
    <row r="930" spans="1:14">
      <c r="A930" s="207"/>
      <c r="B930" s="325"/>
      <c r="C930" s="326"/>
      <c r="D930" s="327"/>
      <c r="E930" s="328"/>
      <c r="F930" s="329"/>
      <c r="G930" s="330"/>
      <c r="H930" s="295"/>
      <c r="I930" s="295"/>
      <c r="J930" s="295"/>
      <c r="K930" s="295"/>
      <c r="L930" s="295"/>
      <c r="M930" s="295"/>
      <c r="N930" s="301"/>
    </row>
    <row r="931" spans="1:14">
      <c r="A931" s="207"/>
      <c r="B931" s="325"/>
      <c r="C931" s="326"/>
      <c r="D931" s="327"/>
      <c r="E931" s="328"/>
      <c r="F931" s="329"/>
      <c r="G931" s="330"/>
      <c r="H931" s="295"/>
      <c r="I931" s="295"/>
      <c r="J931" s="295"/>
      <c r="K931" s="295"/>
      <c r="L931" s="295"/>
      <c r="M931" s="295"/>
      <c r="N931" s="301"/>
    </row>
    <row r="932" spans="1:14">
      <c r="A932" s="207"/>
      <c r="B932" s="325"/>
      <c r="C932" s="326"/>
      <c r="D932" s="327"/>
      <c r="E932" s="328"/>
      <c r="F932" s="329"/>
      <c r="G932" s="330"/>
      <c r="H932" s="295"/>
      <c r="I932" s="295"/>
      <c r="J932" s="295"/>
      <c r="K932" s="295"/>
      <c r="L932" s="295"/>
      <c r="M932" s="295"/>
      <c r="N932" s="301"/>
    </row>
    <row r="933" spans="1:14">
      <c r="A933" s="207"/>
      <c r="B933" s="325"/>
      <c r="C933" s="326"/>
      <c r="D933" s="327"/>
      <c r="E933" s="328"/>
      <c r="F933" s="329"/>
      <c r="G933" s="330"/>
      <c r="H933" s="295"/>
      <c r="I933" s="295"/>
      <c r="J933" s="295"/>
      <c r="K933" s="295"/>
      <c r="L933" s="295"/>
      <c r="M933" s="295"/>
      <c r="N933" s="301"/>
    </row>
    <row r="934" spans="1:14">
      <c r="A934" s="207"/>
      <c r="B934" s="325"/>
      <c r="C934" s="326"/>
      <c r="D934" s="327"/>
      <c r="E934" s="328"/>
      <c r="F934" s="329"/>
      <c r="G934" s="330"/>
      <c r="H934" s="295"/>
      <c r="I934" s="295"/>
      <c r="J934" s="295"/>
      <c r="K934" s="295"/>
      <c r="L934" s="295"/>
      <c r="M934" s="295"/>
      <c r="N934" s="301"/>
    </row>
    <row r="935" spans="1:14">
      <c r="A935" s="207"/>
      <c r="B935" s="325"/>
      <c r="C935" s="326"/>
      <c r="D935" s="327"/>
      <c r="E935" s="328"/>
      <c r="F935" s="329"/>
      <c r="G935" s="330"/>
      <c r="H935" s="295"/>
      <c r="I935" s="295"/>
      <c r="J935" s="295"/>
      <c r="K935" s="295"/>
      <c r="L935" s="295"/>
      <c r="M935" s="295"/>
      <c r="N935" s="301"/>
    </row>
    <row r="936" spans="1:14">
      <c r="A936" s="207"/>
      <c r="B936" s="325"/>
      <c r="C936" s="326"/>
      <c r="D936" s="327"/>
      <c r="E936" s="328"/>
      <c r="F936" s="329"/>
      <c r="G936" s="330"/>
      <c r="H936" s="295"/>
      <c r="I936" s="295"/>
      <c r="J936" s="295"/>
      <c r="K936" s="295"/>
      <c r="L936" s="295"/>
      <c r="M936" s="295"/>
      <c r="N936" s="301"/>
    </row>
    <row r="937" spans="1:14">
      <c r="A937" s="207"/>
      <c r="B937" s="325"/>
      <c r="C937" s="326"/>
      <c r="D937" s="327"/>
      <c r="E937" s="328"/>
      <c r="F937" s="329"/>
      <c r="G937" s="330"/>
      <c r="H937" s="295"/>
      <c r="I937" s="295"/>
      <c r="J937" s="295"/>
      <c r="K937" s="295"/>
      <c r="L937" s="295"/>
      <c r="M937" s="295"/>
      <c r="N937" s="301"/>
    </row>
    <row r="938" spans="1:14">
      <c r="A938" s="207"/>
      <c r="B938" s="325"/>
      <c r="C938" s="326"/>
      <c r="D938" s="327"/>
      <c r="E938" s="328"/>
      <c r="F938" s="329"/>
      <c r="G938" s="330"/>
      <c r="H938" s="295"/>
      <c r="I938" s="295"/>
      <c r="J938" s="295"/>
      <c r="K938" s="295"/>
      <c r="L938" s="295"/>
      <c r="M938" s="295"/>
      <c r="N938" s="301"/>
    </row>
    <row r="939" spans="1:14">
      <c r="A939" s="207"/>
      <c r="B939" s="325"/>
      <c r="C939" s="326"/>
      <c r="D939" s="327"/>
      <c r="E939" s="328"/>
      <c r="F939" s="329"/>
      <c r="G939" s="330"/>
      <c r="H939" s="295"/>
      <c r="I939" s="295"/>
      <c r="J939" s="295"/>
      <c r="K939" s="295"/>
      <c r="L939" s="295"/>
      <c r="M939" s="295"/>
      <c r="N939" s="301"/>
    </row>
    <row r="940" spans="1:14">
      <c r="A940" s="207"/>
      <c r="B940" s="325"/>
      <c r="C940" s="326"/>
      <c r="D940" s="327"/>
      <c r="E940" s="328"/>
      <c r="F940" s="329"/>
      <c r="G940" s="330"/>
      <c r="H940" s="295"/>
      <c r="I940" s="295"/>
      <c r="J940" s="295"/>
      <c r="K940" s="295"/>
      <c r="L940" s="295"/>
      <c r="M940" s="295"/>
      <c r="N940" s="301"/>
    </row>
    <row r="941" spans="1:14">
      <c r="A941" s="207"/>
      <c r="B941" s="325"/>
      <c r="C941" s="326"/>
      <c r="D941" s="327"/>
      <c r="E941" s="328"/>
      <c r="F941" s="329"/>
      <c r="G941" s="330"/>
      <c r="H941" s="295"/>
      <c r="I941" s="295"/>
      <c r="J941" s="295"/>
      <c r="K941" s="295"/>
      <c r="L941" s="295"/>
      <c r="M941" s="295"/>
      <c r="N941" s="301"/>
    </row>
    <row r="942" spans="1:14">
      <c r="A942" s="207"/>
      <c r="B942" s="325"/>
      <c r="C942" s="326"/>
      <c r="D942" s="327"/>
      <c r="E942" s="328"/>
      <c r="F942" s="329"/>
      <c r="G942" s="330"/>
      <c r="H942" s="295"/>
      <c r="I942" s="295"/>
      <c r="J942" s="295"/>
      <c r="K942" s="295"/>
      <c r="L942" s="295"/>
      <c r="M942" s="295"/>
      <c r="N942" s="301"/>
    </row>
    <row r="943" spans="1:14">
      <c r="A943" s="207"/>
      <c r="B943" s="325"/>
      <c r="C943" s="326"/>
      <c r="D943" s="327"/>
      <c r="E943" s="328"/>
      <c r="F943" s="329"/>
      <c r="G943" s="330"/>
      <c r="H943" s="295"/>
      <c r="I943" s="295"/>
      <c r="J943" s="295"/>
      <c r="K943" s="295"/>
      <c r="L943" s="295"/>
      <c r="M943" s="295"/>
      <c r="N943" s="301"/>
    </row>
    <row r="944" spans="1:14">
      <c r="A944" s="207"/>
      <c r="B944" s="325"/>
      <c r="C944" s="326"/>
      <c r="D944" s="327"/>
      <c r="E944" s="328"/>
      <c r="F944" s="329"/>
      <c r="G944" s="330"/>
      <c r="H944" s="295"/>
      <c r="I944" s="295"/>
      <c r="J944" s="295"/>
      <c r="K944" s="295"/>
      <c r="L944" s="295"/>
      <c r="M944" s="295"/>
      <c r="N944" s="301"/>
    </row>
    <row r="945" spans="1:14">
      <c r="A945" s="207"/>
      <c r="B945" s="325"/>
      <c r="C945" s="326"/>
      <c r="D945" s="327"/>
      <c r="E945" s="328"/>
      <c r="F945" s="329"/>
      <c r="G945" s="330"/>
      <c r="H945" s="295"/>
      <c r="I945" s="295"/>
      <c r="J945" s="295"/>
      <c r="K945" s="295"/>
      <c r="L945" s="295"/>
      <c r="M945" s="295"/>
      <c r="N945" s="301"/>
    </row>
    <row r="946" spans="1:14">
      <c r="A946" s="207"/>
      <c r="B946" s="325"/>
      <c r="C946" s="326"/>
      <c r="D946" s="327"/>
      <c r="E946" s="328"/>
      <c r="F946" s="329"/>
      <c r="G946" s="330"/>
      <c r="H946" s="295"/>
      <c r="I946" s="295"/>
      <c r="J946" s="295"/>
      <c r="K946" s="295"/>
      <c r="L946" s="295"/>
      <c r="M946" s="295"/>
      <c r="N946" s="301"/>
    </row>
    <row r="947" spans="1:14">
      <c r="A947" s="207"/>
      <c r="B947" s="325"/>
      <c r="C947" s="326"/>
      <c r="D947" s="327"/>
      <c r="E947" s="328"/>
      <c r="F947" s="329"/>
      <c r="G947" s="330"/>
      <c r="H947" s="295"/>
      <c r="I947" s="295"/>
      <c r="J947" s="295"/>
      <c r="K947" s="295"/>
      <c r="L947" s="295"/>
      <c r="M947" s="295"/>
      <c r="N947" s="301"/>
    </row>
    <row r="948" spans="1:14">
      <c r="A948" s="207"/>
      <c r="B948" s="325"/>
      <c r="C948" s="326"/>
      <c r="D948" s="327"/>
      <c r="E948" s="328"/>
      <c r="F948" s="329"/>
      <c r="G948" s="330"/>
      <c r="H948" s="295"/>
      <c r="I948" s="295"/>
      <c r="J948" s="295"/>
      <c r="K948" s="295"/>
      <c r="L948" s="295"/>
      <c r="M948" s="295"/>
      <c r="N948" s="301"/>
    </row>
    <row r="949" spans="1:14">
      <c r="A949" s="207"/>
      <c r="B949" s="325"/>
      <c r="C949" s="326"/>
      <c r="D949" s="327"/>
      <c r="E949" s="328"/>
      <c r="F949" s="329"/>
      <c r="G949" s="330"/>
      <c r="H949" s="295"/>
      <c r="I949" s="295"/>
      <c r="J949" s="295"/>
      <c r="K949" s="295"/>
      <c r="L949" s="295"/>
      <c r="M949" s="295"/>
      <c r="N949" s="301"/>
    </row>
    <row r="950" spans="1:14">
      <c r="A950" s="207"/>
      <c r="B950" s="325"/>
      <c r="C950" s="326"/>
      <c r="D950" s="327"/>
      <c r="E950" s="328"/>
      <c r="F950" s="329"/>
      <c r="G950" s="330"/>
      <c r="H950" s="295"/>
      <c r="I950" s="295"/>
      <c r="J950" s="295"/>
      <c r="K950" s="295"/>
      <c r="L950" s="295"/>
      <c r="M950" s="295"/>
      <c r="N950" s="301"/>
    </row>
    <row r="951" spans="1:14">
      <c r="A951" s="207"/>
      <c r="B951" s="325"/>
      <c r="C951" s="326"/>
      <c r="D951" s="327"/>
      <c r="E951" s="328"/>
      <c r="F951" s="329"/>
      <c r="G951" s="330"/>
      <c r="H951" s="295"/>
      <c r="I951" s="295"/>
      <c r="J951" s="295"/>
      <c r="K951" s="295"/>
      <c r="L951" s="295"/>
      <c r="M951" s="295"/>
      <c r="N951" s="301"/>
    </row>
    <row r="952" spans="1:14">
      <c r="A952" s="207"/>
      <c r="B952" s="325"/>
      <c r="C952" s="326"/>
      <c r="D952" s="327"/>
      <c r="E952" s="328"/>
      <c r="F952" s="329"/>
      <c r="G952" s="330"/>
      <c r="H952" s="295"/>
      <c r="I952" s="295"/>
      <c r="J952" s="295"/>
      <c r="K952" s="295"/>
      <c r="L952" s="295"/>
      <c r="M952" s="295"/>
      <c r="N952" s="301"/>
    </row>
    <row r="953" spans="1:14">
      <c r="A953" s="207"/>
      <c r="B953" s="325"/>
      <c r="C953" s="326"/>
      <c r="D953" s="327"/>
      <c r="E953" s="328"/>
      <c r="F953" s="329"/>
      <c r="G953" s="330"/>
      <c r="H953" s="295"/>
      <c r="I953" s="295"/>
      <c r="J953" s="295"/>
      <c r="K953" s="295"/>
      <c r="L953" s="295"/>
      <c r="M953" s="295"/>
      <c r="N953" s="301"/>
    </row>
    <row r="954" spans="1:14">
      <c r="A954" s="207"/>
      <c r="B954" s="325"/>
      <c r="C954" s="326"/>
      <c r="D954" s="327"/>
      <c r="E954" s="328"/>
      <c r="F954" s="329"/>
      <c r="G954" s="330"/>
      <c r="H954" s="295"/>
      <c r="I954" s="295"/>
      <c r="J954" s="295"/>
      <c r="K954" s="295"/>
      <c r="L954" s="295"/>
      <c r="M954" s="295"/>
      <c r="N954" s="301"/>
    </row>
    <row r="955" spans="1:14">
      <c r="A955" s="207"/>
      <c r="B955" s="325"/>
      <c r="C955" s="326"/>
      <c r="D955" s="327"/>
      <c r="E955" s="328"/>
      <c r="F955" s="329"/>
      <c r="G955" s="330"/>
      <c r="H955" s="295"/>
      <c r="I955" s="295"/>
      <c r="J955" s="295"/>
      <c r="K955" s="295"/>
      <c r="L955" s="295"/>
      <c r="M955" s="295"/>
      <c r="N955" s="301"/>
    </row>
    <row r="956" spans="1:14">
      <c r="A956" s="207"/>
      <c r="B956" s="325"/>
      <c r="C956" s="326"/>
      <c r="D956" s="327"/>
      <c r="E956" s="328"/>
      <c r="F956" s="329"/>
      <c r="G956" s="330"/>
      <c r="H956" s="295"/>
      <c r="I956" s="295"/>
      <c r="J956" s="295"/>
      <c r="K956" s="295"/>
      <c r="L956" s="295"/>
      <c r="M956" s="295"/>
      <c r="N956" s="301"/>
    </row>
    <row r="957" spans="1:14">
      <c r="B957" s="79"/>
      <c r="C957" s="28"/>
      <c r="D957" s="232"/>
      <c r="E957" s="331"/>
      <c r="G957" s="732"/>
      <c r="H957" s="732"/>
      <c r="I957" s="206"/>
      <c r="J957" s="206"/>
      <c r="K957" s="732"/>
      <c r="L957" s="732"/>
      <c r="M957" s="732"/>
      <c r="N957" s="301"/>
    </row>
  </sheetData>
  <sheetProtection algorithmName="SHA-512" hashValue="ZpETs4BTD6B5F3wFA+omSDOIyPuy8XjJk0p8YLj2Dppkf724QyddpArhlueN0eTdeJYJJpjusng4LeedYoqoSA==" saltValue="YWtpeed04Ek32L2Y8NpdrA==" spinCount="100000" sheet="1" objects="1" scenarios="1"/>
  <mergeCells count="55">
    <mergeCell ref="A95:A96"/>
    <mergeCell ref="A97:A99"/>
    <mergeCell ref="A100:A105"/>
    <mergeCell ref="B29:B33"/>
    <mergeCell ref="A41:A44"/>
    <mergeCell ref="B41:B44"/>
    <mergeCell ref="A91:A94"/>
    <mergeCell ref="A85:A90"/>
    <mergeCell ref="A73:A77"/>
    <mergeCell ref="A78:A84"/>
    <mergeCell ref="A46:A47"/>
    <mergeCell ref="A61:A63"/>
    <mergeCell ref="A34:A40"/>
    <mergeCell ref="B34:B40"/>
    <mergeCell ref="A29:A33"/>
    <mergeCell ref="A59:A60"/>
    <mergeCell ref="A3:M3"/>
    <mergeCell ref="A21:A24"/>
    <mergeCell ref="B21:B24"/>
    <mergeCell ref="A25:A28"/>
    <mergeCell ref="B25:B28"/>
    <mergeCell ref="A5:D5"/>
    <mergeCell ref="A13:A16"/>
    <mergeCell ref="B13:B16"/>
    <mergeCell ref="A17:A20"/>
    <mergeCell ref="B17:B20"/>
    <mergeCell ref="A116:A119"/>
    <mergeCell ref="B116:B119"/>
    <mergeCell ref="A120:A123"/>
    <mergeCell ref="B120:B123"/>
    <mergeCell ref="A2:M2"/>
    <mergeCell ref="A4:M4"/>
    <mergeCell ref="M6:M7"/>
    <mergeCell ref="A6:A7"/>
    <mergeCell ref="B6:B7"/>
    <mergeCell ref="C6:C7"/>
    <mergeCell ref="D6:D7"/>
    <mergeCell ref="G6:H6"/>
    <mergeCell ref="I6:J6"/>
    <mergeCell ref="K6:L6"/>
    <mergeCell ref="E6:F6"/>
    <mergeCell ref="H5:K5"/>
    <mergeCell ref="A124:A127"/>
    <mergeCell ref="B124:B127"/>
    <mergeCell ref="A132:A138"/>
    <mergeCell ref="B132:B138"/>
    <mergeCell ref="A128:A131"/>
    <mergeCell ref="B128:B131"/>
    <mergeCell ref="A183:A188"/>
    <mergeCell ref="A154:A156"/>
    <mergeCell ref="A165:A171"/>
    <mergeCell ref="A172:A177"/>
    <mergeCell ref="A140:A141"/>
    <mergeCell ref="A178:A179"/>
    <mergeCell ref="A180:A182"/>
  </mergeCells>
  <pageMargins left="0.68" right="0.23622047244094499" top="0.78740157480314998" bottom="0.37" header="0.31496062992126" footer="0.196850393700787"/>
  <pageSetup paperSize="9" scale="75" orientation="landscape" r:id="rId1"/>
  <headerFooter>
    <oddHeader>&amp;R&amp;P--&amp;N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214"/>
  <sheetViews>
    <sheetView view="pageBreakPreview" zoomScale="90" zoomScaleNormal="80" zoomScaleSheetLayoutView="90" workbookViewId="0">
      <selection activeCell="G6" sqref="G6:M213"/>
    </sheetView>
  </sheetViews>
  <sheetFormatPr defaultColWidth="8.875" defaultRowHeight="15.75"/>
  <cols>
    <col min="1" max="1" width="6.75" style="259" customWidth="1"/>
    <col min="2" max="2" width="10" style="48" customWidth="1"/>
    <col min="3" max="3" width="60" style="96" customWidth="1"/>
    <col min="4" max="4" width="8.125" style="48" customWidth="1"/>
    <col min="5" max="5" width="10.375" style="243" customWidth="1"/>
    <col min="6" max="6" width="9" style="233" customWidth="1"/>
    <col min="7" max="7" width="8.625" style="573" customWidth="1"/>
    <col min="8" max="8" width="10.625" style="573" customWidth="1"/>
    <col min="9" max="9" width="8" style="573" customWidth="1"/>
    <col min="10" max="10" width="9.375" style="573" customWidth="1"/>
    <col min="11" max="11" width="8.625" style="573" customWidth="1"/>
    <col min="12" max="12" width="9.125" style="573" customWidth="1"/>
    <col min="13" max="13" width="13.125" style="573" customWidth="1"/>
    <col min="14" max="14" width="21.625" style="50" customWidth="1"/>
    <col min="15" max="15" width="29" style="50" customWidth="1"/>
    <col min="16" max="16384" width="8.875" style="50"/>
  </cols>
  <sheetData>
    <row r="1" spans="1:13">
      <c r="A1" s="256"/>
      <c r="B1" s="575"/>
      <c r="C1" s="575"/>
      <c r="D1" s="575"/>
      <c r="E1" s="242"/>
      <c r="F1" s="242"/>
      <c r="G1" s="572"/>
      <c r="H1" s="572"/>
      <c r="I1" s="572"/>
      <c r="J1" s="572"/>
      <c r="K1" s="572"/>
      <c r="L1" s="572"/>
      <c r="M1" s="572"/>
    </row>
    <row r="2" spans="1:13">
      <c r="A2" s="1149" t="s">
        <v>1045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>
      <c r="A3" s="256"/>
      <c r="B3" s="575"/>
      <c r="C3" s="575"/>
      <c r="D3" s="575"/>
      <c r="E3" s="242"/>
      <c r="F3" s="242"/>
      <c r="G3" s="572"/>
      <c r="H3" s="572"/>
      <c r="I3" s="572"/>
      <c r="J3" s="572"/>
      <c r="K3" s="572"/>
      <c r="L3" s="572"/>
      <c r="M3" s="572"/>
    </row>
    <row r="4" spans="1:13" ht="27.75" customHeight="1">
      <c r="A4" s="1150" t="s">
        <v>225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</row>
    <row r="5" spans="1:13" ht="27.75" customHeight="1">
      <c r="A5" s="1196" t="str">
        <f>krebsiti!A4</f>
        <v>Sedgenilia 2021 wlis IV kvartlis doneze</v>
      </c>
      <c r="B5" s="1196"/>
      <c r="C5" s="1196"/>
      <c r="D5" s="1196"/>
      <c r="E5" s="1029"/>
      <c r="F5" s="1030"/>
      <c r="G5" s="1031"/>
      <c r="H5" s="1157" t="s">
        <v>1032</v>
      </c>
      <c r="I5" s="1157"/>
      <c r="J5" s="1157"/>
      <c r="K5" s="1157"/>
      <c r="L5" s="1032" t="s">
        <v>24</v>
      </c>
      <c r="M5" s="1032">
        <f>M213</f>
        <v>0</v>
      </c>
    </row>
    <row r="6" spans="1:13" ht="33.75" customHeight="1">
      <c r="A6" s="1158" t="s">
        <v>0</v>
      </c>
      <c r="B6" s="1160" t="s">
        <v>397</v>
      </c>
      <c r="C6" s="1160" t="s">
        <v>398</v>
      </c>
      <c r="D6" s="1160" t="s">
        <v>399</v>
      </c>
      <c r="E6" s="1153" t="s">
        <v>235</v>
      </c>
      <c r="F6" s="1154"/>
      <c r="G6" s="1289" t="s">
        <v>232</v>
      </c>
      <c r="H6" s="1290"/>
      <c r="I6" s="1289" t="s">
        <v>400</v>
      </c>
      <c r="J6" s="1290"/>
      <c r="K6" s="1289" t="s">
        <v>31</v>
      </c>
      <c r="L6" s="1290"/>
      <c r="M6" s="1291" t="s">
        <v>331</v>
      </c>
    </row>
    <row r="7" spans="1:13" ht="45" customHeight="1">
      <c r="A7" s="1159"/>
      <c r="B7" s="1161"/>
      <c r="C7" s="1161"/>
      <c r="D7" s="1161"/>
      <c r="E7" s="577" t="s">
        <v>236</v>
      </c>
      <c r="F7" s="577" t="s">
        <v>20</v>
      </c>
      <c r="G7" s="1284" t="s">
        <v>401</v>
      </c>
      <c r="H7" s="1284" t="s">
        <v>20</v>
      </c>
      <c r="I7" s="1284" t="s">
        <v>401</v>
      </c>
      <c r="J7" s="1284" t="s">
        <v>20</v>
      </c>
      <c r="K7" s="1284" t="s">
        <v>401</v>
      </c>
      <c r="L7" s="1284" t="s">
        <v>20</v>
      </c>
      <c r="M7" s="1292"/>
    </row>
    <row r="8" spans="1:13">
      <c r="A8" s="574">
        <v>1</v>
      </c>
      <c r="B8" s="238">
        <v>2</v>
      </c>
      <c r="C8" s="576">
        <v>3</v>
      </c>
      <c r="D8" s="576">
        <v>4</v>
      </c>
      <c r="E8" s="577">
        <v>5</v>
      </c>
      <c r="F8" s="577">
        <v>6</v>
      </c>
      <c r="G8" s="1294">
        <v>7</v>
      </c>
      <c r="H8" s="1294">
        <v>8</v>
      </c>
      <c r="I8" s="1294">
        <v>9</v>
      </c>
      <c r="J8" s="1294">
        <v>10</v>
      </c>
      <c r="K8" s="1294">
        <v>11</v>
      </c>
      <c r="L8" s="1294">
        <v>12</v>
      </c>
      <c r="M8" s="1294">
        <v>13</v>
      </c>
    </row>
    <row r="9" spans="1:13" s="606" customFormat="1" ht="31.5">
      <c r="A9" s="341" t="s">
        <v>422</v>
      </c>
      <c r="B9" s="369"/>
      <c r="C9" s="283" t="s">
        <v>366</v>
      </c>
      <c r="D9" s="369"/>
      <c r="E9" s="564"/>
      <c r="F9" s="370"/>
      <c r="G9" s="1327"/>
      <c r="H9" s="1327"/>
      <c r="I9" s="1327"/>
      <c r="J9" s="1327"/>
      <c r="K9" s="1327"/>
      <c r="L9" s="1327"/>
      <c r="M9" s="1327"/>
    </row>
    <row r="10" spans="1:13" s="977" customFormat="1">
      <c r="A10" s="720"/>
      <c r="B10" s="962"/>
      <c r="C10" s="163"/>
      <c r="D10" s="962"/>
      <c r="E10" s="54"/>
      <c r="F10" s="239"/>
      <c r="G10" s="1299"/>
      <c r="H10" s="1299"/>
      <c r="I10" s="1299"/>
      <c r="J10" s="1299"/>
      <c r="K10" s="1299"/>
      <c r="L10" s="1299"/>
      <c r="M10" s="1299"/>
    </row>
    <row r="11" spans="1:13" ht="18.75" customHeight="1">
      <c r="A11" s="923" t="s">
        <v>1016</v>
      </c>
      <c r="B11" s="947"/>
      <c r="C11" s="923" t="s">
        <v>941</v>
      </c>
      <c r="D11" s="921"/>
      <c r="E11" s="922"/>
      <c r="F11" s="922"/>
      <c r="G11" s="1296"/>
      <c r="H11" s="1297"/>
      <c r="I11" s="1296"/>
      <c r="J11" s="1297"/>
      <c r="K11" s="1296"/>
      <c r="L11" s="1297"/>
      <c r="M11" s="1297"/>
    </row>
    <row r="12" spans="1:13" s="1106" customFormat="1">
      <c r="A12" s="745" t="s">
        <v>72</v>
      </c>
      <c r="B12" s="742"/>
      <c r="C12" s="610" t="s">
        <v>87</v>
      </c>
      <c r="D12" s="742"/>
      <c r="E12" s="783"/>
      <c r="F12" s="784"/>
      <c r="G12" s="1298"/>
      <c r="H12" s="1298"/>
      <c r="I12" s="1298"/>
      <c r="J12" s="1298"/>
      <c r="K12" s="1298"/>
      <c r="L12" s="1298"/>
      <c r="M12" s="1298"/>
    </row>
    <row r="13" spans="1:13">
      <c r="A13" s="1193">
        <v>1</v>
      </c>
      <c r="B13" s="51" t="s">
        <v>182</v>
      </c>
      <c r="C13" s="248" t="s">
        <v>186</v>
      </c>
      <c r="D13" s="51" t="s">
        <v>118</v>
      </c>
      <c r="E13" s="213"/>
      <c r="F13" s="159">
        <f>F16</f>
        <v>6</v>
      </c>
      <c r="G13" s="1304"/>
      <c r="H13" s="1299"/>
      <c r="I13" s="1304"/>
      <c r="J13" s="1299"/>
      <c r="K13" s="1304"/>
      <c r="L13" s="1299"/>
      <c r="M13" s="1299"/>
    </row>
    <row r="14" spans="1:13">
      <c r="A14" s="1194"/>
      <c r="B14" s="51"/>
      <c r="C14" s="177" t="s">
        <v>27</v>
      </c>
      <c r="D14" s="735" t="s">
        <v>29</v>
      </c>
      <c r="E14" s="54">
        <v>2.44</v>
      </c>
      <c r="F14" s="239">
        <f>F13*E14</f>
        <v>14.64</v>
      </c>
      <c r="G14" s="1303"/>
      <c r="H14" s="1299"/>
      <c r="I14" s="1310"/>
      <c r="J14" s="1299">
        <f>F14*I14</f>
        <v>0</v>
      </c>
      <c r="K14" s="1303"/>
      <c r="L14" s="1299"/>
      <c r="M14" s="1299">
        <f t="shared" ref="M14:M48" si="0">H14+J14+L14</f>
        <v>0</v>
      </c>
    </row>
    <row r="15" spans="1:13">
      <c r="A15" s="1194"/>
      <c r="B15" s="51"/>
      <c r="C15" s="177" t="s">
        <v>167</v>
      </c>
      <c r="D15" s="735" t="s">
        <v>24</v>
      </c>
      <c r="E15" s="54">
        <v>0.13</v>
      </c>
      <c r="F15" s="239">
        <f>F13*E15</f>
        <v>0.78</v>
      </c>
      <c r="G15" s="1303"/>
      <c r="H15" s="1299"/>
      <c r="I15" s="1303"/>
      <c r="J15" s="1299"/>
      <c r="K15" s="1310"/>
      <c r="L15" s="1299">
        <f>F15*K15</f>
        <v>0</v>
      </c>
      <c r="M15" s="1299">
        <f t="shared" si="0"/>
        <v>0</v>
      </c>
    </row>
    <row r="16" spans="1:13" ht="27.75" customHeight="1">
      <c r="A16" s="1194"/>
      <c r="B16" s="51"/>
      <c r="C16" s="177" t="s">
        <v>367</v>
      </c>
      <c r="D16" s="735" t="s">
        <v>184</v>
      </c>
      <c r="E16" s="54">
        <v>1</v>
      </c>
      <c r="F16" s="239">
        <v>6</v>
      </c>
      <c r="G16" s="1310"/>
      <c r="H16" s="1299">
        <f>F16*G16</f>
        <v>0</v>
      </c>
      <c r="I16" s="1303"/>
      <c r="J16" s="1299"/>
      <c r="K16" s="1303"/>
      <c r="L16" s="1299"/>
      <c r="M16" s="1299">
        <f t="shared" si="0"/>
        <v>0</v>
      </c>
    </row>
    <row r="17" spans="1:13">
      <c r="A17" s="1195"/>
      <c r="B17" s="51"/>
      <c r="C17" s="177" t="s">
        <v>32</v>
      </c>
      <c r="D17" s="735" t="s">
        <v>183</v>
      </c>
      <c r="E17" s="54">
        <v>0.94</v>
      </c>
      <c r="F17" s="239">
        <f>F13*E17</f>
        <v>5.64</v>
      </c>
      <c r="G17" s="1310"/>
      <c r="H17" s="1299">
        <f>F17*G17</f>
        <v>0</v>
      </c>
      <c r="I17" s="1303"/>
      <c r="J17" s="1299"/>
      <c r="K17" s="1303"/>
      <c r="L17" s="1299"/>
      <c r="M17" s="1299">
        <f t="shared" si="0"/>
        <v>0</v>
      </c>
    </row>
    <row r="18" spans="1:13">
      <c r="A18" s="1193">
        <v>2</v>
      </c>
      <c r="B18" s="51" t="s">
        <v>185</v>
      </c>
      <c r="C18" s="248" t="s">
        <v>187</v>
      </c>
      <c r="D18" s="51" t="s">
        <v>24</v>
      </c>
      <c r="E18" s="213"/>
      <c r="F18" s="159">
        <f>F21</f>
        <v>6</v>
      </c>
      <c r="G18" s="1304"/>
      <c r="H18" s="1299"/>
      <c r="I18" s="1304"/>
      <c r="J18" s="1299"/>
      <c r="K18" s="1304"/>
      <c r="L18" s="1299"/>
      <c r="M18" s="1299"/>
    </row>
    <row r="19" spans="1:13">
      <c r="A19" s="1194"/>
      <c r="B19" s="51"/>
      <c r="C19" s="177" t="s">
        <v>27</v>
      </c>
      <c r="D19" s="735" t="s">
        <v>29</v>
      </c>
      <c r="E19" s="54">
        <v>2.19</v>
      </c>
      <c r="F19" s="239">
        <f>F18*E19</f>
        <v>13.14</v>
      </c>
      <c r="G19" s="1303"/>
      <c r="H19" s="1299"/>
      <c r="I19" s="1310"/>
      <c r="J19" s="1299">
        <f>F19*I19</f>
        <v>0</v>
      </c>
      <c r="K19" s="1303"/>
      <c r="L19" s="1299"/>
      <c r="M19" s="1299">
        <f t="shared" si="0"/>
        <v>0</v>
      </c>
    </row>
    <row r="20" spans="1:13">
      <c r="A20" s="1194"/>
      <c r="B20" s="51"/>
      <c r="C20" s="177" t="s">
        <v>167</v>
      </c>
      <c r="D20" s="735" t="s">
        <v>24</v>
      </c>
      <c r="E20" s="54">
        <v>7.0000000000000007E-2</v>
      </c>
      <c r="F20" s="239">
        <f>F18*E20</f>
        <v>0.42000000000000004</v>
      </c>
      <c r="G20" s="1303"/>
      <c r="H20" s="1299"/>
      <c r="I20" s="1303"/>
      <c r="J20" s="1299"/>
      <c r="K20" s="1310"/>
      <c r="L20" s="1299">
        <f>F20*K20</f>
        <v>0</v>
      </c>
      <c r="M20" s="1299">
        <f t="shared" si="0"/>
        <v>0</v>
      </c>
    </row>
    <row r="21" spans="1:13" ht="31.5">
      <c r="A21" s="1194"/>
      <c r="B21" s="51"/>
      <c r="C21" s="177" t="s">
        <v>390</v>
      </c>
      <c r="D21" s="735" t="s">
        <v>184</v>
      </c>
      <c r="E21" s="54">
        <v>1</v>
      </c>
      <c r="F21" s="239">
        <v>6</v>
      </c>
      <c r="G21" s="1310"/>
      <c r="H21" s="1299">
        <f>F21*G21</f>
        <v>0</v>
      </c>
      <c r="I21" s="1303"/>
      <c r="J21" s="1299"/>
      <c r="K21" s="1303"/>
      <c r="L21" s="1299"/>
      <c r="M21" s="1299">
        <f t="shared" si="0"/>
        <v>0</v>
      </c>
    </row>
    <row r="22" spans="1:13">
      <c r="A22" s="1195"/>
      <c r="B22" s="51"/>
      <c r="C22" s="177" t="s">
        <v>32</v>
      </c>
      <c r="D22" s="735" t="s">
        <v>24</v>
      </c>
      <c r="E22" s="54">
        <v>0.37</v>
      </c>
      <c r="F22" s="239">
        <f>F18*E22</f>
        <v>2.2199999999999998</v>
      </c>
      <c r="G22" s="1310"/>
      <c r="H22" s="1299">
        <f>F22*G22</f>
        <v>0</v>
      </c>
      <c r="I22" s="1303"/>
      <c r="J22" s="1299"/>
      <c r="K22" s="1303"/>
      <c r="L22" s="1299"/>
      <c r="M22" s="1299">
        <f t="shared" si="0"/>
        <v>0</v>
      </c>
    </row>
    <row r="23" spans="1:13" ht="31.5">
      <c r="A23" s="1135" t="s">
        <v>103</v>
      </c>
      <c r="B23" s="86"/>
      <c r="C23" s="312" t="s">
        <v>394</v>
      </c>
      <c r="D23" s="733" t="s">
        <v>75</v>
      </c>
      <c r="E23" s="98"/>
      <c r="F23" s="159">
        <f>F25</f>
        <v>1</v>
      </c>
      <c r="G23" s="1299"/>
      <c r="H23" s="1299"/>
      <c r="I23" s="1299"/>
      <c r="J23" s="1299"/>
      <c r="K23" s="1299"/>
      <c r="L23" s="1299"/>
      <c r="M23" s="1284"/>
    </row>
    <row r="24" spans="1:13">
      <c r="A24" s="1136"/>
      <c r="B24" s="618"/>
      <c r="C24" s="177" t="s">
        <v>27</v>
      </c>
      <c r="D24" s="735" t="s">
        <v>29</v>
      </c>
      <c r="E24" s="54">
        <v>1</v>
      </c>
      <c r="F24" s="239">
        <f>F23*E24</f>
        <v>1</v>
      </c>
      <c r="G24" s="1303"/>
      <c r="H24" s="1299"/>
      <c r="I24" s="1310"/>
      <c r="J24" s="1299">
        <f>F24*I24</f>
        <v>0</v>
      </c>
      <c r="K24" s="1303"/>
      <c r="L24" s="1299"/>
      <c r="M24" s="1284">
        <f>H24+J24+L24</f>
        <v>0</v>
      </c>
    </row>
    <row r="25" spans="1:13" ht="31.5">
      <c r="A25" s="1137"/>
      <c r="B25" s="51" t="s">
        <v>393</v>
      </c>
      <c r="C25" s="177" t="s">
        <v>394</v>
      </c>
      <c r="D25" s="735" t="s">
        <v>75</v>
      </c>
      <c r="E25" s="54"/>
      <c r="F25" s="239">
        <v>1</v>
      </c>
      <c r="G25" s="1310"/>
      <c r="H25" s="1299">
        <f>F25*G25</f>
        <v>0</v>
      </c>
      <c r="I25" s="1299"/>
      <c r="J25" s="1299"/>
      <c r="K25" s="1299"/>
      <c r="L25" s="1299"/>
      <c r="M25" s="1284">
        <f>H25+J25+L25</f>
        <v>0</v>
      </c>
    </row>
    <row r="26" spans="1:13">
      <c r="A26" s="1193" t="s">
        <v>336</v>
      </c>
      <c r="B26" s="51" t="s">
        <v>188</v>
      </c>
      <c r="C26" s="248" t="s">
        <v>189</v>
      </c>
      <c r="D26" s="51" t="s">
        <v>118</v>
      </c>
      <c r="E26" s="213"/>
      <c r="F26" s="159">
        <f>F29</f>
        <v>7</v>
      </c>
      <c r="G26" s="1304"/>
      <c r="H26" s="1299"/>
      <c r="I26" s="1304"/>
      <c r="J26" s="1299"/>
      <c r="K26" s="1304"/>
      <c r="L26" s="1299"/>
      <c r="M26" s="1299"/>
    </row>
    <row r="27" spans="1:13">
      <c r="A27" s="1194"/>
      <c r="B27" s="51"/>
      <c r="C27" s="177" t="s">
        <v>27</v>
      </c>
      <c r="D27" s="735" t="s">
        <v>29</v>
      </c>
      <c r="E27" s="54">
        <v>0.82</v>
      </c>
      <c r="F27" s="239">
        <f>F26*E27</f>
        <v>5.7399999999999993</v>
      </c>
      <c r="G27" s="1303"/>
      <c r="H27" s="1299"/>
      <c r="I27" s="1310"/>
      <c r="J27" s="1299">
        <f>F27*I27</f>
        <v>0</v>
      </c>
      <c r="K27" s="1303"/>
      <c r="L27" s="1299"/>
      <c r="M27" s="1299">
        <f t="shared" si="0"/>
        <v>0</v>
      </c>
    </row>
    <row r="28" spans="1:13">
      <c r="A28" s="1194"/>
      <c r="B28" s="51"/>
      <c r="C28" s="177" t="s">
        <v>167</v>
      </c>
      <c r="D28" s="735" t="s">
        <v>183</v>
      </c>
      <c r="E28" s="54">
        <v>0.01</v>
      </c>
      <c r="F28" s="239">
        <f>F26*E28</f>
        <v>7.0000000000000007E-2</v>
      </c>
      <c r="G28" s="1303"/>
      <c r="H28" s="1299"/>
      <c r="I28" s="1303"/>
      <c r="J28" s="1299"/>
      <c r="K28" s="1310"/>
      <c r="L28" s="1299">
        <f>F28*K28</f>
        <v>0</v>
      </c>
      <c r="M28" s="1299">
        <f t="shared" si="0"/>
        <v>0</v>
      </c>
    </row>
    <row r="29" spans="1:13">
      <c r="A29" s="1194"/>
      <c r="B29" s="51"/>
      <c r="C29" s="177" t="s">
        <v>287</v>
      </c>
      <c r="D29" s="735" t="s">
        <v>184</v>
      </c>
      <c r="E29" s="54">
        <v>1</v>
      </c>
      <c r="F29" s="239">
        <f>F21+F25</f>
        <v>7</v>
      </c>
      <c r="G29" s="1310"/>
      <c r="H29" s="1299">
        <f>F29*G29</f>
        <v>0</v>
      </c>
      <c r="I29" s="1303"/>
      <c r="J29" s="1299"/>
      <c r="K29" s="1303"/>
      <c r="L29" s="1299"/>
      <c r="M29" s="1299">
        <f t="shared" si="0"/>
        <v>0</v>
      </c>
    </row>
    <row r="30" spans="1:13">
      <c r="A30" s="1195"/>
      <c r="B30" s="51"/>
      <c r="C30" s="177" t="s">
        <v>32</v>
      </c>
      <c r="D30" s="735" t="s">
        <v>183</v>
      </c>
      <c r="E30" s="54">
        <v>7.0000000000000007E-2</v>
      </c>
      <c r="F30" s="239">
        <f>F26*E30</f>
        <v>0.49000000000000005</v>
      </c>
      <c r="G30" s="1310"/>
      <c r="H30" s="1299">
        <f>F30*G30</f>
        <v>0</v>
      </c>
      <c r="I30" s="1303"/>
      <c r="J30" s="1299"/>
      <c r="K30" s="1303"/>
      <c r="L30" s="1299"/>
      <c r="M30" s="1299">
        <f t="shared" si="0"/>
        <v>0</v>
      </c>
    </row>
    <row r="31" spans="1:13" ht="31.5">
      <c r="A31" s="1135" t="s">
        <v>59</v>
      </c>
      <c r="B31" s="618" t="s">
        <v>391</v>
      </c>
      <c r="C31" s="176" t="s">
        <v>392</v>
      </c>
      <c r="D31" s="733" t="s">
        <v>75</v>
      </c>
      <c r="E31" s="54"/>
      <c r="F31" s="49">
        <f>F33</f>
        <v>5</v>
      </c>
      <c r="G31" s="1299"/>
      <c r="H31" s="1299"/>
      <c r="I31" s="1299"/>
      <c r="J31" s="1299"/>
      <c r="K31" s="1299"/>
      <c r="L31" s="1299"/>
      <c r="M31" s="1299"/>
    </row>
    <row r="32" spans="1:13">
      <c r="A32" s="1136"/>
      <c r="B32" s="618"/>
      <c r="C32" s="177" t="s">
        <v>27</v>
      </c>
      <c r="D32" s="735" t="s">
        <v>29</v>
      </c>
      <c r="E32" s="54">
        <v>0.34</v>
      </c>
      <c r="F32" s="239">
        <f>F31*E32</f>
        <v>1.7000000000000002</v>
      </c>
      <c r="G32" s="1303"/>
      <c r="H32" s="1299"/>
      <c r="I32" s="1310"/>
      <c r="J32" s="1299">
        <f>F32*I32</f>
        <v>0</v>
      </c>
      <c r="K32" s="1303"/>
      <c r="L32" s="1299"/>
      <c r="M32" s="1299">
        <f>H32+J32+L32</f>
        <v>0</v>
      </c>
    </row>
    <row r="33" spans="1:13">
      <c r="A33" s="1136"/>
      <c r="B33" s="618"/>
      <c r="C33" s="177" t="s">
        <v>76</v>
      </c>
      <c r="D33" s="735" t="s">
        <v>75</v>
      </c>
      <c r="E33" s="54">
        <v>1</v>
      </c>
      <c r="F33" s="239">
        <v>5</v>
      </c>
      <c r="G33" s="1310"/>
      <c r="H33" s="1299">
        <f>F33*G33</f>
        <v>0</v>
      </c>
      <c r="I33" s="1299"/>
      <c r="J33" s="1299"/>
      <c r="K33" s="1299"/>
      <c r="L33" s="1299"/>
      <c r="M33" s="1299">
        <f>H33+J33+L33</f>
        <v>0</v>
      </c>
    </row>
    <row r="34" spans="1:13">
      <c r="A34" s="1137"/>
      <c r="B34" s="618"/>
      <c r="C34" s="177" t="s">
        <v>32</v>
      </c>
      <c r="D34" s="735" t="s">
        <v>183</v>
      </c>
      <c r="E34" s="54">
        <v>0.02</v>
      </c>
      <c r="F34" s="239">
        <f>F31*E34</f>
        <v>0.1</v>
      </c>
      <c r="G34" s="1310"/>
      <c r="H34" s="1299">
        <f>F34*G34</f>
        <v>0</v>
      </c>
      <c r="I34" s="1303"/>
      <c r="J34" s="1299"/>
      <c r="K34" s="1303"/>
      <c r="L34" s="1299"/>
      <c r="M34" s="1299">
        <f>H34+J34+L34</f>
        <v>0</v>
      </c>
    </row>
    <row r="35" spans="1:13">
      <c r="A35" s="731"/>
      <c r="B35" s="618"/>
      <c r="C35" s="172"/>
      <c r="D35" s="733"/>
      <c r="E35" s="54"/>
      <c r="F35" s="239"/>
      <c r="G35" s="1299"/>
      <c r="H35" s="1299"/>
      <c r="I35" s="1299"/>
      <c r="J35" s="1299"/>
      <c r="K35" s="1299"/>
      <c r="L35" s="1299"/>
      <c r="M35" s="1299"/>
    </row>
    <row r="36" spans="1:13" s="1106" customFormat="1" ht="31.5">
      <c r="A36" s="745" t="s">
        <v>292</v>
      </c>
      <c r="B36" s="742"/>
      <c r="C36" s="785" t="s">
        <v>378</v>
      </c>
      <c r="D36" s="742"/>
      <c r="E36" s="783"/>
      <c r="F36" s="784"/>
      <c r="G36" s="1298"/>
      <c r="H36" s="1298"/>
      <c r="I36" s="1298"/>
      <c r="J36" s="1298"/>
      <c r="K36" s="1298"/>
      <c r="L36" s="1298"/>
      <c r="M36" s="1298"/>
    </row>
    <row r="37" spans="1:13" ht="40.5">
      <c r="A37" s="1130" t="s">
        <v>334</v>
      </c>
      <c r="B37" s="735" t="s">
        <v>174</v>
      </c>
      <c r="C37" s="614" t="s">
        <v>713</v>
      </c>
      <c r="D37" s="736" t="s">
        <v>1</v>
      </c>
      <c r="E37" s="99"/>
      <c r="F37" s="49">
        <v>35</v>
      </c>
      <c r="G37" s="1304"/>
      <c r="H37" s="1299"/>
      <c r="I37" s="1304"/>
      <c r="J37" s="1299"/>
      <c r="K37" s="1304"/>
      <c r="L37" s="1299"/>
      <c r="M37" s="1299"/>
    </row>
    <row r="38" spans="1:13">
      <c r="A38" s="1131"/>
      <c r="B38" s="735"/>
      <c r="C38" s="164" t="s">
        <v>147</v>
      </c>
      <c r="D38" s="735" t="s">
        <v>148</v>
      </c>
      <c r="E38" s="54">
        <f>143*0.01</f>
        <v>1.43</v>
      </c>
      <c r="F38" s="239">
        <f>F37*E38</f>
        <v>50.05</v>
      </c>
      <c r="G38" s="1303"/>
      <c r="H38" s="1299"/>
      <c r="I38" s="1310"/>
      <c r="J38" s="1299">
        <f>F38*I38</f>
        <v>0</v>
      </c>
      <c r="K38" s="1303"/>
      <c r="L38" s="1299"/>
      <c r="M38" s="1299">
        <f t="shared" si="0"/>
        <v>0</v>
      </c>
    </row>
    <row r="39" spans="1:13">
      <c r="A39" s="1131"/>
      <c r="B39" s="735"/>
      <c r="C39" s="164" t="s">
        <v>162</v>
      </c>
      <c r="D39" s="735" t="s">
        <v>149</v>
      </c>
      <c r="E39" s="54">
        <f>2.57*0.01</f>
        <v>2.5700000000000001E-2</v>
      </c>
      <c r="F39" s="239">
        <f>F37*E39</f>
        <v>0.89949999999999997</v>
      </c>
      <c r="G39" s="1303"/>
      <c r="H39" s="1299"/>
      <c r="I39" s="1303"/>
      <c r="J39" s="1299"/>
      <c r="K39" s="1310"/>
      <c r="L39" s="1299">
        <f>F39*K39</f>
        <v>0</v>
      </c>
      <c r="M39" s="1299">
        <f t="shared" si="0"/>
        <v>0</v>
      </c>
    </row>
    <row r="40" spans="1:13">
      <c r="A40" s="1131"/>
      <c r="B40" s="735"/>
      <c r="C40" s="164" t="s">
        <v>379</v>
      </c>
      <c r="D40" s="735" t="s">
        <v>67</v>
      </c>
      <c r="E40" s="54">
        <v>1</v>
      </c>
      <c r="F40" s="239">
        <f>F37*E40</f>
        <v>35</v>
      </c>
      <c r="G40" s="1310"/>
      <c r="H40" s="1299">
        <f>F40*G40</f>
        <v>0</v>
      </c>
      <c r="I40" s="1303"/>
      <c r="J40" s="1299"/>
      <c r="K40" s="1303"/>
      <c r="L40" s="1299"/>
      <c r="M40" s="1299">
        <f t="shared" si="0"/>
        <v>0</v>
      </c>
    </row>
    <row r="41" spans="1:13">
      <c r="A41" s="1131"/>
      <c r="B41" s="735"/>
      <c r="C41" s="164" t="s">
        <v>175</v>
      </c>
      <c r="D41" s="735" t="s">
        <v>25</v>
      </c>
      <c r="E41" s="54">
        <v>0.152</v>
      </c>
      <c r="F41" s="239">
        <f>F37*E41</f>
        <v>5.32</v>
      </c>
      <c r="G41" s="1310"/>
      <c r="H41" s="1299">
        <f>F41*G41</f>
        <v>0</v>
      </c>
      <c r="I41" s="1303"/>
      <c r="J41" s="1299"/>
      <c r="K41" s="1303"/>
      <c r="L41" s="1299"/>
      <c r="M41" s="1299">
        <f t="shared" si="0"/>
        <v>0</v>
      </c>
    </row>
    <row r="42" spans="1:13">
      <c r="A42" s="1132"/>
      <c r="B42" s="735"/>
      <c r="C42" s="164" t="s">
        <v>150</v>
      </c>
      <c r="D42" s="735" t="s">
        <v>149</v>
      </c>
      <c r="E42" s="54">
        <f>4.57*0.01</f>
        <v>4.5700000000000005E-2</v>
      </c>
      <c r="F42" s="239">
        <f>F37*E42</f>
        <v>1.5995000000000001</v>
      </c>
      <c r="G42" s="1310"/>
      <c r="H42" s="1299">
        <f>F42*G42</f>
        <v>0</v>
      </c>
      <c r="I42" s="1303"/>
      <c r="J42" s="1299"/>
      <c r="K42" s="1303"/>
      <c r="L42" s="1299"/>
      <c r="M42" s="1299">
        <f t="shared" si="0"/>
        <v>0</v>
      </c>
    </row>
    <row r="43" spans="1:13" ht="40.5">
      <c r="A43" s="1130" t="s">
        <v>335</v>
      </c>
      <c r="B43" s="735" t="s">
        <v>176</v>
      </c>
      <c r="C43" s="614" t="s">
        <v>714</v>
      </c>
      <c r="D43" s="736" t="s">
        <v>1</v>
      </c>
      <c r="E43" s="99"/>
      <c r="F43" s="49">
        <v>45</v>
      </c>
      <c r="G43" s="1304"/>
      <c r="H43" s="1299"/>
      <c r="I43" s="1304"/>
      <c r="J43" s="1299"/>
      <c r="K43" s="1304"/>
      <c r="L43" s="1299"/>
      <c r="M43" s="1299"/>
    </row>
    <row r="44" spans="1:13">
      <c r="A44" s="1131"/>
      <c r="B44" s="735"/>
      <c r="C44" s="164" t="s">
        <v>147</v>
      </c>
      <c r="D44" s="735" t="s">
        <v>148</v>
      </c>
      <c r="E44" s="54">
        <f>117*0.01</f>
        <v>1.17</v>
      </c>
      <c r="F44" s="239">
        <f>F43*E44</f>
        <v>52.65</v>
      </c>
      <c r="G44" s="1303"/>
      <c r="H44" s="1299"/>
      <c r="I44" s="1310"/>
      <c r="J44" s="1299">
        <f>F44*I44</f>
        <v>0</v>
      </c>
      <c r="K44" s="1303"/>
      <c r="L44" s="1299"/>
      <c r="M44" s="1299">
        <f t="shared" si="0"/>
        <v>0</v>
      </c>
    </row>
    <row r="45" spans="1:13">
      <c r="A45" s="1131"/>
      <c r="B45" s="735"/>
      <c r="C45" s="164" t="s">
        <v>162</v>
      </c>
      <c r="D45" s="735" t="s">
        <v>149</v>
      </c>
      <c r="E45" s="54">
        <f>1.72*0.01</f>
        <v>1.72E-2</v>
      </c>
      <c r="F45" s="239">
        <f>F43*E45</f>
        <v>0.77400000000000002</v>
      </c>
      <c r="G45" s="1303"/>
      <c r="H45" s="1299"/>
      <c r="I45" s="1303"/>
      <c r="J45" s="1299"/>
      <c r="K45" s="1310"/>
      <c r="L45" s="1299">
        <f>F45*K45</f>
        <v>0</v>
      </c>
      <c r="M45" s="1299">
        <f t="shared" si="0"/>
        <v>0</v>
      </c>
    </row>
    <row r="46" spans="1:13">
      <c r="A46" s="1131"/>
      <c r="B46" s="735"/>
      <c r="C46" s="164" t="s">
        <v>380</v>
      </c>
      <c r="D46" s="735" t="s">
        <v>67</v>
      </c>
      <c r="E46" s="54">
        <v>1</v>
      </c>
      <c r="F46" s="239">
        <v>5</v>
      </c>
      <c r="G46" s="1310"/>
      <c r="H46" s="1299">
        <f>F46*G46</f>
        <v>0</v>
      </c>
      <c r="I46" s="1303"/>
      <c r="J46" s="1299"/>
      <c r="K46" s="1303"/>
      <c r="L46" s="1299"/>
      <c r="M46" s="1299">
        <f t="shared" si="0"/>
        <v>0</v>
      </c>
    </row>
    <row r="47" spans="1:13">
      <c r="A47" s="1131"/>
      <c r="B47" s="735"/>
      <c r="C47" s="164" t="s">
        <v>175</v>
      </c>
      <c r="D47" s="735" t="s">
        <v>25</v>
      </c>
      <c r="E47" s="54">
        <v>0.152</v>
      </c>
      <c r="F47" s="239">
        <f>F43*E47</f>
        <v>6.84</v>
      </c>
      <c r="G47" s="1310"/>
      <c r="H47" s="1299">
        <f>F47*G47</f>
        <v>0</v>
      </c>
      <c r="I47" s="1303"/>
      <c r="J47" s="1299"/>
      <c r="K47" s="1303"/>
      <c r="L47" s="1299"/>
      <c r="M47" s="1299">
        <f t="shared" si="0"/>
        <v>0</v>
      </c>
    </row>
    <row r="48" spans="1:13">
      <c r="A48" s="1132"/>
      <c r="B48" s="735"/>
      <c r="C48" s="164" t="s">
        <v>150</v>
      </c>
      <c r="D48" s="735" t="s">
        <v>149</v>
      </c>
      <c r="E48" s="54">
        <f>3.93*0.01</f>
        <v>3.9300000000000002E-2</v>
      </c>
      <c r="F48" s="239">
        <f>F43*E48</f>
        <v>1.7685</v>
      </c>
      <c r="G48" s="1310"/>
      <c r="H48" s="1299">
        <f>F48*G48</f>
        <v>0</v>
      </c>
      <c r="I48" s="1303"/>
      <c r="J48" s="1299"/>
      <c r="K48" s="1303"/>
      <c r="L48" s="1299"/>
      <c r="M48" s="1299">
        <f t="shared" si="0"/>
        <v>0</v>
      </c>
    </row>
    <row r="49" spans="1:13">
      <c r="A49" s="1130" t="s">
        <v>103</v>
      </c>
      <c r="B49" s="735" t="s">
        <v>294</v>
      </c>
      <c r="C49" s="614" t="s">
        <v>395</v>
      </c>
      <c r="D49" s="735" t="s">
        <v>4</v>
      </c>
      <c r="E49" s="54"/>
      <c r="F49" s="49">
        <f>(F52+F53)*0.34*0.1</f>
        <v>2.7200000000000006</v>
      </c>
      <c r="G49" s="1303"/>
      <c r="H49" s="1299"/>
      <c r="I49" s="1303"/>
      <c r="J49" s="1299"/>
      <c r="K49" s="1303"/>
      <c r="L49" s="1299"/>
      <c r="M49" s="1299"/>
    </row>
    <row r="50" spans="1:13">
      <c r="A50" s="1131"/>
      <c r="B50" s="735"/>
      <c r="C50" s="165" t="s">
        <v>27</v>
      </c>
      <c r="D50" s="105" t="s">
        <v>29</v>
      </c>
      <c r="E50" s="102">
        <f>18.8</f>
        <v>18.8</v>
      </c>
      <c r="F50" s="239">
        <f>E50*F49</f>
        <v>51.136000000000017</v>
      </c>
      <c r="G50" s="1303"/>
      <c r="H50" s="1299"/>
      <c r="I50" s="1310"/>
      <c r="J50" s="1299">
        <f>F50*I50</f>
        <v>0</v>
      </c>
      <c r="K50" s="1303"/>
      <c r="L50" s="1299"/>
      <c r="M50" s="1299">
        <f t="shared" ref="M50:M68" si="1">H50+J50+L50</f>
        <v>0</v>
      </c>
    </row>
    <row r="51" spans="1:13">
      <c r="A51" s="1131"/>
      <c r="B51" s="735"/>
      <c r="C51" s="165" t="s">
        <v>28</v>
      </c>
      <c r="D51" s="90" t="s">
        <v>24</v>
      </c>
      <c r="E51" s="593">
        <f>0.24</f>
        <v>0.24</v>
      </c>
      <c r="F51" s="255">
        <f>F49*E51</f>
        <v>0.65280000000000016</v>
      </c>
      <c r="G51" s="1303"/>
      <c r="H51" s="1299"/>
      <c r="I51" s="1303"/>
      <c r="J51" s="1299"/>
      <c r="K51" s="1310"/>
      <c r="L51" s="1299">
        <f>F51*K51</f>
        <v>0</v>
      </c>
      <c r="M51" s="1299">
        <f t="shared" si="1"/>
        <v>0</v>
      </c>
    </row>
    <row r="52" spans="1:13">
      <c r="A52" s="1131"/>
      <c r="B52" s="735"/>
      <c r="C52" s="169" t="s">
        <v>387</v>
      </c>
      <c r="D52" s="618" t="s">
        <v>1</v>
      </c>
      <c r="E52" s="738"/>
      <c r="F52" s="239">
        <f>F37</f>
        <v>35</v>
      </c>
      <c r="G52" s="1310"/>
      <c r="H52" s="1299">
        <f t="shared" ref="H52:H68" si="2">F52*G52</f>
        <v>0</v>
      </c>
      <c r="I52" s="1303"/>
      <c r="J52" s="1299"/>
      <c r="K52" s="1299"/>
      <c r="L52" s="1299"/>
      <c r="M52" s="1299">
        <f t="shared" si="1"/>
        <v>0</v>
      </c>
    </row>
    <row r="53" spans="1:13">
      <c r="A53" s="1131"/>
      <c r="B53" s="735"/>
      <c r="C53" s="169" t="s">
        <v>381</v>
      </c>
      <c r="D53" s="618" t="s">
        <v>1</v>
      </c>
      <c r="E53" s="738"/>
      <c r="F53" s="239">
        <f>F43</f>
        <v>45</v>
      </c>
      <c r="G53" s="1310"/>
      <c r="H53" s="1299">
        <f t="shared" si="2"/>
        <v>0</v>
      </c>
      <c r="I53" s="1303"/>
      <c r="J53" s="1299"/>
      <c r="K53" s="1299"/>
      <c r="L53" s="1299"/>
      <c r="M53" s="1299">
        <f t="shared" si="1"/>
        <v>0</v>
      </c>
    </row>
    <row r="54" spans="1:13">
      <c r="A54" s="1132"/>
      <c r="B54" s="735"/>
      <c r="C54" s="165" t="s">
        <v>37</v>
      </c>
      <c r="D54" s="90" t="s">
        <v>24</v>
      </c>
      <c r="E54" s="593">
        <v>1.7</v>
      </c>
      <c r="F54" s="255">
        <f>E54*F49</f>
        <v>4.6240000000000006</v>
      </c>
      <c r="G54" s="1310"/>
      <c r="H54" s="1299">
        <f t="shared" si="2"/>
        <v>0</v>
      </c>
      <c r="I54" s="1303"/>
      <c r="J54" s="1299"/>
      <c r="K54" s="1303"/>
      <c r="L54" s="1299"/>
      <c r="M54" s="1299">
        <f t="shared" si="1"/>
        <v>0</v>
      </c>
    </row>
    <row r="55" spans="1:13">
      <c r="A55" s="1129" t="s">
        <v>336</v>
      </c>
      <c r="B55" s="735" t="s">
        <v>177</v>
      </c>
      <c r="C55" s="614" t="s">
        <v>178</v>
      </c>
      <c r="D55" s="736" t="s">
        <v>25</v>
      </c>
      <c r="E55" s="99"/>
      <c r="F55" s="49">
        <f>SUM(F58:F60)</f>
        <v>30</v>
      </c>
      <c r="G55" s="1304"/>
      <c r="H55" s="1299"/>
      <c r="I55" s="1304"/>
      <c r="J55" s="1299"/>
      <c r="K55" s="1304"/>
      <c r="L55" s="1299"/>
      <c r="M55" s="1299"/>
    </row>
    <row r="56" spans="1:13">
      <c r="A56" s="1129"/>
      <c r="B56" s="735"/>
      <c r="C56" s="164" t="s">
        <v>147</v>
      </c>
      <c r="D56" s="735" t="s">
        <v>148</v>
      </c>
      <c r="E56" s="54">
        <v>1.51</v>
      </c>
      <c r="F56" s="239">
        <f>F55*E56</f>
        <v>45.3</v>
      </c>
      <c r="G56" s="1303"/>
      <c r="H56" s="1299"/>
      <c r="I56" s="1310"/>
      <c r="J56" s="1299">
        <f>F56*I56</f>
        <v>0</v>
      </c>
      <c r="K56" s="1303"/>
      <c r="L56" s="1299"/>
      <c r="M56" s="1299">
        <f t="shared" si="1"/>
        <v>0</v>
      </c>
    </row>
    <row r="57" spans="1:13">
      <c r="A57" s="1129"/>
      <c r="B57" s="735"/>
      <c r="C57" s="164" t="s">
        <v>162</v>
      </c>
      <c r="D57" s="735" t="s">
        <v>149</v>
      </c>
      <c r="E57" s="54">
        <v>0.13</v>
      </c>
      <c r="F57" s="239">
        <f>F55*E57</f>
        <v>3.9000000000000004</v>
      </c>
      <c r="G57" s="1303"/>
      <c r="H57" s="1299"/>
      <c r="I57" s="1303"/>
      <c r="J57" s="1299"/>
      <c r="K57" s="1310"/>
      <c r="L57" s="1299">
        <f>F57*K57</f>
        <v>0</v>
      </c>
      <c r="M57" s="1299">
        <f t="shared" si="1"/>
        <v>0</v>
      </c>
    </row>
    <row r="58" spans="1:13">
      <c r="A58" s="1129"/>
      <c r="B58" s="735"/>
      <c r="C58" s="164" t="s">
        <v>382</v>
      </c>
      <c r="D58" s="735" t="s">
        <v>25</v>
      </c>
      <c r="E58" s="54">
        <v>1</v>
      </c>
      <c r="F58" s="239">
        <v>9</v>
      </c>
      <c r="G58" s="1310"/>
      <c r="H58" s="1299">
        <f t="shared" si="2"/>
        <v>0</v>
      </c>
      <c r="I58" s="1303"/>
      <c r="J58" s="1299"/>
      <c r="K58" s="1303"/>
      <c r="L58" s="1299"/>
      <c r="M58" s="1299">
        <f t="shared" si="1"/>
        <v>0</v>
      </c>
    </row>
    <row r="59" spans="1:13">
      <c r="A59" s="1129"/>
      <c r="B59" s="735"/>
      <c r="C59" s="164" t="s">
        <v>383</v>
      </c>
      <c r="D59" s="735" t="s">
        <v>25</v>
      </c>
      <c r="E59" s="54">
        <v>1</v>
      </c>
      <c r="F59" s="239">
        <v>2</v>
      </c>
      <c r="G59" s="1310"/>
      <c r="H59" s="1299">
        <f t="shared" si="2"/>
        <v>0</v>
      </c>
      <c r="I59" s="1303"/>
      <c r="J59" s="1299"/>
      <c r="K59" s="1303"/>
      <c r="L59" s="1299"/>
      <c r="M59" s="1299">
        <f t="shared" si="1"/>
        <v>0</v>
      </c>
    </row>
    <row r="60" spans="1:13">
      <c r="A60" s="1129"/>
      <c r="B60" s="735"/>
      <c r="C60" s="164" t="s">
        <v>715</v>
      </c>
      <c r="D60" s="735" t="s">
        <v>2</v>
      </c>
      <c r="E60" s="54"/>
      <c r="F60" s="239">
        <v>19</v>
      </c>
      <c r="G60" s="1310"/>
      <c r="H60" s="1299">
        <f>F60*G60</f>
        <v>0</v>
      </c>
      <c r="I60" s="1303"/>
      <c r="J60" s="1299"/>
      <c r="K60" s="1303"/>
      <c r="L60" s="1299"/>
      <c r="M60" s="1299">
        <f>H60+J60+L60</f>
        <v>0</v>
      </c>
    </row>
    <row r="61" spans="1:13">
      <c r="A61" s="1129"/>
      <c r="B61" s="735"/>
      <c r="C61" s="164" t="s">
        <v>150</v>
      </c>
      <c r="D61" s="735" t="s">
        <v>149</v>
      </c>
      <c r="E61" s="54">
        <v>7.0000000000000007E-2</v>
      </c>
      <c r="F61" s="239">
        <f>F55*E61</f>
        <v>2.1</v>
      </c>
      <c r="G61" s="1310"/>
      <c r="H61" s="1299">
        <f t="shared" si="2"/>
        <v>0</v>
      </c>
      <c r="I61" s="1303"/>
      <c r="J61" s="1299"/>
      <c r="K61" s="1303"/>
      <c r="L61" s="1299"/>
      <c r="M61" s="1299">
        <f t="shared" si="1"/>
        <v>0</v>
      </c>
    </row>
    <row r="62" spans="1:13">
      <c r="A62" s="1130" t="s">
        <v>59</v>
      </c>
      <c r="B62" s="735" t="s">
        <v>179</v>
      </c>
      <c r="C62" s="614" t="s">
        <v>180</v>
      </c>
      <c r="D62" s="736" t="s">
        <v>25</v>
      </c>
      <c r="E62" s="99"/>
      <c r="F62" s="49">
        <f>SUM(F65:F72)</f>
        <v>189</v>
      </c>
      <c r="G62" s="1304"/>
      <c r="H62" s="1299"/>
      <c r="I62" s="1304"/>
      <c r="J62" s="1299"/>
      <c r="K62" s="1304"/>
      <c r="L62" s="1299"/>
      <c r="M62" s="1299"/>
    </row>
    <row r="63" spans="1:13">
      <c r="A63" s="1131"/>
      <c r="B63" s="735"/>
      <c r="C63" s="164" t="s">
        <v>147</v>
      </c>
      <c r="D63" s="735" t="s">
        <v>148</v>
      </c>
      <c r="E63" s="54">
        <v>0.64600000000000002</v>
      </c>
      <c r="F63" s="239">
        <f>F62*E63</f>
        <v>122.09400000000001</v>
      </c>
      <c r="G63" s="1303"/>
      <c r="H63" s="1299"/>
      <c r="I63" s="1310"/>
      <c r="J63" s="1299">
        <f>F63*I63</f>
        <v>0</v>
      </c>
      <c r="K63" s="1303"/>
      <c r="L63" s="1299"/>
      <c r="M63" s="1299">
        <f t="shared" si="1"/>
        <v>0</v>
      </c>
    </row>
    <row r="64" spans="1:13">
      <c r="A64" s="1131"/>
      <c r="B64" s="735"/>
      <c r="C64" s="164" t="s">
        <v>162</v>
      </c>
      <c r="D64" s="735" t="s">
        <v>149</v>
      </c>
      <c r="E64" s="54">
        <v>2.5999999999999999E-3</v>
      </c>
      <c r="F64" s="239">
        <f>F62*E64</f>
        <v>0.4914</v>
      </c>
      <c r="G64" s="1303"/>
      <c r="H64" s="1299"/>
      <c r="I64" s="1303"/>
      <c r="J64" s="1299"/>
      <c r="K64" s="1310"/>
      <c r="L64" s="1299">
        <f>F64*K64</f>
        <v>0</v>
      </c>
      <c r="M64" s="1299">
        <f t="shared" si="1"/>
        <v>0</v>
      </c>
    </row>
    <row r="65" spans="1:13">
      <c r="A65" s="1131"/>
      <c r="B65" s="735"/>
      <c r="C65" s="169" t="s">
        <v>368</v>
      </c>
      <c r="D65" s="618" t="s">
        <v>2</v>
      </c>
      <c r="E65" s="54"/>
      <c r="F65" s="239">
        <v>56</v>
      </c>
      <c r="G65" s="1310"/>
      <c r="H65" s="1299">
        <f t="shared" si="2"/>
        <v>0</v>
      </c>
      <c r="I65" s="1303"/>
      <c r="J65" s="1299"/>
      <c r="K65" s="1303"/>
      <c r="L65" s="1299"/>
      <c r="M65" s="1299">
        <f t="shared" si="1"/>
        <v>0</v>
      </c>
    </row>
    <row r="66" spans="1:13">
      <c r="A66" s="1131"/>
      <c r="B66" s="735"/>
      <c r="C66" s="169" t="s">
        <v>369</v>
      </c>
      <c r="D66" s="618" t="s">
        <v>2</v>
      </c>
      <c r="E66" s="54"/>
      <c r="F66" s="239">
        <v>38</v>
      </c>
      <c r="G66" s="1310"/>
      <c r="H66" s="1299">
        <f t="shared" si="2"/>
        <v>0</v>
      </c>
      <c r="I66" s="1303"/>
      <c r="J66" s="1299"/>
      <c r="K66" s="1303"/>
      <c r="L66" s="1299"/>
      <c r="M66" s="1299">
        <f t="shared" si="1"/>
        <v>0</v>
      </c>
    </row>
    <row r="67" spans="1:13">
      <c r="A67" s="1131"/>
      <c r="B67" s="735"/>
      <c r="C67" s="169" t="s">
        <v>370</v>
      </c>
      <c r="D67" s="618" t="s">
        <v>2</v>
      </c>
      <c r="E67" s="54"/>
      <c r="F67" s="239">
        <v>10</v>
      </c>
      <c r="G67" s="1310"/>
      <c r="H67" s="1299">
        <f t="shared" si="2"/>
        <v>0</v>
      </c>
      <c r="I67" s="1303"/>
      <c r="J67" s="1299"/>
      <c r="K67" s="1303"/>
      <c r="L67" s="1299"/>
      <c r="M67" s="1299">
        <f t="shared" si="1"/>
        <v>0</v>
      </c>
    </row>
    <row r="68" spans="1:13">
      <c r="A68" s="1131"/>
      <c r="B68" s="735"/>
      <c r="C68" s="169" t="s">
        <v>371</v>
      </c>
      <c r="D68" s="618" t="s">
        <v>2</v>
      </c>
      <c r="E68" s="54"/>
      <c r="F68" s="239">
        <v>10</v>
      </c>
      <c r="G68" s="1310"/>
      <c r="H68" s="1299">
        <f t="shared" si="2"/>
        <v>0</v>
      </c>
      <c r="I68" s="1303"/>
      <c r="J68" s="1299"/>
      <c r="K68" s="1303"/>
      <c r="L68" s="1299"/>
      <c r="M68" s="1299">
        <f t="shared" si="1"/>
        <v>0</v>
      </c>
    </row>
    <row r="69" spans="1:13">
      <c r="A69" s="1131"/>
      <c r="B69" s="735"/>
      <c r="C69" s="169" t="s">
        <v>649</v>
      </c>
      <c r="D69" s="618" t="s">
        <v>2</v>
      </c>
      <c r="E69" s="54"/>
      <c r="F69" s="239">
        <v>19</v>
      </c>
      <c r="G69" s="1310"/>
      <c r="H69" s="1299">
        <f t="shared" ref="H69:H74" si="3">F69*G69</f>
        <v>0</v>
      </c>
      <c r="I69" s="1303"/>
      <c r="J69" s="1299"/>
      <c r="K69" s="1303"/>
      <c r="L69" s="1299"/>
      <c r="M69" s="1299">
        <f>H69+J69+L69</f>
        <v>0</v>
      </c>
    </row>
    <row r="70" spans="1:13">
      <c r="A70" s="1131"/>
      <c r="B70" s="735"/>
      <c r="C70" s="169" t="s">
        <v>372</v>
      </c>
      <c r="D70" s="618" t="s">
        <v>2</v>
      </c>
      <c r="E70" s="54"/>
      <c r="F70" s="239">
        <v>14</v>
      </c>
      <c r="G70" s="1310"/>
      <c r="H70" s="1299">
        <f t="shared" si="3"/>
        <v>0</v>
      </c>
      <c r="I70" s="1303"/>
      <c r="J70" s="1299"/>
      <c r="K70" s="1303"/>
      <c r="L70" s="1299"/>
      <c r="M70" s="1299">
        <f>H70+J70+L70</f>
        <v>0</v>
      </c>
    </row>
    <row r="71" spans="1:13">
      <c r="A71" s="1131"/>
      <c r="B71" s="735"/>
      <c r="C71" s="169" t="s">
        <v>373</v>
      </c>
      <c r="D71" s="618" t="s">
        <v>2</v>
      </c>
      <c r="E71" s="54"/>
      <c r="F71" s="239">
        <v>28</v>
      </c>
      <c r="G71" s="1310"/>
      <c r="H71" s="1299">
        <f t="shared" si="3"/>
        <v>0</v>
      </c>
      <c r="I71" s="1303"/>
      <c r="J71" s="1299"/>
      <c r="K71" s="1303"/>
      <c r="L71" s="1299"/>
      <c r="M71" s="1299">
        <f t="shared" ref="M71:M108" si="4">H71+J71+L71</f>
        <v>0</v>
      </c>
    </row>
    <row r="72" spans="1:13">
      <c r="A72" s="1131"/>
      <c r="B72" s="735"/>
      <c r="C72" s="169" t="s">
        <v>384</v>
      </c>
      <c r="D72" s="618" t="s">
        <v>2</v>
      </c>
      <c r="E72" s="54"/>
      <c r="F72" s="239">
        <v>14</v>
      </c>
      <c r="G72" s="1310"/>
      <c r="H72" s="1299">
        <f t="shared" si="3"/>
        <v>0</v>
      </c>
      <c r="I72" s="1303"/>
      <c r="J72" s="1299"/>
      <c r="K72" s="1303"/>
      <c r="L72" s="1299"/>
      <c r="M72" s="1299">
        <f t="shared" si="4"/>
        <v>0</v>
      </c>
    </row>
    <row r="73" spans="1:13">
      <c r="A73" s="1131"/>
      <c r="B73" s="735"/>
      <c r="C73" s="169" t="s">
        <v>716</v>
      </c>
      <c r="D73" s="618" t="s">
        <v>25</v>
      </c>
      <c r="E73" s="54"/>
      <c r="F73" s="239">
        <v>10</v>
      </c>
      <c r="G73" s="1310"/>
      <c r="H73" s="1299">
        <f t="shared" si="3"/>
        <v>0</v>
      </c>
      <c r="I73" s="1303"/>
      <c r="J73" s="1299"/>
      <c r="K73" s="1303"/>
      <c r="L73" s="1299"/>
      <c r="M73" s="1299">
        <f>H73+J73+L73</f>
        <v>0</v>
      </c>
    </row>
    <row r="74" spans="1:13">
      <c r="A74" s="1132"/>
      <c r="B74" s="735"/>
      <c r="C74" s="164" t="s">
        <v>181</v>
      </c>
      <c r="D74" s="735" t="s">
        <v>149</v>
      </c>
      <c r="E74" s="54">
        <v>0.12</v>
      </c>
      <c r="F74" s="239">
        <f>F62*E74</f>
        <v>22.68</v>
      </c>
      <c r="G74" s="1310"/>
      <c r="H74" s="1299">
        <f t="shared" si="3"/>
        <v>0</v>
      </c>
      <c r="I74" s="1303"/>
      <c r="J74" s="1299"/>
      <c r="K74" s="1303"/>
      <c r="L74" s="1299"/>
      <c r="M74" s="1299">
        <f t="shared" si="4"/>
        <v>0</v>
      </c>
    </row>
    <row r="75" spans="1:13">
      <c r="A75" s="1130" t="s">
        <v>324</v>
      </c>
      <c r="B75" s="51" t="s">
        <v>164</v>
      </c>
      <c r="C75" s="297" t="s">
        <v>165</v>
      </c>
      <c r="D75" s="51" t="s">
        <v>166</v>
      </c>
      <c r="E75" s="213"/>
      <c r="F75" s="159">
        <v>12</v>
      </c>
      <c r="G75" s="1303"/>
      <c r="H75" s="1299"/>
      <c r="I75" s="1299"/>
      <c r="J75" s="1299"/>
      <c r="K75" s="1299"/>
      <c r="L75" s="1299"/>
      <c r="M75" s="1299"/>
    </row>
    <row r="76" spans="1:13">
      <c r="A76" s="1131"/>
      <c r="B76" s="51"/>
      <c r="C76" s="299" t="s">
        <v>27</v>
      </c>
      <c r="D76" s="220" t="s">
        <v>137</v>
      </c>
      <c r="E76" s="224">
        <v>1.002</v>
      </c>
      <c r="F76" s="225">
        <f>F75*E76</f>
        <v>12.024000000000001</v>
      </c>
      <c r="G76" s="1303"/>
      <c r="H76" s="1299"/>
      <c r="I76" s="1300"/>
      <c r="J76" s="1299">
        <f>F76*I76</f>
        <v>0</v>
      </c>
      <c r="K76" s="1299"/>
      <c r="L76" s="1299"/>
      <c r="M76" s="1299">
        <f t="shared" si="4"/>
        <v>0</v>
      </c>
    </row>
    <row r="77" spans="1:13">
      <c r="A77" s="1132"/>
      <c r="B77" s="51"/>
      <c r="C77" s="299" t="s">
        <v>167</v>
      </c>
      <c r="D77" s="220" t="s">
        <v>24</v>
      </c>
      <c r="E77" s="224">
        <v>0.49340000000000001</v>
      </c>
      <c r="F77" s="225">
        <f>F75*E77</f>
        <v>5.9207999999999998</v>
      </c>
      <c r="G77" s="1303"/>
      <c r="H77" s="1299"/>
      <c r="I77" s="1299"/>
      <c r="J77" s="1299"/>
      <c r="K77" s="1300"/>
      <c r="L77" s="1299">
        <f>F77*K77</f>
        <v>0</v>
      </c>
      <c r="M77" s="1299">
        <f t="shared" si="4"/>
        <v>0</v>
      </c>
    </row>
    <row r="78" spans="1:13">
      <c r="A78" s="1130" t="s">
        <v>337</v>
      </c>
      <c r="B78" s="51" t="s">
        <v>171</v>
      </c>
      <c r="C78" s="297" t="s">
        <v>168</v>
      </c>
      <c r="D78" s="735" t="s">
        <v>5</v>
      </c>
      <c r="E78" s="213">
        <f>0.15*0.15</f>
        <v>2.2499999999999999E-2</v>
      </c>
      <c r="F78" s="159">
        <f>F75*E78</f>
        <v>0.27</v>
      </c>
      <c r="G78" s="1303"/>
      <c r="H78" s="1299"/>
      <c r="I78" s="1299"/>
      <c r="J78" s="1299"/>
      <c r="K78" s="1299"/>
      <c r="L78" s="1299"/>
      <c r="M78" s="1299"/>
    </row>
    <row r="79" spans="1:13">
      <c r="A79" s="1131"/>
      <c r="B79" s="51"/>
      <c r="C79" s="300" t="s">
        <v>33</v>
      </c>
      <c r="D79" s="222" t="s">
        <v>29</v>
      </c>
      <c r="E79" s="110">
        <v>74.2</v>
      </c>
      <c r="F79" s="116">
        <f>F78*E79</f>
        <v>20.034000000000002</v>
      </c>
      <c r="G79" s="1301"/>
      <c r="H79" s="1299"/>
      <c r="I79" s="1300"/>
      <c r="J79" s="1299">
        <f>F79*I79</f>
        <v>0</v>
      </c>
      <c r="K79" s="1299"/>
      <c r="L79" s="1299"/>
      <c r="M79" s="1299">
        <f t="shared" si="4"/>
        <v>0</v>
      </c>
    </row>
    <row r="80" spans="1:13">
      <c r="A80" s="1131"/>
      <c r="B80" s="51"/>
      <c r="C80" s="300" t="s">
        <v>35</v>
      </c>
      <c r="D80" s="103" t="s">
        <v>24</v>
      </c>
      <c r="E80" s="110">
        <v>1.1000000000000001</v>
      </c>
      <c r="F80" s="116">
        <f>F78*E80</f>
        <v>0.29700000000000004</v>
      </c>
      <c r="G80" s="1301"/>
      <c r="H80" s="1299"/>
      <c r="I80" s="1299"/>
      <c r="J80" s="1299"/>
      <c r="K80" s="1300"/>
      <c r="L80" s="1299">
        <f>F80*K80</f>
        <v>0</v>
      </c>
      <c r="M80" s="1299">
        <f t="shared" si="4"/>
        <v>0</v>
      </c>
    </row>
    <row r="81" spans="1:13">
      <c r="A81" s="1131"/>
      <c r="B81" s="51"/>
      <c r="C81" s="145" t="s">
        <v>117</v>
      </c>
      <c r="D81" s="222" t="s">
        <v>4</v>
      </c>
      <c r="E81" s="110">
        <v>1.04</v>
      </c>
      <c r="F81" s="116">
        <f>F78*E81</f>
        <v>0.28080000000000005</v>
      </c>
      <c r="G81" s="1302"/>
      <c r="H81" s="1299">
        <f>F81*G81</f>
        <v>0</v>
      </c>
      <c r="I81" s="1299"/>
      <c r="J81" s="1299"/>
      <c r="K81" s="1299"/>
      <c r="L81" s="1299"/>
      <c r="M81" s="1299">
        <f t="shared" si="4"/>
        <v>0</v>
      </c>
    </row>
    <row r="82" spans="1:13">
      <c r="A82" s="1131"/>
      <c r="B82" s="51"/>
      <c r="C82" s="300" t="s">
        <v>172</v>
      </c>
      <c r="D82" s="222" t="s">
        <v>6</v>
      </c>
      <c r="E82" s="110">
        <v>5.9</v>
      </c>
      <c r="F82" s="116">
        <f>F78*E82</f>
        <v>1.5930000000000002</v>
      </c>
      <c r="G82" s="1302"/>
      <c r="H82" s="1299">
        <f>F82*G82</f>
        <v>0</v>
      </c>
      <c r="I82" s="1299"/>
      <c r="J82" s="1299"/>
      <c r="K82" s="1299"/>
      <c r="L82" s="1299"/>
      <c r="M82" s="1299">
        <f t="shared" si="4"/>
        <v>0</v>
      </c>
    </row>
    <row r="83" spans="1:13">
      <c r="A83" s="1131"/>
      <c r="B83" s="51"/>
      <c r="C83" s="170" t="s">
        <v>240</v>
      </c>
      <c r="D83" s="241" t="s">
        <v>4</v>
      </c>
      <c r="E83" s="594">
        <f>0.21+0.18</f>
        <v>0.39</v>
      </c>
      <c r="F83" s="592">
        <v>0.11232</v>
      </c>
      <c r="G83" s="1354"/>
      <c r="H83" s="1299">
        <f>F83*G83</f>
        <v>0</v>
      </c>
      <c r="I83" s="1299"/>
      <c r="J83" s="1299"/>
      <c r="K83" s="1299"/>
      <c r="L83" s="1299"/>
      <c r="M83" s="1299">
        <f t="shared" si="4"/>
        <v>0</v>
      </c>
    </row>
    <row r="84" spans="1:13">
      <c r="A84" s="1130" t="s">
        <v>60</v>
      </c>
      <c r="B84" s="735" t="s">
        <v>206</v>
      </c>
      <c r="C84" s="614" t="s">
        <v>201</v>
      </c>
      <c r="D84" s="735" t="s">
        <v>202</v>
      </c>
      <c r="E84" s="54"/>
      <c r="F84" s="49">
        <f>(F37+F43+40)/100</f>
        <v>1.2</v>
      </c>
      <c r="G84" s="1303"/>
      <c r="H84" s="1299"/>
      <c r="I84" s="1303"/>
      <c r="J84" s="1299"/>
      <c r="K84" s="1303"/>
      <c r="L84" s="1299"/>
      <c r="M84" s="1299"/>
    </row>
    <row r="85" spans="1:13">
      <c r="A85" s="1131"/>
      <c r="B85" s="735"/>
      <c r="C85" s="164" t="s">
        <v>147</v>
      </c>
      <c r="D85" s="735" t="s">
        <v>148</v>
      </c>
      <c r="E85" s="54">
        <v>5.16</v>
      </c>
      <c r="F85" s="239">
        <f>F84*E85</f>
        <v>6.1920000000000002</v>
      </c>
      <c r="G85" s="1303"/>
      <c r="H85" s="1299"/>
      <c r="I85" s="1310"/>
      <c r="J85" s="1299">
        <f>F85*I85</f>
        <v>0</v>
      </c>
      <c r="K85" s="1303"/>
      <c r="L85" s="1299"/>
      <c r="M85" s="1299">
        <f t="shared" si="4"/>
        <v>0</v>
      </c>
    </row>
    <row r="86" spans="1:13">
      <c r="A86" s="1131"/>
      <c r="B86" s="735"/>
      <c r="C86" s="164" t="s">
        <v>203</v>
      </c>
      <c r="D86" s="735" t="s">
        <v>4</v>
      </c>
      <c r="E86" s="54">
        <v>1</v>
      </c>
      <c r="F86" s="239">
        <f>F84*E86</f>
        <v>1.2</v>
      </c>
      <c r="G86" s="1310"/>
      <c r="H86" s="1299">
        <f>F86*G86</f>
        <v>0</v>
      </c>
      <c r="I86" s="1303"/>
      <c r="J86" s="1299"/>
      <c r="K86" s="1303"/>
      <c r="L86" s="1299"/>
      <c r="M86" s="1299">
        <f t="shared" si="4"/>
        <v>0</v>
      </c>
    </row>
    <row r="87" spans="1:13">
      <c r="A87" s="1132"/>
      <c r="B87" s="735"/>
      <c r="C87" s="164" t="s">
        <v>32</v>
      </c>
      <c r="D87" s="735" t="s">
        <v>24</v>
      </c>
      <c r="E87" s="54">
        <v>0.11</v>
      </c>
      <c r="F87" s="239">
        <f>F84*E87</f>
        <v>0.13200000000000001</v>
      </c>
      <c r="G87" s="1310"/>
      <c r="H87" s="1299">
        <f>F87*G87</f>
        <v>0</v>
      </c>
      <c r="I87" s="1303"/>
      <c r="J87" s="1299"/>
      <c r="K87" s="1303"/>
      <c r="L87" s="1299"/>
      <c r="M87" s="1299">
        <f t="shared" si="4"/>
        <v>0</v>
      </c>
    </row>
    <row r="88" spans="1:13">
      <c r="A88" s="1143" t="s">
        <v>74</v>
      </c>
      <c r="B88" s="618" t="s">
        <v>200</v>
      </c>
      <c r="C88" s="168" t="s">
        <v>199</v>
      </c>
      <c r="D88" s="618" t="s">
        <v>83</v>
      </c>
      <c r="E88" s="54"/>
      <c r="F88" s="49">
        <v>1</v>
      </c>
      <c r="G88" s="1299"/>
      <c r="H88" s="1299"/>
      <c r="I88" s="1299"/>
      <c r="J88" s="1299"/>
      <c r="K88" s="1299"/>
      <c r="L88" s="1299"/>
      <c r="M88" s="1299"/>
    </row>
    <row r="89" spans="1:13">
      <c r="A89" s="1144"/>
      <c r="B89" s="618"/>
      <c r="C89" s="164" t="s">
        <v>147</v>
      </c>
      <c r="D89" s="735" t="s">
        <v>148</v>
      </c>
      <c r="E89" s="54">
        <v>4.9800000000000004</v>
      </c>
      <c r="F89" s="239">
        <f>F88*E89</f>
        <v>4.9800000000000004</v>
      </c>
      <c r="G89" s="1303"/>
      <c r="H89" s="1299"/>
      <c r="I89" s="1310"/>
      <c r="J89" s="1299">
        <f>F89*I89</f>
        <v>0</v>
      </c>
      <c r="K89" s="1303"/>
      <c r="L89" s="1299"/>
      <c r="M89" s="1299">
        <f t="shared" si="4"/>
        <v>0</v>
      </c>
    </row>
    <row r="90" spans="1:13">
      <c r="A90" s="1144"/>
      <c r="B90" s="618"/>
      <c r="C90" s="164" t="s">
        <v>162</v>
      </c>
      <c r="D90" s="735" t="s">
        <v>149</v>
      </c>
      <c r="E90" s="54">
        <v>0.08</v>
      </c>
      <c r="F90" s="239">
        <f>F88*E90</f>
        <v>0.08</v>
      </c>
      <c r="G90" s="1303"/>
      <c r="H90" s="1299"/>
      <c r="I90" s="1303"/>
      <c r="J90" s="1299"/>
      <c r="K90" s="1310"/>
      <c r="L90" s="1299">
        <f>F90*K90</f>
        <v>0</v>
      </c>
      <c r="M90" s="1299">
        <f t="shared" si="4"/>
        <v>0</v>
      </c>
    </row>
    <row r="91" spans="1:13">
      <c r="A91" s="1145"/>
      <c r="B91" s="618"/>
      <c r="C91" s="177" t="s">
        <v>181</v>
      </c>
      <c r="D91" s="735" t="s">
        <v>149</v>
      </c>
      <c r="E91" s="54">
        <v>0.23</v>
      </c>
      <c r="F91" s="239">
        <f>F88*E91</f>
        <v>0.23</v>
      </c>
      <c r="G91" s="1310"/>
      <c r="H91" s="1299">
        <f>F91*G91</f>
        <v>0</v>
      </c>
      <c r="I91" s="1303"/>
      <c r="J91" s="1299"/>
      <c r="K91" s="1303"/>
      <c r="L91" s="1299"/>
      <c r="M91" s="1299">
        <f t="shared" si="4"/>
        <v>0</v>
      </c>
    </row>
    <row r="92" spans="1:13" s="1106" customFormat="1">
      <c r="A92" s="745" t="s">
        <v>293</v>
      </c>
      <c r="B92" s="742"/>
      <c r="C92" s="610" t="s">
        <v>191</v>
      </c>
      <c r="D92" s="742"/>
      <c r="E92" s="783"/>
      <c r="F92" s="784"/>
      <c r="G92" s="1298"/>
      <c r="H92" s="1298"/>
      <c r="I92" s="1298"/>
      <c r="J92" s="1298"/>
      <c r="K92" s="1298"/>
      <c r="L92" s="1298"/>
      <c r="M92" s="1298"/>
    </row>
    <row r="93" spans="1:13">
      <c r="A93" s="1130">
        <v>1</v>
      </c>
      <c r="B93" s="51" t="s">
        <v>207</v>
      </c>
      <c r="C93" s="297" t="s">
        <v>192</v>
      </c>
      <c r="D93" s="51" t="s">
        <v>1</v>
      </c>
      <c r="E93" s="213"/>
      <c r="F93" s="159">
        <v>35</v>
      </c>
      <c r="G93" s="1304"/>
      <c r="H93" s="1299"/>
      <c r="I93" s="1304"/>
      <c r="J93" s="1299"/>
      <c r="K93" s="1304"/>
      <c r="L93" s="1299"/>
      <c r="M93" s="1299"/>
    </row>
    <row r="94" spans="1:13">
      <c r="A94" s="1131"/>
      <c r="B94" s="51"/>
      <c r="C94" s="164" t="s">
        <v>27</v>
      </c>
      <c r="D94" s="735" t="s">
        <v>137</v>
      </c>
      <c r="E94" s="54">
        <v>0.60899999999999999</v>
      </c>
      <c r="F94" s="239">
        <f>F93*E94</f>
        <v>21.314999999999998</v>
      </c>
      <c r="G94" s="1303"/>
      <c r="H94" s="1299"/>
      <c r="I94" s="1310"/>
      <c r="J94" s="1299">
        <f>F94*I94</f>
        <v>0</v>
      </c>
      <c r="K94" s="1303"/>
      <c r="L94" s="1299"/>
      <c r="M94" s="1299">
        <f t="shared" si="4"/>
        <v>0</v>
      </c>
    </row>
    <row r="95" spans="1:13">
      <c r="A95" s="1131"/>
      <c r="B95" s="51"/>
      <c r="C95" s="164" t="s">
        <v>167</v>
      </c>
      <c r="D95" s="735" t="s">
        <v>183</v>
      </c>
      <c r="E95" s="54">
        <v>2.0999999999999999E-3</v>
      </c>
      <c r="F95" s="239">
        <f>F93*E95</f>
        <v>7.3499999999999996E-2</v>
      </c>
      <c r="G95" s="1303"/>
      <c r="H95" s="1299"/>
      <c r="I95" s="1303"/>
      <c r="J95" s="1299"/>
      <c r="K95" s="1310"/>
      <c r="L95" s="1299">
        <f>F95*K95</f>
        <v>0</v>
      </c>
      <c r="M95" s="1299">
        <f t="shared" si="4"/>
        <v>0</v>
      </c>
    </row>
    <row r="96" spans="1:13">
      <c r="A96" s="1131"/>
      <c r="B96" s="51"/>
      <c r="C96" s="164" t="s">
        <v>374</v>
      </c>
      <c r="D96" s="735" t="s">
        <v>194</v>
      </c>
      <c r="E96" s="54">
        <v>1</v>
      </c>
      <c r="F96" s="239">
        <f>F93*E96</f>
        <v>35</v>
      </c>
      <c r="G96" s="1310"/>
      <c r="H96" s="1299">
        <f>F96*G96</f>
        <v>0</v>
      </c>
      <c r="I96" s="1303"/>
      <c r="J96" s="1299"/>
      <c r="K96" s="1303"/>
      <c r="L96" s="1299"/>
      <c r="M96" s="1299">
        <f t="shared" si="4"/>
        <v>0</v>
      </c>
    </row>
    <row r="97" spans="1:13">
      <c r="A97" s="1131"/>
      <c r="B97" s="51"/>
      <c r="C97" s="298" t="s">
        <v>195</v>
      </c>
      <c r="D97" s="210" t="s">
        <v>196</v>
      </c>
      <c r="E97" s="596">
        <f>14*0.01</f>
        <v>0.14000000000000001</v>
      </c>
      <c r="F97" s="597">
        <f>E97*F93</f>
        <v>4.9000000000000004</v>
      </c>
      <c r="G97" s="1355"/>
      <c r="H97" s="1299">
        <f>F97*G97</f>
        <v>0</v>
      </c>
      <c r="I97" s="1356"/>
      <c r="J97" s="1299"/>
      <c r="K97" s="1356"/>
      <c r="L97" s="1299"/>
      <c r="M97" s="1299">
        <f t="shared" si="4"/>
        <v>0</v>
      </c>
    </row>
    <row r="98" spans="1:13">
      <c r="A98" s="1132"/>
      <c r="B98" s="51"/>
      <c r="C98" s="164" t="s">
        <v>32</v>
      </c>
      <c r="D98" s="735" t="s">
        <v>183</v>
      </c>
      <c r="E98" s="54">
        <v>0.156</v>
      </c>
      <c r="F98" s="239">
        <f>F93*E98</f>
        <v>5.46</v>
      </c>
      <c r="G98" s="1310"/>
      <c r="H98" s="1299">
        <f>F98*G98</f>
        <v>0</v>
      </c>
      <c r="I98" s="1303"/>
      <c r="J98" s="1299"/>
      <c r="K98" s="1303"/>
      <c r="L98" s="1299"/>
      <c r="M98" s="1299">
        <f t="shared" si="4"/>
        <v>0</v>
      </c>
    </row>
    <row r="99" spans="1:13" ht="31.5">
      <c r="A99" s="1130">
        <v>2</v>
      </c>
      <c r="B99" s="51" t="s">
        <v>197</v>
      </c>
      <c r="C99" s="297" t="s">
        <v>879</v>
      </c>
      <c r="D99" s="51" t="s">
        <v>1</v>
      </c>
      <c r="E99" s="213"/>
      <c r="F99" s="159">
        <f>F102</f>
        <v>50</v>
      </c>
      <c r="G99" s="1304"/>
      <c r="H99" s="1299"/>
      <c r="I99" s="1304"/>
      <c r="J99" s="1299"/>
      <c r="K99" s="1304"/>
      <c r="L99" s="1299"/>
      <c r="M99" s="1299"/>
    </row>
    <row r="100" spans="1:13">
      <c r="A100" s="1131"/>
      <c r="B100" s="51"/>
      <c r="C100" s="164" t="s">
        <v>27</v>
      </c>
      <c r="D100" s="735" t="s">
        <v>137</v>
      </c>
      <c r="E100" s="54">
        <f>58.3*0.01</f>
        <v>0.58299999999999996</v>
      </c>
      <c r="F100" s="239">
        <f>F99*E100</f>
        <v>29.15</v>
      </c>
      <c r="G100" s="1303"/>
      <c r="H100" s="1299"/>
      <c r="I100" s="1310"/>
      <c r="J100" s="1299">
        <f>F100*I100</f>
        <v>0</v>
      </c>
      <c r="K100" s="1303"/>
      <c r="L100" s="1299"/>
      <c r="M100" s="1299">
        <f t="shared" si="4"/>
        <v>0</v>
      </c>
    </row>
    <row r="101" spans="1:13">
      <c r="A101" s="1131"/>
      <c r="B101" s="51"/>
      <c r="C101" s="164" t="s">
        <v>167</v>
      </c>
      <c r="D101" s="735" t="s">
        <v>183</v>
      </c>
      <c r="E101" s="54">
        <f>0.46*0.01</f>
        <v>4.5999999999999999E-3</v>
      </c>
      <c r="F101" s="239">
        <f>F99*E101</f>
        <v>0.22999999999999998</v>
      </c>
      <c r="G101" s="1303"/>
      <c r="H101" s="1299"/>
      <c r="I101" s="1303"/>
      <c r="J101" s="1299"/>
      <c r="K101" s="1310"/>
      <c r="L101" s="1299">
        <f>F101*K101</f>
        <v>0</v>
      </c>
      <c r="M101" s="1299">
        <f t="shared" si="4"/>
        <v>0</v>
      </c>
    </row>
    <row r="102" spans="1:13">
      <c r="A102" s="1131"/>
      <c r="B102" s="51"/>
      <c r="C102" s="164" t="s">
        <v>193</v>
      </c>
      <c r="D102" s="735" t="s">
        <v>194</v>
      </c>
      <c r="E102" s="54">
        <v>1</v>
      </c>
      <c r="F102" s="239">
        <v>50</v>
      </c>
      <c r="G102" s="1310"/>
      <c r="H102" s="1299">
        <f>F102*G102</f>
        <v>0</v>
      </c>
      <c r="I102" s="1303"/>
      <c r="J102" s="1299"/>
      <c r="K102" s="1303"/>
      <c r="L102" s="1299"/>
      <c r="M102" s="1299">
        <f t="shared" si="4"/>
        <v>0</v>
      </c>
    </row>
    <row r="103" spans="1:13">
      <c r="A103" s="1131"/>
      <c r="B103" s="51"/>
      <c r="C103" s="298" t="s">
        <v>195</v>
      </c>
      <c r="D103" s="210" t="s">
        <v>196</v>
      </c>
      <c r="E103" s="596">
        <f>23*0.01</f>
        <v>0.23</v>
      </c>
      <c r="F103" s="597">
        <f>E103*F99</f>
        <v>11.5</v>
      </c>
      <c r="G103" s="1355"/>
      <c r="H103" s="1306">
        <f>F103*G103</f>
        <v>0</v>
      </c>
      <c r="I103" s="1356"/>
      <c r="J103" s="1306"/>
      <c r="K103" s="1356"/>
      <c r="L103" s="1306"/>
      <c r="M103" s="1306">
        <f t="shared" si="4"/>
        <v>0</v>
      </c>
    </row>
    <row r="104" spans="1:13">
      <c r="A104" s="1132"/>
      <c r="B104" s="51"/>
      <c r="C104" s="164" t="s">
        <v>32</v>
      </c>
      <c r="D104" s="735" t="s">
        <v>183</v>
      </c>
      <c r="E104" s="54">
        <f>20.8*0.01</f>
        <v>0.20800000000000002</v>
      </c>
      <c r="F104" s="239">
        <f>F99*E104</f>
        <v>10.4</v>
      </c>
      <c r="G104" s="1310"/>
      <c r="H104" s="1299">
        <f>F104*G104</f>
        <v>0</v>
      </c>
      <c r="I104" s="1303"/>
      <c r="J104" s="1299"/>
      <c r="K104" s="1303"/>
      <c r="L104" s="1299"/>
      <c r="M104" s="1299">
        <f t="shared" si="4"/>
        <v>0</v>
      </c>
    </row>
    <row r="105" spans="1:13">
      <c r="A105" s="1193" t="s">
        <v>103</v>
      </c>
      <c r="B105" s="51" t="s">
        <v>389</v>
      </c>
      <c r="C105" s="297" t="s">
        <v>190</v>
      </c>
      <c r="D105" s="51" t="s">
        <v>118</v>
      </c>
      <c r="E105" s="213"/>
      <c r="F105" s="159">
        <f>F108</f>
        <v>3</v>
      </c>
      <c r="G105" s="1304"/>
      <c r="H105" s="1299"/>
      <c r="I105" s="1304"/>
      <c r="J105" s="1299"/>
      <c r="K105" s="1304"/>
      <c r="L105" s="1299"/>
      <c r="M105" s="1299"/>
    </row>
    <row r="106" spans="1:13">
      <c r="A106" s="1194"/>
      <c r="B106" s="51"/>
      <c r="C106" s="164" t="s">
        <v>27</v>
      </c>
      <c r="D106" s="735" t="s">
        <v>29</v>
      </c>
      <c r="E106" s="54">
        <v>0.46</v>
      </c>
      <c r="F106" s="239">
        <f>F105*E106</f>
        <v>1.3800000000000001</v>
      </c>
      <c r="G106" s="1303"/>
      <c r="H106" s="1299"/>
      <c r="I106" s="1310"/>
      <c r="J106" s="1299">
        <f>F106*I106</f>
        <v>0</v>
      </c>
      <c r="K106" s="1303"/>
      <c r="L106" s="1299"/>
      <c r="M106" s="1299">
        <f t="shared" si="4"/>
        <v>0</v>
      </c>
    </row>
    <row r="107" spans="1:13">
      <c r="A107" s="1194"/>
      <c r="B107" s="51"/>
      <c r="C107" s="164" t="s">
        <v>167</v>
      </c>
      <c r="D107" s="735" t="s">
        <v>183</v>
      </c>
      <c r="E107" s="54">
        <v>0.02</v>
      </c>
      <c r="F107" s="239">
        <f>F105*E107</f>
        <v>0.06</v>
      </c>
      <c r="G107" s="1303"/>
      <c r="H107" s="1299"/>
      <c r="I107" s="1303"/>
      <c r="J107" s="1299"/>
      <c r="K107" s="1310"/>
      <c r="L107" s="1299">
        <f>F107*K107</f>
        <v>0</v>
      </c>
      <c r="M107" s="1299">
        <f t="shared" si="4"/>
        <v>0</v>
      </c>
    </row>
    <row r="108" spans="1:13">
      <c r="A108" s="1194"/>
      <c r="B108" s="51"/>
      <c r="C108" s="164" t="s">
        <v>223</v>
      </c>
      <c r="D108" s="735" t="s">
        <v>118</v>
      </c>
      <c r="E108" s="54">
        <v>1</v>
      </c>
      <c r="F108" s="239">
        <v>3</v>
      </c>
      <c r="G108" s="1310"/>
      <c r="H108" s="1299">
        <f>F108*G108</f>
        <v>0</v>
      </c>
      <c r="I108" s="1303"/>
      <c r="J108" s="1299"/>
      <c r="K108" s="1303"/>
      <c r="L108" s="1299"/>
      <c r="M108" s="1299">
        <f t="shared" si="4"/>
        <v>0</v>
      </c>
    </row>
    <row r="109" spans="1:13">
      <c r="A109" s="1195"/>
      <c r="B109" s="51"/>
      <c r="C109" s="164" t="s">
        <v>32</v>
      </c>
      <c r="D109" s="735" t="s">
        <v>183</v>
      </c>
      <c r="E109" s="54">
        <v>0.11</v>
      </c>
      <c r="F109" s="239">
        <f>F105*E109</f>
        <v>0.33</v>
      </c>
      <c r="G109" s="1310"/>
      <c r="H109" s="1299">
        <f t="shared" ref="H109:H129" si="5">F109*G109</f>
        <v>0</v>
      </c>
      <c r="I109" s="1303"/>
      <c r="J109" s="1299"/>
      <c r="K109" s="1303"/>
      <c r="L109" s="1299"/>
      <c r="M109" s="1299">
        <f t="shared" ref="M109:M129" si="6">H109+J109+L109</f>
        <v>0</v>
      </c>
    </row>
    <row r="110" spans="1:13" ht="27">
      <c r="A110" s="1193" t="s">
        <v>336</v>
      </c>
      <c r="B110" s="392" t="s">
        <v>457</v>
      </c>
      <c r="C110" s="297" t="s">
        <v>198</v>
      </c>
      <c r="D110" s="51" t="s">
        <v>118</v>
      </c>
      <c r="E110" s="213"/>
      <c r="F110" s="159">
        <f>SUM(F113:F119)</f>
        <v>44</v>
      </c>
      <c r="G110" s="1304"/>
      <c r="H110" s="1299"/>
      <c r="I110" s="1304"/>
      <c r="J110" s="1299"/>
      <c r="K110" s="1304"/>
      <c r="L110" s="1299"/>
      <c r="M110" s="1299"/>
    </row>
    <row r="111" spans="1:13">
      <c r="A111" s="1194"/>
      <c r="B111" s="51"/>
      <c r="C111" s="164" t="s">
        <v>27</v>
      </c>
      <c r="D111" s="735" t="s">
        <v>137</v>
      </c>
      <c r="E111" s="595">
        <f>(3.89+5.84+7.88)/3/10</f>
        <v>0.58699999999999997</v>
      </c>
      <c r="F111" s="239">
        <f>F110*E111</f>
        <v>25.827999999999999</v>
      </c>
      <c r="G111" s="1303"/>
      <c r="H111" s="1299"/>
      <c r="I111" s="1310"/>
      <c r="J111" s="1299">
        <f>F111*I111</f>
        <v>0</v>
      </c>
      <c r="K111" s="1303"/>
      <c r="L111" s="1299"/>
      <c r="M111" s="1299">
        <f t="shared" si="6"/>
        <v>0</v>
      </c>
    </row>
    <row r="112" spans="1:13">
      <c r="A112" s="1194"/>
      <c r="B112" s="51"/>
      <c r="C112" s="164" t="s">
        <v>167</v>
      </c>
      <c r="D112" s="735" t="s">
        <v>183</v>
      </c>
      <c r="E112" s="595">
        <f>(1.51+2.27+3.02)/3/10</f>
        <v>0.22666666666666671</v>
      </c>
      <c r="F112" s="239">
        <f>F110*E112</f>
        <v>9.9733333333333345</v>
      </c>
      <c r="G112" s="1303"/>
      <c r="H112" s="1299"/>
      <c r="I112" s="1303"/>
      <c r="J112" s="1299"/>
      <c r="K112" s="1310"/>
      <c r="L112" s="1299">
        <f>F112*K112</f>
        <v>0</v>
      </c>
      <c r="M112" s="1299">
        <f t="shared" si="6"/>
        <v>0</v>
      </c>
    </row>
    <row r="113" spans="1:13" ht="18">
      <c r="A113" s="1194"/>
      <c r="B113" s="51"/>
      <c r="C113" s="169" t="s">
        <v>583</v>
      </c>
      <c r="D113" s="618" t="s">
        <v>2</v>
      </c>
      <c r="E113" s="738"/>
      <c r="F113" s="239">
        <v>14</v>
      </c>
      <c r="G113" s="1310"/>
      <c r="H113" s="1299">
        <f t="shared" si="5"/>
        <v>0</v>
      </c>
      <c r="I113" s="1303"/>
      <c r="J113" s="1299"/>
      <c r="K113" s="1299"/>
      <c r="L113" s="1299"/>
      <c r="M113" s="1299">
        <f t="shared" si="6"/>
        <v>0</v>
      </c>
    </row>
    <row r="114" spans="1:13" ht="18">
      <c r="A114" s="1194"/>
      <c r="B114" s="51"/>
      <c r="C114" s="169" t="s">
        <v>584</v>
      </c>
      <c r="D114" s="618" t="s">
        <v>2</v>
      </c>
      <c r="E114" s="738"/>
      <c r="F114" s="239">
        <v>8</v>
      </c>
      <c r="G114" s="1310"/>
      <c r="H114" s="1299">
        <f>F114*G114</f>
        <v>0</v>
      </c>
      <c r="I114" s="1303"/>
      <c r="J114" s="1299"/>
      <c r="K114" s="1299"/>
      <c r="L114" s="1299"/>
      <c r="M114" s="1299">
        <f>H114+J114+L114</f>
        <v>0</v>
      </c>
    </row>
    <row r="115" spans="1:13" ht="18">
      <c r="A115" s="1194"/>
      <c r="B115" s="51"/>
      <c r="C115" s="169" t="s">
        <v>585</v>
      </c>
      <c r="D115" s="618" t="s">
        <v>2</v>
      </c>
      <c r="E115" s="738"/>
      <c r="F115" s="239">
        <v>7</v>
      </c>
      <c r="G115" s="1310"/>
      <c r="H115" s="1299">
        <f t="shared" si="5"/>
        <v>0</v>
      </c>
      <c r="I115" s="1303"/>
      <c r="J115" s="1299"/>
      <c r="K115" s="1299"/>
      <c r="L115" s="1299"/>
      <c r="M115" s="1299">
        <f t="shared" si="6"/>
        <v>0</v>
      </c>
    </row>
    <row r="116" spans="1:13" ht="18">
      <c r="A116" s="1194"/>
      <c r="B116" s="51"/>
      <c r="C116" s="169" t="s">
        <v>586</v>
      </c>
      <c r="D116" s="618" t="s">
        <v>2</v>
      </c>
      <c r="E116" s="738"/>
      <c r="F116" s="239">
        <v>7</v>
      </c>
      <c r="G116" s="1310"/>
      <c r="H116" s="1299">
        <f t="shared" si="5"/>
        <v>0</v>
      </c>
      <c r="I116" s="1303"/>
      <c r="J116" s="1299"/>
      <c r="K116" s="1299"/>
      <c r="L116" s="1299"/>
      <c r="M116" s="1299">
        <f t="shared" si="6"/>
        <v>0</v>
      </c>
    </row>
    <row r="117" spans="1:13" ht="18">
      <c r="A117" s="1194"/>
      <c r="B117" s="51"/>
      <c r="C117" s="169" t="s">
        <v>587</v>
      </c>
      <c r="D117" s="618" t="s">
        <v>2</v>
      </c>
      <c r="E117" s="738"/>
      <c r="F117" s="239">
        <v>3</v>
      </c>
      <c r="G117" s="1310"/>
      <c r="H117" s="1299">
        <f t="shared" si="5"/>
        <v>0</v>
      </c>
      <c r="I117" s="1303"/>
      <c r="J117" s="1299"/>
      <c r="K117" s="1299"/>
      <c r="L117" s="1299"/>
      <c r="M117" s="1299">
        <f t="shared" si="6"/>
        <v>0</v>
      </c>
    </row>
    <row r="118" spans="1:13">
      <c r="A118" s="1194"/>
      <c r="B118" s="51"/>
      <c r="C118" s="169" t="s">
        <v>717</v>
      </c>
      <c r="D118" s="618" t="s">
        <v>2</v>
      </c>
      <c r="E118" s="738"/>
      <c r="F118" s="239">
        <v>1</v>
      </c>
      <c r="G118" s="1310"/>
      <c r="H118" s="1299">
        <f t="shared" si="5"/>
        <v>0</v>
      </c>
      <c r="I118" s="1303"/>
      <c r="J118" s="1299"/>
      <c r="K118" s="1299"/>
      <c r="L118" s="1299"/>
      <c r="M118" s="1299">
        <f t="shared" si="6"/>
        <v>0</v>
      </c>
    </row>
    <row r="119" spans="1:13">
      <c r="A119" s="1194"/>
      <c r="B119" s="51"/>
      <c r="C119" s="172" t="s">
        <v>375</v>
      </c>
      <c r="D119" s="618" t="s">
        <v>2</v>
      </c>
      <c r="E119" s="738"/>
      <c r="F119" s="239">
        <v>4</v>
      </c>
      <c r="G119" s="1310"/>
      <c r="H119" s="1299">
        <f t="shared" si="5"/>
        <v>0</v>
      </c>
      <c r="I119" s="1303"/>
      <c r="J119" s="1299"/>
      <c r="K119" s="1299"/>
      <c r="L119" s="1299"/>
      <c r="M119" s="1299">
        <f t="shared" si="6"/>
        <v>0</v>
      </c>
    </row>
    <row r="120" spans="1:13">
      <c r="A120" s="1195"/>
      <c r="B120" s="51"/>
      <c r="C120" s="177" t="s">
        <v>32</v>
      </c>
      <c r="D120" s="735" t="s">
        <v>183</v>
      </c>
      <c r="E120" s="54">
        <v>0.2</v>
      </c>
      <c r="F120" s="239">
        <f>F110*E120</f>
        <v>8.8000000000000007</v>
      </c>
      <c r="G120" s="1310"/>
      <c r="H120" s="1299">
        <f t="shared" si="5"/>
        <v>0</v>
      </c>
      <c r="I120" s="1303"/>
      <c r="J120" s="1299"/>
      <c r="K120" s="1303"/>
      <c r="L120" s="1299"/>
      <c r="M120" s="1299">
        <f t="shared" si="6"/>
        <v>0</v>
      </c>
    </row>
    <row r="121" spans="1:13">
      <c r="A121" s="1130" t="s">
        <v>59</v>
      </c>
      <c r="B121" s="51" t="s">
        <v>164</v>
      </c>
      <c r="C121" s="248" t="s">
        <v>165</v>
      </c>
      <c r="D121" s="51" t="s">
        <v>166</v>
      </c>
      <c r="E121" s="213"/>
      <c r="F121" s="159">
        <v>12</v>
      </c>
      <c r="G121" s="1303"/>
      <c r="H121" s="1299"/>
      <c r="I121" s="1299"/>
      <c r="J121" s="1299"/>
      <c r="K121" s="1299"/>
      <c r="L121" s="1299"/>
      <c r="M121" s="1299"/>
    </row>
    <row r="122" spans="1:13">
      <c r="A122" s="1131"/>
      <c r="B122" s="51"/>
      <c r="C122" s="219" t="s">
        <v>27</v>
      </c>
      <c r="D122" s="220" t="s">
        <v>137</v>
      </c>
      <c r="E122" s="224">
        <v>1.002</v>
      </c>
      <c r="F122" s="225">
        <f>F121*E122</f>
        <v>12.024000000000001</v>
      </c>
      <c r="G122" s="1303"/>
      <c r="H122" s="1299"/>
      <c r="I122" s="1300"/>
      <c r="J122" s="1299">
        <f>F122*I122</f>
        <v>0</v>
      </c>
      <c r="K122" s="1299"/>
      <c r="L122" s="1299"/>
      <c r="M122" s="1299">
        <f t="shared" si="6"/>
        <v>0</v>
      </c>
    </row>
    <row r="123" spans="1:13">
      <c r="A123" s="1132"/>
      <c r="B123" s="51"/>
      <c r="C123" s="219" t="s">
        <v>167</v>
      </c>
      <c r="D123" s="220" t="s">
        <v>24</v>
      </c>
      <c r="E123" s="224">
        <v>0.49340000000000001</v>
      </c>
      <c r="F123" s="225">
        <f>F121*E123</f>
        <v>5.9207999999999998</v>
      </c>
      <c r="G123" s="1303"/>
      <c r="H123" s="1299"/>
      <c r="I123" s="1299"/>
      <c r="J123" s="1299"/>
      <c r="K123" s="1300"/>
      <c r="L123" s="1299">
        <f>F123*K123</f>
        <v>0</v>
      </c>
      <c r="M123" s="1299">
        <f t="shared" si="6"/>
        <v>0</v>
      </c>
    </row>
    <row r="124" spans="1:13">
      <c r="A124" s="1129" t="s">
        <v>324</v>
      </c>
      <c r="B124" s="51" t="s">
        <v>171</v>
      </c>
      <c r="C124" s="248" t="s">
        <v>168</v>
      </c>
      <c r="D124" s="735" t="s">
        <v>5</v>
      </c>
      <c r="E124" s="213">
        <f>0.15*0.15</f>
        <v>2.2499999999999999E-2</v>
      </c>
      <c r="F124" s="159">
        <f>F121*E124</f>
        <v>0.27</v>
      </c>
      <c r="G124" s="1303"/>
      <c r="H124" s="1299"/>
      <c r="I124" s="1299"/>
      <c r="J124" s="1299"/>
      <c r="K124" s="1299"/>
      <c r="L124" s="1299"/>
      <c r="M124" s="1299"/>
    </row>
    <row r="125" spans="1:13">
      <c r="A125" s="1129"/>
      <c r="B125" s="51"/>
      <c r="C125" s="221" t="s">
        <v>33</v>
      </c>
      <c r="D125" s="222" t="s">
        <v>29</v>
      </c>
      <c r="E125" s="110">
        <v>74.2</v>
      </c>
      <c r="F125" s="116">
        <f>F124*E125</f>
        <v>20.034000000000002</v>
      </c>
      <c r="G125" s="1301"/>
      <c r="H125" s="1299"/>
      <c r="I125" s="1300"/>
      <c r="J125" s="1299">
        <f>F125*I125</f>
        <v>0</v>
      </c>
      <c r="K125" s="1299"/>
      <c r="L125" s="1299"/>
      <c r="M125" s="1299">
        <f t="shared" si="6"/>
        <v>0</v>
      </c>
    </row>
    <row r="126" spans="1:13">
      <c r="A126" s="1129"/>
      <c r="B126" s="51"/>
      <c r="C126" s="221" t="s">
        <v>35</v>
      </c>
      <c r="D126" s="103" t="s">
        <v>24</v>
      </c>
      <c r="E126" s="110">
        <v>1.1000000000000001</v>
      </c>
      <c r="F126" s="116">
        <f>F124*E126</f>
        <v>0.29700000000000004</v>
      </c>
      <c r="G126" s="1301"/>
      <c r="H126" s="1299"/>
      <c r="I126" s="1299"/>
      <c r="J126" s="1299"/>
      <c r="K126" s="1300"/>
      <c r="L126" s="1299">
        <f>F126*K126</f>
        <v>0</v>
      </c>
      <c r="M126" s="1299">
        <f t="shared" si="6"/>
        <v>0</v>
      </c>
    </row>
    <row r="127" spans="1:13">
      <c r="A127" s="1129"/>
      <c r="B127" s="51"/>
      <c r="C127" s="184" t="s">
        <v>117</v>
      </c>
      <c r="D127" s="222" t="s">
        <v>4</v>
      </c>
      <c r="E127" s="110">
        <v>1.04</v>
      </c>
      <c r="F127" s="116">
        <f>F124*E127</f>
        <v>0.28080000000000005</v>
      </c>
      <c r="G127" s="1302"/>
      <c r="H127" s="1299">
        <f t="shared" si="5"/>
        <v>0</v>
      </c>
      <c r="I127" s="1299"/>
      <c r="J127" s="1299"/>
      <c r="K127" s="1299"/>
      <c r="L127" s="1299"/>
      <c r="M127" s="1299">
        <f t="shared" si="6"/>
        <v>0</v>
      </c>
    </row>
    <row r="128" spans="1:13">
      <c r="A128" s="1129"/>
      <c r="B128" s="51"/>
      <c r="C128" s="221" t="s">
        <v>172</v>
      </c>
      <c r="D128" s="222" t="s">
        <v>6</v>
      </c>
      <c r="E128" s="110">
        <v>5.9</v>
      </c>
      <c r="F128" s="116">
        <f>F124*E128</f>
        <v>1.5930000000000002</v>
      </c>
      <c r="G128" s="1302"/>
      <c r="H128" s="1299">
        <f t="shared" si="5"/>
        <v>0</v>
      </c>
      <c r="I128" s="1299"/>
      <c r="J128" s="1299"/>
      <c r="K128" s="1299"/>
      <c r="L128" s="1299"/>
      <c r="M128" s="1299">
        <f t="shared" si="6"/>
        <v>0</v>
      </c>
    </row>
    <row r="129" spans="1:14">
      <c r="A129" s="1129"/>
      <c r="B129" s="51"/>
      <c r="C129" s="221" t="s">
        <v>240</v>
      </c>
      <c r="D129" s="222" t="s">
        <v>4</v>
      </c>
      <c r="E129" s="110">
        <f>0.21+0.18</f>
        <v>0.39</v>
      </c>
      <c r="F129" s="116">
        <f>F124*E129</f>
        <v>0.1053</v>
      </c>
      <c r="G129" s="1302"/>
      <c r="H129" s="1299">
        <f t="shared" si="5"/>
        <v>0</v>
      </c>
      <c r="I129" s="1299"/>
      <c r="J129" s="1299"/>
      <c r="K129" s="1299"/>
      <c r="L129" s="1299"/>
      <c r="M129" s="1299">
        <f t="shared" si="6"/>
        <v>0</v>
      </c>
    </row>
    <row r="130" spans="1:14">
      <c r="A130" s="734"/>
      <c r="B130" s="51"/>
      <c r="C130" s="177"/>
      <c r="D130" s="735"/>
      <c r="E130" s="54"/>
      <c r="F130" s="239"/>
      <c r="G130" s="1303"/>
      <c r="H130" s="1299"/>
      <c r="I130" s="1303"/>
      <c r="J130" s="1299"/>
      <c r="K130" s="1303"/>
      <c r="L130" s="1299"/>
      <c r="M130" s="1299"/>
    </row>
    <row r="131" spans="1:14">
      <c r="A131" s="993"/>
      <c r="B131" s="994"/>
      <c r="C131" s="995" t="s">
        <v>1017</v>
      </c>
      <c r="D131" s="985"/>
      <c r="E131" s="992"/>
      <c r="F131" s="986"/>
      <c r="G131" s="1313"/>
      <c r="H131" s="1340">
        <f>SUM(H11:H130)</f>
        <v>0</v>
      </c>
      <c r="I131" s="1340"/>
      <c r="J131" s="1340">
        <f>SUM(J11:J130)</f>
        <v>0</v>
      </c>
      <c r="K131" s="1340"/>
      <c r="L131" s="1340">
        <f>SUM(L11:L130)</f>
        <v>0</v>
      </c>
      <c r="M131" s="1340">
        <f>SUM(M11:M130)</f>
        <v>0</v>
      </c>
      <c r="N131" s="602"/>
    </row>
    <row r="132" spans="1:14" ht="31.5">
      <c r="A132" s="731"/>
      <c r="B132" s="263"/>
      <c r="C132" s="390" t="s">
        <v>456</v>
      </c>
      <c r="D132" s="263"/>
      <c r="E132" s="268"/>
      <c r="F132" s="1110"/>
      <c r="G132" s="1314"/>
      <c r="H132" s="1314"/>
      <c r="I132" s="1314"/>
      <c r="J132" s="1314"/>
      <c r="K132" s="1314"/>
      <c r="L132" s="1314"/>
      <c r="M132" s="1315">
        <f>H131*F132</f>
        <v>0</v>
      </c>
      <c r="N132" s="602"/>
    </row>
    <row r="133" spans="1:14">
      <c r="A133" s="731"/>
      <c r="B133" s="263"/>
      <c r="C133" s="261" t="s">
        <v>70</v>
      </c>
      <c r="D133" s="263"/>
      <c r="E133" s="268"/>
      <c r="F133" s="269"/>
      <c r="G133" s="1314"/>
      <c r="H133" s="1314"/>
      <c r="I133" s="1314"/>
      <c r="J133" s="1314"/>
      <c r="K133" s="1314"/>
      <c r="L133" s="1314"/>
      <c r="M133" s="1315">
        <f>M131+M132</f>
        <v>0</v>
      </c>
      <c r="N133" s="602"/>
    </row>
    <row r="134" spans="1:14">
      <c r="A134" s="730"/>
      <c r="B134" s="618"/>
      <c r="C134" s="578" t="s">
        <v>73</v>
      </c>
      <c r="D134" s="618"/>
      <c r="E134" s="738"/>
      <c r="F134" s="289"/>
      <c r="G134" s="1299"/>
      <c r="H134" s="1299"/>
      <c r="I134" s="1299"/>
      <c r="J134" s="1299"/>
      <c r="K134" s="1299"/>
      <c r="L134" s="1299"/>
      <c r="M134" s="1299">
        <f>M133*F134</f>
        <v>0</v>
      </c>
    </row>
    <row r="135" spans="1:14">
      <c r="A135" s="730"/>
      <c r="B135" s="618"/>
      <c r="C135" s="261" t="s">
        <v>70</v>
      </c>
      <c r="D135" s="618"/>
      <c r="E135" s="738"/>
      <c r="F135" s="740"/>
      <c r="G135" s="1299"/>
      <c r="H135" s="1299"/>
      <c r="I135" s="1299"/>
      <c r="J135" s="1299"/>
      <c r="K135" s="1299"/>
      <c r="L135" s="1299"/>
      <c r="M135" s="1299">
        <f>M133+M134</f>
        <v>0</v>
      </c>
    </row>
    <row r="136" spans="1:14">
      <c r="A136" s="730"/>
      <c r="B136" s="618"/>
      <c r="C136" s="578" t="s">
        <v>66</v>
      </c>
      <c r="D136" s="618"/>
      <c r="E136" s="738"/>
      <c r="F136" s="289"/>
      <c r="G136" s="1299"/>
      <c r="H136" s="1299"/>
      <c r="I136" s="1299"/>
      <c r="J136" s="1299"/>
      <c r="K136" s="1299"/>
      <c r="L136" s="1299"/>
      <c r="M136" s="1299">
        <f>M135*F136</f>
        <v>0</v>
      </c>
    </row>
    <row r="137" spans="1:14" s="1097" customFormat="1">
      <c r="A137" s="988"/>
      <c r="B137" s="996"/>
      <c r="C137" s="984" t="s">
        <v>1081</v>
      </c>
      <c r="D137" s="996"/>
      <c r="E137" s="997"/>
      <c r="F137" s="998"/>
      <c r="G137" s="1357"/>
      <c r="H137" s="1358"/>
      <c r="I137" s="1358"/>
      <c r="J137" s="1358"/>
      <c r="K137" s="1358"/>
      <c r="L137" s="1358"/>
      <c r="M137" s="1340">
        <f>M135+M136</f>
        <v>0</v>
      </c>
    </row>
    <row r="138" spans="1:14">
      <c r="A138" s="258"/>
      <c r="B138" s="228"/>
      <c r="C138" s="176"/>
      <c r="D138" s="736"/>
      <c r="E138" s="99"/>
      <c r="F138" s="49"/>
      <c r="G138" s="1332"/>
      <c r="H138" s="1342"/>
      <c r="I138" s="1304"/>
      <c r="J138" s="1342"/>
      <c r="K138" s="1304"/>
      <c r="L138" s="1342"/>
      <c r="M138" s="1342"/>
    </row>
    <row r="139" spans="1:14" ht="17.25" customHeight="1">
      <c r="A139" s="948" t="s">
        <v>1065</v>
      </c>
      <c r="B139" s="921"/>
      <c r="C139" s="939" t="s">
        <v>721</v>
      </c>
      <c r="D139" s="921"/>
      <c r="E139" s="922"/>
      <c r="F139" s="922"/>
      <c r="G139" s="1296"/>
      <c r="H139" s="1297"/>
      <c r="I139" s="1296"/>
      <c r="J139" s="1297"/>
      <c r="K139" s="1296"/>
      <c r="L139" s="1297"/>
      <c r="M139" s="1297"/>
    </row>
    <row r="140" spans="1:14" ht="31.5">
      <c r="A140" s="897"/>
      <c r="B140" s="898"/>
      <c r="C140" s="910" t="s">
        <v>938</v>
      </c>
      <c r="D140" s="899"/>
      <c r="E140" s="786"/>
      <c r="F140" s="787"/>
      <c r="G140" s="1299"/>
      <c r="H140" s="1299"/>
      <c r="I140" s="1303"/>
      <c r="J140" s="1299"/>
      <c r="K140" s="1303"/>
      <c r="L140" s="1299"/>
      <c r="M140" s="1284"/>
    </row>
    <row r="141" spans="1:14" s="363" customFormat="1">
      <c r="A141" s="833"/>
      <c r="B141" s="360"/>
      <c r="C141" s="834" t="s">
        <v>804</v>
      </c>
      <c r="D141" s="835" t="s">
        <v>1</v>
      </c>
      <c r="E141" s="563"/>
      <c r="F141" s="129">
        <v>20</v>
      </c>
      <c r="G141" s="1359"/>
      <c r="H141" s="1299"/>
      <c r="I141" s="1360"/>
      <c r="J141" s="1303"/>
      <c r="K141" s="1361"/>
      <c r="L141" s="1303"/>
      <c r="M141" s="1299"/>
      <c r="N141" s="362"/>
    </row>
    <row r="142" spans="1:14" s="363" customFormat="1" ht="31.5">
      <c r="A142" s="1188" t="s">
        <v>334</v>
      </c>
      <c r="B142" s="836" t="s">
        <v>261</v>
      </c>
      <c r="C142" s="247" t="s">
        <v>423</v>
      </c>
      <c r="D142" s="836" t="s">
        <v>805</v>
      </c>
      <c r="E142" s="120"/>
      <c r="F142" s="287">
        <f>F141*0.65*0.8</f>
        <v>10.4</v>
      </c>
      <c r="G142" s="1362"/>
      <c r="H142" s="1301"/>
      <c r="I142" s="1362"/>
      <c r="J142" s="1301"/>
      <c r="K142" s="1362"/>
      <c r="L142" s="1301"/>
      <c r="M142" s="1299"/>
      <c r="N142" s="362"/>
    </row>
    <row r="143" spans="1:14" s="363" customFormat="1">
      <c r="A143" s="1188"/>
      <c r="B143" s="837"/>
      <c r="C143" s="194" t="s">
        <v>325</v>
      </c>
      <c r="D143" s="837" t="s">
        <v>29</v>
      </c>
      <c r="E143" s="120">
        <v>2.06</v>
      </c>
      <c r="F143" s="239">
        <f>F142*E143</f>
        <v>21.424000000000003</v>
      </c>
      <c r="G143" s="1301"/>
      <c r="H143" s="1301"/>
      <c r="I143" s="1302"/>
      <c r="J143" s="1301">
        <f>F143*I143</f>
        <v>0</v>
      </c>
      <c r="K143" s="1301"/>
      <c r="L143" s="1301"/>
      <c r="M143" s="1299">
        <f>H143+J143+L143</f>
        <v>0</v>
      </c>
      <c r="N143" s="362"/>
    </row>
    <row r="144" spans="1:14" s="363" customFormat="1" ht="31.5">
      <c r="A144" s="1189" t="s">
        <v>335</v>
      </c>
      <c r="B144" s="838" t="s">
        <v>418</v>
      </c>
      <c r="C144" s="166" t="s">
        <v>419</v>
      </c>
      <c r="D144" s="839" t="s">
        <v>262</v>
      </c>
      <c r="E144" s="617"/>
      <c r="F144" s="265">
        <f>F142*1.95</f>
        <v>20.28</v>
      </c>
      <c r="G144" s="1303"/>
      <c r="H144" s="1299"/>
      <c r="I144" s="1303"/>
      <c r="J144" s="1299"/>
      <c r="K144" s="1303"/>
      <c r="L144" s="1299"/>
      <c r="M144" s="1299"/>
      <c r="N144" s="362"/>
    </row>
    <row r="145" spans="1:14" s="363" customFormat="1">
      <c r="A145" s="1189"/>
      <c r="B145" s="579"/>
      <c r="C145" s="167" t="s">
        <v>33</v>
      </c>
      <c r="D145" s="92" t="s">
        <v>29</v>
      </c>
      <c r="E145" s="364">
        <v>0.53</v>
      </c>
      <c r="F145" s="240">
        <f>F144*E145</f>
        <v>10.748400000000002</v>
      </c>
      <c r="G145" s="1303"/>
      <c r="H145" s="1299"/>
      <c r="I145" s="1310"/>
      <c r="J145" s="1299">
        <f>F145*I145</f>
        <v>0</v>
      </c>
      <c r="K145" s="1303"/>
      <c r="L145" s="1299"/>
      <c r="M145" s="1299">
        <f>H145+J145+L145</f>
        <v>0</v>
      </c>
      <c r="N145" s="362"/>
    </row>
    <row r="146" spans="1:14" s="363" customFormat="1" ht="31.5">
      <c r="A146" s="813" t="s">
        <v>103</v>
      </c>
      <c r="B146" s="579" t="s">
        <v>321</v>
      </c>
      <c r="C146" s="816" t="s">
        <v>581</v>
      </c>
      <c r="D146" s="333" t="s">
        <v>7</v>
      </c>
      <c r="E146" s="265"/>
      <c r="F146" s="265">
        <f>F144</f>
        <v>20.28</v>
      </c>
      <c r="G146" s="1303"/>
      <c r="H146" s="1299"/>
      <c r="I146" s="1303"/>
      <c r="J146" s="1299"/>
      <c r="K146" s="1302"/>
      <c r="L146" s="1299">
        <f>F146*K146</f>
        <v>0</v>
      </c>
      <c r="M146" s="1299">
        <f>H146+J146+L146</f>
        <v>0</v>
      </c>
      <c r="N146" s="362"/>
    </row>
    <row r="147" spans="1:14" s="363" customFormat="1">
      <c r="A147" s="1190" t="s">
        <v>336</v>
      </c>
      <c r="B147" s="87" t="s">
        <v>263</v>
      </c>
      <c r="C147" s="247" t="s">
        <v>424</v>
      </c>
      <c r="D147" s="836" t="s">
        <v>4</v>
      </c>
      <c r="E147" s="287"/>
      <c r="F147" s="287">
        <f>F141*0.8*0.1</f>
        <v>1.6</v>
      </c>
      <c r="G147" s="1362"/>
      <c r="H147" s="1301"/>
      <c r="I147" s="1362"/>
      <c r="J147" s="1301"/>
      <c r="K147" s="1362"/>
      <c r="L147" s="1301"/>
      <c r="M147" s="1301"/>
      <c r="N147" s="362"/>
    </row>
    <row r="148" spans="1:14" s="363" customFormat="1">
      <c r="A148" s="1191"/>
      <c r="B148" s="815"/>
      <c r="C148" s="164" t="s">
        <v>27</v>
      </c>
      <c r="D148" s="814" t="s">
        <v>29</v>
      </c>
      <c r="E148" s="54">
        <v>3.52</v>
      </c>
      <c r="F148" s="239">
        <f>F147*E148</f>
        <v>5.6320000000000006</v>
      </c>
      <c r="G148" s="1303"/>
      <c r="H148" s="1303"/>
      <c r="I148" s="1310"/>
      <c r="J148" s="1303">
        <f>F148*I148</f>
        <v>0</v>
      </c>
      <c r="K148" s="1303"/>
      <c r="L148" s="1303"/>
      <c r="M148" s="1303">
        <f>H148+J148+L148</f>
        <v>0</v>
      </c>
      <c r="N148" s="362"/>
    </row>
    <row r="149" spans="1:14" s="363" customFormat="1">
      <c r="A149" s="1191"/>
      <c r="B149" s="815"/>
      <c r="C149" s="164" t="s">
        <v>28</v>
      </c>
      <c r="D149" s="814" t="s">
        <v>24</v>
      </c>
      <c r="E149" s="54">
        <v>1.06</v>
      </c>
      <c r="F149" s="239">
        <f>F147*E149</f>
        <v>1.6960000000000002</v>
      </c>
      <c r="G149" s="1303"/>
      <c r="H149" s="1303"/>
      <c r="I149" s="1303"/>
      <c r="J149" s="1303"/>
      <c r="K149" s="1310"/>
      <c r="L149" s="1303">
        <f>F149*K149</f>
        <v>0</v>
      </c>
      <c r="M149" s="1303">
        <f>H149+J149+L149</f>
        <v>0</v>
      </c>
      <c r="N149" s="362"/>
    </row>
    <row r="150" spans="1:14" s="363" customFormat="1">
      <c r="A150" s="1191"/>
      <c r="B150" s="815"/>
      <c r="C150" s="164" t="s">
        <v>239</v>
      </c>
      <c r="D150" s="814" t="s">
        <v>4</v>
      </c>
      <c r="E150" s="54">
        <f>0.18+0.09+0.97</f>
        <v>1.24</v>
      </c>
      <c r="F150" s="239">
        <f>F147*E150</f>
        <v>1.984</v>
      </c>
      <c r="G150" s="1310"/>
      <c r="H150" s="1303">
        <f>F150*G150</f>
        <v>0</v>
      </c>
      <c r="I150" s="1303"/>
      <c r="J150" s="1303"/>
      <c r="K150" s="1303"/>
      <c r="L150" s="1303"/>
      <c r="M150" s="1303">
        <f>H150+J150+L150</f>
        <v>0</v>
      </c>
      <c r="N150" s="362"/>
    </row>
    <row r="151" spans="1:14" s="363" customFormat="1">
      <c r="A151" s="1192"/>
      <c r="B151" s="815"/>
      <c r="C151" s="164" t="s">
        <v>37</v>
      </c>
      <c r="D151" s="814" t="s">
        <v>24</v>
      </c>
      <c r="E151" s="54">
        <v>0.02</v>
      </c>
      <c r="F151" s="239">
        <f>F147*E151</f>
        <v>3.2000000000000001E-2</v>
      </c>
      <c r="G151" s="1310"/>
      <c r="H151" s="1303">
        <f>F151*G151</f>
        <v>0</v>
      </c>
      <c r="I151" s="1303"/>
      <c r="J151" s="1303"/>
      <c r="K151" s="1303"/>
      <c r="L151" s="1303"/>
      <c r="M151" s="1303">
        <f>H151+J151+L151</f>
        <v>0</v>
      </c>
      <c r="N151" s="362"/>
    </row>
    <row r="152" spans="1:14" s="363" customFormat="1" ht="31.5">
      <c r="A152" s="1163" t="s">
        <v>59</v>
      </c>
      <c r="B152" s="815" t="s">
        <v>322</v>
      </c>
      <c r="C152" s="840" t="s">
        <v>806</v>
      </c>
      <c r="D152" s="192" t="s">
        <v>4</v>
      </c>
      <c r="E152" s="239"/>
      <c r="F152" s="49">
        <f>0.15*(0.4+0.6+0.4)*F141</f>
        <v>4.2</v>
      </c>
      <c r="G152" s="1363"/>
      <c r="H152" s="1303"/>
      <c r="I152" s="1363"/>
      <c r="J152" s="1303"/>
      <c r="K152" s="1363"/>
      <c r="L152" s="1303"/>
      <c r="M152" s="1303"/>
      <c r="N152" s="362"/>
    </row>
    <row r="153" spans="1:14" s="363" customFormat="1">
      <c r="A153" s="1164"/>
      <c r="B153" s="815"/>
      <c r="C153" s="179" t="s">
        <v>79</v>
      </c>
      <c r="D153" s="195" t="s">
        <v>137</v>
      </c>
      <c r="E153" s="89">
        <v>3.78</v>
      </c>
      <c r="F153" s="89">
        <f>E153*F152</f>
        <v>15.875999999999999</v>
      </c>
      <c r="G153" s="1303"/>
      <c r="H153" s="1303"/>
      <c r="I153" s="1310"/>
      <c r="J153" s="1303">
        <f>F153*I153</f>
        <v>0</v>
      </c>
      <c r="K153" s="1303"/>
      <c r="L153" s="1303"/>
      <c r="M153" s="1303">
        <f t="shared" ref="M153:M159" si="7">H153+J153+L153</f>
        <v>0</v>
      </c>
      <c r="N153" s="362"/>
    </row>
    <row r="154" spans="1:14" s="363" customFormat="1">
      <c r="A154" s="1164"/>
      <c r="B154" s="815"/>
      <c r="C154" s="179" t="s">
        <v>28</v>
      </c>
      <c r="D154" s="195" t="s">
        <v>24</v>
      </c>
      <c r="E154" s="89">
        <v>0.92</v>
      </c>
      <c r="F154" s="89">
        <f>E154*F152</f>
        <v>3.8640000000000003</v>
      </c>
      <c r="G154" s="1303"/>
      <c r="H154" s="1303"/>
      <c r="I154" s="1303"/>
      <c r="J154" s="1303"/>
      <c r="K154" s="1310"/>
      <c r="L154" s="1303">
        <f>F154*K154</f>
        <v>0</v>
      </c>
      <c r="M154" s="1303">
        <f t="shared" si="7"/>
        <v>0</v>
      </c>
      <c r="N154" s="362"/>
    </row>
    <row r="155" spans="1:14" s="363" customFormat="1">
      <c r="A155" s="1164"/>
      <c r="B155" s="815"/>
      <c r="C155" s="179" t="s">
        <v>719</v>
      </c>
      <c r="D155" s="195" t="s">
        <v>288</v>
      </c>
      <c r="E155" s="89">
        <v>1.0149999999999999</v>
      </c>
      <c r="F155" s="89">
        <f>E155*F152</f>
        <v>4.2629999999999999</v>
      </c>
      <c r="G155" s="1310"/>
      <c r="H155" s="1303">
        <f>F155*G155</f>
        <v>0</v>
      </c>
      <c r="I155" s="1303"/>
      <c r="J155" s="1303"/>
      <c r="K155" s="1303"/>
      <c r="L155" s="1303"/>
      <c r="M155" s="1303">
        <f t="shared" si="7"/>
        <v>0</v>
      </c>
      <c r="N155" s="362"/>
    </row>
    <row r="156" spans="1:14" s="363" customFormat="1">
      <c r="A156" s="1164"/>
      <c r="B156" s="815"/>
      <c r="C156" s="179" t="s">
        <v>420</v>
      </c>
      <c r="D156" s="195" t="s">
        <v>258</v>
      </c>
      <c r="E156" s="89">
        <v>0.70299999999999996</v>
      </c>
      <c r="F156" s="89">
        <f>E156*F152</f>
        <v>2.9525999999999999</v>
      </c>
      <c r="G156" s="1310"/>
      <c r="H156" s="1303">
        <f>F156*G156</f>
        <v>0</v>
      </c>
      <c r="I156" s="1303"/>
      <c r="J156" s="1303"/>
      <c r="K156" s="1303"/>
      <c r="L156" s="1303"/>
      <c r="M156" s="1303">
        <f t="shared" si="7"/>
        <v>0</v>
      </c>
      <c r="N156" s="362"/>
    </row>
    <row r="157" spans="1:14" s="363" customFormat="1">
      <c r="A157" s="1164"/>
      <c r="B157" s="815"/>
      <c r="C157" s="179" t="s">
        <v>240</v>
      </c>
      <c r="D157" s="195" t="s">
        <v>288</v>
      </c>
      <c r="E157" s="89">
        <v>1.14E-2</v>
      </c>
      <c r="F157" s="89">
        <f>E157*F152</f>
        <v>4.7880000000000006E-2</v>
      </c>
      <c r="G157" s="1310"/>
      <c r="H157" s="1303">
        <f>F157*G157</f>
        <v>0</v>
      </c>
      <c r="I157" s="1303"/>
      <c r="J157" s="1303"/>
      <c r="K157" s="1303"/>
      <c r="L157" s="1303"/>
      <c r="M157" s="1303">
        <f t="shared" si="7"/>
        <v>0</v>
      </c>
      <c r="N157" s="362"/>
    </row>
    <row r="158" spans="1:14" s="363" customFormat="1">
      <c r="A158" s="1164"/>
      <c r="B158" s="815"/>
      <c r="C158" s="179" t="s">
        <v>1082</v>
      </c>
      <c r="D158" s="195" t="s">
        <v>238</v>
      </c>
      <c r="E158" s="118"/>
      <c r="F158" s="89">
        <f>( (5+4+4)*F141+    ((F141/0.15)+1)* (0.6+0.55+0.55)  )* 1.03*0.395/1000</f>
        <v>0.19869197833333335</v>
      </c>
      <c r="G158" s="1310"/>
      <c r="H158" s="1303">
        <f>F158*G158</f>
        <v>0</v>
      </c>
      <c r="I158" s="1303"/>
      <c r="J158" s="1303"/>
      <c r="K158" s="1303"/>
      <c r="L158" s="1303"/>
      <c r="M158" s="1303">
        <f t="shared" si="7"/>
        <v>0</v>
      </c>
      <c r="N158" s="362"/>
    </row>
    <row r="159" spans="1:14" s="363" customFormat="1">
      <c r="A159" s="1165"/>
      <c r="B159" s="815"/>
      <c r="C159" s="179" t="s">
        <v>37</v>
      </c>
      <c r="D159" s="195" t="s">
        <v>24</v>
      </c>
      <c r="E159" s="89">
        <v>0.6</v>
      </c>
      <c r="F159" s="89">
        <f>E159*F152</f>
        <v>2.52</v>
      </c>
      <c r="G159" s="1310"/>
      <c r="H159" s="1303">
        <f>F159*G159</f>
        <v>0</v>
      </c>
      <c r="I159" s="1303"/>
      <c r="J159" s="1303"/>
      <c r="K159" s="1303"/>
      <c r="L159" s="1303"/>
      <c r="M159" s="1303">
        <f t="shared" si="7"/>
        <v>0</v>
      </c>
      <c r="N159" s="362"/>
    </row>
    <row r="160" spans="1:14" s="363" customFormat="1" ht="31.5">
      <c r="A160" s="1143" t="s">
        <v>324</v>
      </c>
      <c r="B160" s="86" t="s">
        <v>241</v>
      </c>
      <c r="C160" s="246" t="s">
        <v>807</v>
      </c>
      <c r="D160" s="618" t="s">
        <v>5</v>
      </c>
      <c r="E160" s="237"/>
      <c r="F160" s="146">
        <f>(0.55+0.55)*F141</f>
        <v>22</v>
      </c>
      <c r="G160" s="1284"/>
      <c r="H160" s="1299"/>
      <c r="I160" s="1284"/>
      <c r="J160" s="1299"/>
      <c r="K160" s="1284"/>
      <c r="L160" s="1284"/>
      <c r="M160" s="1284"/>
      <c r="N160" s="362"/>
    </row>
    <row r="161" spans="1:14" s="363" customFormat="1">
      <c r="A161" s="1144"/>
      <c r="B161" s="86"/>
      <c r="C161" s="172" t="s">
        <v>27</v>
      </c>
      <c r="D161" s="618" t="s">
        <v>29</v>
      </c>
      <c r="E161" s="237">
        <v>0.33600000000000002</v>
      </c>
      <c r="F161" s="45">
        <f>F160*E161</f>
        <v>7.3920000000000003</v>
      </c>
      <c r="G161" s="1299"/>
      <c r="H161" s="1299"/>
      <c r="I161" s="1300"/>
      <c r="J161" s="1299">
        <f>F161*I161</f>
        <v>0</v>
      </c>
      <c r="K161" s="1299"/>
      <c r="L161" s="1299"/>
      <c r="M161" s="1284">
        <f>H161+J161+L161</f>
        <v>0</v>
      </c>
      <c r="N161" s="362"/>
    </row>
    <row r="162" spans="1:14" s="363" customFormat="1">
      <c r="A162" s="1144"/>
      <c r="B162" s="86"/>
      <c r="C162" s="172" t="s">
        <v>36</v>
      </c>
      <c r="D162" s="618" t="s">
        <v>24</v>
      </c>
      <c r="E162" s="237">
        <v>1.4999999999999999E-2</v>
      </c>
      <c r="F162" s="45">
        <f>F160*E162</f>
        <v>0.32999999999999996</v>
      </c>
      <c r="G162" s="1299"/>
      <c r="H162" s="1299"/>
      <c r="I162" s="1299"/>
      <c r="J162" s="1299"/>
      <c r="K162" s="1300"/>
      <c r="L162" s="1299">
        <f>F162*K162</f>
        <v>0</v>
      </c>
      <c r="M162" s="1284">
        <f>H162+J162+L162</f>
        <v>0</v>
      </c>
      <c r="N162" s="362"/>
    </row>
    <row r="163" spans="1:14" s="363" customFormat="1">
      <c r="A163" s="1144"/>
      <c r="B163" s="86"/>
      <c r="C163" s="185" t="s">
        <v>421</v>
      </c>
      <c r="D163" s="861" t="s">
        <v>6</v>
      </c>
      <c r="E163" s="892">
        <v>2.4</v>
      </c>
      <c r="F163" s="239">
        <f>F160*E163</f>
        <v>52.8</v>
      </c>
      <c r="G163" s="1364"/>
      <c r="H163" s="1299">
        <f>F163*G163</f>
        <v>0</v>
      </c>
      <c r="I163" s="1299"/>
      <c r="J163" s="1299"/>
      <c r="K163" s="1299"/>
      <c r="L163" s="1299"/>
      <c r="M163" s="1284">
        <f>H163+J163+L163</f>
        <v>0</v>
      </c>
      <c r="N163" s="362"/>
    </row>
    <row r="164" spans="1:14" s="363" customFormat="1">
      <c r="A164" s="1145"/>
      <c r="B164" s="86"/>
      <c r="C164" s="185" t="s">
        <v>32</v>
      </c>
      <c r="D164" s="861" t="s">
        <v>24</v>
      </c>
      <c r="E164" s="892">
        <v>2.2800000000000001E-2</v>
      </c>
      <c r="F164" s="239">
        <f>F160*E164</f>
        <v>0.50160000000000005</v>
      </c>
      <c r="G164" s="1300"/>
      <c r="H164" s="1299">
        <f>F164*G164</f>
        <v>0</v>
      </c>
      <c r="I164" s="1299"/>
      <c r="J164" s="1299"/>
      <c r="K164" s="1299"/>
      <c r="L164" s="1299"/>
      <c r="M164" s="1284">
        <f>H164+J164+L164</f>
        <v>0</v>
      </c>
      <c r="N164" s="362"/>
    </row>
    <row r="165" spans="1:14">
      <c r="A165" s="886" t="s">
        <v>337</v>
      </c>
      <c r="B165" s="900" t="s">
        <v>45</v>
      </c>
      <c r="C165" s="887" t="s">
        <v>920</v>
      </c>
      <c r="D165" s="308" t="s">
        <v>1</v>
      </c>
      <c r="E165" s="49"/>
      <c r="F165" s="49">
        <f>F141</f>
        <v>20</v>
      </c>
      <c r="G165" s="1310"/>
      <c r="H165" s="1299">
        <f>F165*G165</f>
        <v>0</v>
      </c>
      <c r="I165" s="1310"/>
      <c r="J165" s="1299">
        <f>F165*I165</f>
        <v>0</v>
      </c>
      <c r="K165" s="1299"/>
      <c r="L165" s="1299"/>
      <c r="M165" s="1284">
        <f>H165+J165+L165</f>
        <v>0</v>
      </c>
    </row>
    <row r="166" spans="1:14" s="368" customFormat="1" ht="16.5">
      <c r="A166" s="885" t="s">
        <v>60</v>
      </c>
      <c r="B166" s="51"/>
      <c r="C166" s="891" t="s">
        <v>921</v>
      </c>
      <c r="D166" s="889" t="s">
        <v>75</v>
      </c>
      <c r="E166" s="54"/>
      <c r="F166" s="159">
        <v>2</v>
      </c>
      <c r="G166" s="1365"/>
      <c r="H166" s="1299"/>
      <c r="I166" s="1303"/>
      <c r="J166" s="1299"/>
      <c r="K166" s="1303"/>
      <c r="L166" s="1299"/>
      <c r="M166" s="1284"/>
      <c r="N166" s="901"/>
    </row>
    <row r="167" spans="1:14" s="368" customFormat="1" ht="31.5">
      <c r="A167" s="1181" t="s">
        <v>922</v>
      </c>
      <c r="B167" s="229" t="s">
        <v>593</v>
      </c>
      <c r="C167" s="393" t="s">
        <v>295</v>
      </c>
      <c r="D167" s="229" t="s">
        <v>4</v>
      </c>
      <c r="E167" s="158"/>
      <c r="F167" s="49">
        <f>3.14*0.65*0.65*1.2*F166</f>
        <v>3.1839600000000008</v>
      </c>
      <c r="G167" s="1301"/>
      <c r="H167" s="1299"/>
      <c r="I167" s="1301"/>
      <c r="J167" s="1299"/>
      <c r="K167" s="1301"/>
      <c r="L167" s="1299"/>
      <c r="M167" s="1284"/>
      <c r="N167" s="901"/>
    </row>
    <row r="168" spans="1:14" s="368" customFormat="1" ht="16.5">
      <c r="A168" s="1182"/>
      <c r="B168" s="193"/>
      <c r="C168" s="230" t="s">
        <v>27</v>
      </c>
      <c r="D168" s="103" t="s">
        <v>29</v>
      </c>
      <c r="E168" s="250">
        <v>6.15</v>
      </c>
      <c r="F168" s="231">
        <f>E168*F167</f>
        <v>19.581354000000005</v>
      </c>
      <c r="G168" s="1301"/>
      <c r="H168" s="1299"/>
      <c r="I168" s="1302"/>
      <c r="J168" s="1299">
        <f>F168*I168</f>
        <v>0</v>
      </c>
      <c r="K168" s="1301"/>
      <c r="L168" s="1299"/>
      <c r="M168" s="1284">
        <f t="shared" ref="M168:M186" si="8">H168+J168+L168</f>
        <v>0</v>
      </c>
      <c r="N168" s="901"/>
    </row>
    <row r="169" spans="1:14" s="368" customFormat="1" ht="27">
      <c r="A169" s="1181" t="s">
        <v>923</v>
      </c>
      <c r="B169" s="229" t="s">
        <v>297</v>
      </c>
      <c r="C169" s="394" t="s">
        <v>351</v>
      </c>
      <c r="D169" s="229" t="s">
        <v>4</v>
      </c>
      <c r="E169" s="155"/>
      <c r="F169" s="49">
        <f>3.14*0.65*0.65*1*F166</f>
        <v>2.6533000000000007</v>
      </c>
      <c r="G169" s="1366"/>
      <c r="H169" s="1299"/>
      <c r="I169" s="1367"/>
      <c r="J169" s="1299"/>
      <c r="K169" s="1367"/>
      <c r="L169" s="1299"/>
      <c r="M169" s="1284"/>
      <c r="N169" s="901"/>
    </row>
    <row r="170" spans="1:14" s="368" customFormat="1" ht="16.5">
      <c r="A170" s="1183"/>
      <c r="B170" s="193"/>
      <c r="C170" s="230" t="s">
        <v>33</v>
      </c>
      <c r="D170" s="193" t="s">
        <v>29</v>
      </c>
      <c r="E170" s="158">
        <v>14.6</v>
      </c>
      <c r="F170" s="156">
        <f>F169*E170</f>
        <v>38.738180000000007</v>
      </c>
      <c r="G170" s="1348"/>
      <c r="H170" s="1299"/>
      <c r="I170" s="1368"/>
      <c r="J170" s="1299">
        <f>F170*I170</f>
        <v>0</v>
      </c>
      <c r="K170" s="1367"/>
      <c r="L170" s="1299"/>
      <c r="M170" s="1284">
        <f t="shared" si="8"/>
        <v>0</v>
      </c>
      <c r="N170" s="901"/>
    </row>
    <row r="171" spans="1:14" s="368" customFormat="1" ht="16.5">
      <c r="A171" s="1183"/>
      <c r="B171" s="193"/>
      <c r="C171" s="230" t="s">
        <v>28</v>
      </c>
      <c r="D171" s="193" t="s">
        <v>24</v>
      </c>
      <c r="E171" s="158">
        <v>5.5</v>
      </c>
      <c r="F171" s="156">
        <f>F169*E171</f>
        <v>14.593150000000003</v>
      </c>
      <c r="G171" s="1367"/>
      <c r="H171" s="1299"/>
      <c r="I171" s="1367"/>
      <c r="J171" s="1299"/>
      <c r="K171" s="1368"/>
      <c r="L171" s="1299">
        <f>F171*K171</f>
        <v>0</v>
      </c>
      <c r="M171" s="1284">
        <f t="shared" si="8"/>
        <v>0</v>
      </c>
      <c r="N171" s="901"/>
    </row>
    <row r="172" spans="1:14" s="368" customFormat="1" ht="16.5">
      <c r="A172" s="1183"/>
      <c r="B172" s="193"/>
      <c r="C172" s="230" t="s">
        <v>1031</v>
      </c>
      <c r="D172" s="193" t="s">
        <v>118</v>
      </c>
      <c r="E172" s="158">
        <v>1</v>
      </c>
      <c r="F172" s="156">
        <f>F166</f>
        <v>2</v>
      </c>
      <c r="G172" s="1368"/>
      <c r="H172" s="1299">
        <f t="shared" ref="H172:H183" si="9">F172*G172</f>
        <v>0</v>
      </c>
      <c r="I172" s="1367"/>
      <c r="J172" s="1299"/>
      <c r="K172" s="1303"/>
      <c r="L172" s="1299"/>
      <c r="M172" s="1284">
        <f t="shared" si="8"/>
        <v>0</v>
      </c>
      <c r="N172" s="901"/>
    </row>
    <row r="173" spans="1:14" s="368" customFormat="1" ht="16.5">
      <c r="A173" s="1183"/>
      <c r="B173" s="193"/>
      <c r="C173" s="902" t="s">
        <v>924</v>
      </c>
      <c r="D173" s="193" t="s">
        <v>118</v>
      </c>
      <c r="E173" s="158">
        <v>1</v>
      </c>
      <c r="F173" s="156">
        <v>1</v>
      </c>
      <c r="G173" s="1368"/>
      <c r="H173" s="1299">
        <f t="shared" si="9"/>
        <v>0</v>
      </c>
      <c r="I173" s="1367"/>
      <c r="J173" s="1299"/>
      <c r="K173" s="1303"/>
      <c r="L173" s="1299"/>
      <c r="M173" s="1284">
        <f t="shared" si="8"/>
        <v>0</v>
      </c>
      <c r="N173" s="901"/>
    </row>
    <row r="174" spans="1:14" s="368" customFormat="1" ht="31.5">
      <c r="A174" s="1183"/>
      <c r="B174" s="193"/>
      <c r="C174" s="902" t="s">
        <v>1061</v>
      </c>
      <c r="D174" s="193" t="s">
        <v>118</v>
      </c>
      <c r="E174" s="158">
        <v>1</v>
      </c>
      <c r="F174" s="156">
        <v>1</v>
      </c>
      <c r="G174" s="1368"/>
      <c r="H174" s="1299">
        <f t="shared" si="9"/>
        <v>0</v>
      </c>
      <c r="I174" s="1367"/>
      <c r="J174" s="1299"/>
      <c r="K174" s="1303"/>
      <c r="L174" s="1299"/>
      <c r="M174" s="1284">
        <f t="shared" si="8"/>
        <v>0</v>
      </c>
      <c r="N174" s="901"/>
    </row>
    <row r="175" spans="1:14" s="368" customFormat="1" ht="16.5">
      <c r="A175" s="1183"/>
      <c r="B175" s="193"/>
      <c r="C175" s="230" t="s">
        <v>396</v>
      </c>
      <c r="D175" s="193" t="s">
        <v>288</v>
      </c>
      <c r="E175" s="158">
        <f>(4.13+1.24)/10</f>
        <v>0.53700000000000003</v>
      </c>
      <c r="F175" s="231">
        <f>F169*E175</f>
        <v>1.4248221000000005</v>
      </c>
      <c r="G175" s="1368"/>
      <c r="H175" s="1299">
        <f t="shared" si="9"/>
        <v>0</v>
      </c>
      <c r="I175" s="1367"/>
      <c r="J175" s="1299"/>
      <c r="K175" s="1303"/>
      <c r="L175" s="1299"/>
      <c r="M175" s="1284">
        <f t="shared" si="8"/>
        <v>0</v>
      </c>
      <c r="N175" s="901"/>
    </row>
    <row r="176" spans="1:14" s="368" customFormat="1" ht="16.5">
      <c r="A176" s="1183"/>
      <c r="B176" s="193"/>
      <c r="C176" s="230" t="s">
        <v>242</v>
      </c>
      <c r="D176" s="193" t="s">
        <v>7</v>
      </c>
      <c r="E176" s="158">
        <v>7.0000000000000001E-3</v>
      </c>
      <c r="F176" s="231">
        <f>F169*E176</f>
        <v>1.8573100000000006E-2</v>
      </c>
      <c r="G176" s="1368"/>
      <c r="H176" s="1299">
        <f t="shared" si="9"/>
        <v>0</v>
      </c>
      <c r="I176" s="1367"/>
      <c r="J176" s="1299"/>
      <c r="K176" s="1303"/>
      <c r="L176" s="1299"/>
      <c r="M176" s="1284">
        <f t="shared" si="8"/>
        <v>0</v>
      </c>
      <c r="N176" s="901"/>
    </row>
    <row r="177" spans="1:14" s="368" customFormat="1" ht="16.5">
      <c r="A177" s="1183"/>
      <c r="B177" s="193"/>
      <c r="C177" s="164" t="s">
        <v>291</v>
      </c>
      <c r="D177" s="890" t="s">
        <v>6</v>
      </c>
      <c r="E177" s="158">
        <v>7.85</v>
      </c>
      <c r="F177" s="231">
        <f>F169*E177</f>
        <v>20.828405000000004</v>
      </c>
      <c r="G177" s="1368"/>
      <c r="H177" s="1299">
        <f t="shared" si="9"/>
        <v>0</v>
      </c>
      <c r="I177" s="1367"/>
      <c r="J177" s="1299"/>
      <c r="K177" s="1303"/>
      <c r="L177" s="1299"/>
      <c r="M177" s="1284">
        <f t="shared" si="8"/>
        <v>0</v>
      </c>
      <c r="N177" s="901"/>
    </row>
    <row r="178" spans="1:14" s="368" customFormat="1" ht="16.5">
      <c r="A178" s="1182"/>
      <c r="B178" s="193"/>
      <c r="C178" s="230" t="s">
        <v>37</v>
      </c>
      <c r="D178" s="193" t="s">
        <v>24</v>
      </c>
      <c r="E178" s="158">
        <v>6.77</v>
      </c>
      <c r="F178" s="156">
        <f>F169*E178</f>
        <v>17.962841000000004</v>
      </c>
      <c r="G178" s="1368"/>
      <c r="H178" s="1299">
        <f t="shared" si="9"/>
        <v>0</v>
      </c>
      <c r="I178" s="1367"/>
      <c r="J178" s="1299"/>
      <c r="K178" s="1367"/>
      <c r="L178" s="1299"/>
      <c r="M178" s="1284">
        <f t="shared" si="8"/>
        <v>0</v>
      </c>
      <c r="N178" s="901"/>
    </row>
    <row r="179" spans="1:14" s="368" customFormat="1" ht="31.5">
      <c r="A179" s="1184">
        <v>8.3000000000000007</v>
      </c>
      <c r="B179" s="115" t="s">
        <v>241</v>
      </c>
      <c r="C179" s="395" t="s">
        <v>925</v>
      </c>
      <c r="D179" s="903" t="s">
        <v>5</v>
      </c>
      <c r="E179" s="101"/>
      <c r="F179" s="157">
        <f>3.14*1.3*1*F166</f>
        <v>8.1640000000000015</v>
      </c>
      <c r="G179" s="1369"/>
      <c r="H179" s="1299"/>
      <c r="I179" s="1369"/>
      <c r="J179" s="1299"/>
      <c r="K179" s="1369"/>
      <c r="L179" s="1299"/>
      <c r="M179" s="1284"/>
      <c r="N179" s="901"/>
    </row>
    <row r="180" spans="1:14" s="368" customFormat="1" ht="16.5">
      <c r="A180" s="1185"/>
      <c r="B180" s="101"/>
      <c r="C180" s="904" t="s">
        <v>33</v>
      </c>
      <c r="D180" s="101" t="s">
        <v>29</v>
      </c>
      <c r="E180" s="101">
        <v>0.33600000000000002</v>
      </c>
      <c r="F180" s="156">
        <f>F179*E180</f>
        <v>2.7431040000000007</v>
      </c>
      <c r="G180" s="1348"/>
      <c r="H180" s="1299"/>
      <c r="I180" s="1368"/>
      <c r="J180" s="1299">
        <f>F180*I180</f>
        <v>0</v>
      </c>
      <c r="K180" s="1367"/>
      <c r="L180" s="1299"/>
      <c r="M180" s="1284">
        <f t="shared" si="8"/>
        <v>0</v>
      </c>
      <c r="N180" s="901"/>
    </row>
    <row r="181" spans="1:14" s="368" customFormat="1" ht="16.5">
      <c r="A181" s="1185"/>
      <c r="B181" s="101"/>
      <c r="C181" s="904" t="s">
        <v>28</v>
      </c>
      <c r="D181" s="101" t="s">
        <v>24</v>
      </c>
      <c r="E181" s="101">
        <v>1.4999999999999999E-2</v>
      </c>
      <c r="F181" s="156">
        <f>F179*E181</f>
        <v>0.12246000000000001</v>
      </c>
      <c r="G181" s="1367"/>
      <c r="H181" s="1299"/>
      <c r="I181" s="1367"/>
      <c r="J181" s="1299"/>
      <c r="K181" s="1368"/>
      <c r="L181" s="1299">
        <f>F181*K181</f>
        <v>0</v>
      </c>
      <c r="M181" s="1284">
        <f t="shared" si="8"/>
        <v>0</v>
      </c>
      <c r="N181" s="901"/>
    </row>
    <row r="182" spans="1:14" s="368" customFormat="1" ht="16.5">
      <c r="A182" s="1185"/>
      <c r="B182" s="101"/>
      <c r="C182" s="904" t="s">
        <v>242</v>
      </c>
      <c r="D182" s="101" t="s">
        <v>6</v>
      </c>
      <c r="E182" s="101">
        <v>2.4</v>
      </c>
      <c r="F182" s="156">
        <f>F179*E182</f>
        <v>19.593600000000002</v>
      </c>
      <c r="G182" s="1370"/>
      <c r="H182" s="1299">
        <f t="shared" si="9"/>
        <v>0</v>
      </c>
      <c r="I182" s="1367"/>
      <c r="J182" s="1299"/>
      <c r="K182" s="1367"/>
      <c r="L182" s="1299"/>
      <c r="M182" s="1284">
        <f t="shared" si="8"/>
        <v>0</v>
      </c>
      <c r="N182" s="901"/>
    </row>
    <row r="183" spans="1:14" s="368" customFormat="1" ht="16.5">
      <c r="A183" s="1186"/>
      <c r="B183" s="101"/>
      <c r="C183" s="904" t="s">
        <v>37</v>
      </c>
      <c r="D183" s="101" t="s">
        <v>24</v>
      </c>
      <c r="E183" s="101">
        <v>2.2800000000000001E-2</v>
      </c>
      <c r="F183" s="156">
        <f>F179*E183</f>
        <v>0.18613920000000003</v>
      </c>
      <c r="G183" s="1368"/>
      <c r="H183" s="1299">
        <f t="shared" si="9"/>
        <v>0</v>
      </c>
      <c r="I183" s="1367"/>
      <c r="J183" s="1299"/>
      <c r="K183" s="1367"/>
      <c r="L183" s="1299"/>
      <c r="M183" s="1284">
        <f t="shared" si="8"/>
        <v>0</v>
      </c>
      <c r="N183" s="901"/>
    </row>
    <row r="184" spans="1:14" s="368" customFormat="1" ht="31.5">
      <c r="A184" s="1187" t="s">
        <v>926</v>
      </c>
      <c r="B184" s="75"/>
      <c r="C184" s="395" t="s">
        <v>376</v>
      </c>
      <c r="D184" s="87" t="s">
        <v>7</v>
      </c>
      <c r="E184" s="387"/>
      <c r="F184" s="49">
        <f>F167*1.95</f>
        <v>6.2087220000000016</v>
      </c>
      <c r="G184" s="1301"/>
      <c r="H184" s="1299"/>
      <c r="I184" s="1301"/>
      <c r="J184" s="1299"/>
      <c r="K184" s="1301"/>
      <c r="L184" s="1299"/>
      <c r="M184" s="1284"/>
      <c r="N184" s="901"/>
    </row>
    <row r="185" spans="1:14" s="368" customFormat="1" ht="16.5">
      <c r="A185" s="1187"/>
      <c r="B185" s="75"/>
      <c r="C185" s="358" t="s">
        <v>39</v>
      </c>
      <c r="D185" s="104" t="s">
        <v>29</v>
      </c>
      <c r="E185" s="387">
        <v>0.53</v>
      </c>
      <c r="F185" s="116">
        <f>F184*E185</f>
        <v>3.2906226600000008</v>
      </c>
      <c r="G185" s="1301"/>
      <c r="H185" s="1299"/>
      <c r="I185" s="1302"/>
      <c r="J185" s="1299">
        <f>F185*I185</f>
        <v>0</v>
      </c>
      <c r="K185" s="1301"/>
      <c r="L185" s="1299"/>
      <c r="M185" s="1284">
        <f t="shared" si="8"/>
        <v>0</v>
      </c>
      <c r="N185" s="901"/>
    </row>
    <row r="186" spans="1:14" s="368" customFormat="1" ht="16.5">
      <c r="A186" s="1187"/>
      <c r="B186" s="884"/>
      <c r="C186" s="396" t="s">
        <v>927</v>
      </c>
      <c r="D186" s="884" t="s">
        <v>7</v>
      </c>
      <c r="E186" s="387"/>
      <c r="F186" s="49">
        <f>F184</f>
        <v>6.2087220000000016</v>
      </c>
      <c r="G186" s="1301"/>
      <c r="H186" s="1299"/>
      <c r="I186" s="1301"/>
      <c r="J186" s="1299"/>
      <c r="K186" s="1302"/>
      <c r="L186" s="1299">
        <f>F186*K186</f>
        <v>0</v>
      </c>
      <c r="M186" s="1284">
        <f t="shared" si="8"/>
        <v>0</v>
      </c>
      <c r="N186" s="901"/>
    </row>
    <row r="187" spans="1:14" s="368" customFormat="1" ht="40.5">
      <c r="A187" s="1130" t="s">
        <v>74</v>
      </c>
      <c r="B187" s="1024" t="s">
        <v>1028</v>
      </c>
      <c r="C187" s="912" t="s">
        <v>714</v>
      </c>
      <c r="D187" s="1025" t="s">
        <v>1</v>
      </c>
      <c r="E187" s="99"/>
      <c r="F187" s="49">
        <v>24</v>
      </c>
      <c r="G187" s="1304"/>
      <c r="H187" s="1299"/>
      <c r="I187" s="1304"/>
      <c r="J187" s="1299"/>
      <c r="K187" s="1304"/>
      <c r="L187" s="1299"/>
      <c r="M187" s="1299"/>
      <c r="N187" s="901"/>
    </row>
    <row r="188" spans="1:14" s="368" customFormat="1" ht="16.5">
      <c r="A188" s="1131"/>
      <c r="B188" s="1024"/>
      <c r="C188" s="164" t="s">
        <v>147</v>
      </c>
      <c r="D188" s="1024" t="s">
        <v>148</v>
      </c>
      <c r="E188" s="54">
        <f>135*0.01</f>
        <v>1.35</v>
      </c>
      <c r="F188" s="239">
        <f>F187*E188</f>
        <v>32.400000000000006</v>
      </c>
      <c r="G188" s="1303"/>
      <c r="H188" s="1299"/>
      <c r="I188" s="1310"/>
      <c r="J188" s="1299">
        <f>F188*I188</f>
        <v>0</v>
      </c>
      <c r="K188" s="1303"/>
      <c r="L188" s="1299"/>
      <c r="M188" s="1299">
        <f t="shared" ref="M188:M193" si="10">H188+J188+L188</f>
        <v>0</v>
      </c>
      <c r="N188" s="901"/>
    </row>
    <row r="189" spans="1:14" s="368" customFormat="1" ht="16.5">
      <c r="A189" s="1131"/>
      <c r="B189" s="1024"/>
      <c r="C189" s="164" t="s">
        <v>162</v>
      </c>
      <c r="D189" s="1024" t="s">
        <v>149</v>
      </c>
      <c r="E189" s="54">
        <f>3.14*0.01</f>
        <v>3.1400000000000004E-2</v>
      </c>
      <c r="F189" s="239">
        <f>F187*E189</f>
        <v>0.75360000000000005</v>
      </c>
      <c r="G189" s="1303"/>
      <c r="H189" s="1299"/>
      <c r="I189" s="1303"/>
      <c r="J189" s="1299"/>
      <c r="K189" s="1310"/>
      <c r="L189" s="1299">
        <f>F189*K189</f>
        <v>0</v>
      </c>
      <c r="M189" s="1299">
        <f t="shared" si="10"/>
        <v>0</v>
      </c>
      <c r="N189" s="901"/>
    </row>
    <row r="190" spans="1:14" s="368" customFormat="1" ht="16.5">
      <c r="A190" s="1131"/>
      <c r="B190" s="1024"/>
      <c r="C190" s="164" t="s">
        <v>1029</v>
      </c>
      <c r="D190" s="1024" t="s">
        <v>1</v>
      </c>
      <c r="E190" s="54">
        <v>1</v>
      </c>
      <c r="F190" s="239">
        <v>5</v>
      </c>
      <c r="G190" s="1310"/>
      <c r="H190" s="1299">
        <f>F190*G190</f>
        <v>0</v>
      </c>
      <c r="I190" s="1303"/>
      <c r="J190" s="1299"/>
      <c r="K190" s="1303"/>
      <c r="L190" s="1299"/>
      <c r="M190" s="1299">
        <f t="shared" si="10"/>
        <v>0</v>
      </c>
      <c r="N190" s="901"/>
    </row>
    <row r="191" spans="1:14" s="368" customFormat="1" ht="18">
      <c r="A191" s="1131"/>
      <c r="B191" s="1024"/>
      <c r="C191" s="169" t="s">
        <v>583</v>
      </c>
      <c r="D191" s="1024" t="s">
        <v>118</v>
      </c>
      <c r="E191" s="54"/>
      <c r="F191" s="239">
        <v>4</v>
      </c>
      <c r="G191" s="1310"/>
      <c r="H191" s="1299">
        <f>F191*G191</f>
        <v>0</v>
      </c>
      <c r="I191" s="1303"/>
      <c r="J191" s="1299"/>
      <c r="K191" s="1303"/>
      <c r="L191" s="1299"/>
      <c r="M191" s="1299">
        <f t="shared" ref="M191" si="11">H191+J191+L191</f>
        <v>0</v>
      </c>
      <c r="N191" s="901"/>
    </row>
    <row r="192" spans="1:14" s="368" customFormat="1" ht="16.5">
      <c r="A192" s="1131"/>
      <c r="B192" s="1024"/>
      <c r="C192" s="164" t="s">
        <v>175</v>
      </c>
      <c r="D192" s="1024" t="s">
        <v>25</v>
      </c>
      <c r="E192" s="54">
        <f>(16+5+4+4+4+18+5+3)/100</f>
        <v>0.59</v>
      </c>
      <c r="F192" s="239">
        <f>F187*E192</f>
        <v>14.16</v>
      </c>
      <c r="G192" s="1310"/>
      <c r="H192" s="1299">
        <f>F192*G192</f>
        <v>0</v>
      </c>
      <c r="I192" s="1303"/>
      <c r="J192" s="1299"/>
      <c r="K192" s="1303"/>
      <c r="L192" s="1299"/>
      <c r="M192" s="1299">
        <f t="shared" si="10"/>
        <v>0</v>
      </c>
      <c r="N192" s="901"/>
    </row>
    <row r="193" spans="1:15" s="368" customFormat="1" ht="16.5">
      <c r="A193" s="1132"/>
      <c r="B193" s="1024"/>
      <c r="C193" s="164" t="s">
        <v>150</v>
      </c>
      <c r="D193" s="1024" t="s">
        <v>149</v>
      </c>
      <c r="E193" s="54">
        <f>6.52*0.01</f>
        <v>6.5199999999999994E-2</v>
      </c>
      <c r="F193" s="239">
        <f>F187*E193</f>
        <v>1.5648</v>
      </c>
      <c r="G193" s="1310"/>
      <c r="H193" s="1299">
        <f>F193*G193</f>
        <v>0</v>
      </c>
      <c r="I193" s="1303"/>
      <c r="J193" s="1299"/>
      <c r="K193" s="1303"/>
      <c r="L193" s="1299"/>
      <c r="M193" s="1299">
        <f t="shared" si="10"/>
        <v>0</v>
      </c>
      <c r="N193" s="901"/>
    </row>
    <row r="194" spans="1:15" s="368" customFormat="1" ht="16.5">
      <c r="A194" s="1178" t="s">
        <v>338</v>
      </c>
      <c r="B194" s="347" t="s">
        <v>315</v>
      </c>
      <c r="C194" s="246" t="s">
        <v>937</v>
      </c>
      <c r="D194" s="618" t="s">
        <v>2</v>
      </c>
      <c r="E194" s="892"/>
      <c r="F194" s="249">
        <f>SUM(F197:F197)</f>
        <v>1</v>
      </c>
      <c r="G194" s="1303"/>
      <c r="H194" s="1299"/>
      <c r="I194" s="1299"/>
      <c r="J194" s="1299"/>
      <c r="K194" s="1299"/>
      <c r="L194" s="1299"/>
      <c r="M194" s="1299"/>
      <c r="N194" s="901"/>
    </row>
    <row r="195" spans="1:15" s="368" customFormat="1" ht="16.5">
      <c r="A195" s="1179"/>
      <c r="B195" s="347"/>
      <c r="C195" s="182" t="s">
        <v>27</v>
      </c>
      <c r="D195" s="90" t="s">
        <v>29</v>
      </c>
      <c r="E195" s="202">
        <v>25.9</v>
      </c>
      <c r="F195" s="196">
        <f>E195*F194</f>
        <v>25.9</v>
      </c>
      <c r="G195" s="1303"/>
      <c r="H195" s="1299"/>
      <c r="I195" s="1300"/>
      <c r="J195" s="1299">
        <f>F195*I195</f>
        <v>0</v>
      </c>
      <c r="K195" s="1299"/>
      <c r="L195" s="1299"/>
      <c r="M195" s="1299">
        <f>H195+J195+L195</f>
        <v>0</v>
      </c>
      <c r="N195" s="901"/>
    </row>
    <row r="196" spans="1:15" s="368" customFormat="1" ht="16.5">
      <c r="A196" s="1179"/>
      <c r="B196" s="347"/>
      <c r="C196" s="172" t="s">
        <v>28</v>
      </c>
      <c r="D196" s="618" t="s">
        <v>24</v>
      </c>
      <c r="E196" s="892">
        <v>1.66</v>
      </c>
      <c r="F196" s="239">
        <f>F194*E196</f>
        <v>1.66</v>
      </c>
      <c r="G196" s="1303"/>
      <c r="H196" s="1299"/>
      <c r="I196" s="1299"/>
      <c r="J196" s="1299"/>
      <c r="K196" s="1300"/>
      <c r="L196" s="1299">
        <f>F196*K196</f>
        <v>0</v>
      </c>
      <c r="M196" s="1299">
        <f>H196+J196+L196</f>
        <v>0</v>
      </c>
      <c r="N196" s="901"/>
    </row>
    <row r="197" spans="1:15" s="368" customFormat="1" ht="31.5">
      <c r="A197" s="1179"/>
      <c r="B197" s="347"/>
      <c r="C197" s="182" t="s">
        <v>1030</v>
      </c>
      <c r="D197" s="618" t="s">
        <v>75</v>
      </c>
      <c r="E197" s="892"/>
      <c r="F197" s="239">
        <v>1</v>
      </c>
      <c r="G197" s="1310"/>
      <c r="H197" s="1299">
        <f>F197*G197</f>
        <v>0</v>
      </c>
      <c r="I197" s="1299"/>
      <c r="J197" s="1299"/>
      <c r="K197" s="1299"/>
      <c r="L197" s="1299"/>
      <c r="M197" s="1299">
        <f>H197+J197+L197</f>
        <v>0</v>
      </c>
      <c r="N197" s="901"/>
      <c r="O197" s="909"/>
    </row>
    <row r="198" spans="1:15" s="368" customFormat="1" ht="16.5">
      <c r="A198" s="1180"/>
      <c r="B198" s="347"/>
      <c r="C198" s="172" t="s">
        <v>37</v>
      </c>
      <c r="D198" s="618" t="s">
        <v>24</v>
      </c>
      <c r="E198" s="892">
        <v>2.99</v>
      </c>
      <c r="F198" s="239">
        <f>F194*E198</f>
        <v>2.99</v>
      </c>
      <c r="G198" s="1310"/>
      <c r="H198" s="1299">
        <f>F198*G198</f>
        <v>0</v>
      </c>
      <c r="I198" s="1299"/>
      <c r="J198" s="1299"/>
      <c r="K198" s="1299"/>
      <c r="L198" s="1299"/>
      <c r="M198" s="1299">
        <f>H198+J198+L198</f>
        <v>0</v>
      </c>
      <c r="N198" s="901"/>
    </row>
    <row r="199" spans="1:15" s="368" customFormat="1" ht="31.5">
      <c r="A199" s="1175" t="s">
        <v>339</v>
      </c>
      <c r="B199" s="905" t="s">
        <v>289</v>
      </c>
      <c r="C199" s="906" t="s">
        <v>928</v>
      </c>
      <c r="D199" s="905" t="s">
        <v>290</v>
      </c>
      <c r="E199" s="907"/>
      <c r="F199" s="49">
        <v>1</v>
      </c>
      <c r="G199" s="1371"/>
      <c r="H199" s="1303"/>
      <c r="I199" s="1371"/>
      <c r="J199" s="1303"/>
      <c r="K199" s="1371"/>
      <c r="L199" s="1303"/>
      <c r="M199" s="1303"/>
      <c r="N199" s="901"/>
    </row>
    <row r="200" spans="1:15" s="368" customFormat="1" ht="16.5">
      <c r="A200" s="1176"/>
      <c r="B200" s="908"/>
      <c r="C200" s="177" t="s">
        <v>214</v>
      </c>
      <c r="D200" s="890" t="s">
        <v>29</v>
      </c>
      <c r="E200" s="54">
        <v>17</v>
      </c>
      <c r="F200" s="239">
        <f>F199*E200</f>
        <v>17</v>
      </c>
      <c r="G200" s="1303"/>
      <c r="H200" s="1303"/>
      <c r="I200" s="1310"/>
      <c r="J200" s="1303">
        <f>F200*I200</f>
        <v>0</v>
      </c>
      <c r="K200" s="1303"/>
      <c r="L200" s="1303"/>
      <c r="M200" s="1303">
        <f>H200+J200+L200</f>
        <v>0</v>
      </c>
      <c r="N200" s="901"/>
    </row>
    <row r="201" spans="1:15" s="368" customFormat="1" ht="16.5">
      <c r="A201" s="1176"/>
      <c r="B201" s="890"/>
      <c r="C201" s="177" t="s">
        <v>929</v>
      </c>
      <c r="D201" s="890" t="s">
        <v>4</v>
      </c>
      <c r="E201" s="54">
        <v>0.05</v>
      </c>
      <c r="F201" s="239">
        <f>E201*F199</f>
        <v>0.05</v>
      </c>
      <c r="G201" s="1302"/>
      <c r="H201" s="1303">
        <f>F201*G201</f>
        <v>0</v>
      </c>
      <c r="I201" s="1301"/>
      <c r="J201" s="1303"/>
      <c r="K201" s="1301"/>
      <c r="L201" s="1303"/>
      <c r="M201" s="1303">
        <f>H201+J201+L201</f>
        <v>0</v>
      </c>
      <c r="N201" s="901"/>
    </row>
    <row r="202" spans="1:15" s="368" customFormat="1" ht="16.5">
      <c r="A202" s="1176"/>
      <c r="B202" s="890"/>
      <c r="C202" s="177" t="s">
        <v>296</v>
      </c>
      <c r="D202" s="890" t="s">
        <v>4</v>
      </c>
      <c r="E202" s="54">
        <v>0.2</v>
      </c>
      <c r="F202" s="239">
        <f>E202*F200</f>
        <v>3.4000000000000004</v>
      </c>
      <c r="G202" s="1302"/>
      <c r="H202" s="1303">
        <f>F202*G202</f>
        <v>0</v>
      </c>
      <c r="I202" s="1301"/>
      <c r="J202" s="1303"/>
      <c r="K202" s="1301"/>
      <c r="L202" s="1303"/>
      <c r="M202" s="1303">
        <f>H202+J202+L202</f>
        <v>0</v>
      </c>
      <c r="N202" s="901"/>
    </row>
    <row r="203" spans="1:15" s="368" customFormat="1" ht="16.5">
      <c r="A203" s="1176"/>
      <c r="B203" s="908"/>
      <c r="C203" s="177" t="s">
        <v>291</v>
      </c>
      <c r="D203" s="890" t="s">
        <v>6</v>
      </c>
      <c r="E203" s="54">
        <v>7.8</v>
      </c>
      <c r="F203" s="239">
        <f>E203*F199</f>
        <v>7.8</v>
      </c>
      <c r="G203" s="1310"/>
      <c r="H203" s="1303">
        <f>F203*G203</f>
        <v>0</v>
      </c>
      <c r="I203" s="1303"/>
      <c r="J203" s="1303"/>
      <c r="K203" s="1301"/>
      <c r="L203" s="1303"/>
      <c r="M203" s="1303">
        <f>H203+J203+L203</f>
        <v>0</v>
      </c>
      <c r="N203" s="901"/>
    </row>
    <row r="204" spans="1:15" s="368" customFormat="1" ht="16.5">
      <c r="A204" s="1177"/>
      <c r="B204" s="908"/>
      <c r="C204" s="177" t="s">
        <v>32</v>
      </c>
      <c r="D204" s="890" t="s">
        <v>24</v>
      </c>
      <c r="E204" s="54">
        <v>1.08</v>
      </c>
      <c r="F204" s="239">
        <f>E204*F199</f>
        <v>1.08</v>
      </c>
      <c r="G204" s="1310"/>
      <c r="H204" s="1303">
        <f>F204*G204</f>
        <v>0</v>
      </c>
      <c r="I204" s="1303"/>
      <c r="J204" s="1303"/>
      <c r="K204" s="1301"/>
      <c r="L204" s="1303"/>
      <c r="M204" s="1303">
        <f>H204+J204+L204</f>
        <v>0</v>
      </c>
      <c r="N204" s="901"/>
    </row>
    <row r="205" spans="1:15">
      <c r="A205" s="734"/>
      <c r="B205" s="53"/>
      <c r="C205" s="182"/>
      <c r="D205" s="105"/>
      <c r="E205" s="202"/>
      <c r="F205" s="119"/>
      <c r="G205" s="1299"/>
      <c r="H205" s="1299"/>
      <c r="I205" s="1303"/>
      <c r="J205" s="1299"/>
      <c r="K205" s="1303"/>
      <c r="L205" s="1299"/>
      <c r="M205" s="1284"/>
    </row>
    <row r="206" spans="1:15">
      <c r="A206" s="999"/>
      <c r="B206" s="989"/>
      <c r="C206" s="984" t="s">
        <v>1066</v>
      </c>
      <c r="D206" s="989"/>
      <c r="E206" s="992"/>
      <c r="F206" s="986"/>
      <c r="G206" s="1340"/>
      <c r="H206" s="1340">
        <f>SUM(H140:H205)</f>
        <v>0</v>
      </c>
      <c r="I206" s="1340"/>
      <c r="J206" s="1340">
        <f>SUM(J140:J205)</f>
        <v>0</v>
      </c>
      <c r="K206" s="1340"/>
      <c r="L206" s="1340">
        <f>SUM(L140:L205)</f>
        <v>0</v>
      </c>
      <c r="M206" s="1340">
        <f>SUM(M140:M205)</f>
        <v>0</v>
      </c>
      <c r="N206" s="602"/>
    </row>
    <row r="207" spans="1:15" ht="31.5">
      <c r="A207" s="731"/>
      <c r="B207" s="263"/>
      <c r="C207" s="390" t="s">
        <v>456</v>
      </c>
      <c r="D207" s="263"/>
      <c r="E207" s="268"/>
      <c r="F207" s="1110"/>
      <c r="G207" s="1314"/>
      <c r="H207" s="1314"/>
      <c r="I207" s="1314"/>
      <c r="J207" s="1314"/>
      <c r="K207" s="1314"/>
      <c r="L207" s="1314"/>
      <c r="M207" s="1315">
        <f>H206*F207</f>
        <v>0</v>
      </c>
      <c r="N207" s="602"/>
    </row>
    <row r="208" spans="1:15">
      <c r="A208" s="731"/>
      <c r="B208" s="263"/>
      <c r="C208" s="261" t="s">
        <v>70</v>
      </c>
      <c r="D208" s="263"/>
      <c r="E208" s="268"/>
      <c r="F208" s="269"/>
      <c r="G208" s="1314"/>
      <c r="H208" s="1314"/>
      <c r="I208" s="1314"/>
      <c r="J208" s="1314"/>
      <c r="K208" s="1314"/>
      <c r="L208" s="1314"/>
      <c r="M208" s="1315">
        <f>M206+M207</f>
        <v>0</v>
      </c>
      <c r="N208" s="602"/>
    </row>
    <row r="209" spans="1:15">
      <c r="A209" s="730"/>
      <c r="B209" s="618"/>
      <c r="C209" s="578" t="s">
        <v>73</v>
      </c>
      <c r="D209" s="618"/>
      <c r="E209" s="738"/>
      <c r="F209" s="289"/>
      <c r="G209" s="1299"/>
      <c r="H209" s="1299"/>
      <c r="I209" s="1299"/>
      <c r="J209" s="1299"/>
      <c r="K209" s="1299"/>
      <c r="L209" s="1299"/>
      <c r="M209" s="1299">
        <f>M208*F209</f>
        <v>0</v>
      </c>
    </row>
    <row r="210" spans="1:15">
      <c r="A210" s="730"/>
      <c r="B210" s="618"/>
      <c r="C210" s="261" t="s">
        <v>70</v>
      </c>
      <c r="D210" s="618"/>
      <c r="E210" s="738"/>
      <c r="F210" s="740"/>
      <c r="G210" s="1299"/>
      <c r="H210" s="1299"/>
      <c r="I210" s="1299"/>
      <c r="J210" s="1299"/>
      <c r="K210" s="1299"/>
      <c r="L210" s="1299"/>
      <c r="M210" s="1299">
        <f>M208+M209</f>
        <v>0</v>
      </c>
    </row>
    <row r="211" spans="1:15">
      <c r="A211" s="730"/>
      <c r="B211" s="618"/>
      <c r="C211" s="578" t="s">
        <v>66</v>
      </c>
      <c r="D211" s="618"/>
      <c r="E211" s="738"/>
      <c r="F211" s="289"/>
      <c r="G211" s="1299"/>
      <c r="H211" s="1299"/>
      <c r="I211" s="1299"/>
      <c r="J211" s="1299"/>
      <c r="K211" s="1299"/>
      <c r="L211" s="1299"/>
      <c r="M211" s="1299">
        <f>M210*F211</f>
        <v>0</v>
      </c>
    </row>
    <row r="212" spans="1:15" s="1074" customFormat="1" ht="16.5" thickBot="1">
      <c r="A212" s="988"/>
      <c r="B212" s="989"/>
      <c r="C212" s="984" t="s">
        <v>1067</v>
      </c>
      <c r="D212" s="989"/>
      <c r="E212" s="990"/>
      <c r="F212" s="990"/>
      <c r="G212" s="1340"/>
      <c r="H212" s="1340"/>
      <c r="I212" s="1340"/>
      <c r="J212" s="1340"/>
      <c r="K212" s="1340"/>
      <c r="L212" s="1340"/>
      <c r="M212" s="1372">
        <f>M211+M210</f>
        <v>0</v>
      </c>
      <c r="O212" s="1075"/>
    </row>
    <row r="213" spans="1:15" ht="32.25" customHeight="1" thickBot="1">
      <c r="A213" s="958"/>
      <c r="B213" s="957"/>
      <c r="C213" s="976" t="s">
        <v>1018</v>
      </c>
      <c r="D213" s="957"/>
      <c r="E213" s="959"/>
      <c r="F213" s="959"/>
      <c r="G213" s="1324"/>
      <c r="H213" s="1324"/>
      <c r="I213" s="1324"/>
      <c r="J213" s="1324"/>
      <c r="K213" s="1324"/>
      <c r="L213" s="1324"/>
      <c r="M213" s="1325">
        <f>M137+M212</f>
        <v>0</v>
      </c>
    </row>
    <row r="214" spans="1:15">
      <c r="A214" s="349"/>
      <c r="B214" s="349"/>
      <c r="C214" s="191"/>
      <c r="D214" s="109"/>
      <c r="E214" s="598"/>
      <c r="F214" s="599"/>
      <c r="G214" s="600"/>
      <c r="H214" s="601"/>
      <c r="I214" s="601"/>
      <c r="J214" s="601"/>
      <c r="K214" s="601"/>
      <c r="L214" s="601"/>
      <c r="M214" s="601"/>
    </row>
  </sheetData>
  <sheetProtection algorithmName="SHA-512" hashValue="Pau4tWGciGFmfwAWgGYDvZi4g62tqV4NzH2uBRCi9aCld62ze5F4jfa2oXnBKrYc8Wud5ltBS0To5uAT7oAiVw==" saltValue="WaxUXrcus7CRxiopVW9liw==" spinCount="100000" sheet="1" objects="1" scenarios="1"/>
  <mergeCells count="45">
    <mergeCell ref="A2:M2"/>
    <mergeCell ref="A4:M4"/>
    <mergeCell ref="A6:A7"/>
    <mergeCell ref="B6:B7"/>
    <mergeCell ref="C6:C7"/>
    <mergeCell ref="D6:D7"/>
    <mergeCell ref="G6:H6"/>
    <mergeCell ref="I6:J6"/>
    <mergeCell ref="K6:L6"/>
    <mergeCell ref="M6:M7"/>
    <mergeCell ref="A5:D5"/>
    <mergeCell ref="H5:K5"/>
    <mergeCell ref="A13:A17"/>
    <mergeCell ref="A18:A22"/>
    <mergeCell ref="E6:F6"/>
    <mergeCell ref="A23:A25"/>
    <mergeCell ref="A26:A30"/>
    <mergeCell ref="A31:A34"/>
    <mergeCell ref="A37:A42"/>
    <mergeCell ref="A43:A48"/>
    <mergeCell ref="A49:A54"/>
    <mergeCell ref="A55:A61"/>
    <mergeCell ref="A62:A74"/>
    <mergeCell ref="A75:A77"/>
    <mergeCell ref="A78:A83"/>
    <mergeCell ref="A84:A87"/>
    <mergeCell ref="A88:A91"/>
    <mergeCell ref="A93:A98"/>
    <mergeCell ref="A99:A104"/>
    <mergeCell ref="A105:A109"/>
    <mergeCell ref="A110:A120"/>
    <mergeCell ref="A121:A123"/>
    <mergeCell ref="A124:A129"/>
    <mergeCell ref="A142:A143"/>
    <mergeCell ref="A144:A145"/>
    <mergeCell ref="A147:A151"/>
    <mergeCell ref="A152:A159"/>
    <mergeCell ref="A199:A204"/>
    <mergeCell ref="A194:A198"/>
    <mergeCell ref="A160:A164"/>
    <mergeCell ref="A167:A168"/>
    <mergeCell ref="A169:A178"/>
    <mergeCell ref="A179:A183"/>
    <mergeCell ref="A184:A186"/>
    <mergeCell ref="A187:A193"/>
  </mergeCells>
  <conditionalFormatting sqref="C141:D141">
    <cfRule type="cellIs" dxfId="1" priority="2" stopIfTrue="1" operator="equal">
      <formula>8223.307275</formula>
    </cfRule>
  </conditionalFormatting>
  <conditionalFormatting sqref="C152:D152">
    <cfRule type="cellIs" dxfId="0" priority="1" stopIfTrue="1" operator="equal">
      <formula>8223.307275</formula>
    </cfRule>
  </conditionalFormatting>
  <pageMargins left="0.59055118110236204" right="0.15748031496063" top="0.62992125984252001" bottom="0.39370078740157499" header="0.43307086614173201" footer="0.23622047244094499"/>
  <pageSetup paperSize="9" scale="80" orientation="landscape" r:id="rId1"/>
  <headerFooter>
    <oddHeader>&amp;R&amp;P--&amp;N]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M266"/>
  <sheetViews>
    <sheetView tabSelected="1" view="pageBreakPreview" zoomScale="90" zoomScaleNormal="80" zoomScaleSheetLayoutView="90" workbookViewId="0">
      <selection activeCell="G6" sqref="G6:M242"/>
    </sheetView>
  </sheetViews>
  <sheetFormatPr defaultColWidth="9.125" defaultRowHeight="15.75"/>
  <cols>
    <col min="1" max="1" width="6.75" style="349" customWidth="1"/>
    <col min="2" max="2" width="11.625" style="349" customWidth="1"/>
    <col min="3" max="3" width="51.75" style="191" customWidth="1"/>
    <col min="4" max="4" width="10.625" style="109" customWidth="1"/>
    <col min="5" max="5" width="11.625" style="598" customWidth="1"/>
    <col min="6" max="6" width="12.75" style="599" customWidth="1"/>
    <col min="7" max="7" width="11.25" style="600" customWidth="1"/>
    <col min="8" max="8" width="11" style="601" customWidth="1"/>
    <col min="9" max="9" width="8.25" style="601" customWidth="1"/>
    <col min="10" max="10" width="10.875" style="601" customWidth="1"/>
    <col min="11" max="11" width="7.875" style="601" customWidth="1"/>
    <col min="12" max="12" width="10" style="601" customWidth="1"/>
    <col min="13" max="13" width="14.25" style="601" customWidth="1"/>
    <col min="14" max="16384" width="9.125" style="97"/>
  </cols>
  <sheetData>
    <row r="1" spans="1:13">
      <c r="A1" s="292"/>
      <c r="B1" s="292"/>
      <c r="D1" s="191"/>
      <c r="E1" s="599"/>
    </row>
    <row r="2" spans="1:13" ht="15.75" customHeight="1">
      <c r="A2" s="1149" t="s">
        <v>1046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</row>
    <row r="3" spans="1:13">
      <c r="A3" s="256"/>
      <c r="B3" s="256"/>
      <c r="C3" s="575"/>
      <c r="D3" s="575"/>
      <c r="E3" s="242"/>
      <c r="F3" s="242"/>
      <c r="G3" s="245"/>
      <c r="H3" s="572"/>
      <c r="I3" s="572"/>
      <c r="J3" s="572"/>
      <c r="K3" s="572"/>
      <c r="L3" s="572"/>
      <c r="M3" s="572"/>
    </row>
    <row r="4" spans="1:13" ht="27.75" customHeight="1">
      <c r="A4" s="1150" t="s">
        <v>356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</row>
    <row r="5" spans="1:13" ht="27.75" customHeight="1">
      <c r="A5" s="1155" t="str">
        <f>krebsiti!A4</f>
        <v>Sedgenilia 2021 wlis IV kvartlis doneze</v>
      </c>
      <c r="B5" s="1156"/>
      <c r="C5" s="1156"/>
      <c r="D5" s="1156"/>
      <c r="E5" s="1029"/>
      <c r="F5" s="1030"/>
      <c r="G5" s="1031"/>
      <c r="H5" s="1157" t="s">
        <v>1033</v>
      </c>
      <c r="I5" s="1157"/>
      <c r="J5" s="1157"/>
      <c r="K5" s="1157"/>
      <c r="L5" s="1032" t="s">
        <v>24</v>
      </c>
      <c r="M5" s="1032">
        <f>M241</f>
        <v>0</v>
      </c>
    </row>
    <row r="6" spans="1:13" ht="43.9" customHeight="1">
      <c r="A6" s="1158" t="s">
        <v>0</v>
      </c>
      <c r="B6" s="1160" t="s">
        <v>397</v>
      </c>
      <c r="C6" s="1160" t="s">
        <v>398</v>
      </c>
      <c r="D6" s="1160" t="s">
        <v>399</v>
      </c>
      <c r="E6" s="1153" t="s">
        <v>235</v>
      </c>
      <c r="F6" s="1154"/>
      <c r="G6" s="1289" t="s">
        <v>232</v>
      </c>
      <c r="H6" s="1290"/>
      <c r="I6" s="1289" t="s">
        <v>400</v>
      </c>
      <c r="J6" s="1290"/>
      <c r="K6" s="1289" t="s">
        <v>31</v>
      </c>
      <c r="L6" s="1290"/>
      <c r="M6" s="1291" t="s">
        <v>331</v>
      </c>
    </row>
    <row r="7" spans="1:13" ht="40.9" customHeight="1">
      <c r="A7" s="1159"/>
      <c r="B7" s="1161"/>
      <c r="C7" s="1161"/>
      <c r="D7" s="1161"/>
      <c r="E7" s="577" t="s">
        <v>236</v>
      </c>
      <c r="F7" s="577" t="s">
        <v>20</v>
      </c>
      <c r="G7" s="1284" t="s">
        <v>401</v>
      </c>
      <c r="H7" s="1284" t="s">
        <v>20</v>
      </c>
      <c r="I7" s="1284" t="s">
        <v>401</v>
      </c>
      <c r="J7" s="1284" t="s">
        <v>20</v>
      </c>
      <c r="K7" s="1284" t="s">
        <v>401</v>
      </c>
      <c r="L7" s="1284" t="s">
        <v>20</v>
      </c>
      <c r="M7" s="1292"/>
    </row>
    <row r="8" spans="1:13">
      <c r="A8" s="574">
        <v>1</v>
      </c>
      <c r="B8" s="238">
        <v>2</v>
      </c>
      <c r="C8" s="576">
        <v>3</v>
      </c>
      <c r="D8" s="576">
        <v>4</v>
      </c>
      <c r="E8" s="577">
        <v>5</v>
      </c>
      <c r="F8" s="577">
        <v>6</v>
      </c>
      <c r="G8" s="1294">
        <v>7</v>
      </c>
      <c r="H8" s="1294">
        <v>8</v>
      </c>
      <c r="I8" s="1294">
        <v>9</v>
      </c>
      <c r="J8" s="1294">
        <v>10</v>
      </c>
      <c r="K8" s="1294">
        <v>11</v>
      </c>
      <c r="L8" s="1294">
        <v>12</v>
      </c>
      <c r="M8" s="1294">
        <v>13</v>
      </c>
    </row>
    <row r="9" spans="1:13" s="1099" customFormat="1" ht="31.5">
      <c r="A9" s="284" t="s">
        <v>402</v>
      </c>
      <c r="B9" s="341"/>
      <c r="C9" s="283" t="s">
        <v>356</v>
      </c>
      <c r="D9" s="284"/>
      <c r="E9" s="285"/>
      <c r="F9" s="286"/>
      <c r="G9" s="1373"/>
      <c r="H9" s="1327"/>
      <c r="I9" s="1327"/>
      <c r="J9" s="1327"/>
      <c r="K9" s="1327"/>
      <c r="L9" s="1327"/>
      <c r="M9" s="1327"/>
    </row>
    <row r="10" spans="1:13" s="50" customFormat="1" ht="16.5">
      <c r="A10" s="923" t="s">
        <v>417</v>
      </c>
      <c r="B10" s="947"/>
      <c r="C10" s="923" t="s">
        <v>941</v>
      </c>
      <c r="D10" s="921"/>
      <c r="E10" s="922"/>
      <c r="F10" s="922"/>
      <c r="G10" s="1296"/>
      <c r="H10" s="1297"/>
      <c r="I10" s="1296"/>
      <c r="J10" s="1297"/>
      <c r="K10" s="1296"/>
      <c r="L10" s="1297"/>
      <c r="M10" s="1297"/>
    </row>
    <row r="11" spans="1:13" s="1107" customFormat="1">
      <c r="A11" s="609" t="s">
        <v>80</v>
      </c>
      <c r="B11" s="741"/>
      <c r="C11" s="610" t="s">
        <v>640</v>
      </c>
      <c r="D11" s="742"/>
      <c r="E11" s="743"/>
      <c r="F11" s="744"/>
      <c r="G11" s="1374"/>
      <c r="H11" s="1298"/>
      <c r="I11" s="1298"/>
      <c r="J11" s="1298"/>
      <c r="K11" s="1298"/>
      <c r="L11" s="1298"/>
      <c r="M11" s="1298"/>
    </row>
    <row r="12" spans="1:13">
      <c r="A12" s="1130" t="s">
        <v>334</v>
      </c>
      <c r="B12" s="342" t="s">
        <v>170</v>
      </c>
      <c r="C12" s="334" t="s">
        <v>151</v>
      </c>
      <c r="D12" s="215" t="s">
        <v>152</v>
      </c>
      <c r="E12" s="605"/>
      <c r="F12" s="49">
        <f>F15*1+F16*0.8+F17*0.6</f>
        <v>16.600000000000001</v>
      </c>
      <c r="G12" s="1303"/>
      <c r="H12" s="1299"/>
      <c r="I12" s="1299"/>
      <c r="J12" s="1299"/>
      <c r="K12" s="1299"/>
      <c r="L12" s="1299"/>
      <c r="M12" s="1299"/>
    </row>
    <row r="13" spans="1:13">
      <c r="A13" s="1131"/>
      <c r="B13" s="342"/>
      <c r="C13" s="335" t="s">
        <v>147</v>
      </c>
      <c r="D13" s="108" t="s">
        <v>148</v>
      </c>
      <c r="E13" s="54">
        <f>44.6*0.01</f>
        <v>0.44600000000000001</v>
      </c>
      <c r="F13" s="239">
        <f>E13*F12</f>
        <v>7.4036000000000008</v>
      </c>
      <c r="G13" s="1303"/>
      <c r="H13" s="1299"/>
      <c r="I13" s="1300"/>
      <c r="J13" s="1299">
        <f>F13*I13</f>
        <v>0</v>
      </c>
      <c r="K13" s="1299"/>
      <c r="L13" s="1299"/>
      <c r="M13" s="1299">
        <f t="shared" ref="M13:M56" si="0">H13+J13+L13</f>
        <v>0</v>
      </c>
    </row>
    <row r="14" spans="1:13" ht="18" customHeight="1">
      <c r="A14" s="1131"/>
      <c r="B14" s="342"/>
      <c r="C14" s="335" t="s">
        <v>425</v>
      </c>
      <c r="D14" s="108" t="s">
        <v>149</v>
      </c>
      <c r="E14" s="54">
        <f>6.33*0.01</f>
        <v>6.3299999999999995E-2</v>
      </c>
      <c r="F14" s="239">
        <f>E14*F12</f>
        <v>1.05078</v>
      </c>
      <c r="G14" s="1303"/>
      <c r="H14" s="1299"/>
      <c r="I14" s="1299"/>
      <c r="J14" s="1299"/>
      <c r="K14" s="1300"/>
      <c r="L14" s="1299">
        <f>F14*K14</f>
        <v>0</v>
      </c>
      <c r="M14" s="1299">
        <f t="shared" si="0"/>
        <v>0</v>
      </c>
    </row>
    <row r="15" spans="1:13" ht="18.75" customHeight="1">
      <c r="A15" s="1131"/>
      <c r="B15" s="342"/>
      <c r="C15" s="226" t="s">
        <v>641</v>
      </c>
      <c r="D15" s="108" t="s">
        <v>25</v>
      </c>
      <c r="E15" s="54"/>
      <c r="F15" s="239">
        <v>14</v>
      </c>
      <c r="G15" s="1310"/>
      <c r="H15" s="1299">
        <f>F15*G15</f>
        <v>0</v>
      </c>
      <c r="I15" s="1299"/>
      <c r="J15" s="1299"/>
      <c r="K15" s="1299"/>
      <c r="L15" s="1299"/>
      <c r="M15" s="1299">
        <f t="shared" si="0"/>
        <v>0</v>
      </c>
    </row>
    <row r="16" spans="1:13" ht="18" customHeight="1">
      <c r="A16" s="1131"/>
      <c r="B16" s="342"/>
      <c r="C16" s="226" t="s">
        <v>642</v>
      </c>
      <c r="D16" s="108" t="s">
        <v>25</v>
      </c>
      <c r="E16" s="54"/>
      <c r="F16" s="239">
        <v>1</v>
      </c>
      <c r="G16" s="1310"/>
      <c r="H16" s="1299">
        <f>F16*G16</f>
        <v>0</v>
      </c>
      <c r="I16" s="1299"/>
      <c r="J16" s="1299"/>
      <c r="K16" s="1299"/>
      <c r="L16" s="1299"/>
      <c r="M16" s="1299">
        <f t="shared" si="0"/>
        <v>0</v>
      </c>
    </row>
    <row r="17" spans="1:13">
      <c r="A17" s="1131"/>
      <c r="B17" s="342"/>
      <c r="C17" s="226" t="s">
        <v>643</v>
      </c>
      <c r="D17" s="108" t="s">
        <v>25</v>
      </c>
      <c r="E17" s="54"/>
      <c r="F17" s="239">
        <v>3</v>
      </c>
      <c r="G17" s="1310"/>
      <c r="H17" s="1299">
        <f>F17*G17</f>
        <v>0</v>
      </c>
      <c r="I17" s="1299"/>
      <c r="J17" s="1299"/>
      <c r="K17" s="1299"/>
      <c r="L17" s="1299"/>
      <c r="M17" s="1299">
        <f t="shared" si="0"/>
        <v>0</v>
      </c>
    </row>
    <row r="18" spans="1:13">
      <c r="A18" s="1132"/>
      <c r="B18" s="342"/>
      <c r="C18" s="335" t="s">
        <v>150</v>
      </c>
      <c r="D18" s="108" t="s">
        <v>149</v>
      </c>
      <c r="E18" s="54">
        <f>0.28*0.01</f>
        <v>2.8000000000000004E-3</v>
      </c>
      <c r="F18" s="239">
        <f>E18*F12</f>
        <v>4.6480000000000007E-2</v>
      </c>
      <c r="G18" s="1310"/>
      <c r="H18" s="1299">
        <f>F18*G18</f>
        <v>0</v>
      </c>
      <c r="I18" s="1299"/>
      <c r="J18" s="1299"/>
      <c r="K18" s="1299"/>
      <c r="L18" s="1299"/>
      <c r="M18" s="1299">
        <f t="shared" si="0"/>
        <v>0</v>
      </c>
    </row>
    <row r="19" spans="1:13" ht="22.5" customHeight="1">
      <c r="A19" s="1178" t="s">
        <v>335</v>
      </c>
      <c r="B19" s="340" t="s">
        <v>158</v>
      </c>
      <c r="C19" s="336" t="s">
        <v>159</v>
      </c>
      <c r="D19" s="618" t="s">
        <v>2</v>
      </c>
      <c r="E19" s="589"/>
      <c r="F19" s="49">
        <f>F22+F23+F24</f>
        <v>38</v>
      </c>
      <c r="G19" s="1303"/>
      <c r="H19" s="1299"/>
      <c r="I19" s="1299"/>
      <c r="J19" s="1299"/>
      <c r="K19" s="1299"/>
      <c r="L19" s="1299"/>
      <c r="M19" s="1299"/>
    </row>
    <row r="20" spans="1:13">
      <c r="A20" s="1179"/>
      <c r="B20" s="340"/>
      <c r="C20" s="296" t="s">
        <v>161</v>
      </c>
      <c r="D20" s="216" t="s">
        <v>148</v>
      </c>
      <c r="E20" s="729">
        <v>1.51</v>
      </c>
      <c r="F20" s="239">
        <f>F19*E20</f>
        <v>57.38</v>
      </c>
      <c r="G20" s="1303"/>
      <c r="H20" s="1299"/>
      <c r="I20" s="1300"/>
      <c r="J20" s="1299">
        <f>F20*I20</f>
        <v>0</v>
      </c>
      <c r="K20" s="1299"/>
      <c r="L20" s="1299"/>
      <c r="M20" s="1299">
        <f t="shared" ref="M20:M25" si="1">H20+J20+L20</f>
        <v>0</v>
      </c>
    </row>
    <row r="21" spans="1:13" ht="18.75" customHeight="1">
      <c r="A21" s="1179"/>
      <c r="B21" s="340"/>
      <c r="C21" s="296" t="s">
        <v>162</v>
      </c>
      <c r="D21" s="216" t="s">
        <v>149</v>
      </c>
      <c r="E21" s="729">
        <v>0.13</v>
      </c>
      <c r="F21" s="239">
        <f>F19*E21</f>
        <v>4.9400000000000004</v>
      </c>
      <c r="G21" s="1303"/>
      <c r="H21" s="1299"/>
      <c r="I21" s="1299"/>
      <c r="J21" s="1299"/>
      <c r="K21" s="1300"/>
      <c r="L21" s="1299">
        <f>F21*K21</f>
        <v>0</v>
      </c>
      <c r="M21" s="1299">
        <f t="shared" si="1"/>
        <v>0</v>
      </c>
    </row>
    <row r="22" spans="1:13">
      <c r="A22" s="1179"/>
      <c r="B22" s="343"/>
      <c r="C22" s="169" t="s">
        <v>886</v>
      </c>
      <c r="D22" s="618" t="s">
        <v>2</v>
      </c>
      <c r="E22" s="729">
        <v>1</v>
      </c>
      <c r="F22" s="239">
        <v>18</v>
      </c>
      <c r="G22" s="1310"/>
      <c r="H22" s="1299">
        <f>F22*G22</f>
        <v>0</v>
      </c>
      <c r="I22" s="1299"/>
      <c r="J22" s="1299"/>
      <c r="K22" s="1299"/>
      <c r="L22" s="1299"/>
      <c r="M22" s="1299">
        <f t="shared" si="1"/>
        <v>0</v>
      </c>
    </row>
    <row r="23" spans="1:13" ht="18" customHeight="1">
      <c r="A23" s="1179"/>
      <c r="B23" s="343"/>
      <c r="C23" s="169" t="s">
        <v>887</v>
      </c>
      <c r="D23" s="618" t="s">
        <v>2</v>
      </c>
      <c r="E23" s="729">
        <v>1</v>
      </c>
      <c r="F23" s="239">
        <v>18</v>
      </c>
      <c r="G23" s="1310"/>
      <c r="H23" s="1299">
        <f>F23*G23</f>
        <v>0</v>
      </c>
      <c r="I23" s="1299"/>
      <c r="J23" s="1299"/>
      <c r="K23" s="1299"/>
      <c r="L23" s="1299"/>
      <c r="M23" s="1299">
        <f t="shared" si="1"/>
        <v>0</v>
      </c>
    </row>
    <row r="24" spans="1:13" ht="18" customHeight="1">
      <c r="A24" s="1179"/>
      <c r="B24" s="343"/>
      <c r="C24" s="169" t="s">
        <v>888</v>
      </c>
      <c r="D24" s="618" t="s">
        <v>2</v>
      </c>
      <c r="E24" s="864">
        <v>1</v>
      </c>
      <c r="F24" s="239">
        <v>2</v>
      </c>
      <c r="G24" s="1310"/>
      <c r="H24" s="1299">
        <f>F24*G24</f>
        <v>0</v>
      </c>
      <c r="I24" s="1299"/>
      <c r="J24" s="1299"/>
      <c r="K24" s="1299"/>
      <c r="L24" s="1299"/>
      <c r="M24" s="1299">
        <f>H24+J24+L24</f>
        <v>0</v>
      </c>
    </row>
    <row r="25" spans="1:13" ht="18.75" customHeight="1">
      <c r="A25" s="1180"/>
      <c r="B25" s="340"/>
      <c r="C25" s="296" t="s">
        <v>150</v>
      </c>
      <c r="D25" s="216" t="s">
        <v>149</v>
      </c>
      <c r="E25" s="729">
        <v>7.0000000000000007E-2</v>
      </c>
      <c r="F25" s="239">
        <f>F19*E25</f>
        <v>2.66</v>
      </c>
      <c r="G25" s="1310"/>
      <c r="H25" s="1299">
        <f>F25*G25</f>
        <v>0</v>
      </c>
      <c r="I25" s="1299"/>
      <c r="J25" s="1299"/>
      <c r="K25" s="1299"/>
      <c r="L25" s="1299"/>
      <c r="M25" s="1299">
        <f t="shared" si="1"/>
        <v>0</v>
      </c>
    </row>
    <row r="26" spans="1:13" ht="31.5">
      <c r="A26" s="1178" t="s">
        <v>103</v>
      </c>
      <c r="B26" s="340" t="s">
        <v>154</v>
      </c>
      <c r="C26" s="168" t="s">
        <v>880</v>
      </c>
      <c r="D26" s="618" t="s">
        <v>1</v>
      </c>
      <c r="E26" s="589"/>
      <c r="F26" s="49">
        <v>10.8</v>
      </c>
      <c r="G26" s="1303"/>
      <c r="H26" s="1299"/>
      <c r="I26" s="1299"/>
      <c r="J26" s="1299"/>
      <c r="K26" s="1299"/>
      <c r="L26" s="1299"/>
      <c r="M26" s="1299"/>
    </row>
    <row r="27" spans="1:13" ht="18" customHeight="1">
      <c r="A27" s="1179"/>
      <c r="B27" s="340"/>
      <c r="C27" s="296" t="s">
        <v>161</v>
      </c>
      <c r="D27" s="618" t="s">
        <v>148</v>
      </c>
      <c r="E27" s="729">
        <v>0.97</v>
      </c>
      <c r="F27" s="239">
        <f>F26*E27</f>
        <v>10.476000000000001</v>
      </c>
      <c r="G27" s="1303"/>
      <c r="H27" s="1299"/>
      <c r="I27" s="1300"/>
      <c r="J27" s="1299">
        <f>F27*I27</f>
        <v>0</v>
      </c>
      <c r="K27" s="1299"/>
      <c r="L27" s="1299"/>
      <c r="M27" s="1299">
        <f t="shared" si="0"/>
        <v>0</v>
      </c>
    </row>
    <row r="28" spans="1:13" ht="18" customHeight="1">
      <c r="A28" s="1179"/>
      <c r="B28" s="340"/>
      <c r="C28" s="296" t="s">
        <v>162</v>
      </c>
      <c r="D28" s="618" t="s">
        <v>149</v>
      </c>
      <c r="E28" s="729">
        <v>1.4E-2</v>
      </c>
      <c r="F28" s="239">
        <f>F26*E28</f>
        <v>0.1512</v>
      </c>
      <c r="G28" s="1303"/>
      <c r="H28" s="1299"/>
      <c r="I28" s="1299"/>
      <c r="J28" s="1299"/>
      <c r="K28" s="1300"/>
      <c r="L28" s="1299">
        <f>F28*K28</f>
        <v>0</v>
      </c>
      <c r="M28" s="1299">
        <f t="shared" si="0"/>
        <v>0</v>
      </c>
    </row>
    <row r="29" spans="1:13" ht="16.5" customHeight="1">
      <c r="A29" s="1179"/>
      <c r="B29" s="340"/>
      <c r="C29" s="169" t="s">
        <v>881</v>
      </c>
      <c r="D29" s="618" t="s">
        <v>155</v>
      </c>
      <c r="E29" s="729">
        <v>1</v>
      </c>
      <c r="F29" s="239">
        <f>F26*E29</f>
        <v>10.8</v>
      </c>
      <c r="G29" s="1310"/>
      <c r="H29" s="1299">
        <f>F29*G29</f>
        <v>0</v>
      </c>
      <c r="I29" s="1299"/>
      <c r="J29" s="1299"/>
      <c r="K29" s="1299"/>
      <c r="L29" s="1299"/>
      <c r="M29" s="1299">
        <f t="shared" si="0"/>
        <v>0</v>
      </c>
    </row>
    <row r="30" spans="1:13">
      <c r="A30" s="1180"/>
      <c r="B30" s="340"/>
      <c r="C30" s="296" t="s">
        <v>150</v>
      </c>
      <c r="D30" s="618" t="s">
        <v>149</v>
      </c>
      <c r="E30" s="729">
        <v>4.5699999999999998E-2</v>
      </c>
      <c r="F30" s="239">
        <f>F26*E30</f>
        <v>0.49356</v>
      </c>
      <c r="G30" s="1310"/>
      <c r="H30" s="1299">
        <f>F30*G30</f>
        <v>0</v>
      </c>
      <c r="I30" s="1299"/>
      <c r="J30" s="1299"/>
      <c r="K30" s="1299"/>
      <c r="L30" s="1299"/>
      <c r="M30" s="1299">
        <f t="shared" si="0"/>
        <v>0</v>
      </c>
    </row>
    <row r="31" spans="1:13" ht="31.5">
      <c r="A31" s="1178" t="s">
        <v>336</v>
      </c>
      <c r="B31" s="340" t="s">
        <v>156</v>
      </c>
      <c r="C31" s="168" t="s">
        <v>883</v>
      </c>
      <c r="D31" s="618" t="s">
        <v>1</v>
      </c>
      <c r="E31" s="589"/>
      <c r="F31" s="49">
        <v>50</v>
      </c>
      <c r="G31" s="1303"/>
      <c r="H31" s="1299"/>
      <c r="I31" s="1299"/>
      <c r="J31" s="1299"/>
      <c r="K31" s="1299"/>
      <c r="L31" s="1299"/>
      <c r="M31" s="1299"/>
    </row>
    <row r="32" spans="1:13">
      <c r="A32" s="1179"/>
      <c r="B32" s="340"/>
      <c r="C32" s="296" t="s">
        <v>161</v>
      </c>
      <c r="D32" s="216" t="s">
        <v>148</v>
      </c>
      <c r="E32" s="729">
        <v>1.17</v>
      </c>
      <c r="F32" s="239">
        <f>F31*E32</f>
        <v>58.5</v>
      </c>
      <c r="G32" s="1303"/>
      <c r="H32" s="1299"/>
      <c r="I32" s="1300"/>
      <c r="J32" s="1299">
        <f>F32*I32</f>
        <v>0</v>
      </c>
      <c r="K32" s="1299"/>
      <c r="L32" s="1299"/>
      <c r="M32" s="1299">
        <f t="shared" si="0"/>
        <v>0</v>
      </c>
    </row>
    <row r="33" spans="1:13">
      <c r="A33" s="1179"/>
      <c r="B33" s="340"/>
      <c r="C33" s="296" t="s">
        <v>162</v>
      </c>
      <c r="D33" s="216" t="s">
        <v>149</v>
      </c>
      <c r="E33" s="729">
        <v>1.72E-2</v>
      </c>
      <c r="F33" s="239">
        <f>F31*E33</f>
        <v>0.86</v>
      </c>
      <c r="G33" s="1303"/>
      <c r="H33" s="1299"/>
      <c r="I33" s="1299"/>
      <c r="J33" s="1299"/>
      <c r="K33" s="1300"/>
      <c r="L33" s="1299">
        <f>F33*K33</f>
        <v>0</v>
      </c>
      <c r="M33" s="1299">
        <f t="shared" si="0"/>
        <v>0</v>
      </c>
    </row>
    <row r="34" spans="1:13">
      <c r="A34" s="1179"/>
      <c r="B34" s="340"/>
      <c r="C34" s="169" t="s">
        <v>882</v>
      </c>
      <c r="D34" s="216" t="s">
        <v>155</v>
      </c>
      <c r="E34" s="729">
        <v>1</v>
      </c>
      <c r="F34" s="239">
        <f>F31*E34</f>
        <v>50</v>
      </c>
      <c r="G34" s="1310"/>
      <c r="H34" s="1299">
        <f>F34*G34</f>
        <v>0</v>
      </c>
      <c r="I34" s="1299"/>
      <c r="J34" s="1299"/>
      <c r="K34" s="1299"/>
      <c r="L34" s="1299"/>
      <c r="M34" s="1299">
        <f t="shared" si="0"/>
        <v>0</v>
      </c>
    </row>
    <row r="35" spans="1:13">
      <c r="A35" s="1180"/>
      <c r="B35" s="340"/>
      <c r="C35" s="296" t="s">
        <v>150</v>
      </c>
      <c r="D35" s="216" t="s">
        <v>149</v>
      </c>
      <c r="E35" s="729">
        <v>3.9300000000000002E-2</v>
      </c>
      <c r="F35" s="239">
        <f>F31*E35</f>
        <v>1.9650000000000001</v>
      </c>
      <c r="G35" s="1310"/>
      <c r="H35" s="1299">
        <f>F35*G35</f>
        <v>0</v>
      </c>
      <c r="I35" s="1299"/>
      <c r="J35" s="1299"/>
      <c r="K35" s="1299"/>
      <c r="L35" s="1299"/>
      <c r="M35" s="1299">
        <f t="shared" si="0"/>
        <v>0</v>
      </c>
    </row>
    <row r="36" spans="1:13" ht="31.5">
      <c r="A36" s="1214" t="s">
        <v>59</v>
      </c>
      <c r="B36" s="340" t="s">
        <v>157</v>
      </c>
      <c r="C36" s="168" t="s">
        <v>885</v>
      </c>
      <c r="D36" s="618" t="s">
        <v>1</v>
      </c>
      <c r="E36" s="589"/>
      <c r="F36" s="49">
        <v>120</v>
      </c>
      <c r="G36" s="1303"/>
      <c r="H36" s="1299"/>
      <c r="I36" s="1299"/>
      <c r="J36" s="1299"/>
      <c r="K36" s="1299"/>
      <c r="L36" s="1299"/>
      <c r="M36" s="1299"/>
    </row>
    <row r="37" spans="1:13">
      <c r="A37" s="1215"/>
      <c r="B37" s="340"/>
      <c r="C37" s="296" t="s">
        <v>161</v>
      </c>
      <c r="D37" s="216" t="s">
        <v>148</v>
      </c>
      <c r="E37" s="729">
        <v>1.56</v>
      </c>
      <c r="F37" s="239">
        <f>F36*E37</f>
        <v>187.20000000000002</v>
      </c>
      <c r="G37" s="1303"/>
      <c r="H37" s="1299"/>
      <c r="I37" s="1300"/>
      <c r="J37" s="1299">
        <f>F37*I37</f>
        <v>0</v>
      </c>
      <c r="K37" s="1299"/>
      <c r="L37" s="1299"/>
      <c r="M37" s="1299">
        <f t="shared" si="0"/>
        <v>0</v>
      </c>
    </row>
    <row r="38" spans="1:13">
      <c r="A38" s="1215"/>
      <c r="B38" s="340"/>
      <c r="C38" s="296" t="s">
        <v>162</v>
      </c>
      <c r="D38" s="216" t="s">
        <v>149</v>
      </c>
      <c r="E38" s="729">
        <v>2.1700000000000001E-2</v>
      </c>
      <c r="F38" s="239">
        <f>F36*E38</f>
        <v>2.6040000000000001</v>
      </c>
      <c r="G38" s="1303"/>
      <c r="H38" s="1299"/>
      <c r="I38" s="1299"/>
      <c r="J38" s="1299"/>
      <c r="K38" s="1300"/>
      <c r="L38" s="1299">
        <f>F38*K38</f>
        <v>0</v>
      </c>
      <c r="M38" s="1299">
        <f t="shared" si="0"/>
        <v>0</v>
      </c>
    </row>
    <row r="39" spans="1:13">
      <c r="A39" s="1215"/>
      <c r="B39" s="340"/>
      <c r="C39" s="169" t="s">
        <v>884</v>
      </c>
      <c r="D39" s="216" t="s">
        <v>155</v>
      </c>
      <c r="E39" s="729">
        <v>1</v>
      </c>
      <c r="F39" s="239">
        <f>F36*E39</f>
        <v>120</v>
      </c>
      <c r="G39" s="1310"/>
      <c r="H39" s="1299">
        <f>F39*G39</f>
        <v>0</v>
      </c>
      <c r="I39" s="1299"/>
      <c r="J39" s="1299"/>
      <c r="K39" s="1299"/>
      <c r="L39" s="1299"/>
      <c r="M39" s="1299">
        <f t="shared" si="0"/>
        <v>0</v>
      </c>
    </row>
    <row r="40" spans="1:13">
      <c r="A40" s="1216"/>
      <c r="B40" s="340"/>
      <c r="C40" s="296" t="s">
        <v>150</v>
      </c>
      <c r="D40" s="216" t="s">
        <v>149</v>
      </c>
      <c r="E40" s="729">
        <v>7.0800000000000002E-2</v>
      </c>
      <c r="F40" s="239">
        <f>F36*E40</f>
        <v>8.4960000000000004</v>
      </c>
      <c r="G40" s="1310"/>
      <c r="H40" s="1299">
        <f>F40*G40</f>
        <v>0</v>
      </c>
      <c r="I40" s="1299"/>
      <c r="J40" s="1299"/>
      <c r="K40" s="1299"/>
      <c r="L40" s="1299"/>
      <c r="M40" s="1299">
        <f t="shared" si="0"/>
        <v>0</v>
      </c>
    </row>
    <row r="41" spans="1:13">
      <c r="A41" s="1130" t="s">
        <v>324</v>
      </c>
      <c r="B41" s="340" t="s">
        <v>316</v>
      </c>
      <c r="C41" s="334" t="s">
        <v>163</v>
      </c>
      <c r="D41" s="728" t="s">
        <v>4</v>
      </c>
      <c r="E41" s="99"/>
      <c r="F41" s="49">
        <f>(F44+F45+F46)*0.34*0.013</f>
        <v>0.79913600000000007</v>
      </c>
      <c r="G41" s="1303"/>
      <c r="H41" s="1299"/>
      <c r="I41" s="1299"/>
      <c r="J41" s="1299"/>
      <c r="K41" s="1299"/>
      <c r="L41" s="1299"/>
      <c r="M41" s="1299"/>
    </row>
    <row r="42" spans="1:13">
      <c r="A42" s="1131"/>
      <c r="B42" s="340"/>
      <c r="C42" s="296" t="s">
        <v>147</v>
      </c>
      <c r="D42" s="216" t="s">
        <v>148</v>
      </c>
      <c r="E42" s="729">
        <v>18.600000000000001</v>
      </c>
      <c r="F42" s="239">
        <f>E42*F41</f>
        <v>14.863929600000002</v>
      </c>
      <c r="G42" s="1303"/>
      <c r="H42" s="1299"/>
      <c r="I42" s="1300"/>
      <c r="J42" s="1299">
        <f>F42*I42</f>
        <v>0</v>
      </c>
      <c r="K42" s="1299"/>
      <c r="L42" s="1299"/>
      <c r="M42" s="1299">
        <f t="shared" si="0"/>
        <v>0</v>
      </c>
    </row>
    <row r="43" spans="1:13">
      <c r="A43" s="1131"/>
      <c r="B43" s="340"/>
      <c r="C43" s="296" t="s">
        <v>153</v>
      </c>
      <c r="D43" s="216" t="s">
        <v>149</v>
      </c>
      <c r="E43" s="729">
        <v>0.38</v>
      </c>
      <c r="F43" s="239">
        <f>E43*F41</f>
        <v>0.30367168000000005</v>
      </c>
      <c r="G43" s="1303"/>
      <c r="H43" s="1299"/>
      <c r="I43" s="1299"/>
      <c r="J43" s="1299"/>
      <c r="K43" s="1300"/>
      <c r="L43" s="1299">
        <f>F43*K43</f>
        <v>0</v>
      </c>
      <c r="M43" s="1299">
        <f t="shared" si="0"/>
        <v>0</v>
      </c>
    </row>
    <row r="44" spans="1:13" s="294" customFormat="1">
      <c r="A44" s="1131"/>
      <c r="B44" s="340"/>
      <c r="C44" s="337" t="s">
        <v>644</v>
      </c>
      <c r="D44" s="618" t="s">
        <v>152</v>
      </c>
      <c r="E44" s="729"/>
      <c r="F44" s="239">
        <f>F26</f>
        <v>10.8</v>
      </c>
      <c r="G44" s="1310"/>
      <c r="H44" s="1299">
        <f>F44*G44</f>
        <v>0</v>
      </c>
      <c r="I44" s="1299"/>
      <c r="J44" s="1299"/>
      <c r="K44" s="1299"/>
      <c r="L44" s="1299"/>
      <c r="M44" s="1299">
        <f t="shared" si="0"/>
        <v>0</v>
      </c>
    </row>
    <row r="45" spans="1:13" s="294" customFormat="1">
      <c r="A45" s="1131"/>
      <c r="B45" s="340"/>
      <c r="C45" s="337" t="s">
        <v>645</v>
      </c>
      <c r="D45" s="618" t="s">
        <v>152</v>
      </c>
      <c r="E45" s="729"/>
      <c r="F45" s="239">
        <f>F31</f>
        <v>50</v>
      </c>
      <c r="G45" s="1310"/>
      <c r="H45" s="1299">
        <f>F45*G45</f>
        <v>0</v>
      </c>
      <c r="I45" s="1299"/>
      <c r="J45" s="1299"/>
      <c r="K45" s="1299"/>
      <c r="L45" s="1299"/>
      <c r="M45" s="1299">
        <f t="shared" si="0"/>
        <v>0</v>
      </c>
    </row>
    <row r="46" spans="1:13" s="294" customFormat="1">
      <c r="A46" s="1131"/>
      <c r="B46" s="340"/>
      <c r="C46" s="337" t="s">
        <v>646</v>
      </c>
      <c r="D46" s="618" t="s">
        <v>152</v>
      </c>
      <c r="E46" s="729"/>
      <c r="F46" s="239">
        <f>F36</f>
        <v>120</v>
      </c>
      <c r="G46" s="1310"/>
      <c r="H46" s="1299">
        <f>F46*G46</f>
        <v>0</v>
      </c>
      <c r="I46" s="1299"/>
      <c r="J46" s="1299"/>
      <c r="K46" s="1299"/>
      <c r="L46" s="1299"/>
      <c r="M46" s="1299">
        <f t="shared" si="0"/>
        <v>0</v>
      </c>
    </row>
    <row r="47" spans="1:13" s="294" customFormat="1">
      <c r="A47" s="1132"/>
      <c r="B47" s="340"/>
      <c r="C47" s="338" t="s">
        <v>150</v>
      </c>
      <c r="D47" s="293" t="s">
        <v>149</v>
      </c>
      <c r="E47" s="729">
        <v>3.06</v>
      </c>
      <c r="F47" s="239">
        <f>E47*F41</f>
        <v>2.4453561600000002</v>
      </c>
      <c r="G47" s="1310"/>
      <c r="H47" s="1299">
        <f>F47*G47</f>
        <v>0</v>
      </c>
      <c r="I47" s="1299"/>
      <c r="J47" s="1299"/>
      <c r="K47" s="1299"/>
      <c r="L47" s="1299"/>
      <c r="M47" s="1299">
        <f t="shared" si="0"/>
        <v>0</v>
      </c>
    </row>
    <row r="48" spans="1:13" s="294" customFormat="1">
      <c r="A48" s="1200" t="s">
        <v>337</v>
      </c>
      <c r="B48" s="636" t="s">
        <v>672</v>
      </c>
      <c r="C48" s="748" t="s">
        <v>673</v>
      </c>
      <c r="D48" s="636" t="s">
        <v>118</v>
      </c>
      <c r="E48" s="254"/>
      <c r="F48" s="749">
        <f>F51</f>
        <v>2</v>
      </c>
      <c r="G48" s="1375"/>
      <c r="H48" s="1299"/>
      <c r="I48" s="1299"/>
      <c r="J48" s="1299"/>
      <c r="K48" s="1299"/>
      <c r="L48" s="1299"/>
      <c r="M48" s="1299"/>
    </row>
    <row r="49" spans="1:13" s="294" customFormat="1">
      <c r="A49" s="1201"/>
      <c r="B49" s="750"/>
      <c r="C49" s="751" t="s">
        <v>214</v>
      </c>
      <c r="D49" s="750" t="s">
        <v>29</v>
      </c>
      <c r="E49" s="254">
        <v>1.59</v>
      </c>
      <c r="F49" s="752">
        <f>F48*E49</f>
        <v>3.18</v>
      </c>
      <c r="G49" s="1375"/>
      <c r="H49" s="1299"/>
      <c r="I49" s="1300"/>
      <c r="J49" s="1299">
        <f>F49*I49</f>
        <v>0</v>
      </c>
      <c r="K49" s="1299"/>
      <c r="L49" s="1299"/>
      <c r="M49" s="1299">
        <f>H49+J49+L49</f>
        <v>0</v>
      </c>
    </row>
    <row r="50" spans="1:13" s="294" customFormat="1">
      <c r="A50" s="1201"/>
      <c r="B50" s="750"/>
      <c r="C50" s="184" t="s">
        <v>28</v>
      </c>
      <c r="D50" s="860" t="s">
        <v>24</v>
      </c>
      <c r="E50" s="752">
        <v>0.06</v>
      </c>
      <c r="F50" s="752">
        <f>F48*E50</f>
        <v>0.12</v>
      </c>
      <c r="G50" s="1375"/>
      <c r="H50" s="1299"/>
      <c r="I50" s="1299"/>
      <c r="J50" s="1299"/>
      <c r="K50" s="1300"/>
      <c r="L50" s="1299">
        <f>F50*K50</f>
        <v>0</v>
      </c>
      <c r="M50" s="1299">
        <f>H50+J50+L50</f>
        <v>0</v>
      </c>
    </row>
    <row r="51" spans="1:13" s="294" customFormat="1">
      <c r="A51" s="1201"/>
      <c r="B51" s="753"/>
      <c r="C51" s="754" t="s">
        <v>674</v>
      </c>
      <c r="D51" s="753" t="s">
        <v>118</v>
      </c>
      <c r="E51" s="254"/>
      <c r="F51" s="755">
        <v>2</v>
      </c>
      <c r="G51" s="1376"/>
      <c r="H51" s="1299">
        <f>F51*G51</f>
        <v>0</v>
      </c>
      <c r="I51" s="1299"/>
      <c r="J51" s="1299"/>
      <c r="K51" s="1299"/>
      <c r="L51" s="1299"/>
      <c r="M51" s="1299">
        <f>H51+J51+L51</f>
        <v>0</v>
      </c>
    </row>
    <row r="52" spans="1:13" s="294" customFormat="1">
      <c r="A52" s="1202"/>
      <c r="B52" s="750"/>
      <c r="C52" s="184" t="s">
        <v>37</v>
      </c>
      <c r="D52" s="860" t="s">
        <v>24</v>
      </c>
      <c r="E52" s="752">
        <v>0.66</v>
      </c>
      <c r="F52" s="752">
        <f>F48*E52</f>
        <v>1.32</v>
      </c>
      <c r="G52" s="1376"/>
      <c r="H52" s="1299"/>
      <c r="I52" s="1299"/>
      <c r="J52" s="1299"/>
      <c r="K52" s="1299"/>
      <c r="L52" s="1299"/>
      <c r="M52" s="1299">
        <f>H52+J52+L52</f>
        <v>0</v>
      </c>
    </row>
    <row r="53" spans="1:13" ht="30">
      <c r="A53" s="1178" t="s">
        <v>60</v>
      </c>
      <c r="B53" s="340" t="s">
        <v>160</v>
      </c>
      <c r="C53" s="168" t="s">
        <v>647</v>
      </c>
      <c r="D53" s="86" t="s">
        <v>75</v>
      </c>
      <c r="E53" s="589"/>
      <c r="F53" s="49">
        <f>SUM(F57:F66)</f>
        <v>132</v>
      </c>
      <c r="G53" s="1303"/>
      <c r="H53" s="1299"/>
      <c r="I53" s="1299"/>
      <c r="J53" s="1299"/>
      <c r="K53" s="1299"/>
      <c r="L53" s="1299"/>
      <c r="M53" s="1299"/>
    </row>
    <row r="54" spans="1:13">
      <c r="A54" s="1179"/>
      <c r="B54" s="340"/>
      <c r="C54" s="182" t="s">
        <v>147</v>
      </c>
      <c r="D54" s="90" t="s">
        <v>148</v>
      </c>
      <c r="E54" s="100">
        <v>0.64600000000000002</v>
      </c>
      <c r="F54" s="100">
        <f>F53*E54</f>
        <v>85.272000000000006</v>
      </c>
      <c r="G54" s="1377"/>
      <c r="H54" s="1378"/>
      <c r="I54" s="1310"/>
      <c r="J54" s="1378">
        <f>F54*I54</f>
        <v>0</v>
      </c>
      <c r="K54" s="1377"/>
      <c r="L54" s="1378"/>
      <c r="M54" s="1378">
        <f>H54+J54+L54</f>
        <v>0</v>
      </c>
    </row>
    <row r="55" spans="1:13">
      <c r="A55" s="1179"/>
      <c r="B55" s="340"/>
      <c r="C55" s="182" t="s">
        <v>162</v>
      </c>
      <c r="D55" s="90" t="s">
        <v>149</v>
      </c>
      <c r="E55" s="100">
        <v>2.5999999999999999E-3</v>
      </c>
      <c r="F55" s="100">
        <f>F53*E55</f>
        <v>0.34320000000000001</v>
      </c>
      <c r="G55" s="1377"/>
      <c r="H55" s="1378"/>
      <c r="I55" s="1377"/>
      <c r="J55" s="1378"/>
      <c r="K55" s="1310"/>
      <c r="L55" s="1378">
        <f>F55*K55</f>
        <v>0</v>
      </c>
      <c r="M55" s="1299">
        <f t="shared" si="0"/>
        <v>0</v>
      </c>
    </row>
    <row r="56" spans="1:13">
      <c r="A56" s="1179"/>
      <c r="B56" s="340"/>
      <c r="C56" s="182" t="s">
        <v>32</v>
      </c>
      <c r="D56" s="90" t="s">
        <v>149</v>
      </c>
      <c r="E56" s="100">
        <v>1.1299999999999999E-2</v>
      </c>
      <c r="F56" s="100">
        <f>F53*E56</f>
        <v>1.4915999999999998</v>
      </c>
      <c r="G56" s="1310"/>
      <c r="H56" s="1299">
        <f>F56*G56</f>
        <v>0</v>
      </c>
      <c r="I56" s="1377"/>
      <c r="J56" s="1378"/>
      <c r="K56" s="1377"/>
      <c r="L56" s="1378"/>
      <c r="M56" s="1299">
        <f t="shared" si="0"/>
        <v>0</v>
      </c>
    </row>
    <row r="57" spans="1:13">
      <c r="A57" s="1179"/>
      <c r="B57" s="340"/>
      <c r="C57" s="169" t="s">
        <v>588</v>
      </c>
      <c r="D57" s="618" t="s">
        <v>2</v>
      </c>
      <c r="E57" s="729"/>
      <c r="F57" s="239">
        <v>8</v>
      </c>
      <c r="G57" s="1310"/>
      <c r="H57" s="1299">
        <f t="shared" ref="H57:H73" si="2">F57*G57</f>
        <v>0</v>
      </c>
      <c r="I57" s="1299"/>
      <c r="J57" s="1299"/>
      <c r="K57" s="1299"/>
      <c r="L57" s="1299"/>
      <c r="M57" s="1299">
        <f t="shared" ref="M57:M73" si="3">H57+J57+L57</f>
        <v>0</v>
      </c>
    </row>
    <row r="58" spans="1:13">
      <c r="A58" s="1179"/>
      <c r="B58" s="340"/>
      <c r="C58" s="169" t="s">
        <v>889</v>
      </c>
      <c r="D58" s="618" t="s">
        <v>2</v>
      </c>
      <c r="E58" s="864"/>
      <c r="F58" s="239">
        <v>4</v>
      </c>
      <c r="G58" s="1310"/>
      <c r="H58" s="1299">
        <f>F58*G58</f>
        <v>0</v>
      </c>
      <c r="I58" s="1299"/>
      <c r="J58" s="1299"/>
      <c r="K58" s="1299"/>
      <c r="L58" s="1299"/>
      <c r="M58" s="1299">
        <f>H58+J58+L58</f>
        <v>0</v>
      </c>
    </row>
    <row r="59" spans="1:13" ht="17.25">
      <c r="A59" s="1179"/>
      <c r="B59" s="340"/>
      <c r="C59" s="296" t="s">
        <v>589</v>
      </c>
      <c r="D59" s="723" t="s">
        <v>2</v>
      </c>
      <c r="E59" s="729"/>
      <c r="F59" s="239">
        <v>4</v>
      </c>
      <c r="G59" s="1310"/>
      <c r="H59" s="1299">
        <f t="shared" si="2"/>
        <v>0</v>
      </c>
      <c r="I59" s="1299"/>
      <c r="J59" s="1299"/>
      <c r="K59" s="1299"/>
      <c r="L59" s="1299"/>
      <c r="M59" s="1299">
        <f t="shared" si="3"/>
        <v>0</v>
      </c>
    </row>
    <row r="60" spans="1:13" ht="17.25">
      <c r="A60" s="1179"/>
      <c r="B60" s="340"/>
      <c r="C60" s="296" t="s">
        <v>590</v>
      </c>
      <c r="D60" s="723" t="s">
        <v>2</v>
      </c>
      <c r="E60" s="729"/>
      <c r="F60" s="239">
        <v>6</v>
      </c>
      <c r="G60" s="1310"/>
      <c r="H60" s="1299">
        <f t="shared" si="2"/>
        <v>0</v>
      </c>
      <c r="I60" s="1299"/>
      <c r="J60" s="1299"/>
      <c r="K60" s="1299"/>
      <c r="L60" s="1299"/>
      <c r="M60" s="1299">
        <f t="shared" si="3"/>
        <v>0</v>
      </c>
    </row>
    <row r="61" spans="1:13" ht="17.25">
      <c r="A61" s="1179"/>
      <c r="B61" s="340"/>
      <c r="C61" s="296" t="s">
        <v>648</v>
      </c>
      <c r="D61" s="723" t="s">
        <v>2</v>
      </c>
      <c r="E61" s="729"/>
      <c r="F61" s="239">
        <v>72</v>
      </c>
      <c r="G61" s="1310"/>
      <c r="H61" s="1299">
        <f t="shared" si="2"/>
        <v>0</v>
      </c>
      <c r="I61" s="1299"/>
      <c r="J61" s="1299"/>
      <c r="K61" s="1299"/>
      <c r="L61" s="1299"/>
      <c r="M61" s="1299">
        <f t="shared" si="3"/>
        <v>0</v>
      </c>
    </row>
    <row r="62" spans="1:13">
      <c r="A62" s="1179"/>
      <c r="B62" s="340"/>
      <c r="C62" s="296" t="s">
        <v>890</v>
      </c>
      <c r="D62" s="861" t="s">
        <v>2</v>
      </c>
      <c r="E62" s="864"/>
      <c r="F62" s="239">
        <v>4</v>
      </c>
      <c r="G62" s="1310"/>
      <c r="H62" s="1299">
        <f>F62*G62</f>
        <v>0</v>
      </c>
      <c r="I62" s="1299"/>
      <c r="J62" s="1299"/>
      <c r="K62" s="1299"/>
      <c r="L62" s="1299"/>
      <c r="M62" s="1299">
        <f>H62+J62+L62</f>
        <v>0</v>
      </c>
    </row>
    <row r="63" spans="1:13">
      <c r="A63" s="1179"/>
      <c r="B63" s="340"/>
      <c r="C63" s="296" t="s">
        <v>352</v>
      </c>
      <c r="D63" s="723" t="s">
        <v>2</v>
      </c>
      <c r="E63" s="729"/>
      <c r="F63" s="239">
        <v>4</v>
      </c>
      <c r="G63" s="1310"/>
      <c r="H63" s="1299">
        <f t="shared" si="2"/>
        <v>0</v>
      </c>
      <c r="I63" s="1299"/>
      <c r="J63" s="1299"/>
      <c r="K63" s="1299"/>
      <c r="L63" s="1299"/>
      <c r="M63" s="1299">
        <f t="shared" si="3"/>
        <v>0</v>
      </c>
    </row>
    <row r="64" spans="1:13">
      <c r="A64" s="1179"/>
      <c r="B64" s="340"/>
      <c r="C64" s="226" t="s">
        <v>591</v>
      </c>
      <c r="D64" s="723" t="s">
        <v>2</v>
      </c>
      <c r="E64" s="729"/>
      <c r="F64" s="239">
        <v>6</v>
      </c>
      <c r="G64" s="1310"/>
      <c r="H64" s="1299">
        <f t="shared" si="2"/>
        <v>0</v>
      </c>
      <c r="I64" s="1299"/>
      <c r="J64" s="1299"/>
      <c r="K64" s="1299"/>
      <c r="L64" s="1299"/>
      <c r="M64" s="1299">
        <f t="shared" si="3"/>
        <v>0</v>
      </c>
    </row>
    <row r="65" spans="1:13">
      <c r="A65" s="1179"/>
      <c r="B65" s="340"/>
      <c r="C65" s="226" t="s">
        <v>592</v>
      </c>
      <c r="D65" s="723" t="s">
        <v>2</v>
      </c>
      <c r="E65" s="729"/>
      <c r="F65" s="239">
        <v>12</v>
      </c>
      <c r="G65" s="1310"/>
      <c r="H65" s="1299">
        <f t="shared" si="2"/>
        <v>0</v>
      </c>
      <c r="I65" s="1299"/>
      <c r="J65" s="1299"/>
      <c r="K65" s="1299"/>
      <c r="L65" s="1299"/>
      <c r="M65" s="1299">
        <f t="shared" si="3"/>
        <v>0</v>
      </c>
    </row>
    <row r="66" spans="1:13">
      <c r="A66" s="1179"/>
      <c r="B66" s="340"/>
      <c r="C66" s="169" t="s">
        <v>649</v>
      </c>
      <c r="D66" s="618" t="s">
        <v>2</v>
      </c>
      <c r="E66" s="729"/>
      <c r="F66" s="239">
        <v>12</v>
      </c>
      <c r="G66" s="1310"/>
      <c r="H66" s="1299">
        <f t="shared" si="2"/>
        <v>0</v>
      </c>
      <c r="I66" s="1299"/>
      <c r="J66" s="1299"/>
      <c r="K66" s="1299"/>
      <c r="L66" s="1299"/>
      <c r="M66" s="1299">
        <f t="shared" si="3"/>
        <v>0</v>
      </c>
    </row>
    <row r="67" spans="1:13">
      <c r="A67" s="1179"/>
      <c r="B67" s="340"/>
      <c r="C67" s="169" t="s">
        <v>650</v>
      </c>
      <c r="D67" s="723" t="s">
        <v>2</v>
      </c>
      <c r="E67" s="729"/>
      <c r="F67" s="239">
        <v>4</v>
      </c>
      <c r="G67" s="1310"/>
      <c r="H67" s="1299">
        <f t="shared" si="2"/>
        <v>0</v>
      </c>
      <c r="I67" s="1299"/>
      <c r="J67" s="1299"/>
      <c r="K67" s="1299"/>
      <c r="L67" s="1299"/>
      <c r="M67" s="1299">
        <f t="shared" si="3"/>
        <v>0</v>
      </c>
    </row>
    <row r="68" spans="1:13">
      <c r="A68" s="1179"/>
      <c r="B68" s="340"/>
      <c r="C68" s="169" t="s">
        <v>651</v>
      </c>
      <c r="D68" s="723" t="s">
        <v>2</v>
      </c>
      <c r="E68" s="729"/>
      <c r="F68" s="239">
        <v>1</v>
      </c>
      <c r="G68" s="1310"/>
      <c r="H68" s="1299">
        <f t="shared" si="2"/>
        <v>0</v>
      </c>
      <c r="I68" s="1299"/>
      <c r="J68" s="1299"/>
      <c r="K68" s="1299"/>
      <c r="L68" s="1299"/>
      <c r="M68" s="1299">
        <f t="shared" si="3"/>
        <v>0</v>
      </c>
    </row>
    <row r="69" spans="1:13">
      <c r="A69" s="1179"/>
      <c r="B69" s="340"/>
      <c r="C69" s="169" t="s">
        <v>353</v>
      </c>
      <c r="D69" s="723" t="s">
        <v>75</v>
      </c>
      <c r="E69" s="729"/>
      <c r="F69" s="239">
        <v>1</v>
      </c>
      <c r="G69" s="1310"/>
      <c r="H69" s="1299">
        <f t="shared" si="2"/>
        <v>0</v>
      </c>
      <c r="I69" s="1299"/>
      <c r="J69" s="1299"/>
      <c r="K69" s="1299"/>
      <c r="L69" s="1299"/>
      <c r="M69" s="1299">
        <f t="shared" si="3"/>
        <v>0</v>
      </c>
    </row>
    <row r="70" spans="1:13">
      <c r="A70" s="1130" t="s">
        <v>74</v>
      </c>
      <c r="B70" s="280" t="s">
        <v>206</v>
      </c>
      <c r="C70" s="614" t="s">
        <v>201</v>
      </c>
      <c r="D70" s="728" t="s">
        <v>202</v>
      </c>
      <c r="E70" s="54"/>
      <c r="F70" s="49">
        <f>F26+F31+F36</f>
        <v>180.8</v>
      </c>
      <c r="G70" s="1303"/>
      <c r="H70" s="1299"/>
      <c r="I70" s="1303"/>
      <c r="J70" s="1299"/>
      <c r="K70" s="1303"/>
      <c r="L70" s="1299"/>
      <c r="M70" s="1299"/>
    </row>
    <row r="71" spans="1:13">
      <c r="A71" s="1131"/>
      <c r="B71" s="280"/>
      <c r="C71" s="164" t="s">
        <v>147</v>
      </c>
      <c r="D71" s="728" t="s">
        <v>148</v>
      </c>
      <c r="E71" s="54">
        <v>5.16</v>
      </c>
      <c r="F71" s="239">
        <f>F70*E71</f>
        <v>932.92800000000011</v>
      </c>
      <c r="G71" s="1303"/>
      <c r="H71" s="1299"/>
      <c r="I71" s="1310"/>
      <c r="J71" s="1299">
        <f>F71*I71</f>
        <v>0</v>
      </c>
      <c r="K71" s="1303"/>
      <c r="L71" s="1299"/>
      <c r="M71" s="1299">
        <f t="shared" si="3"/>
        <v>0</v>
      </c>
    </row>
    <row r="72" spans="1:13">
      <c r="A72" s="1131"/>
      <c r="B72" s="280"/>
      <c r="C72" s="164" t="s">
        <v>652</v>
      </c>
      <c r="D72" s="728" t="s">
        <v>4</v>
      </c>
      <c r="E72" s="54">
        <v>1</v>
      </c>
      <c r="F72" s="239">
        <f>F70*E72</f>
        <v>180.8</v>
      </c>
      <c r="G72" s="1310"/>
      <c r="H72" s="1299">
        <f t="shared" si="2"/>
        <v>0</v>
      </c>
      <c r="I72" s="1303"/>
      <c r="J72" s="1299"/>
      <c r="K72" s="1303"/>
      <c r="L72" s="1299"/>
      <c r="M72" s="1299">
        <f t="shared" si="3"/>
        <v>0</v>
      </c>
    </row>
    <row r="73" spans="1:13">
      <c r="A73" s="1131"/>
      <c r="B73" s="280"/>
      <c r="C73" s="164" t="s">
        <v>32</v>
      </c>
      <c r="D73" s="728" t="s">
        <v>24</v>
      </c>
      <c r="E73" s="54">
        <v>0.11</v>
      </c>
      <c r="F73" s="239">
        <f>F70*E73</f>
        <v>19.888000000000002</v>
      </c>
      <c r="G73" s="1310"/>
      <c r="H73" s="1299">
        <f t="shared" si="2"/>
        <v>0</v>
      </c>
      <c r="I73" s="1303"/>
      <c r="J73" s="1299"/>
      <c r="K73" s="1303"/>
      <c r="L73" s="1299"/>
      <c r="M73" s="1299">
        <f t="shared" si="3"/>
        <v>0</v>
      </c>
    </row>
    <row r="74" spans="1:13">
      <c r="A74" s="1130" t="s">
        <v>338</v>
      </c>
      <c r="B74" s="348" t="s">
        <v>164</v>
      </c>
      <c r="C74" s="297" t="s">
        <v>165</v>
      </c>
      <c r="D74" s="51" t="s">
        <v>166</v>
      </c>
      <c r="E74" s="213"/>
      <c r="F74" s="159">
        <v>40</v>
      </c>
      <c r="G74" s="1303"/>
      <c r="H74" s="1299"/>
      <c r="I74" s="1299"/>
      <c r="J74" s="1299"/>
      <c r="K74" s="1299"/>
      <c r="L74" s="1299"/>
      <c r="M74" s="1299"/>
    </row>
    <row r="75" spans="1:13">
      <c r="A75" s="1131"/>
      <c r="B75" s="348"/>
      <c r="C75" s="299" t="s">
        <v>27</v>
      </c>
      <c r="D75" s="220" t="s">
        <v>137</v>
      </c>
      <c r="E75" s="224">
        <v>1.002</v>
      </c>
      <c r="F75" s="225">
        <f>F74*E75</f>
        <v>40.08</v>
      </c>
      <c r="G75" s="1303"/>
      <c r="H75" s="1299"/>
      <c r="I75" s="1300"/>
      <c r="J75" s="1299">
        <f>F75*I75</f>
        <v>0</v>
      </c>
      <c r="K75" s="1299"/>
      <c r="L75" s="1299"/>
      <c r="M75" s="1299">
        <f>H75+J75+L75</f>
        <v>0</v>
      </c>
    </row>
    <row r="76" spans="1:13">
      <c r="A76" s="1132"/>
      <c r="B76" s="348"/>
      <c r="C76" s="299" t="s">
        <v>167</v>
      </c>
      <c r="D76" s="220" t="s">
        <v>24</v>
      </c>
      <c r="E76" s="224">
        <v>0.49340000000000001</v>
      </c>
      <c r="F76" s="225">
        <f>F74*E76</f>
        <v>19.736000000000001</v>
      </c>
      <c r="G76" s="1303"/>
      <c r="H76" s="1299"/>
      <c r="I76" s="1299"/>
      <c r="J76" s="1299"/>
      <c r="K76" s="1300"/>
      <c r="L76" s="1299">
        <f>F76*K76</f>
        <v>0</v>
      </c>
      <c r="M76" s="1299">
        <f>H76+J76+L76</f>
        <v>0</v>
      </c>
    </row>
    <row r="77" spans="1:13">
      <c r="A77" s="1130" t="s">
        <v>339</v>
      </c>
      <c r="B77" s="348" t="s">
        <v>171</v>
      </c>
      <c r="C77" s="297" t="s">
        <v>168</v>
      </c>
      <c r="D77" s="728" t="s">
        <v>5</v>
      </c>
      <c r="E77" s="213">
        <f>0.12*0.12</f>
        <v>1.44E-2</v>
      </c>
      <c r="F77" s="159">
        <f>13*E77</f>
        <v>0.18720000000000001</v>
      </c>
      <c r="G77" s="1303"/>
      <c r="H77" s="1299"/>
      <c r="I77" s="1299"/>
      <c r="J77" s="1299"/>
      <c r="K77" s="1299"/>
      <c r="L77" s="1299"/>
      <c r="M77" s="1299"/>
    </row>
    <row r="78" spans="1:13">
      <c r="A78" s="1131"/>
      <c r="B78" s="348"/>
      <c r="C78" s="300" t="s">
        <v>33</v>
      </c>
      <c r="D78" s="222" t="s">
        <v>29</v>
      </c>
      <c r="E78" s="110">
        <v>74.2</v>
      </c>
      <c r="F78" s="116">
        <f>F77*E78</f>
        <v>13.89024</v>
      </c>
      <c r="G78" s="1301"/>
      <c r="H78" s="1299"/>
      <c r="I78" s="1300"/>
      <c r="J78" s="1299">
        <f>F78*I78</f>
        <v>0</v>
      </c>
      <c r="K78" s="1299"/>
      <c r="L78" s="1299"/>
      <c r="M78" s="1299">
        <f>H78+J78+L78</f>
        <v>0</v>
      </c>
    </row>
    <row r="79" spans="1:13">
      <c r="A79" s="1131"/>
      <c r="B79" s="348"/>
      <c r="C79" s="300" t="s">
        <v>35</v>
      </c>
      <c r="D79" s="103" t="s">
        <v>24</v>
      </c>
      <c r="E79" s="110">
        <v>1.1000000000000001</v>
      </c>
      <c r="F79" s="116">
        <f>F77*E79</f>
        <v>0.20592000000000002</v>
      </c>
      <c r="G79" s="1301"/>
      <c r="H79" s="1299"/>
      <c r="I79" s="1299"/>
      <c r="J79" s="1299"/>
      <c r="K79" s="1300"/>
      <c r="L79" s="1299">
        <f>F79*K79</f>
        <v>0</v>
      </c>
      <c r="M79" s="1299">
        <f>H79+J79+L79</f>
        <v>0</v>
      </c>
    </row>
    <row r="80" spans="1:13">
      <c r="A80" s="1131"/>
      <c r="B80" s="348"/>
      <c r="C80" s="145" t="s">
        <v>415</v>
      </c>
      <c r="D80" s="222" t="s">
        <v>4</v>
      </c>
      <c r="E80" s="110">
        <v>1.04</v>
      </c>
      <c r="F80" s="116">
        <f>F77*E80</f>
        <v>0.194688</v>
      </c>
      <c r="G80" s="1302"/>
      <c r="H80" s="1299">
        <f>F80*G80</f>
        <v>0</v>
      </c>
      <c r="I80" s="1299"/>
      <c r="J80" s="1299"/>
      <c r="K80" s="1299"/>
      <c r="L80" s="1299"/>
      <c r="M80" s="1299">
        <f>H80+J80+L80</f>
        <v>0</v>
      </c>
    </row>
    <row r="81" spans="1:13">
      <c r="A81" s="1131"/>
      <c r="B81" s="348"/>
      <c r="C81" s="300" t="s">
        <v>172</v>
      </c>
      <c r="D81" s="222" t="s">
        <v>6</v>
      </c>
      <c r="E81" s="110">
        <v>5.9</v>
      </c>
      <c r="F81" s="116">
        <f>F77*E81</f>
        <v>1.1044800000000001</v>
      </c>
      <c r="G81" s="1302"/>
      <c r="H81" s="1299">
        <f>F81*G81</f>
        <v>0</v>
      </c>
      <c r="I81" s="1299"/>
      <c r="J81" s="1299"/>
      <c r="K81" s="1299"/>
      <c r="L81" s="1299"/>
      <c r="M81" s="1299">
        <f>H81+J81+L81</f>
        <v>0</v>
      </c>
    </row>
    <row r="82" spans="1:13">
      <c r="A82" s="1131"/>
      <c r="B82" s="348"/>
      <c r="C82" s="170" t="s">
        <v>240</v>
      </c>
      <c r="D82" s="241" t="s">
        <v>4</v>
      </c>
      <c r="E82" s="594">
        <f>0.21+0.18</f>
        <v>0.39</v>
      </c>
      <c r="F82" s="592">
        <f>F77*E82</f>
        <v>7.3008000000000003E-2</v>
      </c>
      <c r="G82" s="1354"/>
      <c r="H82" s="1299">
        <f>F82*G82</f>
        <v>0</v>
      </c>
      <c r="I82" s="1299"/>
      <c r="J82" s="1299"/>
      <c r="K82" s="1299"/>
      <c r="L82" s="1299"/>
      <c r="M82" s="1299">
        <f>H82+J82+L82</f>
        <v>0</v>
      </c>
    </row>
    <row r="83" spans="1:13">
      <c r="A83" s="721"/>
      <c r="B83" s="280"/>
      <c r="C83" s="169"/>
      <c r="D83" s="728"/>
      <c r="E83" s="54"/>
      <c r="F83" s="239"/>
      <c r="G83" s="1379"/>
      <c r="H83" s="1380"/>
      <c r="I83" s="1379"/>
      <c r="J83" s="1380"/>
      <c r="K83" s="1379"/>
      <c r="L83" s="1380"/>
      <c r="M83" s="1380"/>
    </row>
    <row r="84" spans="1:13">
      <c r="A84" s="141"/>
      <c r="B84" s="212"/>
      <c r="C84" s="142" t="s">
        <v>1048</v>
      </c>
      <c r="D84" s="212" t="s">
        <v>24</v>
      </c>
      <c r="E84" s="309"/>
      <c r="F84" s="214"/>
      <c r="G84" s="1381"/>
      <c r="H84" s="1382">
        <f>SUM(H10:H83)</f>
        <v>0</v>
      </c>
      <c r="I84" s="1382"/>
      <c r="J84" s="1382">
        <f>SUM(J10:J83)</f>
        <v>0</v>
      </c>
      <c r="K84" s="1382"/>
      <c r="L84" s="1382">
        <f>SUM(L10:L83)</f>
        <v>0</v>
      </c>
      <c r="M84" s="1382">
        <f>SUM(M10:M83)</f>
        <v>0</v>
      </c>
    </row>
    <row r="85" spans="1:13" ht="31.5">
      <c r="A85" s="722"/>
      <c r="B85" s="263"/>
      <c r="C85" s="390" t="s">
        <v>456</v>
      </c>
      <c r="D85" s="263"/>
      <c r="E85" s="268"/>
      <c r="F85" s="1110"/>
      <c r="G85" s="1314"/>
      <c r="H85" s="1314"/>
      <c r="I85" s="1314"/>
      <c r="J85" s="1314"/>
      <c r="K85" s="1314"/>
      <c r="L85" s="1314"/>
      <c r="M85" s="1315">
        <f>H84*F85</f>
        <v>0</v>
      </c>
    </row>
    <row r="86" spans="1:13">
      <c r="A86" s="722"/>
      <c r="B86" s="263"/>
      <c r="C86" s="261" t="s">
        <v>70</v>
      </c>
      <c r="D86" s="263"/>
      <c r="E86" s="268"/>
      <c r="F86" s="269"/>
      <c r="G86" s="1314"/>
      <c r="H86" s="1314"/>
      <c r="I86" s="1314"/>
      <c r="J86" s="1314"/>
      <c r="K86" s="1314"/>
      <c r="L86" s="1314"/>
      <c r="M86" s="1315">
        <f>M84+M85</f>
        <v>0</v>
      </c>
    </row>
    <row r="87" spans="1:13">
      <c r="A87" s="350"/>
      <c r="B87" s="271"/>
      <c r="C87" s="94" t="s">
        <v>73</v>
      </c>
      <c r="D87" s="77"/>
      <c r="E87" s="272"/>
      <c r="F87" s="1121"/>
      <c r="G87" s="1316"/>
      <c r="H87" s="1316"/>
      <c r="I87" s="1316"/>
      <c r="J87" s="1316"/>
      <c r="K87" s="1316"/>
      <c r="L87" s="1316"/>
      <c r="M87" s="1316">
        <f>M86*F87</f>
        <v>0</v>
      </c>
    </row>
    <row r="88" spans="1:13">
      <c r="A88" s="324"/>
      <c r="B88" s="274"/>
      <c r="C88" s="261" t="s">
        <v>70</v>
      </c>
      <c r="D88" s="78"/>
      <c r="E88" s="203"/>
      <c r="F88" s="275"/>
      <c r="G88" s="1317"/>
      <c r="H88" s="1317"/>
      <c r="I88" s="1317"/>
      <c r="J88" s="1317"/>
      <c r="K88" s="1317"/>
      <c r="L88" s="1317"/>
      <c r="M88" s="1317">
        <f>M86+M87</f>
        <v>0</v>
      </c>
    </row>
    <row r="89" spans="1:13">
      <c r="A89" s="324"/>
      <c r="B89" s="274"/>
      <c r="C89" s="95" t="s">
        <v>66</v>
      </c>
      <c r="D89" s="78"/>
      <c r="E89" s="203"/>
      <c r="F89" s="1112"/>
      <c r="G89" s="1317"/>
      <c r="H89" s="1317"/>
      <c r="I89" s="1317"/>
      <c r="J89" s="1317"/>
      <c r="K89" s="1317"/>
      <c r="L89" s="1317"/>
      <c r="M89" s="1317">
        <f>M88*F89</f>
        <v>0</v>
      </c>
    </row>
    <row r="90" spans="1:13" s="1108" customFormat="1">
      <c r="A90" s="351"/>
      <c r="B90" s="276"/>
      <c r="C90" s="352" t="s">
        <v>1049</v>
      </c>
      <c r="D90" s="277"/>
      <c r="E90" s="278"/>
      <c r="F90" s="279"/>
      <c r="G90" s="1383"/>
      <c r="H90" s="1383"/>
      <c r="I90" s="1383"/>
      <c r="J90" s="1383"/>
      <c r="K90" s="1383"/>
      <c r="L90" s="1383"/>
      <c r="M90" s="1319">
        <f>M88+M89</f>
        <v>0</v>
      </c>
    </row>
    <row r="91" spans="1:13" s="1107" customFormat="1" ht="31.5">
      <c r="A91" s="609" t="s">
        <v>1036</v>
      </c>
      <c r="B91" s="745"/>
      <c r="C91" s="610" t="s">
        <v>665</v>
      </c>
      <c r="D91" s="742"/>
      <c r="E91" s="743"/>
      <c r="F91" s="744"/>
      <c r="G91" s="1384"/>
      <c r="H91" s="1298"/>
      <c r="I91" s="1298"/>
      <c r="J91" s="1298"/>
      <c r="K91" s="1298"/>
      <c r="L91" s="1298"/>
      <c r="M91" s="1298"/>
    </row>
    <row r="92" spans="1:13">
      <c r="A92" s="1130" t="s">
        <v>334</v>
      </c>
      <c r="B92" s="347" t="s">
        <v>169</v>
      </c>
      <c r="C92" s="246" t="s">
        <v>359</v>
      </c>
      <c r="D92" s="618" t="s">
        <v>84</v>
      </c>
      <c r="E92" s="729"/>
      <c r="F92" s="49">
        <f>F95</f>
        <v>1</v>
      </c>
      <c r="G92" s="1303"/>
      <c r="H92" s="1299"/>
      <c r="I92" s="1299"/>
      <c r="J92" s="1299"/>
      <c r="K92" s="1299"/>
      <c r="L92" s="1299"/>
      <c r="M92" s="1299"/>
    </row>
    <row r="93" spans="1:13">
      <c r="A93" s="1131"/>
      <c r="B93" s="347"/>
      <c r="C93" s="172" t="s">
        <v>147</v>
      </c>
      <c r="D93" s="618" t="s">
        <v>148</v>
      </c>
      <c r="E93" s="729">
        <v>88.1</v>
      </c>
      <c r="F93" s="239">
        <f>E93*F92</f>
        <v>88.1</v>
      </c>
      <c r="G93" s="1303"/>
      <c r="H93" s="1299"/>
      <c r="I93" s="1300"/>
      <c r="J93" s="1299">
        <f>F93*I93</f>
        <v>0</v>
      </c>
      <c r="K93" s="1299"/>
      <c r="L93" s="1299"/>
      <c r="M93" s="1299">
        <f>H93+J93+L93</f>
        <v>0</v>
      </c>
    </row>
    <row r="94" spans="1:13">
      <c r="A94" s="1131"/>
      <c r="B94" s="347"/>
      <c r="C94" s="172" t="s">
        <v>162</v>
      </c>
      <c r="D94" s="618" t="s">
        <v>149</v>
      </c>
      <c r="E94" s="729">
        <v>14.7</v>
      </c>
      <c r="F94" s="239">
        <f>E94*F92</f>
        <v>14.7</v>
      </c>
      <c r="G94" s="1303"/>
      <c r="H94" s="1299"/>
      <c r="I94" s="1299"/>
      <c r="J94" s="1299"/>
      <c r="K94" s="1300"/>
      <c r="L94" s="1299">
        <f>F94*K94</f>
        <v>0</v>
      </c>
      <c r="M94" s="1299">
        <f>H94+J94+L94</f>
        <v>0</v>
      </c>
    </row>
    <row r="95" spans="1:13" ht="83.25">
      <c r="A95" s="1131"/>
      <c r="B95" s="347"/>
      <c r="C95" s="172" t="s">
        <v>893</v>
      </c>
      <c r="D95" s="618" t="s">
        <v>84</v>
      </c>
      <c r="E95" s="729"/>
      <c r="F95" s="239">
        <v>1</v>
      </c>
      <c r="G95" s="1310"/>
      <c r="H95" s="1299">
        <f>F95*G95</f>
        <v>0</v>
      </c>
      <c r="I95" s="1299"/>
      <c r="J95" s="1299"/>
      <c r="K95" s="1299"/>
      <c r="L95" s="1299"/>
      <c r="M95" s="1299">
        <f>H95+J95+L95</f>
        <v>0</v>
      </c>
    </row>
    <row r="96" spans="1:13">
      <c r="A96" s="1131"/>
      <c r="B96" s="347"/>
      <c r="C96" s="172" t="s">
        <v>358</v>
      </c>
      <c r="D96" s="618" t="s">
        <v>75</v>
      </c>
      <c r="E96" s="729"/>
      <c r="F96" s="239">
        <v>1</v>
      </c>
      <c r="G96" s="1310"/>
      <c r="H96" s="1299">
        <f>F96*G96</f>
        <v>0</v>
      </c>
      <c r="I96" s="1299"/>
      <c r="J96" s="1299"/>
      <c r="K96" s="1299"/>
      <c r="L96" s="1299"/>
      <c r="M96" s="1299">
        <f>H96+J96+L96</f>
        <v>0</v>
      </c>
    </row>
    <row r="97" spans="1:13">
      <c r="A97" s="1132"/>
      <c r="B97" s="347"/>
      <c r="C97" s="184" t="s">
        <v>37</v>
      </c>
      <c r="D97" s="722" t="s">
        <v>24</v>
      </c>
      <c r="E97" s="54">
        <v>7.92</v>
      </c>
      <c r="F97" s="239">
        <f>F92*E97</f>
        <v>7.92</v>
      </c>
      <c r="G97" s="1310"/>
      <c r="H97" s="1299">
        <f>F97*G97</f>
        <v>0</v>
      </c>
      <c r="I97" s="1299"/>
      <c r="J97" s="1299"/>
      <c r="K97" s="1299"/>
      <c r="L97" s="1299"/>
      <c r="M97" s="1299">
        <f>H97+J97+L97</f>
        <v>0</v>
      </c>
    </row>
    <row r="98" spans="1:13">
      <c r="A98" s="1209" t="s">
        <v>335</v>
      </c>
      <c r="B98" s="346" t="s">
        <v>361</v>
      </c>
      <c r="C98" s="176" t="s">
        <v>360</v>
      </c>
      <c r="D98" s="728" t="s">
        <v>75</v>
      </c>
      <c r="E98" s="54"/>
      <c r="F98" s="49">
        <f>F101</f>
        <v>1</v>
      </c>
      <c r="G98" s="1385"/>
      <c r="H98" s="1299"/>
      <c r="I98" s="1299"/>
      <c r="J98" s="1299"/>
      <c r="K98" s="1299"/>
      <c r="L98" s="1299"/>
      <c r="M98" s="1299"/>
    </row>
    <row r="99" spans="1:13">
      <c r="A99" s="1210"/>
      <c r="B99" s="347"/>
      <c r="C99" s="339" t="s">
        <v>147</v>
      </c>
      <c r="D99" s="218" t="s">
        <v>148</v>
      </c>
      <c r="E99" s="604">
        <v>3.8</v>
      </c>
      <c r="F99" s="254">
        <f>F98*E99</f>
        <v>3.8</v>
      </c>
      <c r="G99" s="1386"/>
      <c r="H99" s="1299"/>
      <c r="I99" s="1300"/>
      <c r="J99" s="1299">
        <f>F99*I99</f>
        <v>0</v>
      </c>
      <c r="K99" s="1299"/>
      <c r="L99" s="1299"/>
      <c r="M99" s="1299">
        <f>H99+J99+L99</f>
        <v>0</v>
      </c>
    </row>
    <row r="100" spans="1:13">
      <c r="A100" s="1210"/>
      <c r="B100" s="347"/>
      <c r="C100" s="172" t="s">
        <v>162</v>
      </c>
      <c r="D100" s="618" t="s">
        <v>149</v>
      </c>
      <c r="E100" s="604">
        <v>0.22</v>
      </c>
      <c r="F100" s="254">
        <f>F98*E100</f>
        <v>0.22</v>
      </c>
      <c r="G100" s="1386"/>
      <c r="H100" s="1299"/>
      <c r="I100" s="1299"/>
      <c r="J100" s="1299"/>
      <c r="K100" s="1300"/>
      <c r="L100" s="1299">
        <f>F100*K100</f>
        <v>0</v>
      </c>
      <c r="M100" s="1299">
        <f>H100+J100+L100</f>
        <v>0</v>
      </c>
    </row>
    <row r="101" spans="1:13" ht="31.5">
      <c r="A101" s="1210"/>
      <c r="B101" s="603"/>
      <c r="C101" s="177" t="s">
        <v>894</v>
      </c>
      <c r="D101" s="728" t="s">
        <v>2</v>
      </c>
      <c r="E101" s="54">
        <v>1</v>
      </c>
      <c r="F101" s="239">
        <v>1</v>
      </c>
      <c r="G101" s="1387"/>
      <c r="H101" s="1299">
        <f>F101*G101</f>
        <v>0</v>
      </c>
      <c r="I101" s="1299"/>
      <c r="J101" s="1299"/>
      <c r="K101" s="1299"/>
      <c r="L101" s="1299"/>
      <c r="M101" s="1299">
        <f>H101+J101+L101</f>
        <v>0</v>
      </c>
    </row>
    <row r="102" spans="1:13">
      <c r="A102" s="1211"/>
      <c r="B102" s="347"/>
      <c r="C102" s="172" t="s">
        <v>150</v>
      </c>
      <c r="D102" s="618" t="s">
        <v>149</v>
      </c>
      <c r="E102" s="604">
        <v>0.22</v>
      </c>
      <c r="F102" s="254">
        <f>F98*E102</f>
        <v>0.22</v>
      </c>
      <c r="G102" s="1388"/>
      <c r="H102" s="1299">
        <f>F102*G102</f>
        <v>0</v>
      </c>
      <c r="I102" s="1299"/>
      <c r="J102" s="1299"/>
      <c r="K102" s="1299"/>
      <c r="L102" s="1299"/>
      <c r="M102" s="1299">
        <f>H102+J102+L102</f>
        <v>0</v>
      </c>
    </row>
    <row r="103" spans="1:13">
      <c r="A103" s="1178" t="s">
        <v>336</v>
      </c>
      <c r="B103" s="347" t="s">
        <v>315</v>
      </c>
      <c r="C103" s="246" t="s">
        <v>362</v>
      </c>
      <c r="D103" s="618" t="s">
        <v>2</v>
      </c>
      <c r="E103" s="729"/>
      <c r="F103" s="249">
        <f>SUM(F106:F106)</f>
        <v>1</v>
      </c>
      <c r="G103" s="1303"/>
      <c r="H103" s="1299"/>
      <c r="I103" s="1299"/>
      <c r="J103" s="1299"/>
      <c r="K103" s="1299"/>
      <c r="L103" s="1299"/>
      <c r="M103" s="1299"/>
    </row>
    <row r="104" spans="1:13">
      <c r="A104" s="1179"/>
      <c r="B104" s="347"/>
      <c r="C104" s="182" t="s">
        <v>27</v>
      </c>
      <c r="D104" s="90" t="s">
        <v>29</v>
      </c>
      <c r="E104" s="202">
        <v>25.9</v>
      </c>
      <c r="F104" s="196">
        <f>E104*F103</f>
        <v>25.9</v>
      </c>
      <c r="G104" s="1303"/>
      <c r="H104" s="1299"/>
      <c r="I104" s="1300"/>
      <c r="J104" s="1299">
        <f>F104*I104</f>
        <v>0</v>
      </c>
      <c r="K104" s="1299"/>
      <c r="L104" s="1299"/>
      <c r="M104" s="1299">
        <f>H104+J104+L104</f>
        <v>0</v>
      </c>
    </row>
    <row r="105" spans="1:13">
      <c r="A105" s="1179"/>
      <c r="B105" s="347"/>
      <c r="C105" s="172" t="s">
        <v>28</v>
      </c>
      <c r="D105" s="618" t="s">
        <v>24</v>
      </c>
      <c r="E105" s="729">
        <v>1.66</v>
      </c>
      <c r="F105" s="239">
        <f>F103*E105</f>
        <v>1.66</v>
      </c>
      <c r="G105" s="1303"/>
      <c r="H105" s="1299"/>
      <c r="I105" s="1299"/>
      <c r="J105" s="1299"/>
      <c r="K105" s="1300"/>
      <c r="L105" s="1299">
        <f>F105*K105</f>
        <v>0</v>
      </c>
      <c r="M105" s="1299">
        <f>H105+J105+L105</f>
        <v>0</v>
      </c>
    </row>
    <row r="106" spans="1:13" ht="47.25">
      <c r="A106" s="1179"/>
      <c r="B106" s="347"/>
      <c r="C106" s="182" t="s">
        <v>895</v>
      </c>
      <c r="D106" s="618" t="s">
        <v>2</v>
      </c>
      <c r="E106" s="864"/>
      <c r="F106" s="239">
        <v>1</v>
      </c>
      <c r="G106" s="1310"/>
      <c r="H106" s="1299">
        <f>F106*G106</f>
        <v>0</v>
      </c>
      <c r="I106" s="1299"/>
      <c r="J106" s="1299"/>
      <c r="K106" s="1299"/>
      <c r="L106" s="1299"/>
      <c r="M106" s="1299">
        <f>H106+J106+L106</f>
        <v>0</v>
      </c>
    </row>
    <row r="107" spans="1:13">
      <c r="A107" s="1180"/>
      <c r="B107" s="347"/>
      <c r="C107" s="172" t="s">
        <v>37</v>
      </c>
      <c r="D107" s="618" t="s">
        <v>24</v>
      </c>
      <c r="E107" s="729">
        <v>2.99</v>
      </c>
      <c r="F107" s="239">
        <f>F103*E107</f>
        <v>2.99</v>
      </c>
      <c r="G107" s="1310"/>
      <c r="H107" s="1299">
        <f>F107*G107</f>
        <v>0</v>
      </c>
      <c r="I107" s="1299"/>
      <c r="J107" s="1299"/>
      <c r="K107" s="1299"/>
      <c r="L107" s="1299"/>
      <c r="M107" s="1299">
        <f>H107+J107+L107</f>
        <v>0</v>
      </c>
    </row>
    <row r="108" spans="1:13">
      <c r="A108" s="1212" t="s">
        <v>59</v>
      </c>
      <c r="B108" s="726" t="s">
        <v>666</v>
      </c>
      <c r="C108" s="176" t="s">
        <v>667</v>
      </c>
      <c r="D108" s="726" t="s">
        <v>333</v>
      </c>
      <c r="E108" s="99"/>
      <c r="F108" s="49">
        <f>F111</f>
        <v>2</v>
      </c>
      <c r="G108" s="1304"/>
      <c r="H108" s="1304"/>
      <c r="I108" s="1304"/>
      <c r="J108" s="1304"/>
      <c r="K108" s="1304"/>
      <c r="L108" s="1304"/>
      <c r="M108" s="1304"/>
    </row>
    <row r="109" spans="1:13">
      <c r="A109" s="1198"/>
      <c r="B109" s="728"/>
      <c r="C109" s="177" t="s">
        <v>1062</v>
      </c>
      <c r="D109" s="728" t="s">
        <v>29</v>
      </c>
      <c r="E109" s="54">
        <v>27.03</v>
      </c>
      <c r="F109" s="746">
        <f>F108*E109</f>
        <v>54.06</v>
      </c>
      <c r="G109" s="1389"/>
      <c r="H109" s="1389"/>
      <c r="I109" s="1390"/>
      <c r="J109" s="1389">
        <f>F109*I109</f>
        <v>0</v>
      </c>
      <c r="K109" s="1389"/>
      <c r="L109" s="1389"/>
      <c r="M109" s="1303">
        <f>L109+J109+H109</f>
        <v>0</v>
      </c>
    </row>
    <row r="110" spans="1:13">
      <c r="A110" s="1198"/>
      <c r="B110" s="728"/>
      <c r="C110" s="177" t="s">
        <v>1063</v>
      </c>
      <c r="D110" s="728" t="s">
        <v>24</v>
      </c>
      <c r="E110" s="54">
        <v>1.27</v>
      </c>
      <c r="F110" s="746">
        <f>F108*E110</f>
        <v>2.54</v>
      </c>
      <c r="G110" s="1389"/>
      <c r="H110" s="1389"/>
      <c r="I110" s="1389"/>
      <c r="J110" s="1389"/>
      <c r="K110" s="1390"/>
      <c r="L110" s="1389">
        <f>F110*K110</f>
        <v>0</v>
      </c>
      <c r="M110" s="1389">
        <f>L110+J110+H110</f>
        <v>0</v>
      </c>
    </row>
    <row r="111" spans="1:13" ht="31.5">
      <c r="A111" s="1198"/>
      <c r="B111" s="313"/>
      <c r="C111" s="177" t="s">
        <v>670</v>
      </c>
      <c r="D111" s="728" t="s">
        <v>333</v>
      </c>
      <c r="E111" s="315"/>
      <c r="F111" s="255">
        <v>2</v>
      </c>
      <c r="G111" s="1334"/>
      <c r="H111" s="1389">
        <f>F111*G111</f>
        <v>0</v>
      </c>
      <c r="I111" s="1389"/>
      <c r="J111" s="1389"/>
      <c r="K111" s="1389"/>
      <c r="L111" s="1389"/>
      <c r="M111" s="1389">
        <f>L111+J111+H111</f>
        <v>0</v>
      </c>
    </row>
    <row r="112" spans="1:13">
      <c r="A112" s="1213"/>
      <c r="B112" s="313"/>
      <c r="C112" s="177" t="s">
        <v>659</v>
      </c>
      <c r="D112" s="728" t="s">
        <v>24</v>
      </c>
      <c r="E112" s="315">
        <v>0.2</v>
      </c>
      <c r="F112" s="255">
        <f>F108*E112</f>
        <v>0.4</v>
      </c>
      <c r="G112" s="1334"/>
      <c r="H112" s="1389">
        <f>F112*G112</f>
        <v>0</v>
      </c>
      <c r="I112" s="1333"/>
      <c r="J112" s="1333"/>
      <c r="K112" s="1333"/>
      <c r="L112" s="1333"/>
      <c r="M112" s="1389">
        <f>L112+J112+H112</f>
        <v>0</v>
      </c>
    </row>
    <row r="113" spans="1:13">
      <c r="A113" s="719"/>
      <c r="B113" s="347"/>
      <c r="C113" s="184"/>
      <c r="D113" s="722"/>
      <c r="E113" s="54"/>
      <c r="F113" s="239"/>
      <c r="G113" s="1322"/>
      <c r="H113" s="1299"/>
      <c r="I113" s="1299"/>
      <c r="J113" s="1299"/>
      <c r="K113" s="1299"/>
      <c r="L113" s="1299"/>
      <c r="M113" s="1299"/>
    </row>
    <row r="114" spans="1:13">
      <c r="A114" s="141"/>
      <c r="B114" s="212"/>
      <c r="C114" s="142" t="s">
        <v>1050</v>
      </c>
      <c r="D114" s="212" t="s">
        <v>24</v>
      </c>
      <c r="E114" s="309"/>
      <c r="F114" s="214"/>
      <c r="G114" s="1381"/>
      <c r="H114" s="1382">
        <f>SUM(H91:H113)</f>
        <v>0</v>
      </c>
      <c r="I114" s="1382"/>
      <c r="J114" s="1382">
        <f>SUM(J91:J113)</f>
        <v>0</v>
      </c>
      <c r="K114" s="1382"/>
      <c r="L114" s="1382">
        <f>SUM(L91:L113)</f>
        <v>0</v>
      </c>
      <c r="M114" s="1382">
        <f>SUM(M91:M113)</f>
        <v>0</v>
      </c>
    </row>
    <row r="115" spans="1:13" ht="31.5">
      <c r="A115" s="305"/>
      <c r="B115" s="305"/>
      <c r="C115" s="390" t="s">
        <v>456</v>
      </c>
      <c r="D115" s="305"/>
      <c r="E115" s="306"/>
      <c r="F115" s="1113"/>
      <c r="G115" s="1345"/>
      <c r="H115" s="1345"/>
      <c r="I115" s="1345"/>
      <c r="J115" s="1345"/>
      <c r="K115" s="1345"/>
      <c r="L115" s="1345"/>
      <c r="M115" s="1346">
        <f>H114*F115</f>
        <v>0</v>
      </c>
    </row>
    <row r="116" spans="1:13">
      <c r="A116" s="305"/>
      <c r="B116" s="305"/>
      <c r="C116" s="307" t="s">
        <v>70</v>
      </c>
      <c r="D116" s="305"/>
      <c r="E116" s="306"/>
      <c r="F116" s="127"/>
      <c r="G116" s="1345"/>
      <c r="H116" s="1345"/>
      <c r="I116" s="1345"/>
      <c r="J116" s="1347"/>
      <c r="K116" s="1345"/>
      <c r="L116" s="1345"/>
      <c r="M116" s="1346">
        <f>M114+M115</f>
        <v>0</v>
      </c>
    </row>
    <row r="117" spans="1:13" ht="31.5">
      <c r="A117" s="728"/>
      <c r="B117" s="308"/>
      <c r="C117" s="578" t="s">
        <v>612</v>
      </c>
      <c r="D117" s="618"/>
      <c r="E117" s="237"/>
      <c r="F117" s="1113"/>
      <c r="G117" s="1284"/>
      <c r="H117" s="1284"/>
      <c r="I117" s="1284"/>
      <c r="J117" s="1284"/>
      <c r="K117" s="1284"/>
      <c r="L117" s="1284"/>
      <c r="M117" s="1284">
        <f>J114*F117</f>
        <v>0</v>
      </c>
    </row>
    <row r="118" spans="1:13">
      <c r="A118" s="618"/>
      <c r="B118" s="723"/>
      <c r="C118" s="353" t="s">
        <v>70</v>
      </c>
      <c r="D118" s="723"/>
      <c r="E118" s="729"/>
      <c r="F118" s="100"/>
      <c r="G118" s="1391"/>
      <c r="H118" s="1392"/>
      <c r="I118" s="1393"/>
      <c r="J118" s="1393"/>
      <c r="K118" s="1392"/>
      <c r="L118" s="1392"/>
      <c r="M118" s="1391">
        <f>M116+M117</f>
        <v>0</v>
      </c>
    </row>
    <row r="119" spans="1:13">
      <c r="A119" s="618"/>
      <c r="B119" s="618"/>
      <c r="C119" s="578" t="s">
        <v>936</v>
      </c>
      <c r="D119" s="618"/>
      <c r="E119" s="237"/>
      <c r="F119" s="1113"/>
      <c r="G119" s="1284"/>
      <c r="H119" s="1284"/>
      <c r="I119" s="1284"/>
      <c r="J119" s="1284"/>
      <c r="K119" s="1284"/>
      <c r="L119" s="1284"/>
      <c r="M119" s="1284">
        <f>(M118)*F119</f>
        <v>0</v>
      </c>
    </row>
    <row r="120" spans="1:13" s="1108" customFormat="1">
      <c r="A120" s="141"/>
      <c r="B120" s="354"/>
      <c r="C120" s="211" t="s">
        <v>1051</v>
      </c>
      <c r="D120" s="354"/>
      <c r="E120" s="355"/>
      <c r="F120" s="227"/>
      <c r="G120" s="1394"/>
      <c r="H120" s="1395"/>
      <c r="I120" s="1395"/>
      <c r="J120" s="1395"/>
      <c r="K120" s="1395"/>
      <c r="L120" s="1395"/>
      <c r="M120" s="1381">
        <f>M118+M119</f>
        <v>0</v>
      </c>
    </row>
    <row r="121" spans="1:13" s="1107" customFormat="1" ht="47.25">
      <c r="A121" s="609" t="s">
        <v>653</v>
      </c>
      <c r="B121" s="745"/>
      <c r="C121" s="610" t="s">
        <v>671</v>
      </c>
      <c r="D121" s="742"/>
      <c r="E121" s="743"/>
      <c r="F121" s="744"/>
      <c r="G121" s="1330"/>
      <c r="H121" s="1298"/>
      <c r="I121" s="1298"/>
      <c r="J121" s="1298"/>
      <c r="K121" s="1298"/>
      <c r="L121" s="1298"/>
      <c r="M121" s="1298"/>
    </row>
    <row r="122" spans="1:13" s="74" customFormat="1">
      <c r="A122" s="1200" t="s">
        <v>334</v>
      </c>
      <c r="B122" s="636" t="s">
        <v>672</v>
      </c>
      <c r="C122" s="748" t="s">
        <v>673</v>
      </c>
      <c r="D122" s="636" t="s">
        <v>118</v>
      </c>
      <c r="E122" s="254"/>
      <c r="F122" s="749">
        <f>F125</f>
        <v>4</v>
      </c>
      <c r="G122" s="1375"/>
      <c r="H122" s="1299"/>
      <c r="I122" s="1299"/>
      <c r="J122" s="1299"/>
      <c r="K122" s="1299"/>
      <c r="L122" s="1299"/>
      <c r="M122" s="1299"/>
    </row>
    <row r="123" spans="1:13" s="74" customFormat="1">
      <c r="A123" s="1201"/>
      <c r="B123" s="750"/>
      <c r="C123" s="751" t="s">
        <v>214</v>
      </c>
      <c r="D123" s="750" t="s">
        <v>29</v>
      </c>
      <c r="E123" s="254">
        <v>1.59</v>
      </c>
      <c r="F123" s="752">
        <f>F122*E123</f>
        <v>6.36</v>
      </c>
      <c r="G123" s="1375"/>
      <c r="H123" s="1299"/>
      <c r="I123" s="1300"/>
      <c r="J123" s="1299">
        <f>F123*I123</f>
        <v>0</v>
      </c>
      <c r="K123" s="1299"/>
      <c r="L123" s="1299"/>
      <c r="M123" s="1299">
        <f t="shared" ref="M123:M150" si="4">H123+J123+L123</f>
        <v>0</v>
      </c>
    </row>
    <row r="124" spans="1:13" s="74" customFormat="1">
      <c r="A124" s="1201"/>
      <c r="B124" s="750"/>
      <c r="C124" s="184" t="s">
        <v>28</v>
      </c>
      <c r="D124" s="722" t="s">
        <v>24</v>
      </c>
      <c r="E124" s="752">
        <v>0.06</v>
      </c>
      <c r="F124" s="752">
        <f>F122*E124</f>
        <v>0.24</v>
      </c>
      <c r="G124" s="1375"/>
      <c r="H124" s="1299"/>
      <c r="I124" s="1299"/>
      <c r="J124" s="1299"/>
      <c r="K124" s="1300"/>
      <c r="L124" s="1299">
        <f>F124*K124</f>
        <v>0</v>
      </c>
      <c r="M124" s="1299">
        <f t="shared" si="4"/>
        <v>0</v>
      </c>
    </row>
    <row r="125" spans="1:13" s="74" customFormat="1">
      <c r="A125" s="1201"/>
      <c r="B125" s="753"/>
      <c r="C125" s="754" t="s">
        <v>674</v>
      </c>
      <c r="D125" s="753" t="s">
        <v>118</v>
      </c>
      <c r="E125" s="254"/>
      <c r="F125" s="755">
        <v>4</v>
      </c>
      <c r="G125" s="1376"/>
      <c r="H125" s="1299">
        <f>F125*G125</f>
        <v>0</v>
      </c>
      <c r="I125" s="1299"/>
      <c r="J125" s="1299"/>
      <c r="K125" s="1299"/>
      <c r="L125" s="1299"/>
      <c r="M125" s="1299">
        <f t="shared" si="4"/>
        <v>0</v>
      </c>
    </row>
    <row r="126" spans="1:13" s="74" customFormat="1">
      <c r="A126" s="1202"/>
      <c r="B126" s="750"/>
      <c r="C126" s="184" t="s">
        <v>37</v>
      </c>
      <c r="D126" s="722" t="s">
        <v>24</v>
      </c>
      <c r="E126" s="752">
        <v>0.66</v>
      </c>
      <c r="F126" s="752">
        <f>F122*E126</f>
        <v>2.64</v>
      </c>
      <c r="G126" s="1376"/>
      <c r="H126" s="1299"/>
      <c r="I126" s="1299"/>
      <c r="J126" s="1299"/>
      <c r="K126" s="1299"/>
      <c r="L126" s="1299"/>
      <c r="M126" s="1299">
        <f t="shared" si="4"/>
        <v>0</v>
      </c>
    </row>
    <row r="127" spans="1:13" s="74" customFormat="1">
      <c r="A127" s="1178" t="s">
        <v>335</v>
      </c>
      <c r="B127" s="724" t="s">
        <v>675</v>
      </c>
      <c r="C127" s="756" t="s">
        <v>676</v>
      </c>
      <c r="D127" s="718" t="s">
        <v>2</v>
      </c>
      <c r="E127" s="377"/>
      <c r="F127" s="749">
        <f>F130+F131</f>
        <v>2</v>
      </c>
      <c r="G127" s="1375"/>
      <c r="H127" s="1299"/>
      <c r="I127" s="1299"/>
      <c r="J127" s="1299"/>
      <c r="K127" s="1299"/>
      <c r="L127" s="1299"/>
      <c r="M127" s="1299"/>
    </row>
    <row r="128" spans="1:13" s="74" customFormat="1">
      <c r="A128" s="1206"/>
      <c r="B128" s="723"/>
      <c r="C128" s="757" t="s">
        <v>214</v>
      </c>
      <c r="D128" s="758" t="s">
        <v>29</v>
      </c>
      <c r="E128" s="759">
        <v>2.0499999999999998</v>
      </c>
      <c r="F128" s="752">
        <f>F127*E128</f>
        <v>4.0999999999999996</v>
      </c>
      <c r="G128" s="1375"/>
      <c r="H128" s="1299"/>
      <c r="I128" s="1300"/>
      <c r="J128" s="1299">
        <f>F128*I128</f>
        <v>0</v>
      </c>
      <c r="K128" s="1299"/>
      <c r="L128" s="1299"/>
      <c r="M128" s="1299">
        <f t="shared" si="4"/>
        <v>0</v>
      </c>
    </row>
    <row r="129" spans="1:13" s="74" customFormat="1">
      <c r="A129" s="1206"/>
      <c r="B129" s="723"/>
      <c r="C129" s="172" t="s">
        <v>28</v>
      </c>
      <c r="D129" s="618" t="s">
        <v>24</v>
      </c>
      <c r="E129" s="759">
        <v>0.12</v>
      </c>
      <c r="F129" s="752">
        <f>F128*E129</f>
        <v>0.49199999999999994</v>
      </c>
      <c r="G129" s="1375"/>
      <c r="H129" s="1299"/>
      <c r="I129" s="1299"/>
      <c r="J129" s="1299"/>
      <c r="K129" s="1300"/>
      <c r="L129" s="1299">
        <f>F129*K129</f>
        <v>0</v>
      </c>
      <c r="M129" s="1299">
        <f t="shared" si="4"/>
        <v>0</v>
      </c>
    </row>
    <row r="130" spans="1:13" s="74" customFormat="1">
      <c r="A130" s="1206"/>
      <c r="B130" s="723"/>
      <c r="C130" s="760" t="s">
        <v>677</v>
      </c>
      <c r="D130" s="761" t="s">
        <v>118</v>
      </c>
      <c r="E130" s="759">
        <v>1</v>
      </c>
      <c r="F130" s="755">
        <v>1</v>
      </c>
      <c r="G130" s="1376"/>
      <c r="H130" s="1299">
        <f>F130*G130</f>
        <v>0</v>
      </c>
      <c r="I130" s="1299"/>
      <c r="J130" s="1299"/>
      <c r="K130" s="1299"/>
      <c r="L130" s="1299"/>
      <c r="M130" s="1299">
        <f t="shared" si="4"/>
        <v>0</v>
      </c>
    </row>
    <row r="131" spans="1:13" s="74" customFormat="1">
      <c r="A131" s="1206"/>
      <c r="B131" s="723"/>
      <c r="C131" s="760" t="s">
        <v>896</v>
      </c>
      <c r="D131" s="761" t="s">
        <v>118</v>
      </c>
      <c r="E131" s="759">
        <v>1</v>
      </c>
      <c r="F131" s="755">
        <v>1</v>
      </c>
      <c r="G131" s="1376"/>
      <c r="H131" s="1299">
        <f>F131*G131</f>
        <v>0</v>
      </c>
      <c r="I131" s="1299"/>
      <c r="J131" s="1299"/>
      <c r="K131" s="1299"/>
      <c r="L131" s="1299"/>
      <c r="M131" s="1299">
        <f t="shared" si="4"/>
        <v>0</v>
      </c>
    </row>
    <row r="132" spans="1:13" s="74" customFormat="1">
      <c r="A132" s="1207"/>
      <c r="B132" s="723"/>
      <c r="C132" s="172" t="s">
        <v>37</v>
      </c>
      <c r="D132" s="618" t="s">
        <v>24</v>
      </c>
      <c r="E132" s="759">
        <v>0.14000000000000001</v>
      </c>
      <c r="F132" s="752">
        <f>F128*E132</f>
        <v>0.57399999999999995</v>
      </c>
      <c r="G132" s="1376"/>
      <c r="H132" s="1299">
        <f>F132*G132</f>
        <v>0</v>
      </c>
      <c r="I132" s="1299"/>
      <c r="J132" s="1299"/>
      <c r="K132" s="1299"/>
      <c r="L132" s="1299"/>
      <c r="M132" s="1299">
        <f t="shared" si="4"/>
        <v>0</v>
      </c>
    </row>
    <row r="133" spans="1:13" s="74" customFormat="1">
      <c r="A133" s="1208" t="s">
        <v>103</v>
      </c>
      <c r="B133" s="762" t="s">
        <v>678</v>
      </c>
      <c r="C133" s="635" t="s">
        <v>679</v>
      </c>
      <c r="D133" s="728" t="s">
        <v>2</v>
      </c>
      <c r="E133" s="763"/>
      <c r="F133" s="49">
        <f>F136+F137</f>
        <v>2</v>
      </c>
      <c r="G133" s="1299"/>
      <c r="H133" s="1396"/>
      <c r="I133" s="1396"/>
      <c r="J133" s="1396"/>
      <c r="K133" s="1396"/>
      <c r="L133" s="1396"/>
      <c r="M133" s="1396"/>
    </row>
    <row r="134" spans="1:13" s="74" customFormat="1">
      <c r="A134" s="1208"/>
      <c r="B134" s="764"/>
      <c r="C134" s="177" t="s">
        <v>27</v>
      </c>
      <c r="D134" s="728" t="s">
        <v>2</v>
      </c>
      <c r="E134" s="239">
        <v>1.23</v>
      </c>
      <c r="F134" s="239">
        <f>E134*F133</f>
        <v>2.46</v>
      </c>
      <c r="G134" s="1299"/>
      <c r="H134" s="1396"/>
      <c r="I134" s="1300"/>
      <c r="J134" s="1396">
        <f>F134*I134</f>
        <v>0</v>
      </c>
      <c r="K134" s="1299"/>
      <c r="L134" s="1396"/>
      <c r="M134" s="1396">
        <f t="shared" si="4"/>
        <v>0</v>
      </c>
    </row>
    <row r="135" spans="1:13" s="74" customFormat="1">
      <c r="A135" s="1208"/>
      <c r="B135" s="764"/>
      <c r="C135" s="172" t="s">
        <v>28</v>
      </c>
      <c r="D135" s="618" t="s">
        <v>24</v>
      </c>
      <c r="E135" s="759">
        <v>0.23</v>
      </c>
      <c r="F135" s="752">
        <f>F133*E135</f>
        <v>0.46</v>
      </c>
      <c r="G135" s="1375"/>
      <c r="H135" s="1299"/>
      <c r="I135" s="1299"/>
      <c r="J135" s="1299"/>
      <c r="K135" s="1300"/>
      <c r="L135" s="1299">
        <f>F135*K135</f>
        <v>0</v>
      </c>
      <c r="M135" s="1299">
        <f t="shared" si="4"/>
        <v>0</v>
      </c>
    </row>
    <row r="136" spans="1:13" s="74" customFormat="1">
      <c r="A136" s="1208"/>
      <c r="B136" s="764"/>
      <c r="C136" s="765" t="s">
        <v>680</v>
      </c>
      <c r="D136" s="728" t="s">
        <v>2</v>
      </c>
      <c r="E136" s="763"/>
      <c r="F136" s="54">
        <v>1</v>
      </c>
      <c r="G136" s="1376"/>
      <c r="H136" s="1396">
        <f>F136*G136</f>
        <v>0</v>
      </c>
      <c r="I136" s="1396"/>
      <c r="J136" s="1396"/>
      <c r="K136" s="1396"/>
      <c r="L136" s="1396"/>
      <c r="M136" s="1396">
        <f t="shared" si="4"/>
        <v>0</v>
      </c>
    </row>
    <row r="137" spans="1:13" s="74" customFormat="1">
      <c r="A137" s="1208"/>
      <c r="B137" s="764"/>
      <c r="C137" s="765" t="s">
        <v>681</v>
      </c>
      <c r="D137" s="728" t="s">
        <v>2</v>
      </c>
      <c r="E137" s="763"/>
      <c r="F137" s="54">
        <v>1</v>
      </c>
      <c r="G137" s="1376"/>
      <c r="H137" s="1396">
        <f>F137*G137</f>
        <v>0</v>
      </c>
      <c r="I137" s="1396"/>
      <c r="J137" s="1396"/>
      <c r="K137" s="1396"/>
      <c r="L137" s="1396"/>
      <c r="M137" s="1396">
        <f t="shared" si="4"/>
        <v>0</v>
      </c>
    </row>
    <row r="138" spans="1:13" s="74" customFormat="1">
      <c r="A138" s="1208"/>
      <c r="B138" s="762"/>
      <c r="C138" s="172" t="s">
        <v>37</v>
      </c>
      <c r="D138" s="618" t="s">
        <v>24</v>
      </c>
      <c r="E138" s="759">
        <v>0.04</v>
      </c>
      <c r="F138" s="752">
        <f>F133*E138</f>
        <v>0.08</v>
      </c>
      <c r="G138" s="1376"/>
      <c r="H138" s="1299">
        <f>F138*G138</f>
        <v>0</v>
      </c>
      <c r="I138" s="1299"/>
      <c r="J138" s="1299"/>
      <c r="K138" s="1299"/>
      <c r="L138" s="1299"/>
      <c r="M138" s="1299">
        <f t="shared" si="4"/>
        <v>0</v>
      </c>
    </row>
    <row r="139" spans="1:13" s="74" customFormat="1">
      <c r="A139" s="1203" t="s">
        <v>336</v>
      </c>
      <c r="B139" s="766" t="s">
        <v>363</v>
      </c>
      <c r="C139" s="176" t="s">
        <v>365</v>
      </c>
      <c r="D139" s="862" t="s">
        <v>118</v>
      </c>
      <c r="E139" s="763"/>
      <c r="F139" s="249">
        <f>F141</f>
        <v>1</v>
      </c>
      <c r="G139" s="1299"/>
      <c r="H139" s="1396"/>
      <c r="I139" s="1396"/>
      <c r="J139" s="1396"/>
      <c r="K139" s="1396"/>
      <c r="L139" s="1396"/>
      <c r="M139" s="1396"/>
    </row>
    <row r="140" spans="1:13" s="74" customFormat="1">
      <c r="A140" s="1204"/>
      <c r="B140" s="767"/>
      <c r="C140" s="177" t="s">
        <v>27</v>
      </c>
      <c r="D140" s="863" t="s">
        <v>29</v>
      </c>
      <c r="E140" s="196">
        <v>0.31</v>
      </c>
      <c r="F140" s="196">
        <f>E140*F139</f>
        <v>0.31</v>
      </c>
      <c r="G140" s="1299"/>
      <c r="H140" s="1396"/>
      <c r="I140" s="1300"/>
      <c r="J140" s="1396">
        <f>F140*I140</f>
        <v>0</v>
      </c>
      <c r="K140" s="1299"/>
      <c r="L140" s="1396"/>
      <c r="M140" s="1396">
        <f>H140+J140+L140</f>
        <v>0</v>
      </c>
    </row>
    <row r="141" spans="1:13" s="74" customFormat="1">
      <c r="A141" s="1204"/>
      <c r="B141" s="767"/>
      <c r="C141" s="177" t="s">
        <v>683</v>
      </c>
      <c r="D141" s="863" t="s">
        <v>118</v>
      </c>
      <c r="E141" s="763">
        <v>1</v>
      </c>
      <c r="F141" s="209">
        <v>1</v>
      </c>
      <c r="G141" s="1300"/>
      <c r="H141" s="1396">
        <f>F141*G141</f>
        <v>0</v>
      </c>
      <c r="I141" s="1396"/>
      <c r="J141" s="1396"/>
      <c r="K141" s="1396"/>
      <c r="L141" s="1396"/>
      <c r="M141" s="1396">
        <f>H141+J141+L141</f>
        <v>0</v>
      </c>
    </row>
    <row r="142" spans="1:13" s="74" customFormat="1">
      <c r="A142" s="1205"/>
      <c r="B142" s="767"/>
      <c r="C142" s="177" t="s">
        <v>37</v>
      </c>
      <c r="D142" s="863" t="s">
        <v>24</v>
      </c>
      <c r="E142" s="763">
        <v>0.04</v>
      </c>
      <c r="F142" s="209">
        <f>F139*E142</f>
        <v>0.04</v>
      </c>
      <c r="G142" s="1300"/>
      <c r="H142" s="1396">
        <f>F142*G142</f>
        <v>0</v>
      </c>
      <c r="I142" s="1396"/>
      <c r="J142" s="1396"/>
      <c r="K142" s="1396"/>
      <c r="L142" s="1396"/>
      <c r="M142" s="1396">
        <f>H142+J142+L142</f>
        <v>0</v>
      </c>
    </row>
    <row r="143" spans="1:13" s="74" customFormat="1">
      <c r="A143" s="1203" t="s">
        <v>336</v>
      </c>
      <c r="B143" s="766" t="s">
        <v>363</v>
      </c>
      <c r="C143" s="176" t="s">
        <v>364</v>
      </c>
      <c r="D143" s="726" t="s">
        <v>118</v>
      </c>
      <c r="E143" s="763"/>
      <c r="F143" s="249">
        <f>F145</f>
        <v>2</v>
      </c>
      <c r="G143" s="1299"/>
      <c r="H143" s="1396"/>
      <c r="I143" s="1396"/>
      <c r="J143" s="1396"/>
      <c r="K143" s="1396"/>
      <c r="L143" s="1396"/>
      <c r="M143" s="1396"/>
    </row>
    <row r="144" spans="1:13" s="74" customFormat="1">
      <c r="A144" s="1204"/>
      <c r="B144" s="767"/>
      <c r="C144" s="177" t="s">
        <v>27</v>
      </c>
      <c r="D144" s="728" t="s">
        <v>29</v>
      </c>
      <c r="E144" s="196">
        <v>0.31</v>
      </c>
      <c r="F144" s="196">
        <f>E144*F143</f>
        <v>0.62</v>
      </c>
      <c r="G144" s="1299"/>
      <c r="H144" s="1396"/>
      <c r="I144" s="1300"/>
      <c r="J144" s="1396">
        <f>F144*I144</f>
        <v>0</v>
      </c>
      <c r="K144" s="1299"/>
      <c r="L144" s="1396"/>
      <c r="M144" s="1396">
        <f t="shared" si="4"/>
        <v>0</v>
      </c>
    </row>
    <row r="145" spans="1:13" s="74" customFormat="1">
      <c r="A145" s="1204"/>
      <c r="B145" s="767"/>
      <c r="C145" s="177" t="s">
        <v>682</v>
      </c>
      <c r="D145" s="728" t="s">
        <v>118</v>
      </c>
      <c r="E145" s="763">
        <v>1</v>
      </c>
      <c r="F145" s="209">
        <v>2</v>
      </c>
      <c r="G145" s="1300"/>
      <c r="H145" s="1396">
        <f>F145*G145</f>
        <v>0</v>
      </c>
      <c r="I145" s="1396"/>
      <c r="J145" s="1396"/>
      <c r="K145" s="1396"/>
      <c r="L145" s="1396"/>
      <c r="M145" s="1396">
        <f t="shared" si="4"/>
        <v>0</v>
      </c>
    </row>
    <row r="146" spans="1:13" s="74" customFormat="1">
      <c r="A146" s="1205"/>
      <c r="B146" s="767"/>
      <c r="C146" s="177" t="s">
        <v>37</v>
      </c>
      <c r="D146" s="728" t="s">
        <v>24</v>
      </c>
      <c r="E146" s="763">
        <v>0.04</v>
      </c>
      <c r="F146" s="209">
        <f>F143*E146</f>
        <v>0.08</v>
      </c>
      <c r="G146" s="1300"/>
      <c r="H146" s="1396">
        <f>F146*G146</f>
        <v>0</v>
      </c>
      <c r="I146" s="1396"/>
      <c r="J146" s="1396"/>
      <c r="K146" s="1396"/>
      <c r="L146" s="1396"/>
      <c r="M146" s="1396">
        <f t="shared" si="4"/>
        <v>0</v>
      </c>
    </row>
    <row r="147" spans="1:13" s="74" customFormat="1">
      <c r="A147" s="1133" t="s">
        <v>59</v>
      </c>
      <c r="B147" s="727" t="s">
        <v>312</v>
      </c>
      <c r="C147" s="176" t="s">
        <v>313</v>
      </c>
      <c r="D147" s="726" t="s">
        <v>118</v>
      </c>
      <c r="E147" s="768"/>
      <c r="F147" s="249">
        <f>F149</f>
        <v>1</v>
      </c>
      <c r="G147" s="1299"/>
      <c r="H147" s="1396"/>
      <c r="I147" s="1299"/>
      <c r="J147" s="1396"/>
      <c r="K147" s="1299"/>
      <c r="L147" s="1299"/>
      <c r="M147" s="1299"/>
    </row>
    <row r="148" spans="1:13" s="74" customFormat="1">
      <c r="A148" s="1134"/>
      <c r="B148" s="727"/>
      <c r="C148" s="177" t="s">
        <v>27</v>
      </c>
      <c r="D148" s="728" t="s">
        <v>29</v>
      </c>
      <c r="E148" s="196">
        <v>0.22</v>
      </c>
      <c r="F148" s="196">
        <f>E148*F147</f>
        <v>0.22</v>
      </c>
      <c r="G148" s="1299"/>
      <c r="H148" s="1299"/>
      <c r="I148" s="1300"/>
      <c r="J148" s="1299">
        <f>F148*I148</f>
        <v>0</v>
      </c>
      <c r="K148" s="1299"/>
      <c r="L148" s="1299"/>
      <c r="M148" s="1299">
        <f t="shared" si="4"/>
        <v>0</v>
      </c>
    </row>
    <row r="149" spans="1:13" s="74" customFormat="1">
      <c r="A149" s="1134"/>
      <c r="B149" s="727"/>
      <c r="C149" s="177" t="s">
        <v>314</v>
      </c>
      <c r="D149" s="728" t="s">
        <v>118</v>
      </c>
      <c r="E149" s="196">
        <v>1</v>
      </c>
      <c r="F149" s="239">
        <v>1</v>
      </c>
      <c r="G149" s="1300"/>
      <c r="H149" s="1299">
        <f>F149*G149</f>
        <v>0</v>
      </c>
      <c r="I149" s="1299"/>
      <c r="J149" s="1299"/>
      <c r="K149" s="1299"/>
      <c r="L149" s="1299"/>
      <c r="M149" s="1299">
        <f t="shared" si="4"/>
        <v>0</v>
      </c>
    </row>
    <row r="150" spans="1:13" s="74" customFormat="1">
      <c r="A150" s="1139"/>
      <c r="B150" s="727"/>
      <c r="C150" s="177" t="s">
        <v>37</v>
      </c>
      <c r="D150" s="728" t="s">
        <v>24</v>
      </c>
      <c r="E150" s="196">
        <v>0.02</v>
      </c>
      <c r="F150" s="196">
        <f>E150*F147</f>
        <v>0.02</v>
      </c>
      <c r="G150" s="1300"/>
      <c r="H150" s="1299">
        <f>F150*G150</f>
        <v>0</v>
      </c>
      <c r="I150" s="1299"/>
      <c r="J150" s="1299"/>
      <c r="K150" s="1299"/>
      <c r="L150" s="1299"/>
      <c r="M150" s="1299">
        <f t="shared" si="4"/>
        <v>0</v>
      </c>
    </row>
    <row r="151" spans="1:13" s="74" customFormat="1">
      <c r="A151" s="1130" t="s">
        <v>337</v>
      </c>
      <c r="B151" s="769" t="s">
        <v>158</v>
      </c>
      <c r="C151" s="770" t="s">
        <v>159</v>
      </c>
      <c r="D151" s="618" t="s">
        <v>2</v>
      </c>
      <c r="E151" s="771"/>
      <c r="F151" s="251">
        <f>SUM(F154:F155)</f>
        <v>11</v>
      </c>
      <c r="G151" s="1303"/>
      <c r="H151" s="1299"/>
      <c r="I151" s="1299"/>
      <c r="J151" s="1299"/>
      <c r="K151" s="1299"/>
      <c r="L151" s="1299"/>
      <c r="M151" s="1299"/>
    </row>
    <row r="152" spans="1:13" s="74" customFormat="1">
      <c r="A152" s="1131"/>
      <c r="B152" s="216"/>
      <c r="C152" s="217" t="s">
        <v>161</v>
      </c>
      <c r="D152" s="216" t="s">
        <v>148</v>
      </c>
      <c r="E152" s="772">
        <v>1.51</v>
      </c>
      <c r="F152" s="223">
        <f>F151*E152</f>
        <v>16.61</v>
      </c>
      <c r="G152" s="1303"/>
      <c r="H152" s="1299"/>
      <c r="I152" s="1300"/>
      <c r="J152" s="1299">
        <f>F152*I152</f>
        <v>0</v>
      </c>
      <c r="K152" s="1299"/>
      <c r="L152" s="1299"/>
      <c r="M152" s="1299">
        <f>H152+J152+L152</f>
        <v>0</v>
      </c>
    </row>
    <row r="153" spans="1:13" s="74" customFormat="1">
      <c r="A153" s="1131"/>
      <c r="B153" s="216"/>
      <c r="C153" s="217" t="s">
        <v>162</v>
      </c>
      <c r="D153" s="216" t="s">
        <v>149</v>
      </c>
      <c r="E153" s="772">
        <v>0.13</v>
      </c>
      <c r="F153" s="223">
        <f>F151*E153</f>
        <v>1.4300000000000002</v>
      </c>
      <c r="G153" s="1303"/>
      <c r="H153" s="1299"/>
      <c r="I153" s="1299"/>
      <c r="J153" s="1299"/>
      <c r="K153" s="1300"/>
      <c r="L153" s="1299">
        <f>F153*K153</f>
        <v>0</v>
      </c>
      <c r="M153" s="1299">
        <f>H153+J153+L153</f>
        <v>0</v>
      </c>
    </row>
    <row r="154" spans="1:13" s="74" customFormat="1">
      <c r="A154" s="1131"/>
      <c r="B154" s="216"/>
      <c r="C154" s="217" t="s">
        <v>684</v>
      </c>
      <c r="D154" s="618" t="s">
        <v>2</v>
      </c>
      <c r="E154" s="772"/>
      <c r="F154" s="223">
        <v>6</v>
      </c>
      <c r="G154" s="1310"/>
      <c r="H154" s="1299">
        <f>F154*G154</f>
        <v>0</v>
      </c>
      <c r="I154" s="1299"/>
      <c r="J154" s="1299"/>
      <c r="K154" s="1299"/>
      <c r="L154" s="1299"/>
      <c r="M154" s="1299">
        <f>H154+J154+L154</f>
        <v>0</v>
      </c>
    </row>
    <row r="155" spans="1:13" s="74" customFormat="1">
      <c r="A155" s="1131"/>
      <c r="B155" s="216"/>
      <c r="C155" s="217" t="s">
        <v>685</v>
      </c>
      <c r="D155" s="618" t="s">
        <v>2</v>
      </c>
      <c r="E155" s="772"/>
      <c r="F155" s="223">
        <v>5</v>
      </c>
      <c r="G155" s="1310"/>
      <c r="H155" s="1299">
        <f>F155*G155</f>
        <v>0</v>
      </c>
      <c r="I155" s="1299"/>
      <c r="J155" s="1299"/>
      <c r="K155" s="1299"/>
      <c r="L155" s="1299"/>
      <c r="M155" s="1299">
        <f>H155+J155+L155</f>
        <v>0</v>
      </c>
    </row>
    <row r="156" spans="1:13" s="74" customFormat="1">
      <c r="A156" s="1132"/>
      <c r="B156" s="216"/>
      <c r="C156" s="217" t="s">
        <v>150</v>
      </c>
      <c r="D156" s="216" t="s">
        <v>149</v>
      </c>
      <c r="E156" s="772">
        <v>7.0000000000000007E-2</v>
      </c>
      <c r="F156" s="223">
        <f>F151*E156</f>
        <v>0.77</v>
      </c>
      <c r="G156" s="1310"/>
      <c r="H156" s="1299">
        <f>F156*G156</f>
        <v>0</v>
      </c>
      <c r="I156" s="1299"/>
      <c r="J156" s="1299"/>
      <c r="K156" s="1299"/>
      <c r="L156" s="1299"/>
      <c r="M156" s="1299">
        <f>H156+J156+L156</f>
        <v>0</v>
      </c>
    </row>
    <row r="157" spans="1:13" s="74" customFormat="1">
      <c r="A157" s="1130" t="s">
        <v>60</v>
      </c>
      <c r="B157" s="726" t="s">
        <v>686</v>
      </c>
      <c r="C157" s="176" t="s">
        <v>1010</v>
      </c>
      <c r="D157" s="726" t="s">
        <v>687</v>
      </c>
      <c r="E157" s="99"/>
      <c r="F157" s="49">
        <f>SUM(F160:F162)</f>
        <v>13.3</v>
      </c>
      <c r="G157" s="1304"/>
      <c r="H157" s="1333"/>
      <c r="I157" s="1333"/>
      <c r="J157" s="1333"/>
      <c r="K157" s="1333"/>
      <c r="L157" s="1333"/>
      <c r="M157" s="1304"/>
    </row>
    <row r="158" spans="1:13" s="74" customFormat="1">
      <c r="A158" s="1131"/>
      <c r="B158" s="728"/>
      <c r="C158" s="177" t="s">
        <v>668</v>
      </c>
      <c r="D158" s="728" t="s">
        <v>29</v>
      </c>
      <c r="E158" s="54">
        <v>0.60599999999999998</v>
      </c>
      <c r="F158" s="746">
        <f>F157*E158</f>
        <v>8.059800000000001</v>
      </c>
      <c r="G158" s="1333"/>
      <c r="H158" s="1333"/>
      <c r="I158" s="1390"/>
      <c r="J158" s="1389">
        <f>F158*I158</f>
        <v>0</v>
      </c>
      <c r="K158" s="1333"/>
      <c r="L158" s="1333"/>
      <c r="M158" s="1303">
        <f>L158+J158+H158</f>
        <v>0</v>
      </c>
    </row>
    <row r="159" spans="1:13" s="74" customFormat="1">
      <c r="A159" s="1131"/>
      <c r="B159" s="728"/>
      <c r="C159" s="177" t="s">
        <v>669</v>
      </c>
      <c r="D159" s="728" t="s">
        <v>24</v>
      </c>
      <c r="E159" s="54">
        <v>3.4299999999999997E-2</v>
      </c>
      <c r="F159" s="746">
        <f>F157*E159</f>
        <v>0.45618999999999998</v>
      </c>
      <c r="G159" s="1333"/>
      <c r="H159" s="1333"/>
      <c r="I159" s="1333"/>
      <c r="J159" s="1333"/>
      <c r="K159" s="1390"/>
      <c r="L159" s="1389">
        <f>F159*K159</f>
        <v>0</v>
      </c>
      <c r="M159" s="1333">
        <f t="shared" ref="M159:M166" si="5">L159+J159+H159</f>
        <v>0</v>
      </c>
    </row>
    <row r="160" spans="1:13" s="74" customFormat="1">
      <c r="A160" s="1131"/>
      <c r="B160" s="728"/>
      <c r="C160" s="177" t="s">
        <v>688</v>
      </c>
      <c r="D160" s="728" t="s">
        <v>687</v>
      </c>
      <c r="E160" s="54"/>
      <c r="F160" s="746">
        <v>4.5</v>
      </c>
      <c r="G160" s="1390"/>
      <c r="H160" s="1389">
        <f t="shared" ref="H160:H166" si="6">F160*G160</f>
        <v>0</v>
      </c>
      <c r="I160" s="1333"/>
      <c r="J160" s="1333"/>
      <c r="K160" s="1333"/>
      <c r="L160" s="1333"/>
      <c r="M160" s="1333">
        <f t="shared" si="5"/>
        <v>0</v>
      </c>
    </row>
    <row r="161" spans="1:13" s="74" customFormat="1">
      <c r="A161" s="1131"/>
      <c r="B161" s="728"/>
      <c r="C161" s="177" t="s">
        <v>689</v>
      </c>
      <c r="D161" s="728" t="s">
        <v>687</v>
      </c>
      <c r="E161" s="54"/>
      <c r="F161" s="746">
        <v>6</v>
      </c>
      <c r="G161" s="1390"/>
      <c r="H161" s="1389">
        <f t="shared" si="6"/>
        <v>0</v>
      </c>
      <c r="I161" s="1333"/>
      <c r="J161" s="1333"/>
      <c r="K161" s="1333"/>
      <c r="L161" s="1333"/>
      <c r="M161" s="1333">
        <f t="shared" si="5"/>
        <v>0</v>
      </c>
    </row>
    <row r="162" spans="1:13" s="74" customFormat="1">
      <c r="A162" s="1131"/>
      <c r="B162" s="313"/>
      <c r="C162" s="177" t="s">
        <v>690</v>
      </c>
      <c r="D162" s="728" t="s">
        <v>687</v>
      </c>
      <c r="E162" s="315"/>
      <c r="F162" s="746">
        <v>2.8</v>
      </c>
      <c r="G162" s="1390"/>
      <c r="H162" s="1389">
        <f t="shared" si="6"/>
        <v>0</v>
      </c>
      <c r="I162" s="1304"/>
      <c r="J162" s="1304"/>
      <c r="K162" s="1304"/>
      <c r="L162" s="1304"/>
      <c r="M162" s="1333">
        <f t="shared" si="5"/>
        <v>0</v>
      </c>
    </row>
    <row r="163" spans="1:13" s="74" customFormat="1">
      <c r="A163" s="1131"/>
      <c r="B163" s="313"/>
      <c r="C163" s="177" t="s">
        <v>691</v>
      </c>
      <c r="D163" s="728" t="s">
        <v>687</v>
      </c>
      <c r="E163" s="315"/>
      <c r="F163" s="255">
        <f>F160</f>
        <v>4.5</v>
      </c>
      <c r="G163" s="1334"/>
      <c r="H163" s="1389">
        <f t="shared" si="6"/>
        <v>0</v>
      </c>
      <c r="I163" s="1389"/>
      <c r="J163" s="1389"/>
      <c r="K163" s="1389"/>
      <c r="L163" s="1389"/>
      <c r="M163" s="1333">
        <f t="shared" si="5"/>
        <v>0</v>
      </c>
    </row>
    <row r="164" spans="1:13" s="74" customFormat="1">
      <c r="A164" s="1131"/>
      <c r="B164" s="313"/>
      <c r="C164" s="177" t="s">
        <v>692</v>
      </c>
      <c r="D164" s="728" t="s">
        <v>687</v>
      </c>
      <c r="E164" s="315"/>
      <c r="F164" s="255">
        <f>F161</f>
        <v>6</v>
      </c>
      <c r="G164" s="1334"/>
      <c r="H164" s="1389">
        <f t="shared" si="6"/>
        <v>0</v>
      </c>
      <c r="I164" s="1389"/>
      <c r="J164" s="1389"/>
      <c r="K164" s="1389"/>
      <c r="L164" s="1389"/>
      <c r="M164" s="1333">
        <f t="shared" si="5"/>
        <v>0</v>
      </c>
    </row>
    <row r="165" spans="1:13" s="74" customFormat="1">
      <c r="A165" s="1131"/>
      <c r="B165" s="313"/>
      <c r="C165" s="177" t="s">
        <v>693</v>
      </c>
      <c r="D165" s="728" t="s">
        <v>687</v>
      </c>
      <c r="E165" s="315"/>
      <c r="F165" s="255">
        <f>F162</f>
        <v>2.8</v>
      </c>
      <c r="G165" s="1334"/>
      <c r="H165" s="1389">
        <f t="shared" si="6"/>
        <v>0</v>
      </c>
      <c r="I165" s="1389"/>
      <c r="J165" s="1389"/>
      <c r="K165" s="1389"/>
      <c r="L165" s="1389"/>
      <c r="M165" s="1333">
        <f t="shared" si="5"/>
        <v>0</v>
      </c>
    </row>
    <row r="166" spans="1:13" s="74" customFormat="1">
      <c r="A166" s="1132"/>
      <c r="B166" s="313"/>
      <c r="C166" s="177" t="s">
        <v>659</v>
      </c>
      <c r="D166" s="728" t="s">
        <v>24</v>
      </c>
      <c r="E166" s="315">
        <v>1.5800000000000002E-2</v>
      </c>
      <c r="F166" s="255">
        <f>F157*E166</f>
        <v>0.21014000000000002</v>
      </c>
      <c r="G166" s="1334"/>
      <c r="H166" s="1389">
        <f t="shared" si="6"/>
        <v>0</v>
      </c>
      <c r="I166" s="1333"/>
      <c r="J166" s="1333"/>
      <c r="K166" s="1333"/>
      <c r="L166" s="1333"/>
      <c r="M166" s="1333">
        <f t="shared" si="5"/>
        <v>0</v>
      </c>
    </row>
    <row r="167" spans="1:13">
      <c r="A167" s="725"/>
      <c r="B167" s="340"/>
      <c r="C167" s="246"/>
      <c r="D167" s="86"/>
      <c r="E167" s="589"/>
      <c r="F167" s="49"/>
      <c r="G167" s="1322"/>
      <c r="H167" s="1299"/>
      <c r="I167" s="1299"/>
      <c r="J167" s="1299"/>
      <c r="K167" s="1299"/>
      <c r="L167" s="1299"/>
      <c r="M167" s="1299"/>
    </row>
    <row r="168" spans="1:13">
      <c r="A168" s="141"/>
      <c r="B168" s="212"/>
      <c r="C168" s="142" t="s">
        <v>1052</v>
      </c>
      <c r="D168" s="212"/>
      <c r="E168" s="309"/>
      <c r="F168" s="214"/>
      <c r="G168" s="1381"/>
      <c r="H168" s="1382">
        <f>SUM(H121:H167)</f>
        <v>0</v>
      </c>
      <c r="I168" s="1382"/>
      <c r="J168" s="1382">
        <f>SUM(J121:J167)</f>
        <v>0</v>
      </c>
      <c r="K168" s="1382"/>
      <c r="L168" s="1382">
        <f>SUM(L121:L167)</f>
        <v>0</v>
      </c>
      <c r="M168" s="1382">
        <f>SUM(M121:M167)</f>
        <v>0</v>
      </c>
    </row>
    <row r="169" spans="1:13" ht="31.5">
      <c r="A169" s="722"/>
      <c r="B169" s="263"/>
      <c r="C169" s="390" t="s">
        <v>456</v>
      </c>
      <c r="D169" s="263"/>
      <c r="E169" s="268"/>
      <c r="F169" s="1110"/>
      <c r="G169" s="1314"/>
      <c r="H169" s="1314"/>
      <c r="I169" s="1314"/>
      <c r="J169" s="1314"/>
      <c r="K169" s="1314"/>
      <c r="L169" s="1314"/>
      <c r="M169" s="1315">
        <f>H168*F169</f>
        <v>0</v>
      </c>
    </row>
    <row r="170" spans="1:13">
      <c r="A170" s="722"/>
      <c r="B170" s="263"/>
      <c r="C170" s="261" t="s">
        <v>70</v>
      </c>
      <c r="D170" s="263"/>
      <c r="E170" s="268"/>
      <c r="F170" s="269"/>
      <c r="G170" s="1314"/>
      <c r="H170" s="1314"/>
      <c r="I170" s="1314"/>
      <c r="J170" s="1314"/>
      <c r="K170" s="1314"/>
      <c r="L170" s="1314"/>
      <c r="M170" s="1315">
        <f>M168+M169</f>
        <v>0</v>
      </c>
    </row>
    <row r="171" spans="1:13">
      <c r="A171" s="350"/>
      <c r="B171" s="271"/>
      <c r="C171" s="94" t="s">
        <v>73</v>
      </c>
      <c r="D171" s="77"/>
      <c r="E171" s="272"/>
      <c r="F171" s="1121"/>
      <c r="G171" s="1316"/>
      <c r="H171" s="1316"/>
      <c r="I171" s="1316"/>
      <c r="J171" s="1316"/>
      <c r="K171" s="1316"/>
      <c r="L171" s="1316"/>
      <c r="M171" s="1316">
        <f>M170*F171</f>
        <v>0</v>
      </c>
    </row>
    <row r="172" spans="1:13">
      <c r="A172" s="324"/>
      <c r="B172" s="274"/>
      <c r="C172" s="261" t="s">
        <v>70</v>
      </c>
      <c r="D172" s="78"/>
      <c r="E172" s="203"/>
      <c r="F172" s="275"/>
      <c r="G172" s="1317"/>
      <c r="H172" s="1317"/>
      <c r="I172" s="1317"/>
      <c r="J172" s="1317"/>
      <c r="K172" s="1317"/>
      <c r="L172" s="1317"/>
      <c r="M172" s="1317">
        <f>M170+M171</f>
        <v>0</v>
      </c>
    </row>
    <row r="173" spans="1:13">
      <c r="A173" s="324"/>
      <c r="B173" s="274"/>
      <c r="C173" s="95" t="s">
        <v>66</v>
      </c>
      <c r="D173" s="78"/>
      <c r="E173" s="203"/>
      <c r="F173" s="1112"/>
      <c r="G173" s="1317"/>
      <c r="H173" s="1317"/>
      <c r="I173" s="1317"/>
      <c r="J173" s="1317"/>
      <c r="K173" s="1317"/>
      <c r="L173" s="1317"/>
      <c r="M173" s="1317">
        <f>M172*F173</f>
        <v>0</v>
      </c>
    </row>
    <row r="174" spans="1:13" s="1098" customFormat="1">
      <c r="A174" s="996"/>
      <c r="B174" s="983"/>
      <c r="C174" s="995" t="s">
        <v>1057</v>
      </c>
      <c r="D174" s="983"/>
      <c r="E174" s="997"/>
      <c r="F174" s="998"/>
      <c r="G174" s="1357"/>
      <c r="H174" s="1397"/>
      <c r="I174" s="1397"/>
      <c r="J174" s="1397"/>
      <c r="K174" s="1397"/>
      <c r="L174" s="1397"/>
      <c r="M174" s="1313">
        <f>M172+M173</f>
        <v>0</v>
      </c>
    </row>
    <row r="175" spans="1:13" s="1107" customFormat="1">
      <c r="A175" s="609" t="s">
        <v>664</v>
      </c>
      <c r="B175" s="745"/>
      <c r="C175" s="610" t="s">
        <v>1006</v>
      </c>
      <c r="D175" s="742"/>
      <c r="E175" s="743"/>
      <c r="F175" s="744"/>
      <c r="G175" s="1384"/>
      <c r="H175" s="1298"/>
      <c r="I175" s="1298"/>
      <c r="J175" s="1298"/>
      <c r="K175" s="1298"/>
      <c r="L175" s="1298"/>
      <c r="M175" s="1298"/>
    </row>
    <row r="176" spans="1:13" s="33" customFormat="1">
      <c r="A176" s="1141" t="s">
        <v>337</v>
      </c>
      <c r="B176" s="344" t="s">
        <v>867</v>
      </c>
      <c r="C176" s="176" t="s">
        <v>866</v>
      </c>
      <c r="D176" s="968" t="s">
        <v>75</v>
      </c>
      <c r="E176" s="567"/>
      <c r="F176" s="568">
        <v>13</v>
      </c>
      <c r="G176" s="1398"/>
      <c r="H176" s="1299"/>
      <c r="I176" s="1398"/>
      <c r="J176" s="1299"/>
      <c r="K176" s="1398"/>
      <c r="L176" s="1299"/>
      <c r="M176" s="1299"/>
    </row>
    <row r="177" spans="1:13" s="33" customFormat="1">
      <c r="A177" s="1166"/>
      <c r="B177" s="852" t="s">
        <v>45</v>
      </c>
      <c r="C177" s="93" t="s">
        <v>27</v>
      </c>
      <c r="D177" s="53" t="s">
        <v>24</v>
      </c>
      <c r="E177" s="119">
        <v>1</v>
      </c>
      <c r="F177" s="252">
        <f>F176*E177</f>
        <v>13</v>
      </c>
      <c r="G177" s="1322"/>
      <c r="H177" s="1306"/>
      <c r="I177" s="1399"/>
      <c r="J177" s="1306">
        <f>F177*I177</f>
        <v>0</v>
      </c>
      <c r="K177" s="1306"/>
      <c r="L177" s="1306"/>
      <c r="M177" s="1306">
        <f>H177+J177+L177</f>
        <v>0</v>
      </c>
    </row>
    <row r="178" spans="1:13" s="33" customFormat="1">
      <c r="A178" s="1166"/>
      <c r="B178" s="345"/>
      <c r="C178" s="165" t="s">
        <v>28</v>
      </c>
      <c r="D178" s="90" t="s">
        <v>24</v>
      </c>
      <c r="E178" s="119">
        <v>0.25</v>
      </c>
      <c r="F178" s="253">
        <f>F176*E178</f>
        <v>3.25</v>
      </c>
      <c r="G178" s="1303"/>
      <c r="H178" s="1299"/>
      <c r="I178" s="1299"/>
      <c r="J178" s="1299"/>
      <c r="K178" s="1300"/>
      <c r="L178" s="1299">
        <f>F178*K178</f>
        <v>0</v>
      </c>
      <c r="M178" s="1299">
        <f>H178+J178+L178</f>
        <v>0</v>
      </c>
    </row>
    <row r="179" spans="1:13" s="33" customFormat="1">
      <c r="A179" s="1166"/>
      <c r="B179" s="345"/>
      <c r="C179" s="165" t="s">
        <v>37</v>
      </c>
      <c r="D179" s="105" t="s">
        <v>24</v>
      </c>
      <c r="E179" s="119">
        <v>1.1399999999999999</v>
      </c>
      <c r="F179" s="253">
        <f>F176*E179</f>
        <v>14.819999999999999</v>
      </c>
      <c r="G179" s="1310"/>
      <c r="H179" s="1299">
        <f>F179*G179</f>
        <v>0</v>
      </c>
      <c r="I179" s="1299"/>
      <c r="J179" s="1299"/>
      <c r="K179" s="1299"/>
      <c r="L179" s="1299"/>
      <c r="M179" s="1299">
        <f>H179+J179+L179</f>
        <v>0</v>
      </c>
    </row>
    <row r="180" spans="1:13" s="33" customFormat="1" ht="47.25">
      <c r="A180" s="1166"/>
      <c r="B180" s="852"/>
      <c r="C180" s="165" t="s">
        <v>1009</v>
      </c>
      <c r="D180" s="105" t="s">
        <v>75</v>
      </c>
      <c r="E180" s="119"/>
      <c r="F180" s="252">
        <f>F176</f>
        <v>13</v>
      </c>
      <c r="G180" s="1310"/>
      <c r="H180" s="1299">
        <f>F180*G180</f>
        <v>0</v>
      </c>
      <c r="I180" s="1299"/>
      <c r="J180" s="1299"/>
      <c r="K180" s="1299"/>
      <c r="L180" s="1299"/>
      <c r="M180" s="1299">
        <f>H180+J180+L180</f>
        <v>0</v>
      </c>
    </row>
    <row r="181" spans="1:13" s="33" customFormat="1">
      <c r="A181" s="1142"/>
      <c r="B181" s="566"/>
      <c r="C181" s="869" t="s">
        <v>354</v>
      </c>
      <c r="D181" s="291" t="s">
        <v>355</v>
      </c>
      <c r="E181" s="868"/>
      <c r="F181" s="253">
        <v>50</v>
      </c>
      <c r="G181" s="1310"/>
      <c r="H181" s="1299">
        <f>F181*G181</f>
        <v>0</v>
      </c>
      <c r="I181" s="1299"/>
      <c r="J181" s="1299"/>
      <c r="K181" s="1299"/>
      <c r="L181" s="1299"/>
      <c r="M181" s="1299">
        <f>H181+J181+L181</f>
        <v>0</v>
      </c>
    </row>
    <row r="182" spans="1:13">
      <c r="A182" s="141"/>
      <c r="B182" s="212"/>
      <c r="C182" s="142" t="s">
        <v>1053</v>
      </c>
      <c r="D182" s="212" t="s">
        <v>24</v>
      </c>
      <c r="E182" s="309"/>
      <c r="F182" s="214"/>
      <c r="G182" s="1381"/>
      <c r="H182" s="1382">
        <f>SUM(H175:H181)</f>
        <v>0</v>
      </c>
      <c r="I182" s="1382"/>
      <c r="J182" s="1382">
        <f>SUM(J175:J181)</f>
        <v>0</v>
      </c>
      <c r="K182" s="1382"/>
      <c r="L182" s="1382">
        <f>SUM(L175:L181)</f>
        <v>0</v>
      </c>
      <c r="M182" s="1382">
        <f>SUM(M175:M181)</f>
        <v>0</v>
      </c>
    </row>
    <row r="183" spans="1:13" ht="31.5">
      <c r="A183" s="305"/>
      <c r="B183" s="305"/>
      <c r="C183" s="1017" t="s">
        <v>1007</v>
      </c>
      <c r="D183" s="305"/>
      <c r="E183" s="306"/>
      <c r="F183" s="1110"/>
      <c r="G183" s="1345"/>
      <c r="H183" s="1345"/>
      <c r="I183" s="1345"/>
      <c r="J183" s="1345"/>
      <c r="K183" s="1345"/>
      <c r="L183" s="1345"/>
      <c r="M183" s="1346">
        <f>H182*F183</f>
        <v>0</v>
      </c>
    </row>
    <row r="184" spans="1:13">
      <c r="A184" s="305"/>
      <c r="B184" s="305"/>
      <c r="C184" s="307" t="s">
        <v>70</v>
      </c>
      <c r="D184" s="305"/>
      <c r="E184" s="306"/>
      <c r="F184" s="269"/>
      <c r="G184" s="1345"/>
      <c r="H184" s="1345"/>
      <c r="I184" s="1345"/>
      <c r="J184" s="1347"/>
      <c r="K184" s="1345"/>
      <c r="L184" s="1345"/>
      <c r="M184" s="1346">
        <f>M182+M183</f>
        <v>0</v>
      </c>
    </row>
    <row r="185" spans="1:13" ht="31.5">
      <c r="A185" s="1012"/>
      <c r="B185" s="308"/>
      <c r="C185" s="578" t="s">
        <v>1008</v>
      </c>
      <c r="D185" s="618"/>
      <c r="E185" s="237"/>
      <c r="F185" s="1121"/>
      <c r="G185" s="1284"/>
      <c r="H185" s="1284"/>
      <c r="I185" s="1284"/>
      <c r="J185" s="1284"/>
      <c r="K185" s="1284"/>
      <c r="L185" s="1284"/>
      <c r="M185" s="1284">
        <f>J182*F185</f>
        <v>0</v>
      </c>
    </row>
    <row r="186" spans="1:13">
      <c r="A186" s="618"/>
      <c r="B186" s="861"/>
      <c r="C186" s="353" t="s">
        <v>70</v>
      </c>
      <c r="D186" s="861"/>
      <c r="E186" s="892"/>
      <c r="F186" s="275"/>
      <c r="G186" s="1391"/>
      <c r="H186" s="1392"/>
      <c r="I186" s="1393"/>
      <c r="J186" s="1393"/>
      <c r="K186" s="1392"/>
      <c r="L186" s="1392"/>
      <c r="M186" s="1391">
        <f>M184+M185</f>
        <v>0</v>
      </c>
    </row>
    <row r="187" spans="1:13">
      <c r="A187" s="618"/>
      <c r="B187" s="618"/>
      <c r="C187" s="578" t="s">
        <v>66</v>
      </c>
      <c r="D187" s="618"/>
      <c r="E187" s="237"/>
      <c r="F187" s="1122"/>
      <c r="G187" s="1284"/>
      <c r="H187" s="1284"/>
      <c r="I187" s="1284"/>
      <c r="J187" s="1284"/>
      <c r="K187" s="1284"/>
      <c r="L187" s="1284"/>
      <c r="M187" s="1284">
        <f>(M186-0)*F187</f>
        <v>0</v>
      </c>
    </row>
    <row r="188" spans="1:13" s="1098" customFormat="1">
      <c r="A188" s="996"/>
      <c r="B188" s="983"/>
      <c r="C188" s="995" t="s">
        <v>1054</v>
      </c>
      <c r="D188" s="983"/>
      <c r="E188" s="997"/>
      <c r="F188" s="998"/>
      <c r="G188" s="1357"/>
      <c r="H188" s="1397"/>
      <c r="I188" s="1397"/>
      <c r="J188" s="1397"/>
      <c r="K188" s="1397"/>
      <c r="L188" s="1397"/>
      <c r="M188" s="1313">
        <f>M186+M187</f>
        <v>0</v>
      </c>
    </row>
    <row r="189" spans="1:13" s="1107" customFormat="1">
      <c r="A189" s="609" t="s">
        <v>1055</v>
      </c>
      <c r="B189" s="745"/>
      <c r="C189" s="610" t="s">
        <v>357</v>
      </c>
      <c r="D189" s="742"/>
      <c r="E189" s="743"/>
      <c r="F189" s="744"/>
      <c r="G189" s="1384"/>
      <c r="H189" s="1298"/>
      <c r="I189" s="1298"/>
      <c r="J189" s="1298"/>
      <c r="K189" s="1298"/>
      <c r="L189" s="1298"/>
      <c r="M189" s="1298"/>
    </row>
    <row r="190" spans="1:13" s="74" customFormat="1" ht="31.5">
      <c r="A190" s="1197" t="s">
        <v>334</v>
      </c>
      <c r="B190" s="726" t="s">
        <v>546</v>
      </c>
      <c r="C190" s="176" t="s">
        <v>654</v>
      </c>
      <c r="D190" s="726" t="s">
        <v>655</v>
      </c>
      <c r="E190" s="99"/>
      <c r="F190" s="49">
        <f>F193*0.6/100</f>
        <v>0.33</v>
      </c>
      <c r="G190" s="1304"/>
      <c r="H190" s="1389"/>
      <c r="I190" s="1389"/>
      <c r="J190" s="1389"/>
      <c r="K190" s="1389"/>
      <c r="L190" s="1389"/>
      <c r="M190" s="1304"/>
    </row>
    <row r="191" spans="1:13" s="74" customFormat="1">
      <c r="A191" s="1198"/>
      <c r="B191" s="728"/>
      <c r="C191" s="177" t="s">
        <v>656</v>
      </c>
      <c r="D191" s="728" t="s">
        <v>29</v>
      </c>
      <c r="E191" s="54">
        <v>154</v>
      </c>
      <c r="F191" s="746">
        <f>F190*E191</f>
        <v>50.82</v>
      </c>
      <c r="G191" s="1389"/>
      <c r="H191" s="1389"/>
      <c r="I191" s="1310"/>
      <c r="J191" s="1389">
        <f>F191*I191</f>
        <v>0</v>
      </c>
      <c r="K191" s="1389"/>
      <c r="L191" s="1389"/>
      <c r="M191" s="1303">
        <f>J191</f>
        <v>0</v>
      </c>
    </row>
    <row r="192" spans="1:13" s="74" customFormat="1">
      <c r="A192" s="1198"/>
      <c r="B192" s="728"/>
      <c r="C192" s="177" t="s">
        <v>36</v>
      </c>
      <c r="D192" s="728" t="s">
        <v>24</v>
      </c>
      <c r="E192" s="54">
        <v>3.73</v>
      </c>
      <c r="F192" s="239">
        <f>F190*E192</f>
        <v>1.2309000000000001</v>
      </c>
      <c r="G192" s="1303"/>
      <c r="H192" s="1303"/>
      <c r="I192" s="1303"/>
      <c r="J192" s="1303"/>
      <c r="K192" s="1310"/>
      <c r="L192" s="1303">
        <f>F192*K192</f>
        <v>0</v>
      </c>
      <c r="M192" s="1303">
        <f>L192</f>
        <v>0</v>
      </c>
    </row>
    <row r="193" spans="1:13" s="74" customFormat="1">
      <c r="A193" s="1198"/>
      <c r="B193" s="728"/>
      <c r="C193" s="747" t="s">
        <v>657</v>
      </c>
      <c r="D193" s="728" t="s">
        <v>224</v>
      </c>
      <c r="E193" s="315"/>
      <c r="F193" s="239">
        <v>55</v>
      </c>
      <c r="G193" s="1310"/>
      <c r="H193" s="1389">
        <f>F193*G193</f>
        <v>0</v>
      </c>
      <c r="I193" s="1389"/>
      <c r="J193" s="1389"/>
      <c r="K193" s="1389"/>
      <c r="L193" s="1389"/>
      <c r="M193" s="1389">
        <f>H193</f>
        <v>0</v>
      </c>
    </row>
    <row r="194" spans="1:13" s="74" customFormat="1">
      <c r="A194" s="1198"/>
      <c r="B194" s="313"/>
      <c r="C194" s="177" t="s">
        <v>658</v>
      </c>
      <c r="D194" s="728" t="s">
        <v>6</v>
      </c>
      <c r="E194" s="315">
        <v>65</v>
      </c>
      <c r="F194" s="255">
        <f>E194*F190</f>
        <v>21.45</v>
      </c>
      <c r="G194" s="1334"/>
      <c r="H194" s="1389">
        <f>F194*G194</f>
        <v>0</v>
      </c>
      <c r="I194" s="1389"/>
      <c r="J194" s="1389"/>
      <c r="K194" s="1389"/>
      <c r="L194" s="1389"/>
      <c r="M194" s="1389">
        <f>H194</f>
        <v>0</v>
      </c>
    </row>
    <row r="195" spans="1:13" s="74" customFormat="1">
      <c r="A195" s="1199"/>
      <c r="B195" s="313"/>
      <c r="C195" s="221" t="s">
        <v>32</v>
      </c>
      <c r="D195" s="728" t="s">
        <v>24</v>
      </c>
      <c r="E195" s="315">
        <v>16.899999999999999</v>
      </c>
      <c r="F195" s="255">
        <f>E195*F190</f>
        <v>5.577</v>
      </c>
      <c r="G195" s="1334"/>
      <c r="H195" s="1389">
        <f>F195*G195</f>
        <v>0</v>
      </c>
      <c r="I195" s="1389"/>
      <c r="J195" s="1389"/>
      <c r="K195" s="1389"/>
      <c r="L195" s="1389"/>
      <c r="M195" s="1389">
        <f>H195</f>
        <v>0</v>
      </c>
    </row>
    <row r="196" spans="1:13" s="74" customFormat="1">
      <c r="A196" s="1197" t="s">
        <v>335</v>
      </c>
      <c r="B196" s="726" t="s">
        <v>545</v>
      </c>
      <c r="C196" s="176" t="s">
        <v>891</v>
      </c>
      <c r="D196" s="726" t="s">
        <v>118</v>
      </c>
      <c r="E196" s="315"/>
      <c r="F196" s="49">
        <f>F199</f>
        <v>18</v>
      </c>
      <c r="G196" s="1333"/>
      <c r="H196" s="1389"/>
      <c r="I196" s="1389"/>
      <c r="J196" s="1389"/>
      <c r="K196" s="1389"/>
      <c r="L196" s="1389"/>
      <c r="M196" s="1304"/>
    </row>
    <row r="197" spans="1:13" s="74" customFormat="1">
      <c r="A197" s="1198"/>
      <c r="B197" s="728"/>
      <c r="C197" s="177" t="s">
        <v>656</v>
      </c>
      <c r="D197" s="728" t="s">
        <v>29</v>
      </c>
      <c r="E197" s="54">
        <v>1.34</v>
      </c>
      <c r="F197" s="746">
        <f>F196*E197</f>
        <v>24.12</v>
      </c>
      <c r="G197" s="1389"/>
      <c r="H197" s="1389"/>
      <c r="I197" s="1310"/>
      <c r="J197" s="1389">
        <f>F197*I197</f>
        <v>0</v>
      </c>
      <c r="K197" s="1389"/>
      <c r="L197" s="1389"/>
      <c r="M197" s="1303">
        <f>J197</f>
        <v>0</v>
      </c>
    </row>
    <row r="198" spans="1:13" s="74" customFormat="1">
      <c r="A198" s="1198"/>
      <c r="B198" s="728"/>
      <c r="C198" s="177" t="s">
        <v>36</v>
      </c>
      <c r="D198" s="728" t="s">
        <v>24</v>
      </c>
      <c r="E198" s="54">
        <v>0.05</v>
      </c>
      <c r="F198" s="239">
        <f>F196*E198</f>
        <v>0.9</v>
      </c>
      <c r="G198" s="1303"/>
      <c r="H198" s="1303"/>
      <c r="I198" s="1303"/>
      <c r="J198" s="1303"/>
      <c r="K198" s="1310"/>
      <c r="L198" s="1303">
        <f>F198*K198</f>
        <v>0</v>
      </c>
      <c r="M198" s="1303">
        <f>L198</f>
        <v>0</v>
      </c>
    </row>
    <row r="199" spans="1:13" s="74" customFormat="1">
      <c r="A199" s="1198"/>
      <c r="B199" s="313"/>
      <c r="C199" s="177" t="s">
        <v>892</v>
      </c>
      <c r="D199" s="313" t="s">
        <v>118</v>
      </c>
      <c r="E199" s="315"/>
      <c r="F199" s="255">
        <v>18</v>
      </c>
      <c r="G199" s="1334"/>
      <c r="H199" s="1389">
        <f>F199*G199</f>
        <v>0</v>
      </c>
      <c r="I199" s="1389"/>
      <c r="J199" s="1389"/>
      <c r="K199" s="1389"/>
      <c r="L199" s="1389"/>
      <c r="M199" s="1389">
        <f>H199</f>
        <v>0</v>
      </c>
    </row>
    <row r="200" spans="1:13" s="74" customFormat="1">
      <c r="A200" s="1199"/>
      <c r="B200" s="313"/>
      <c r="C200" s="177" t="s">
        <v>659</v>
      </c>
      <c r="D200" s="728" t="s">
        <v>24</v>
      </c>
      <c r="E200" s="315">
        <v>0.16</v>
      </c>
      <c r="F200" s="255">
        <f>E200*F196</f>
        <v>2.88</v>
      </c>
      <c r="G200" s="1334"/>
      <c r="H200" s="1389">
        <f>F200*G200</f>
        <v>0</v>
      </c>
      <c r="I200" s="1389"/>
      <c r="J200" s="1389"/>
      <c r="K200" s="1389"/>
      <c r="L200" s="1389"/>
      <c r="M200" s="1389">
        <f>H200</f>
        <v>0</v>
      </c>
    </row>
    <row r="201" spans="1:13" s="74" customFormat="1" ht="31.5">
      <c r="A201" s="1197" t="s">
        <v>103</v>
      </c>
      <c r="B201" s="726" t="s">
        <v>660</v>
      </c>
      <c r="C201" s="176" t="s">
        <v>661</v>
      </c>
      <c r="D201" s="726" t="s">
        <v>544</v>
      </c>
      <c r="E201" s="99"/>
      <c r="F201" s="49">
        <f>F204</f>
        <v>2</v>
      </c>
      <c r="G201" s="1304"/>
      <c r="H201" s="1389"/>
      <c r="I201" s="1389"/>
      <c r="J201" s="1389"/>
      <c r="K201" s="1389"/>
      <c r="L201" s="1389"/>
      <c r="M201" s="1304"/>
    </row>
    <row r="202" spans="1:13" s="74" customFormat="1">
      <c r="A202" s="1198"/>
      <c r="B202" s="728"/>
      <c r="C202" s="177" t="s">
        <v>656</v>
      </c>
      <c r="D202" s="728" t="s">
        <v>29</v>
      </c>
      <c r="E202" s="54">
        <v>7.96</v>
      </c>
      <c r="F202" s="746">
        <f>F201*E202</f>
        <v>15.92</v>
      </c>
      <c r="G202" s="1389"/>
      <c r="H202" s="1389"/>
      <c r="I202" s="1310"/>
      <c r="J202" s="1389">
        <f>F202*I202</f>
        <v>0</v>
      </c>
      <c r="K202" s="1389"/>
      <c r="L202" s="1389"/>
      <c r="M202" s="1303">
        <f>J202</f>
        <v>0</v>
      </c>
    </row>
    <row r="203" spans="1:13" s="74" customFormat="1">
      <c r="A203" s="1198"/>
      <c r="B203" s="728"/>
      <c r="C203" s="177" t="s">
        <v>36</v>
      </c>
      <c r="D203" s="728" t="s">
        <v>24</v>
      </c>
      <c r="E203" s="54">
        <v>0.3</v>
      </c>
      <c r="F203" s="239">
        <f>F201*E203</f>
        <v>0.6</v>
      </c>
      <c r="G203" s="1303"/>
      <c r="H203" s="1303"/>
      <c r="I203" s="1303"/>
      <c r="J203" s="1303"/>
      <c r="K203" s="1310"/>
      <c r="L203" s="1303">
        <f>F203*K203</f>
        <v>0</v>
      </c>
      <c r="M203" s="1303">
        <f>L203</f>
        <v>0</v>
      </c>
    </row>
    <row r="204" spans="1:13" s="74" customFormat="1">
      <c r="A204" s="1198"/>
      <c r="B204" s="728" t="s">
        <v>662</v>
      </c>
      <c r="C204" s="177" t="s">
        <v>663</v>
      </c>
      <c r="D204" s="728" t="s">
        <v>544</v>
      </c>
      <c r="E204" s="54"/>
      <c r="F204" s="239">
        <v>2</v>
      </c>
      <c r="G204" s="1310"/>
      <c r="H204" s="1303">
        <f>F204*G204</f>
        <v>0</v>
      </c>
      <c r="I204" s="1303"/>
      <c r="J204" s="1303"/>
      <c r="K204" s="1303"/>
      <c r="L204" s="1303"/>
      <c r="M204" s="1303">
        <f>H204</f>
        <v>0</v>
      </c>
    </row>
    <row r="205" spans="1:13" s="74" customFormat="1">
      <c r="A205" s="1198"/>
      <c r="B205" s="863"/>
      <c r="C205" s="177" t="s">
        <v>658</v>
      </c>
      <c r="D205" s="863" t="s">
        <v>6</v>
      </c>
      <c r="E205" s="54"/>
      <c r="F205" s="239">
        <v>6</v>
      </c>
      <c r="G205" s="1310"/>
      <c r="H205" s="1303">
        <f>F205*G205</f>
        <v>0</v>
      </c>
      <c r="I205" s="1303"/>
      <c r="J205" s="1303"/>
      <c r="K205" s="1303"/>
      <c r="L205" s="1303"/>
      <c r="M205" s="1303">
        <f>H205</f>
        <v>0</v>
      </c>
    </row>
    <row r="206" spans="1:13" s="74" customFormat="1">
      <c r="A206" s="1199"/>
      <c r="B206" s="313"/>
      <c r="C206" s="177" t="s">
        <v>659</v>
      </c>
      <c r="D206" s="728" t="s">
        <v>24</v>
      </c>
      <c r="E206" s="315">
        <v>1.92</v>
      </c>
      <c r="F206" s="255">
        <f>E206*F201</f>
        <v>3.84</v>
      </c>
      <c r="G206" s="1334"/>
      <c r="H206" s="1389">
        <f>F206*G206</f>
        <v>0</v>
      </c>
      <c r="I206" s="1389"/>
      <c r="J206" s="1389"/>
      <c r="K206" s="1389"/>
      <c r="L206" s="1389"/>
      <c r="M206" s="1389">
        <f>H206</f>
        <v>0</v>
      </c>
    </row>
    <row r="207" spans="1:13">
      <c r="A207" s="141"/>
      <c r="B207" s="212"/>
      <c r="C207" s="142" t="s">
        <v>1056</v>
      </c>
      <c r="D207" s="212" t="s">
        <v>24</v>
      </c>
      <c r="E207" s="309"/>
      <c r="F207" s="214"/>
      <c r="G207" s="1381"/>
      <c r="H207" s="1382">
        <f>SUM(H189:H206)</f>
        <v>0</v>
      </c>
      <c r="I207" s="1382"/>
      <c r="J207" s="1382">
        <f>SUM(J189:J206)</f>
        <v>0</v>
      </c>
      <c r="K207" s="1382"/>
      <c r="L207" s="1382">
        <f>SUM(L189:L206)</f>
        <v>0</v>
      </c>
      <c r="M207" s="1382">
        <f>SUM(M189:M206)</f>
        <v>0</v>
      </c>
    </row>
    <row r="208" spans="1:13" ht="42.75" customHeight="1">
      <c r="A208" s="305"/>
      <c r="B208" s="305"/>
      <c r="C208" s="390" t="s">
        <v>456</v>
      </c>
      <c r="D208" s="305"/>
      <c r="E208" s="306"/>
      <c r="F208" s="1113"/>
      <c r="G208" s="1345"/>
      <c r="H208" s="1345"/>
      <c r="I208" s="1345"/>
      <c r="J208" s="1345"/>
      <c r="K208" s="1345"/>
      <c r="L208" s="1345"/>
      <c r="M208" s="1346">
        <f>H207*F208</f>
        <v>0</v>
      </c>
    </row>
    <row r="209" spans="1:13">
      <c r="A209" s="305"/>
      <c r="B209" s="305"/>
      <c r="C209" s="307" t="s">
        <v>70</v>
      </c>
      <c r="D209" s="305"/>
      <c r="E209" s="306"/>
      <c r="F209" s="127"/>
      <c r="G209" s="1345"/>
      <c r="H209" s="1345"/>
      <c r="I209" s="1345"/>
      <c r="J209" s="1347"/>
      <c r="K209" s="1345"/>
      <c r="L209" s="1345"/>
      <c r="M209" s="1346">
        <f>M207+M208</f>
        <v>0</v>
      </c>
    </row>
    <row r="210" spans="1:13" ht="31.5">
      <c r="A210" s="728"/>
      <c r="B210" s="308"/>
      <c r="C210" s="578" t="s">
        <v>414</v>
      </c>
      <c r="D210" s="618"/>
      <c r="E210" s="237"/>
      <c r="F210" s="1113"/>
      <c r="G210" s="1284"/>
      <c r="H210" s="1284"/>
      <c r="I210" s="1284"/>
      <c r="J210" s="1284"/>
      <c r="K210" s="1284"/>
      <c r="L210" s="1284"/>
      <c r="M210" s="1284">
        <f>J207*F210</f>
        <v>0</v>
      </c>
    </row>
    <row r="211" spans="1:13">
      <c r="A211" s="618"/>
      <c r="B211" s="723"/>
      <c r="C211" s="353" t="s">
        <v>70</v>
      </c>
      <c r="D211" s="723"/>
      <c r="E211" s="729"/>
      <c r="F211" s="100"/>
      <c r="G211" s="1391"/>
      <c r="H211" s="1392"/>
      <c r="I211" s="1393"/>
      <c r="J211" s="1393"/>
      <c r="K211" s="1392"/>
      <c r="L211" s="1392"/>
      <c r="M211" s="1391">
        <f>M209+M210</f>
        <v>0</v>
      </c>
    </row>
    <row r="212" spans="1:13">
      <c r="A212" s="618"/>
      <c r="B212" s="618"/>
      <c r="C212" s="578" t="s">
        <v>936</v>
      </c>
      <c r="D212" s="618"/>
      <c r="E212" s="237"/>
      <c r="F212" s="1113"/>
      <c r="G212" s="1284"/>
      <c r="H212" s="1284"/>
      <c r="I212" s="1284"/>
      <c r="J212" s="1284"/>
      <c r="K212" s="1284"/>
      <c r="L212" s="1284"/>
      <c r="M212" s="1284">
        <f>(M211)*F212</f>
        <v>0</v>
      </c>
    </row>
    <row r="213" spans="1:13" s="1098" customFormat="1">
      <c r="A213" s="996"/>
      <c r="B213" s="983"/>
      <c r="C213" s="995" t="s">
        <v>1058</v>
      </c>
      <c r="D213" s="983"/>
      <c r="E213" s="997"/>
      <c r="F213" s="998"/>
      <c r="G213" s="1357"/>
      <c r="H213" s="1397"/>
      <c r="I213" s="1397"/>
      <c r="J213" s="1397"/>
      <c r="K213" s="1397"/>
      <c r="L213" s="1397"/>
      <c r="M213" s="1313">
        <f>M211+M212</f>
        <v>0</v>
      </c>
    </row>
    <row r="214" spans="1:13" s="1109" customFormat="1">
      <c r="A214" s="1033"/>
      <c r="B214" s="1034"/>
      <c r="C214" s="1035" t="s">
        <v>1076</v>
      </c>
      <c r="D214" s="1034"/>
      <c r="E214" s="1036"/>
      <c r="F214" s="205"/>
      <c r="G214" s="1400"/>
      <c r="H214" s="1401"/>
      <c r="I214" s="1401"/>
      <c r="J214" s="1401"/>
      <c r="K214" s="1401"/>
      <c r="L214" s="1401"/>
      <c r="M214" s="1400">
        <f>M90+M120+M174+M188+M213</f>
        <v>0</v>
      </c>
    </row>
    <row r="215" spans="1:13" ht="16.5">
      <c r="A215" s="923" t="s">
        <v>416</v>
      </c>
      <c r="B215" s="947"/>
      <c r="C215" s="939" t="s">
        <v>721</v>
      </c>
      <c r="D215" s="921"/>
      <c r="E215" s="922"/>
      <c r="F215" s="922"/>
      <c r="G215" s="1296"/>
      <c r="H215" s="1297"/>
      <c r="I215" s="1296"/>
      <c r="J215" s="1297"/>
      <c r="K215" s="1296"/>
      <c r="L215" s="1297"/>
      <c r="M215" s="1297"/>
    </row>
    <row r="216" spans="1:13" s="1107" customFormat="1">
      <c r="A216" s="609" t="s">
        <v>80</v>
      </c>
      <c r="B216" s="745"/>
      <c r="C216" s="610" t="s">
        <v>357</v>
      </c>
      <c r="D216" s="742"/>
      <c r="E216" s="743"/>
      <c r="F216" s="744"/>
      <c r="G216" s="1384"/>
      <c r="H216" s="1298"/>
      <c r="I216" s="1298"/>
      <c r="J216" s="1298"/>
      <c r="K216" s="1298"/>
      <c r="L216" s="1298"/>
      <c r="M216" s="1298"/>
    </row>
    <row r="217" spans="1:13" s="74" customFormat="1" ht="31.5">
      <c r="A217" s="1197" t="s">
        <v>334</v>
      </c>
      <c r="B217" s="1028" t="s">
        <v>546</v>
      </c>
      <c r="C217" s="176" t="s">
        <v>654</v>
      </c>
      <c r="D217" s="1028" t="s">
        <v>655</v>
      </c>
      <c r="E217" s="99"/>
      <c r="F217" s="49">
        <f>F220*0.6/100</f>
        <v>0.18</v>
      </c>
      <c r="G217" s="1304"/>
      <c r="H217" s="1389"/>
      <c r="I217" s="1389"/>
      <c r="J217" s="1389"/>
      <c r="K217" s="1389"/>
      <c r="L217" s="1389"/>
      <c r="M217" s="1304"/>
    </row>
    <row r="218" spans="1:13" s="74" customFormat="1">
      <c r="A218" s="1198"/>
      <c r="B218" s="1027"/>
      <c r="C218" s="177" t="s">
        <v>656</v>
      </c>
      <c r="D218" s="1027" t="s">
        <v>29</v>
      </c>
      <c r="E218" s="54">
        <v>154</v>
      </c>
      <c r="F218" s="746">
        <f>F217*E218</f>
        <v>27.72</v>
      </c>
      <c r="G218" s="1389"/>
      <c r="H218" s="1389"/>
      <c r="I218" s="1310"/>
      <c r="J218" s="1389">
        <f>F218*I218</f>
        <v>0</v>
      </c>
      <c r="K218" s="1389"/>
      <c r="L218" s="1389"/>
      <c r="M218" s="1303">
        <f>J218</f>
        <v>0</v>
      </c>
    </row>
    <row r="219" spans="1:13" s="74" customFormat="1">
      <c r="A219" s="1198"/>
      <c r="B219" s="1027"/>
      <c r="C219" s="177" t="s">
        <v>36</v>
      </c>
      <c r="D219" s="1027" t="s">
        <v>24</v>
      </c>
      <c r="E219" s="54">
        <v>3.73</v>
      </c>
      <c r="F219" s="239">
        <f>F217*E219</f>
        <v>0.6714</v>
      </c>
      <c r="G219" s="1303"/>
      <c r="H219" s="1303"/>
      <c r="I219" s="1303"/>
      <c r="J219" s="1303"/>
      <c r="K219" s="1310"/>
      <c r="L219" s="1303">
        <f>F219*K219</f>
        <v>0</v>
      </c>
      <c r="M219" s="1303">
        <f>L219</f>
        <v>0</v>
      </c>
    </row>
    <row r="220" spans="1:13" s="74" customFormat="1">
      <c r="A220" s="1198"/>
      <c r="B220" s="1027"/>
      <c r="C220" s="747" t="s">
        <v>657</v>
      </c>
      <c r="D220" s="1027" t="s">
        <v>224</v>
      </c>
      <c r="E220" s="315"/>
      <c r="F220" s="239">
        <v>30</v>
      </c>
      <c r="G220" s="1310"/>
      <c r="H220" s="1389">
        <f>F220*G220</f>
        <v>0</v>
      </c>
      <c r="I220" s="1389"/>
      <c r="J220" s="1389"/>
      <c r="K220" s="1389"/>
      <c r="L220" s="1389"/>
      <c r="M220" s="1389">
        <f>H220</f>
        <v>0</v>
      </c>
    </row>
    <row r="221" spans="1:13" s="74" customFormat="1">
      <c r="A221" s="1198"/>
      <c r="B221" s="313"/>
      <c r="C221" s="177" t="s">
        <v>658</v>
      </c>
      <c r="D221" s="1027" t="s">
        <v>6</v>
      </c>
      <c r="E221" s="315">
        <v>65</v>
      </c>
      <c r="F221" s="255">
        <f>E221*F217</f>
        <v>11.7</v>
      </c>
      <c r="G221" s="1334"/>
      <c r="H221" s="1389">
        <f>F221*G221</f>
        <v>0</v>
      </c>
      <c r="I221" s="1389"/>
      <c r="J221" s="1389"/>
      <c r="K221" s="1389"/>
      <c r="L221" s="1389"/>
      <c r="M221" s="1389">
        <f>H221</f>
        <v>0</v>
      </c>
    </row>
    <row r="222" spans="1:13" s="74" customFormat="1">
      <c r="A222" s="1199"/>
      <c r="B222" s="313"/>
      <c r="C222" s="221" t="s">
        <v>32</v>
      </c>
      <c r="D222" s="1027" t="s">
        <v>24</v>
      </c>
      <c r="E222" s="315">
        <v>16.899999999999999</v>
      </c>
      <c r="F222" s="255">
        <f>E222*F217</f>
        <v>3.0419999999999998</v>
      </c>
      <c r="G222" s="1334"/>
      <c r="H222" s="1389">
        <f>F222*G222</f>
        <v>0</v>
      </c>
      <c r="I222" s="1389"/>
      <c r="J222" s="1389"/>
      <c r="K222" s="1389"/>
      <c r="L222" s="1389"/>
      <c r="M222" s="1389">
        <f>H222</f>
        <v>0</v>
      </c>
    </row>
    <row r="223" spans="1:13" s="74" customFormat="1">
      <c r="A223" s="1197" t="s">
        <v>335</v>
      </c>
      <c r="B223" s="1028" t="s">
        <v>545</v>
      </c>
      <c r="C223" s="176" t="s">
        <v>891</v>
      </c>
      <c r="D223" s="1028" t="s">
        <v>118</v>
      </c>
      <c r="E223" s="315"/>
      <c r="F223" s="49">
        <f>F226</f>
        <v>14</v>
      </c>
      <c r="G223" s="1333"/>
      <c r="H223" s="1389"/>
      <c r="I223" s="1389"/>
      <c r="J223" s="1389"/>
      <c r="K223" s="1389"/>
      <c r="L223" s="1389"/>
      <c r="M223" s="1304"/>
    </row>
    <row r="224" spans="1:13" s="74" customFormat="1">
      <c r="A224" s="1198"/>
      <c r="B224" s="1027"/>
      <c r="C224" s="177" t="s">
        <v>656</v>
      </c>
      <c r="D224" s="1027" t="s">
        <v>29</v>
      </c>
      <c r="E224" s="54">
        <v>1.34</v>
      </c>
      <c r="F224" s="746">
        <f>F223*E224</f>
        <v>18.760000000000002</v>
      </c>
      <c r="G224" s="1389"/>
      <c r="H224" s="1389"/>
      <c r="I224" s="1310"/>
      <c r="J224" s="1389">
        <f>F224*I224</f>
        <v>0</v>
      </c>
      <c r="K224" s="1389"/>
      <c r="L224" s="1389"/>
      <c r="M224" s="1303">
        <f>J224</f>
        <v>0</v>
      </c>
    </row>
    <row r="225" spans="1:13" s="74" customFormat="1">
      <c r="A225" s="1198"/>
      <c r="B225" s="1027"/>
      <c r="C225" s="177" t="s">
        <v>36</v>
      </c>
      <c r="D225" s="1027" t="s">
        <v>24</v>
      </c>
      <c r="E225" s="54">
        <v>0.05</v>
      </c>
      <c r="F225" s="239">
        <f>F223*E225</f>
        <v>0.70000000000000007</v>
      </c>
      <c r="G225" s="1303"/>
      <c r="H225" s="1303"/>
      <c r="I225" s="1303"/>
      <c r="J225" s="1303"/>
      <c r="K225" s="1310"/>
      <c r="L225" s="1303">
        <f>F225*K225</f>
        <v>0</v>
      </c>
      <c r="M225" s="1303">
        <f>L225</f>
        <v>0</v>
      </c>
    </row>
    <row r="226" spans="1:13" s="74" customFormat="1">
      <c r="A226" s="1198"/>
      <c r="B226" s="313"/>
      <c r="C226" s="177" t="s">
        <v>892</v>
      </c>
      <c r="D226" s="313" t="s">
        <v>118</v>
      </c>
      <c r="E226" s="315"/>
      <c r="F226" s="255">
        <v>14</v>
      </c>
      <c r="G226" s="1334"/>
      <c r="H226" s="1389">
        <f>F226*G226</f>
        <v>0</v>
      </c>
      <c r="I226" s="1389"/>
      <c r="J226" s="1389"/>
      <c r="K226" s="1389"/>
      <c r="L226" s="1389"/>
      <c r="M226" s="1389">
        <f>H226</f>
        <v>0</v>
      </c>
    </row>
    <row r="227" spans="1:13" s="74" customFormat="1">
      <c r="A227" s="1199"/>
      <c r="B227" s="313"/>
      <c r="C227" s="177" t="s">
        <v>659</v>
      </c>
      <c r="D227" s="1027" t="s">
        <v>24</v>
      </c>
      <c r="E227" s="315">
        <v>0.16</v>
      </c>
      <c r="F227" s="255">
        <f>E227*F223</f>
        <v>2.2400000000000002</v>
      </c>
      <c r="G227" s="1334"/>
      <c r="H227" s="1389">
        <f>F227*G227</f>
        <v>0</v>
      </c>
      <c r="I227" s="1389"/>
      <c r="J227" s="1389"/>
      <c r="K227" s="1389"/>
      <c r="L227" s="1389"/>
      <c r="M227" s="1389">
        <f>H227</f>
        <v>0</v>
      </c>
    </row>
    <row r="228" spans="1:13" s="74" customFormat="1" ht="31.5">
      <c r="A228" s="1197" t="s">
        <v>103</v>
      </c>
      <c r="B228" s="1028" t="s">
        <v>660</v>
      </c>
      <c r="C228" s="176" t="s">
        <v>661</v>
      </c>
      <c r="D228" s="1028" t="s">
        <v>544</v>
      </c>
      <c r="E228" s="99"/>
      <c r="F228" s="49">
        <f>F231</f>
        <v>2</v>
      </c>
      <c r="G228" s="1304"/>
      <c r="H228" s="1389"/>
      <c r="I228" s="1389"/>
      <c r="J228" s="1389"/>
      <c r="K228" s="1389"/>
      <c r="L228" s="1389"/>
      <c r="M228" s="1304"/>
    </row>
    <row r="229" spans="1:13" s="74" customFormat="1">
      <c r="A229" s="1198"/>
      <c r="B229" s="1027"/>
      <c r="C229" s="177" t="s">
        <v>656</v>
      </c>
      <c r="D229" s="1027" t="s">
        <v>29</v>
      </c>
      <c r="E229" s="54">
        <v>7.96</v>
      </c>
      <c r="F229" s="746">
        <f>F228*E229</f>
        <v>15.92</v>
      </c>
      <c r="G229" s="1389"/>
      <c r="H229" s="1389"/>
      <c r="I229" s="1310"/>
      <c r="J229" s="1389">
        <f>F229*I229</f>
        <v>0</v>
      </c>
      <c r="K229" s="1389"/>
      <c r="L229" s="1389"/>
      <c r="M229" s="1303">
        <f>J229</f>
        <v>0</v>
      </c>
    </row>
    <row r="230" spans="1:13" s="74" customFormat="1">
      <c r="A230" s="1198"/>
      <c r="B230" s="1027"/>
      <c r="C230" s="177" t="s">
        <v>36</v>
      </c>
      <c r="D230" s="1027" t="s">
        <v>24</v>
      </c>
      <c r="E230" s="54">
        <v>0.3</v>
      </c>
      <c r="F230" s="239">
        <f>F228*E230</f>
        <v>0.6</v>
      </c>
      <c r="G230" s="1303"/>
      <c r="H230" s="1303"/>
      <c r="I230" s="1303"/>
      <c r="J230" s="1303"/>
      <c r="K230" s="1310"/>
      <c r="L230" s="1303">
        <f>F230*K230</f>
        <v>0</v>
      </c>
      <c r="M230" s="1303">
        <f>L230</f>
        <v>0</v>
      </c>
    </row>
    <row r="231" spans="1:13" s="74" customFormat="1">
      <c r="A231" s="1198"/>
      <c r="B231" s="1027" t="s">
        <v>662</v>
      </c>
      <c r="C231" s="177" t="s">
        <v>663</v>
      </c>
      <c r="D231" s="1027" t="s">
        <v>544</v>
      </c>
      <c r="E231" s="54"/>
      <c r="F231" s="239">
        <v>2</v>
      </c>
      <c r="G231" s="1310"/>
      <c r="H231" s="1303">
        <f>F231*G231</f>
        <v>0</v>
      </c>
      <c r="I231" s="1303"/>
      <c r="J231" s="1303"/>
      <c r="K231" s="1303"/>
      <c r="L231" s="1303"/>
      <c r="M231" s="1303">
        <f>H231</f>
        <v>0</v>
      </c>
    </row>
    <row r="232" spans="1:13" s="74" customFormat="1">
      <c r="A232" s="1198"/>
      <c r="B232" s="1027"/>
      <c r="C232" s="177" t="s">
        <v>658</v>
      </c>
      <c r="D232" s="1027" t="s">
        <v>6</v>
      </c>
      <c r="E232" s="54"/>
      <c r="F232" s="239">
        <v>4</v>
      </c>
      <c r="G232" s="1310"/>
      <c r="H232" s="1303">
        <f>F232*G232</f>
        <v>0</v>
      </c>
      <c r="I232" s="1303"/>
      <c r="J232" s="1303"/>
      <c r="K232" s="1303"/>
      <c r="L232" s="1303"/>
      <c r="M232" s="1303">
        <f>H232</f>
        <v>0</v>
      </c>
    </row>
    <row r="233" spans="1:13" s="74" customFormat="1">
      <c r="A233" s="1199"/>
      <c r="B233" s="313"/>
      <c r="C233" s="177" t="s">
        <v>659</v>
      </c>
      <c r="D233" s="1027" t="s">
        <v>24</v>
      </c>
      <c r="E233" s="315">
        <v>1.92</v>
      </c>
      <c r="F233" s="255">
        <f>E233*F228</f>
        <v>3.84</v>
      </c>
      <c r="G233" s="1334"/>
      <c r="H233" s="1389">
        <f>F233*G233</f>
        <v>0</v>
      </c>
      <c r="I233" s="1389"/>
      <c r="J233" s="1389"/>
      <c r="K233" s="1389"/>
      <c r="L233" s="1389"/>
      <c r="M233" s="1389">
        <f>H233</f>
        <v>0</v>
      </c>
    </row>
    <row r="234" spans="1:13">
      <c r="A234" s="141"/>
      <c r="B234" s="212"/>
      <c r="C234" s="142" t="s">
        <v>1048</v>
      </c>
      <c r="D234" s="212" t="s">
        <v>24</v>
      </c>
      <c r="E234" s="309"/>
      <c r="F234" s="214"/>
      <c r="G234" s="1381"/>
      <c r="H234" s="1382">
        <f>SUM(H216:H233)</f>
        <v>0</v>
      </c>
      <c r="I234" s="1382"/>
      <c r="J234" s="1382">
        <f>SUM(J216:J233)</f>
        <v>0</v>
      </c>
      <c r="K234" s="1382"/>
      <c r="L234" s="1382">
        <f>SUM(L216:L233)</f>
        <v>0</v>
      </c>
      <c r="M234" s="1382">
        <f>SUM(M216:M233)</f>
        <v>0</v>
      </c>
    </row>
    <row r="235" spans="1:13" ht="41.25" customHeight="1">
      <c r="A235" s="305"/>
      <c r="B235" s="305"/>
      <c r="C235" s="390" t="s">
        <v>456</v>
      </c>
      <c r="D235" s="305"/>
      <c r="E235" s="306"/>
      <c r="F235" s="1113"/>
      <c r="G235" s="1345"/>
      <c r="H235" s="1345"/>
      <c r="I235" s="1345"/>
      <c r="J235" s="1345"/>
      <c r="K235" s="1345"/>
      <c r="L235" s="1345"/>
      <c r="M235" s="1346">
        <f>H234*F235</f>
        <v>0</v>
      </c>
    </row>
    <row r="236" spans="1:13">
      <c r="A236" s="305"/>
      <c r="B236" s="305"/>
      <c r="C236" s="307" t="s">
        <v>70</v>
      </c>
      <c r="D236" s="305"/>
      <c r="E236" s="306"/>
      <c r="F236" s="127"/>
      <c r="G236" s="1345"/>
      <c r="H236" s="1345"/>
      <c r="I236" s="1345"/>
      <c r="J236" s="1347"/>
      <c r="K236" s="1345"/>
      <c r="L236" s="1345"/>
      <c r="M236" s="1346">
        <f>M234+M235</f>
        <v>0</v>
      </c>
    </row>
    <row r="237" spans="1:13" ht="31.5">
      <c r="A237" s="1027"/>
      <c r="B237" s="308"/>
      <c r="C237" s="578" t="s">
        <v>414</v>
      </c>
      <c r="D237" s="618"/>
      <c r="E237" s="237"/>
      <c r="F237" s="1113"/>
      <c r="G237" s="1284"/>
      <c r="H237" s="1284"/>
      <c r="I237" s="1284"/>
      <c r="J237" s="1284"/>
      <c r="K237" s="1284"/>
      <c r="L237" s="1284"/>
      <c r="M237" s="1284">
        <f>J234*F237</f>
        <v>0</v>
      </c>
    </row>
    <row r="238" spans="1:13">
      <c r="A238" s="618"/>
      <c r="B238" s="861"/>
      <c r="C238" s="353" t="s">
        <v>70</v>
      </c>
      <c r="D238" s="861"/>
      <c r="E238" s="892"/>
      <c r="F238" s="100"/>
      <c r="G238" s="1391"/>
      <c r="H238" s="1392"/>
      <c r="I238" s="1393"/>
      <c r="J238" s="1393"/>
      <c r="K238" s="1392"/>
      <c r="L238" s="1392"/>
      <c r="M238" s="1391">
        <f>M236+M237</f>
        <v>0</v>
      </c>
    </row>
    <row r="239" spans="1:13">
      <c r="A239" s="618"/>
      <c r="B239" s="618"/>
      <c r="C239" s="578" t="s">
        <v>936</v>
      </c>
      <c r="D239" s="618"/>
      <c r="E239" s="237"/>
      <c r="F239" s="1113"/>
      <c r="G239" s="1284"/>
      <c r="H239" s="1284"/>
      <c r="I239" s="1284"/>
      <c r="J239" s="1284"/>
      <c r="K239" s="1284"/>
      <c r="L239" s="1284"/>
      <c r="M239" s="1284">
        <f>(M238)*F239</f>
        <v>0</v>
      </c>
    </row>
    <row r="240" spans="1:13" s="1074" customFormat="1" ht="16.5" thickBot="1">
      <c r="A240" s="988"/>
      <c r="B240" s="989"/>
      <c r="C240" s="984" t="s">
        <v>1060</v>
      </c>
      <c r="D240" s="989"/>
      <c r="E240" s="990"/>
      <c r="F240" s="990"/>
      <c r="G240" s="1340"/>
      <c r="H240" s="1340"/>
      <c r="I240" s="1340"/>
      <c r="J240" s="1340"/>
      <c r="K240" s="1340"/>
      <c r="L240" s="1340"/>
      <c r="M240" s="1372">
        <f>M238+M239</f>
        <v>0</v>
      </c>
    </row>
    <row r="241" spans="1:13" ht="17.25" thickBot="1">
      <c r="A241" s="958"/>
      <c r="B241" s="957"/>
      <c r="C241" s="976" t="s">
        <v>1059</v>
      </c>
      <c r="D241" s="957"/>
      <c r="E241" s="959"/>
      <c r="F241" s="959"/>
      <c r="G241" s="1324"/>
      <c r="H241" s="1324"/>
      <c r="I241" s="1324"/>
      <c r="J241" s="1324"/>
      <c r="K241" s="1324"/>
      <c r="L241" s="1324"/>
      <c r="M241" s="1325">
        <f>M214+M240</f>
        <v>0</v>
      </c>
    </row>
    <row r="242" spans="1:13">
      <c r="G242" s="1402"/>
      <c r="H242" s="1403"/>
      <c r="I242" s="1403"/>
      <c r="J242" s="1403"/>
      <c r="K242" s="1403"/>
      <c r="L242" s="1403"/>
      <c r="M242" s="1403"/>
    </row>
    <row r="266" spans="3:5">
      <c r="C266" s="332" t="s">
        <v>377</v>
      </c>
      <c r="D266" s="232"/>
      <c r="E266" s="331"/>
    </row>
  </sheetData>
  <sheetProtection algorithmName="SHA-512" hashValue="Sty9FoE/PrqfO5D/ADiQWVqQ5GR69w4DrnT+iSto8QMjSezC/gHs8K/0VtvHHJjcYej0F5E/1zgHeqm11ejnkA==" saltValue="HFjWc4120wCwL+epkcDW3g==" spinCount="100000" sheet="1" objects="1" scenarios="1"/>
  <autoFilter ref="K1:K266"/>
  <mergeCells count="43">
    <mergeCell ref="A77:A82"/>
    <mergeCell ref="A190:A195"/>
    <mergeCell ref="A2:M2"/>
    <mergeCell ref="A4:M4"/>
    <mergeCell ref="A6:A7"/>
    <mergeCell ref="B6:B7"/>
    <mergeCell ref="C6:C7"/>
    <mergeCell ref="D6:D7"/>
    <mergeCell ref="G6:H6"/>
    <mergeCell ref="I6:J6"/>
    <mergeCell ref="E6:F6"/>
    <mergeCell ref="A36:A40"/>
    <mergeCell ref="A41:A47"/>
    <mergeCell ref="A53:A69"/>
    <mergeCell ref="A74:A76"/>
    <mergeCell ref="A19:A25"/>
    <mergeCell ref="A70:A73"/>
    <mergeCell ref="M6:M7"/>
    <mergeCell ref="K6:L6"/>
    <mergeCell ref="A12:A18"/>
    <mergeCell ref="A26:A30"/>
    <mergeCell ref="A31:A35"/>
    <mergeCell ref="A108:A112"/>
    <mergeCell ref="A122:A126"/>
    <mergeCell ref="A196:A200"/>
    <mergeCell ref="A201:A206"/>
    <mergeCell ref="A176:A181"/>
    <mergeCell ref="A228:A233"/>
    <mergeCell ref="A5:D5"/>
    <mergeCell ref="H5:K5"/>
    <mergeCell ref="A217:A222"/>
    <mergeCell ref="A223:A227"/>
    <mergeCell ref="A157:A166"/>
    <mergeCell ref="A48:A52"/>
    <mergeCell ref="A139:A142"/>
    <mergeCell ref="A127:A132"/>
    <mergeCell ref="A133:A138"/>
    <mergeCell ref="A143:A146"/>
    <mergeCell ref="A147:A150"/>
    <mergeCell ref="A151:A156"/>
    <mergeCell ref="A92:A97"/>
    <mergeCell ref="A98:A102"/>
    <mergeCell ref="A103:A107"/>
  </mergeCells>
  <pageMargins left="0.61" right="0.118110236220472" top="0.66929133858267698" bottom="0.31496062992126" header="0.39370078740157499" footer="0.27559055118110198"/>
  <pageSetup paperSize="9" scale="75" orientation="landscape" r:id="rId1"/>
  <headerFooter>
    <oddHeader>&amp;R&amp;P--&amp;N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CU377"/>
  <sheetViews>
    <sheetView zoomScale="60" zoomScaleNormal="60" workbookViewId="0">
      <pane xSplit="8" ySplit="8" topLeftCell="I20" activePane="bottomRight" state="frozen"/>
      <selection pane="topRight" activeCell="I1" sqref="I1"/>
      <selection pane="bottomLeft" activeCell="A8" sqref="A8"/>
      <selection pane="bottomRight" activeCell="E35" sqref="E35"/>
    </sheetView>
  </sheetViews>
  <sheetFormatPr defaultColWidth="9.125" defaultRowHeight="16.5"/>
  <cols>
    <col min="1" max="1" width="10.25" style="5" customWidth="1"/>
    <col min="2" max="2" width="28.875" style="33" customWidth="1"/>
    <col min="3" max="3" width="39.125" style="1" customWidth="1"/>
    <col min="4" max="4" width="17.75" style="1" customWidth="1"/>
    <col min="5" max="5" width="17.75" style="2" customWidth="1"/>
    <col min="6" max="8" width="17.75" style="25" customWidth="1"/>
    <col min="9" max="9" width="11.25" style="1" customWidth="1"/>
    <col min="10" max="10" width="11.25" style="2" customWidth="1"/>
    <col min="11" max="15" width="11.25" style="25" customWidth="1"/>
    <col min="16" max="16" width="11.25" style="1" customWidth="1"/>
    <col min="17" max="17" width="11.25" style="2" customWidth="1"/>
    <col min="18" max="20" width="11.25" style="25" customWidth="1"/>
    <col min="21" max="22" width="11.25" style="2" customWidth="1"/>
    <col min="23" max="24" width="11.25" style="1" customWidth="1"/>
    <col min="25" max="25" width="11.25" style="25" customWidth="1"/>
    <col min="26" max="26" width="11.25" style="1" customWidth="1"/>
    <col min="27" max="27" width="11.25" style="2" customWidth="1"/>
    <col min="28" max="31" width="11.25" style="25" customWidth="1"/>
    <col min="32" max="32" width="11.25" style="2" customWidth="1"/>
    <col min="33" max="34" width="11.25" style="25" customWidth="1"/>
    <col min="35" max="35" width="11.25" style="2" customWidth="1"/>
    <col min="36" max="36" width="11.25" style="25" customWidth="1"/>
    <col min="37" max="37" width="11.25" style="2" customWidth="1"/>
    <col min="38" max="47" width="11.25" style="25" customWidth="1"/>
    <col min="48" max="49" width="11.25" style="1" customWidth="1"/>
    <col min="50" max="50" width="11.25" style="2" customWidth="1"/>
    <col min="51" max="52" width="11.25" style="25" customWidth="1"/>
    <col min="53" max="53" width="11.25" style="2" customWidth="1"/>
    <col min="54" max="55" width="11.25" style="25" customWidth="1"/>
    <col min="56" max="56" width="11.25" style="1" customWidth="1"/>
    <col min="57" max="65" width="11.25" style="25" customWidth="1"/>
    <col min="66" max="66" width="11.25" style="1" customWidth="1"/>
    <col min="67" max="69" width="11.25" style="2" customWidth="1"/>
    <col min="70" max="71" width="11.25" style="25" customWidth="1"/>
    <col min="72" max="72" width="11.25" style="1" customWidth="1"/>
    <col min="73" max="98" width="11.25" style="132" customWidth="1"/>
    <col min="99" max="99" width="11.125" style="1" customWidth="1"/>
    <col min="100" max="16384" width="9.125" style="1"/>
  </cols>
  <sheetData>
    <row r="1" spans="1:98" ht="27.75" customHeight="1">
      <c r="A1" s="1263" t="s">
        <v>58</v>
      </c>
      <c r="B1" s="1264"/>
      <c r="C1" s="1264"/>
      <c r="D1" s="1264"/>
      <c r="E1" s="1264"/>
      <c r="F1" s="1264"/>
      <c r="G1" s="1264"/>
      <c r="H1" s="1264"/>
    </row>
    <row r="2" spans="1:98" ht="27.75" customHeight="1"/>
    <row r="3" spans="1:98" ht="27.75" customHeight="1">
      <c r="A3" s="67"/>
      <c r="B3" s="63"/>
      <c r="C3" s="1268"/>
      <c r="D3" s="1269"/>
      <c r="E3" s="1270"/>
      <c r="F3" s="30"/>
      <c r="G3" s="30"/>
      <c r="H3" s="30"/>
      <c r="I3" s="1271" t="s">
        <v>9</v>
      </c>
      <c r="J3" s="1271"/>
      <c r="K3" s="1271"/>
      <c r="L3" s="1271"/>
      <c r="M3" s="1271"/>
      <c r="N3" s="1271"/>
      <c r="O3" s="1271"/>
      <c r="P3" s="1271"/>
      <c r="Q3" s="1271"/>
      <c r="R3" s="1271"/>
      <c r="S3" s="1271"/>
      <c r="T3" s="1271"/>
      <c r="U3" s="1271"/>
      <c r="V3" s="1271"/>
      <c r="W3" s="1271"/>
      <c r="X3" s="1271"/>
      <c r="Y3" s="57"/>
      <c r="Z3" s="1254" t="s">
        <v>10</v>
      </c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1255"/>
      <c r="AM3" s="1255"/>
      <c r="AN3" s="1255"/>
      <c r="AO3" s="1255"/>
      <c r="AP3" s="1255"/>
      <c r="AQ3" s="1255"/>
      <c r="AR3" s="1255"/>
      <c r="AS3" s="1255"/>
      <c r="AT3" s="1255"/>
      <c r="AU3" s="1255"/>
      <c r="AV3" s="1255"/>
      <c r="AW3" s="1255"/>
      <c r="AX3" s="1255"/>
      <c r="AY3" s="1255"/>
      <c r="AZ3" s="1255"/>
      <c r="BA3" s="1255"/>
      <c r="BB3" s="1255"/>
      <c r="BC3" s="1255"/>
      <c r="BD3" s="1256"/>
      <c r="BE3" s="1273" t="s">
        <v>11</v>
      </c>
      <c r="BF3" s="1274"/>
      <c r="BG3" s="1274"/>
      <c r="BH3" s="1274"/>
      <c r="BI3" s="1274"/>
      <c r="BJ3" s="1274"/>
      <c r="BK3" s="1274"/>
      <c r="BL3" s="1274"/>
      <c r="BM3" s="1274"/>
      <c r="BN3" s="1274"/>
      <c r="BO3" s="1274"/>
      <c r="BP3" s="1274"/>
      <c r="BQ3" s="1274"/>
      <c r="BR3" s="1274"/>
      <c r="BS3" s="1274"/>
      <c r="BT3" s="1275"/>
      <c r="BU3" s="137"/>
      <c r="BV3" s="137"/>
      <c r="BW3" s="137"/>
      <c r="BX3" s="137"/>
      <c r="BY3" s="405"/>
      <c r="BZ3" s="405"/>
      <c r="CA3" s="405"/>
      <c r="CB3" s="405"/>
      <c r="CC3" s="812"/>
      <c r="CD3" s="812"/>
      <c r="CE3" s="812"/>
      <c r="CF3" s="812"/>
      <c r="CG3" s="812"/>
      <c r="CH3" s="812"/>
      <c r="CI3" s="405"/>
      <c r="CJ3" s="405"/>
      <c r="CK3" s="137"/>
      <c r="CL3" s="137"/>
      <c r="CM3" s="137"/>
      <c r="CN3" s="137"/>
      <c r="CO3" s="832"/>
      <c r="CP3" s="832"/>
      <c r="CQ3" s="137"/>
      <c r="CR3" s="137"/>
      <c r="CS3" s="137"/>
      <c r="CT3" s="137"/>
    </row>
    <row r="4" spans="1:98" s="2" customFormat="1" ht="27.75" customHeight="1">
      <c r="A4" s="67"/>
      <c r="B4" s="63"/>
      <c r="C4" s="1265" t="s">
        <v>12</v>
      </c>
      <c r="D4" s="1266"/>
      <c r="E4" s="1267"/>
      <c r="F4" s="29"/>
      <c r="G4" s="29"/>
      <c r="H4" s="32"/>
      <c r="I4" s="409"/>
      <c r="J4" s="1250" t="s">
        <v>94</v>
      </c>
      <c r="K4" s="1251"/>
      <c r="L4" s="1252"/>
      <c r="M4" s="408"/>
      <c r="N4" s="866"/>
      <c r="O4" s="1250" t="s">
        <v>18</v>
      </c>
      <c r="P4" s="1252"/>
      <c r="Q4" s="1250" t="s">
        <v>52</v>
      </c>
      <c r="R4" s="1251"/>
      <c r="S4" s="1251"/>
      <c r="T4" s="1251"/>
      <c r="U4" s="1251"/>
      <c r="V4" s="1251"/>
      <c r="W4" s="1252"/>
      <c r="X4" s="409"/>
      <c r="Y4" s="1257" t="s">
        <v>227</v>
      </c>
      <c r="Z4" s="407"/>
      <c r="AA4" s="1254" t="s">
        <v>94</v>
      </c>
      <c r="AB4" s="1255"/>
      <c r="AC4" s="1255"/>
      <c r="AD4" s="1255"/>
      <c r="AE4" s="1255"/>
      <c r="AF4" s="1255"/>
      <c r="AG4" s="1255"/>
      <c r="AH4" s="1256"/>
      <c r="AI4" s="1254" t="s">
        <v>97</v>
      </c>
      <c r="AJ4" s="1255"/>
      <c r="AK4" s="1255"/>
      <c r="AL4" s="1255"/>
      <c r="AM4" s="1256"/>
      <c r="AN4" s="1278" t="s">
        <v>482</v>
      </c>
      <c r="AO4" s="1278"/>
      <c r="AP4" s="1278"/>
      <c r="AQ4" s="1254" t="s">
        <v>57</v>
      </c>
      <c r="AR4" s="1255"/>
      <c r="AS4" s="1255"/>
      <c r="AT4" s="1255"/>
      <c r="AU4" s="1255"/>
      <c r="AV4" s="1255"/>
      <c r="AW4" s="1255"/>
      <c r="AX4" s="1255"/>
      <c r="AY4" s="1255"/>
      <c r="AZ4" s="1255"/>
      <c r="BA4" s="1255"/>
      <c r="BB4" s="1256"/>
      <c r="BC4" s="37"/>
      <c r="BD4" s="407"/>
      <c r="BE4" s="26"/>
      <c r="BF4" s="406"/>
      <c r="BG4" s="406"/>
      <c r="BH4" s="406"/>
      <c r="BI4" s="622"/>
      <c r="BJ4" s="406"/>
      <c r="BK4" s="1273" t="s">
        <v>57</v>
      </c>
      <c r="BL4" s="1274"/>
      <c r="BM4" s="1274"/>
      <c r="BN4" s="1274"/>
      <c r="BO4" s="1274"/>
      <c r="BP4" s="1274"/>
      <c r="BQ4" s="1274"/>
      <c r="BR4" s="1274"/>
      <c r="BS4" s="1274"/>
      <c r="BT4" s="1275"/>
      <c r="BU4" s="1279" t="s">
        <v>53</v>
      </c>
      <c r="BV4" s="1280"/>
      <c r="BW4" s="1280"/>
      <c r="BX4" s="1280"/>
      <c r="BY4" s="1280"/>
      <c r="BZ4" s="1280"/>
      <c r="CA4" s="1280"/>
      <c r="CB4" s="1280"/>
      <c r="CC4" s="1280"/>
      <c r="CD4" s="1280"/>
      <c r="CE4" s="1280"/>
      <c r="CF4" s="1280"/>
      <c r="CG4" s="1280"/>
      <c r="CH4" s="1280"/>
      <c r="CI4" s="1280"/>
      <c r="CJ4" s="1280"/>
      <c r="CK4" s="139"/>
      <c r="CL4" s="1272" t="s">
        <v>91</v>
      </c>
      <c r="CM4" s="1272"/>
      <c r="CN4" s="1272"/>
      <c r="CO4" s="1272"/>
      <c r="CP4" s="1272"/>
      <c r="CQ4" s="1272"/>
      <c r="CR4" s="1272"/>
      <c r="CS4" s="1272"/>
      <c r="CT4" s="139"/>
    </row>
    <row r="5" spans="1:98" s="25" customFormat="1" ht="85.9" customHeight="1">
      <c r="A5" s="67"/>
      <c r="B5" s="63"/>
      <c r="C5" s="9"/>
      <c r="D5" s="9"/>
      <c r="E5" s="9"/>
      <c r="F5" s="9"/>
      <c r="G5" s="9"/>
      <c r="H5" s="31"/>
      <c r="I5" s="409"/>
      <c r="J5" s="408"/>
      <c r="K5" s="793"/>
      <c r="L5" s="793"/>
      <c r="M5" s="408"/>
      <c r="N5" s="867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1258"/>
      <c r="Z5" s="407"/>
      <c r="AA5" s="414" t="s">
        <v>483</v>
      </c>
      <c r="AB5" s="407"/>
      <c r="AC5" s="407"/>
      <c r="AD5" s="407"/>
      <c r="AE5" s="407"/>
      <c r="AF5" s="407"/>
      <c r="AG5" s="407"/>
      <c r="AH5" s="407"/>
      <c r="AI5" s="414" t="s">
        <v>815</v>
      </c>
      <c r="AJ5" s="407"/>
      <c r="AK5" s="407"/>
      <c r="AL5" s="407"/>
      <c r="AM5" s="555"/>
      <c r="AN5" s="40"/>
      <c r="AO5" s="40"/>
      <c r="AP5" s="40"/>
      <c r="AQ5" s="407"/>
      <c r="AR5" s="407"/>
      <c r="AS5" s="407"/>
      <c r="AT5" s="407"/>
      <c r="AU5" s="407"/>
      <c r="AV5" s="407"/>
      <c r="AW5" s="407"/>
      <c r="AX5" s="1254" t="s">
        <v>49</v>
      </c>
      <c r="AY5" s="1255"/>
      <c r="AZ5" s="1255"/>
      <c r="BA5" s="1256"/>
      <c r="BB5" s="407"/>
      <c r="BC5" s="1276" t="s">
        <v>17</v>
      </c>
      <c r="BD5" s="1277"/>
      <c r="BE5" s="1273" t="s">
        <v>111</v>
      </c>
      <c r="BF5" s="1275"/>
      <c r="BG5" s="1273" t="s">
        <v>497</v>
      </c>
      <c r="BH5" s="1274"/>
      <c r="BI5" s="1275"/>
      <c r="BJ5" s="1273" t="s">
        <v>18</v>
      </c>
      <c r="BK5" s="1274"/>
      <c r="BL5" s="1274"/>
      <c r="BM5" s="1274"/>
      <c r="BN5" s="1273" t="s">
        <v>13</v>
      </c>
      <c r="BO5" s="1274"/>
      <c r="BP5" s="1275"/>
      <c r="BQ5" s="1273" t="s">
        <v>19</v>
      </c>
      <c r="BR5" s="1275"/>
      <c r="BS5" s="1273" t="s">
        <v>99</v>
      </c>
      <c r="BT5" s="1275"/>
      <c r="BU5" s="138" t="s">
        <v>503</v>
      </c>
      <c r="BV5" s="404" t="s">
        <v>504</v>
      </c>
      <c r="BW5" s="404" t="s">
        <v>505</v>
      </c>
      <c r="BX5" s="404" t="s">
        <v>506</v>
      </c>
      <c r="BY5" s="404" t="s">
        <v>507</v>
      </c>
      <c r="BZ5" s="811" t="s">
        <v>777</v>
      </c>
      <c r="CA5" s="819" t="s">
        <v>629</v>
      </c>
      <c r="CB5" s="404"/>
      <c r="CC5" s="811" t="s">
        <v>794</v>
      </c>
      <c r="CD5" s="811" t="s">
        <v>795</v>
      </c>
      <c r="CE5" s="811" t="s">
        <v>796</v>
      </c>
      <c r="CF5" s="803" t="s">
        <v>829</v>
      </c>
      <c r="CG5" s="811" t="s">
        <v>801</v>
      </c>
      <c r="CH5" s="811"/>
      <c r="CI5" s="803" t="s">
        <v>739</v>
      </c>
      <c r="CJ5" s="404"/>
      <c r="CK5" s="139"/>
      <c r="CL5" s="138" t="s">
        <v>508</v>
      </c>
      <c r="CM5" s="792" t="s">
        <v>730</v>
      </c>
      <c r="CN5" s="792" t="s">
        <v>731</v>
      </c>
      <c r="CO5" s="831"/>
      <c r="CP5" s="831"/>
      <c r="CQ5" s="831" t="s">
        <v>814</v>
      </c>
      <c r="CR5" s="803" t="s">
        <v>739</v>
      </c>
      <c r="CS5" s="138"/>
      <c r="CT5" s="139"/>
    </row>
    <row r="6" spans="1:98" ht="159.75" customHeight="1">
      <c r="A6" s="67"/>
      <c r="B6" s="63"/>
      <c r="C6" s="9" t="s">
        <v>54</v>
      </c>
      <c r="D6" s="9" t="s">
        <v>55</v>
      </c>
      <c r="E6" s="9" t="s">
        <v>56</v>
      </c>
      <c r="F6" s="34" t="s">
        <v>91</v>
      </c>
      <c r="G6" s="34" t="s">
        <v>53</v>
      </c>
      <c r="H6" s="42" t="s">
        <v>3</v>
      </c>
      <c r="I6" s="7" t="s">
        <v>20</v>
      </c>
      <c r="J6" s="43" t="s">
        <v>474</v>
      </c>
      <c r="K6" s="43" t="s">
        <v>475</v>
      </c>
      <c r="L6" s="43" t="s">
        <v>473</v>
      </c>
      <c r="M6" s="43" t="s">
        <v>476</v>
      </c>
      <c r="N6" s="7" t="s">
        <v>906</v>
      </c>
      <c r="O6" s="7" t="s">
        <v>905</v>
      </c>
      <c r="P6" s="7" t="s">
        <v>477</v>
      </c>
      <c r="Q6" s="17" t="s">
        <v>478</v>
      </c>
      <c r="R6" s="7" t="s">
        <v>479</v>
      </c>
      <c r="S6" s="7" t="s">
        <v>13</v>
      </c>
      <c r="T6" s="7" t="s">
        <v>480</v>
      </c>
      <c r="U6" s="7" t="s">
        <v>48</v>
      </c>
      <c r="V6" s="7" t="s">
        <v>481</v>
      </c>
      <c r="W6" s="7" t="s">
        <v>14</v>
      </c>
      <c r="X6" s="7" t="s">
        <v>101</v>
      </c>
      <c r="Y6" s="1259"/>
      <c r="Z6" s="407" t="s">
        <v>20</v>
      </c>
      <c r="AA6" s="8" t="s">
        <v>96</v>
      </c>
      <c r="AB6" s="8" t="s">
        <v>78</v>
      </c>
      <c r="AC6" s="8" t="s">
        <v>485</v>
      </c>
      <c r="AD6" s="8" t="s">
        <v>95</v>
      </c>
      <c r="AE6" s="8" t="s">
        <v>486</v>
      </c>
      <c r="AF6" s="8" t="s">
        <v>487</v>
      </c>
      <c r="AG6" s="8" t="s">
        <v>488</v>
      </c>
      <c r="AH6" s="8" t="s">
        <v>100</v>
      </c>
      <c r="AI6" s="8" t="s">
        <v>21</v>
      </c>
      <c r="AJ6" s="38" t="s">
        <v>15</v>
      </c>
      <c r="AK6" s="35" t="s">
        <v>88</v>
      </c>
      <c r="AL6" s="35" t="s">
        <v>89</v>
      </c>
      <c r="AM6" s="616" t="s">
        <v>601</v>
      </c>
      <c r="AN6" s="8" t="s">
        <v>77</v>
      </c>
      <c r="AO6" s="8" t="s">
        <v>98</v>
      </c>
      <c r="AP6" s="38" t="s">
        <v>489</v>
      </c>
      <c r="AQ6" s="39" t="s">
        <v>490</v>
      </c>
      <c r="AR6" s="36" t="s">
        <v>90</v>
      </c>
      <c r="AS6" s="36" t="s">
        <v>491</v>
      </c>
      <c r="AT6" s="36" t="s">
        <v>492</v>
      </c>
      <c r="AU6" s="8" t="s">
        <v>16</v>
      </c>
      <c r="AV6" s="38" t="s">
        <v>493</v>
      </c>
      <c r="AW6" s="38" t="s">
        <v>484</v>
      </c>
      <c r="AX6" s="8" t="s">
        <v>26</v>
      </c>
      <c r="AY6" s="39" t="s">
        <v>494</v>
      </c>
      <c r="AZ6" s="39" t="s">
        <v>49</v>
      </c>
      <c r="BA6" s="39" t="s">
        <v>495</v>
      </c>
      <c r="BB6" s="36" t="s">
        <v>496</v>
      </c>
      <c r="BC6" s="36" t="s">
        <v>92</v>
      </c>
      <c r="BD6" s="36" t="s">
        <v>93</v>
      </c>
      <c r="BE6" s="6" t="s">
        <v>20</v>
      </c>
      <c r="BF6" s="6" t="s">
        <v>112</v>
      </c>
      <c r="BG6" s="415" t="s">
        <v>498</v>
      </c>
      <c r="BH6" s="416" t="s">
        <v>22</v>
      </c>
      <c r="BI6" s="629" t="s">
        <v>608</v>
      </c>
      <c r="BJ6" s="417" t="s">
        <v>499</v>
      </c>
      <c r="BK6" s="6" t="s">
        <v>50</v>
      </c>
      <c r="BL6" s="6" t="s">
        <v>604</v>
      </c>
      <c r="BM6" s="6" t="s">
        <v>51</v>
      </c>
      <c r="BN6" s="418" t="s">
        <v>94</v>
      </c>
      <c r="BO6" s="6" t="s">
        <v>500</v>
      </c>
      <c r="BP6" s="6" t="s">
        <v>501</v>
      </c>
      <c r="BQ6" s="418" t="s">
        <v>94</v>
      </c>
      <c r="BR6" s="6" t="s">
        <v>502</v>
      </c>
      <c r="BS6" s="418" t="s">
        <v>94</v>
      </c>
      <c r="BT6" s="6" t="s">
        <v>502</v>
      </c>
      <c r="BU6" s="138" t="s">
        <v>732</v>
      </c>
      <c r="BV6" s="138" t="s">
        <v>733</v>
      </c>
      <c r="BW6" s="138" t="s">
        <v>734</v>
      </c>
      <c r="BX6" s="138" t="s">
        <v>634</v>
      </c>
      <c r="BY6" s="404" t="s">
        <v>542</v>
      </c>
      <c r="BZ6" s="811" t="s">
        <v>769</v>
      </c>
      <c r="CA6" s="819" t="s">
        <v>735</v>
      </c>
      <c r="CB6" s="404"/>
      <c r="CC6" s="811" t="s">
        <v>634</v>
      </c>
      <c r="CD6" s="811" t="s">
        <v>789</v>
      </c>
      <c r="CE6" s="811" t="s">
        <v>797</v>
      </c>
      <c r="CF6" s="811"/>
      <c r="CG6" s="811" t="s">
        <v>733</v>
      </c>
      <c r="CH6" s="811"/>
      <c r="CI6" s="404"/>
      <c r="CJ6" s="404"/>
      <c r="CK6" s="139"/>
      <c r="CL6" s="138" t="s">
        <v>736</v>
      </c>
      <c r="CM6" s="138" t="s">
        <v>737</v>
      </c>
      <c r="CN6" s="138" t="s">
        <v>738</v>
      </c>
      <c r="CO6" s="831"/>
      <c r="CP6" s="831"/>
      <c r="CQ6" s="138" t="s">
        <v>813</v>
      </c>
      <c r="CR6" s="138"/>
      <c r="CS6" s="138"/>
      <c r="CT6" s="139"/>
    </row>
    <row r="7" spans="1:98" s="25" customFormat="1" ht="24" customHeight="1">
      <c r="A7" s="113"/>
      <c r="B7" s="121"/>
      <c r="C7" s="9"/>
      <c r="D7" s="9"/>
      <c r="E7" s="9"/>
      <c r="F7" s="34"/>
      <c r="G7" s="34"/>
      <c r="H7" s="42"/>
      <c r="I7" s="7"/>
      <c r="J7" s="43"/>
      <c r="K7" s="43"/>
      <c r="L7" s="43"/>
      <c r="M7" s="43"/>
      <c r="N7" s="43"/>
      <c r="O7" s="43"/>
      <c r="P7" s="7"/>
      <c r="Q7" s="17"/>
      <c r="R7" s="17"/>
      <c r="S7" s="17"/>
      <c r="T7" s="17"/>
      <c r="U7" s="7"/>
      <c r="V7" s="7"/>
      <c r="W7" s="7"/>
      <c r="X7" s="7"/>
      <c r="Y7" s="412"/>
      <c r="Z7" s="413"/>
      <c r="AA7" s="8"/>
      <c r="AB7" s="8"/>
      <c r="AC7" s="8"/>
      <c r="AD7" s="8"/>
      <c r="AE7" s="8"/>
      <c r="AF7" s="8"/>
      <c r="AG7" s="38"/>
      <c r="AH7" s="35"/>
      <c r="AI7" s="35"/>
      <c r="AJ7" s="38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8"/>
      <c r="AW7" s="8"/>
      <c r="AX7" s="39"/>
      <c r="AY7" s="39"/>
      <c r="AZ7" s="36"/>
      <c r="BA7" s="8"/>
      <c r="BB7" s="8"/>
      <c r="BC7" s="36"/>
      <c r="BD7" s="3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497">
        <f>1*2.2</f>
        <v>2.2000000000000002</v>
      </c>
      <c r="BV7" s="497">
        <f>0.9*2.2</f>
        <v>1.9800000000000002</v>
      </c>
      <c r="BW7" s="497">
        <f>1.5*2.8</f>
        <v>4.1999999999999993</v>
      </c>
      <c r="BX7" s="665">
        <f>0.9*2.1</f>
        <v>1.8900000000000001</v>
      </c>
      <c r="BY7" s="497">
        <f>0.8*2.1</f>
        <v>1.6800000000000002</v>
      </c>
      <c r="BZ7" s="497">
        <f>0.7*2</f>
        <v>1.4</v>
      </c>
      <c r="CA7" s="819">
        <f>2.6*2.8</f>
        <v>7.2799999999999994</v>
      </c>
      <c r="CB7" s="497"/>
      <c r="CC7" s="811">
        <f>0.9*2.1</f>
        <v>1.8900000000000001</v>
      </c>
      <c r="CD7" s="811">
        <f>1.5*2.1</f>
        <v>3.1500000000000004</v>
      </c>
      <c r="CE7" s="811">
        <f>1.8*2.4</f>
        <v>4.32</v>
      </c>
      <c r="CF7" s="811"/>
      <c r="CG7" s="811">
        <f>0.9*2.2</f>
        <v>1.9800000000000002</v>
      </c>
      <c r="CH7" s="811"/>
      <c r="CI7" s="497"/>
      <c r="CJ7" s="404"/>
      <c r="CK7" s="139"/>
      <c r="CL7" s="665">
        <f>1.7*1.7</f>
        <v>2.8899999999999997</v>
      </c>
      <c r="CM7" s="665">
        <f>1.75*1.75</f>
        <v>3.0625</v>
      </c>
      <c r="CN7" s="665">
        <f>1.2*1.7</f>
        <v>2.04</v>
      </c>
      <c r="CO7" s="831"/>
      <c r="CP7" s="831"/>
      <c r="CQ7" s="665">
        <f>1.1*0.5</f>
        <v>0.55000000000000004</v>
      </c>
      <c r="CR7" s="665"/>
      <c r="CS7" s="404"/>
      <c r="CT7" s="139"/>
    </row>
    <row r="8" spans="1:98" s="642" customFormat="1" ht="24" customHeight="1">
      <c r="A8" s="637" t="s">
        <v>0</v>
      </c>
      <c r="B8" s="638"/>
      <c r="C8" s="639"/>
      <c r="D8" s="639"/>
      <c r="E8" s="639"/>
      <c r="F8" s="639"/>
      <c r="G8" s="639"/>
      <c r="H8" s="640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40"/>
      <c r="Z8" s="640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39"/>
      <c r="BU8" s="641"/>
      <c r="BV8" s="641"/>
      <c r="BW8" s="641"/>
      <c r="BX8" s="641"/>
      <c r="BY8" s="641"/>
      <c r="BZ8" s="641"/>
      <c r="CA8" s="641"/>
      <c r="CB8" s="641"/>
      <c r="CC8" s="641"/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  <c r="CP8" s="641"/>
      <c r="CQ8" s="641"/>
      <c r="CR8" s="641"/>
      <c r="CS8" s="641"/>
      <c r="CT8" s="641"/>
    </row>
    <row r="9" spans="1:98" s="642" customFormat="1" ht="45" hidden="1" customHeight="1">
      <c r="A9" s="1253" t="s">
        <v>616</v>
      </c>
      <c r="B9" s="1253"/>
      <c r="C9" s="1253"/>
      <c r="D9" s="1253"/>
      <c r="E9" s="1253"/>
      <c r="F9" s="1253"/>
      <c r="G9" s="1253"/>
      <c r="H9" s="1253"/>
      <c r="I9" s="643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43"/>
      <c r="BB9" s="643"/>
      <c r="BC9" s="643"/>
      <c r="BD9" s="643"/>
      <c r="BE9" s="643"/>
      <c r="BF9" s="643"/>
      <c r="BG9" s="643"/>
      <c r="BH9" s="643"/>
      <c r="BI9" s="643"/>
      <c r="BJ9" s="643"/>
      <c r="BK9" s="643"/>
      <c r="BL9" s="643"/>
      <c r="BM9" s="643"/>
      <c r="BN9" s="643"/>
      <c r="BO9" s="643"/>
      <c r="BP9" s="643"/>
      <c r="BQ9" s="643"/>
      <c r="BR9" s="643"/>
      <c r="BS9" s="643"/>
      <c r="BT9" s="643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</row>
    <row r="10" spans="1:98" s="642" customFormat="1" hidden="1">
      <c r="A10" s="422"/>
      <c r="B10" s="630"/>
      <c r="C10" s="133"/>
      <c r="D10" s="133"/>
      <c r="E10" s="133"/>
      <c r="F10" s="133"/>
      <c r="G10" s="133"/>
      <c r="H10" s="645"/>
      <c r="I10" s="88"/>
      <c r="J10" s="646"/>
      <c r="K10" s="646"/>
      <c r="L10" s="646"/>
      <c r="M10" s="133"/>
      <c r="N10" s="133"/>
      <c r="O10" s="133"/>
      <c r="P10" s="114"/>
      <c r="Q10" s="114"/>
      <c r="R10" s="114"/>
      <c r="S10" s="114"/>
      <c r="T10" s="114"/>
      <c r="U10" s="133"/>
      <c r="V10" s="133"/>
      <c r="W10" s="114"/>
      <c r="X10" s="133"/>
      <c r="Y10" s="114"/>
      <c r="Z10" s="88"/>
      <c r="AA10" s="114"/>
      <c r="AB10" s="114"/>
      <c r="AC10" s="114"/>
      <c r="AD10" s="114"/>
      <c r="AE10" s="114"/>
      <c r="AF10" s="114"/>
      <c r="AG10" s="133"/>
      <c r="AH10" s="114"/>
      <c r="AI10" s="114"/>
      <c r="AJ10" s="133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33"/>
      <c r="AW10" s="114"/>
      <c r="AX10" s="133"/>
      <c r="AY10" s="114"/>
      <c r="AZ10" s="114"/>
      <c r="BA10" s="114"/>
      <c r="BB10" s="114"/>
      <c r="BC10" s="133"/>
      <c r="BD10" s="133"/>
      <c r="BE10" s="88"/>
      <c r="BF10" s="421"/>
      <c r="BG10" s="421"/>
      <c r="BH10" s="49"/>
      <c r="BI10" s="49"/>
      <c r="BJ10" s="49"/>
      <c r="BK10" s="49"/>
      <c r="BL10" s="49"/>
      <c r="BM10" s="135"/>
      <c r="BN10" s="135"/>
      <c r="BO10" s="135"/>
      <c r="BP10" s="135"/>
      <c r="BQ10" s="114"/>
      <c r="BR10" s="114"/>
      <c r="BS10" s="114"/>
      <c r="BT10" s="114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502">
        <f t="shared" ref="CK10:CK19" si="0">SUM(BU10:CJ10)</f>
        <v>0</v>
      </c>
      <c r="CL10" s="46"/>
      <c r="CM10" s="46"/>
      <c r="CN10" s="46"/>
      <c r="CO10" s="46"/>
      <c r="CP10" s="46"/>
      <c r="CQ10" s="46"/>
      <c r="CR10" s="46"/>
      <c r="CS10" s="46"/>
      <c r="CT10" s="502">
        <f t="shared" ref="CT10:CT19" si="1">SUM(CL10:CS10)</f>
        <v>0</v>
      </c>
    </row>
    <row r="11" spans="1:98" s="642" customFormat="1" hidden="1">
      <c r="A11" s="422"/>
      <c r="B11" s="630"/>
      <c r="C11" s="133"/>
      <c r="D11" s="133"/>
      <c r="E11" s="133"/>
      <c r="F11" s="133"/>
      <c r="G11" s="133"/>
      <c r="H11" s="645"/>
      <c r="I11" s="88"/>
      <c r="J11" s="646"/>
      <c r="K11" s="646"/>
      <c r="L11" s="646"/>
      <c r="M11" s="646"/>
      <c r="N11" s="646"/>
      <c r="O11" s="646"/>
      <c r="P11" s="114"/>
      <c r="Q11" s="114"/>
      <c r="R11" s="114"/>
      <c r="S11" s="114"/>
      <c r="T11" s="114"/>
      <c r="U11" s="133"/>
      <c r="V11" s="133"/>
      <c r="W11" s="114"/>
      <c r="X11" s="133"/>
      <c r="Y11" s="647"/>
      <c r="Z11" s="88"/>
      <c r="AA11" s="114"/>
      <c r="AB11" s="114"/>
      <c r="AC11" s="114"/>
      <c r="AD11" s="114"/>
      <c r="AE11" s="114"/>
      <c r="AF11" s="114"/>
      <c r="AG11" s="13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33"/>
      <c r="AW11" s="114"/>
      <c r="AX11" s="133"/>
      <c r="AY11" s="114"/>
      <c r="AZ11" s="114"/>
      <c r="BA11" s="114"/>
      <c r="BB11" s="114"/>
      <c r="BC11" s="133"/>
      <c r="BD11" s="133"/>
      <c r="BE11" s="88"/>
      <c r="BF11" s="421"/>
      <c r="BG11" s="421"/>
      <c r="BH11" s="49"/>
      <c r="BI11" s="49"/>
      <c r="BJ11" s="49"/>
      <c r="BK11" s="49"/>
      <c r="BL11" s="49"/>
      <c r="BM11" s="135"/>
      <c r="BN11" s="135"/>
      <c r="BO11" s="647"/>
      <c r="BP11" s="135"/>
      <c r="BQ11" s="52"/>
      <c r="BR11" s="52"/>
      <c r="BS11" s="52"/>
      <c r="BT11" s="52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502">
        <f t="shared" si="0"/>
        <v>0</v>
      </c>
      <c r="CL11" s="46"/>
      <c r="CM11" s="46"/>
      <c r="CN11" s="46"/>
      <c r="CO11" s="46"/>
      <c r="CP11" s="46"/>
      <c r="CQ11" s="46"/>
      <c r="CR11" s="46"/>
      <c r="CS11" s="46"/>
      <c r="CT11" s="502">
        <f t="shared" si="1"/>
        <v>0</v>
      </c>
    </row>
    <row r="12" spans="1:98" s="642" customFormat="1" hidden="1">
      <c r="A12" s="422"/>
      <c r="B12" s="630"/>
      <c r="C12" s="133"/>
      <c r="D12" s="133"/>
      <c r="E12" s="133"/>
      <c r="F12" s="133"/>
      <c r="G12" s="133"/>
      <c r="H12" s="645"/>
      <c r="I12" s="88"/>
      <c r="J12" s="646"/>
      <c r="K12" s="646"/>
      <c r="L12" s="646"/>
      <c r="M12" s="646"/>
      <c r="N12" s="646"/>
      <c r="O12" s="646"/>
      <c r="P12" s="114"/>
      <c r="Q12" s="114"/>
      <c r="R12" s="114"/>
      <c r="S12" s="114"/>
      <c r="T12" s="114"/>
      <c r="U12" s="133"/>
      <c r="V12" s="133"/>
      <c r="W12" s="114"/>
      <c r="X12" s="133"/>
      <c r="Y12" s="647"/>
      <c r="Z12" s="88"/>
      <c r="AA12" s="114"/>
      <c r="AB12" s="114"/>
      <c r="AC12" s="114"/>
      <c r="AD12" s="114"/>
      <c r="AE12" s="114"/>
      <c r="AF12" s="114"/>
      <c r="AG12" s="133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33"/>
      <c r="AW12" s="114"/>
      <c r="AX12" s="133"/>
      <c r="AY12" s="114"/>
      <c r="AZ12" s="114"/>
      <c r="BA12" s="114"/>
      <c r="BB12" s="114"/>
      <c r="BC12" s="133"/>
      <c r="BD12" s="133"/>
      <c r="BE12" s="88"/>
      <c r="BF12" s="421"/>
      <c r="BG12" s="421"/>
      <c r="BH12" s="49"/>
      <c r="BI12" s="49"/>
      <c r="BJ12" s="49"/>
      <c r="BK12" s="49"/>
      <c r="BL12" s="49"/>
      <c r="BM12" s="135"/>
      <c r="BN12" s="135"/>
      <c r="BO12" s="647"/>
      <c r="BP12" s="135"/>
      <c r="BQ12" s="52"/>
      <c r="BR12" s="52"/>
      <c r="BS12" s="52"/>
      <c r="BT12" s="52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502">
        <f t="shared" si="0"/>
        <v>0</v>
      </c>
      <c r="CL12" s="46"/>
      <c r="CM12" s="46"/>
      <c r="CN12" s="46"/>
      <c r="CO12" s="46"/>
      <c r="CP12" s="46"/>
      <c r="CQ12" s="46"/>
      <c r="CR12" s="46"/>
      <c r="CS12" s="46"/>
      <c r="CT12" s="502">
        <f t="shared" si="1"/>
        <v>0</v>
      </c>
    </row>
    <row r="13" spans="1:98" s="642" customFormat="1" hidden="1">
      <c r="A13" s="422"/>
      <c r="B13" s="630"/>
      <c r="C13" s="133"/>
      <c r="D13" s="133"/>
      <c r="E13" s="133"/>
      <c r="F13" s="133"/>
      <c r="G13" s="133"/>
      <c r="H13" s="133"/>
      <c r="I13" s="88"/>
      <c r="J13" s="646"/>
      <c r="K13" s="646"/>
      <c r="L13" s="646"/>
      <c r="M13" s="646"/>
      <c r="N13" s="646"/>
      <c r="O13" s="646"/>
      <c r="P13" s="114"/>
      <c r="Q13" s="114"/>
      <c r="R13" s="114"/>
      <c r="S13" s="114"/>
      <c r="T13" s="114"/>
      <c r="U13" s="133"/>
      <c r="V13" s="133"/>
      <c r="W13" s="133"/>
      <c r="X13" s="133"/>
      <c r="Y13" s="135"/>
      <c r="Z13" s="88"/>
      <c r="AA13" s="114"/>
      <c r="AB13" s="114"/>
      <c r="AC13" s="114"/>
      <c r="AD13" s="114"/>
      <c r="AE13" s="114"/>
      <c r="AF13" s="114"/>
      <c r="AG13" s="133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33"/>
      <c r="AW13" s="133"/>
      <c r="AX13" s="133"/>
      <c r="AY13" s="114"/>
      <c r="AZ13" s="114"/>
      <c r="BA13" s="114"/>
      <c r="BB13" s="114"/>
      <c r="BC13" s="133"/>
      <c r="BD13" s="114"/>
      <c r="BE13" s="88"/>
      <c r="BF13" s="421"/>
      <c r="BG13" s="421"/>
      <c r="BH13" s="49"/>
      <c r="BI13" s="49"/>
      <c r="BJ13" s="49"/>
      <c r="BK13" s="49"/>
      <c r="BL13" s="49"/>
      <c r="BM13" s="135"/>
      <c r="BN13" s="135"/>
      <c r="BO13" s="114"/>
      <c r="BP13" s="135"/>
      <c r="BQ13" s="114"/>
      <c r="BR13" s="114"/>
      <c r="BS13" s="52"/>
      <c r="BT13" s="114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502">
        <f t="shared" si="0"/>
        <v>0</v>
      </c>
      <c r="CL13" s="46"/>
      <c r="CM13" s="46"/>
      <c r="CN13" s="46"/>
      <c r="CO13" s="46"/>
      <c r="CP13" s="46"/>
      <c r="CQ13" s="46"/>
      <c r="CR13" s="46"/>
      <c r="CS13" s="46"/>
      <c r="CT13" s="502">
        <f t="shared" si="1"/>
        <v>0</v>
      </c>
    </row>
    <row r="14" spans="1:98" s="642" customFormat="1" hidden="1">
      <c r="A14" s="422"/>
      <c r="B14" s="630"/>
      <c r="C14" s="133"/>
      <c r="D14" s="133"/>
      <c r="E14" s="133"/>
      <c r="F14" s="133"/>
      <c r="G14" s="133"/>
      <c r="H14" s="645"/>
      <c r="I14" s="88"/>
      <c r="J14" s="646"/>
      <c r="K14" s="646"/>
      <c r="L14" s="646"/>
      <c r="M14" s="646"/>
      <c r="N14" s="646"/>
      <c r="O14" s="646"/>
      <c r="P14" s="114"/>
      <c r="Q14" s="114"/>
      <c r="R14" s="114"/>
      <c r="S14" s="114"/>
      <c r="T14" s="114"/>
      <c r="U14" s="133"/>
      <c r="V14" s="133"/>
      <c r="W14" s="133"/>
      <c r="X14" s="133"/>
      <c r="Y14" s="135"/>
      <c r="Z14" s="88"/>
      <c r="AA14" s="114"/>
      <c r="AB14" s="114"/>
      <c r="AC14" s="114"/>
      <c r="AD14" s="114"/>
      <c r="AE14" s="114"/>
      <c r="AF14" s="114"/>
      <c r="AG14" s="133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33"/>
      <c r="AW14" s="133"/>
      <c r="AX14" s="114"/>
      <c r="AY14" s="114"/>
      <c r="AZ14" s="114"/>
      <c r="BA14" s="114"/>
      <c r="BB14" s="114"/>
      <c r="BC14" s="133"/>
      <c r="BD14" s="114"/>
      <c r="BE14" s="88"/>
      <c r="BF14" s="421"/>
      <c r="BG14" s="421"/>
      <c r="BH14" s="49"/>
      <c r="BI14" s="49"/>
      <c r="BJ14" s="49"/>
      <c r="BK14" s="49"/>
      <c r="BL14" s="49"/>
      <c r="BM14" s="135"/>
      <c r="BN14" s="135"/>
      <c r="BO14" s="114"/>
      <c r="BP14" s="135"/>
      <c r="BQ14" s="114"/>
      <c r="BR14" s="114"/>
      <c r="BS14" s="52"/>
      <c r="BT14" s="114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502">
        <f t="shared" si="0"/>
        <v>0</v>
      </c>
      <c r="CL14" s="46"/>
      <c r="CM14" s="46"/>
      <c r="CN14" s="46"/>
      <c r="CO14" s="46"/>
      <c r="CP14" s="46"/>
      <c r="CQ14" s="46"/>
      <c r="CR14" s="46"/>
      <c r="CS14" s="46"/>
      <c r="CT14" s="502">
        <f t="shared" si="1"/>
        <v>0</v>
      </c>
    </row>
    <row r="15" spans="1:98" s="642" customFormat="1" hidden="1">
      <c r="A15" s="422"/>
      <c r="B15" s="630"/>
      <c r="C15" s="133"/>
      <c r="D15" s="133"/>
      <c r="E15" s="133"/>
      <c r="F15" s="133"/>
      <c r="G15" s="133"/>
      <c r="H15" s="645"/>
      <c r="I15" s="88"/>
      <c r="J15" s="646"/>
      <c r="K15" s="646"/>
      <c r="L15" s="646"/>
      <c r="M15" s="646"/>
      <c r="N15" s="646"/>
      <c r="O15" s="646"/>
      <c r="P15" s="114"/>
      <c r="Q15" s="114"/>
      <c r="R15" s="114"/>
      <c r="S15" s="114"/>
      <c r="T15" s="114"/>
      <c r="U15" s="133"/>
      <c r="V15" s="133"/>
      <c r="W15" s="133"/>
      <c r="X15" s="133"/>
      <c r="Y15" s="135"/>
      <c r="Z15" s="88"/>
      <c r="AA15" s="114"/>
      <c r="AB15" s="114"/>
      <c r="AC15" s="114"/>
      <c r="AD15" s="114"/>
      <c r="AE15" s="114"/>
      <c r="AF15" s="114"/>
      <c r="AG15" s="133"/>
      <c r="AH15" s="114"/>
      <c r="AI15" s="114"/>
      <c r="AJ15" s="114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14"/>
      <c r="AY15" s="114"/>
      <c r="AZ15" s="114"/>
      <c r="BA15" s="114"/>
      <c r="BB15" s="114"/>
      <c r="BC15" s="133"/>
      <c r="BD15" s="133"/>
      <c r="BE15" s="88"/>
      <c r="BF15" s="421"/>
      <c r="BG15" s="421"/>
      <c r="BH15" s="49"/>
      <c r="BI15" s="49"/>
      <c r="BJ15" s="49"/>
      <c r="BK15" s="49"/>
      <c r="BL15" s="49"/>
      <c r="BM15" s="135"/>
      <c r="BN15" s="135"/>
      <c r="BO15" s="114"/>
      <c r="BP15" s="135"/>
      <c r="BQ15" s="114"/>
      <c r="BR15" s="114"/>
      <c r="BS15" s="52"/>
      <c r="BT15" s="114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502">
        <f t="shared" si="0"/>
        <v>0</v>
      </c>
      <c r="CL15" s="46"/>
      <c r="CM15" s="46"/>
      <c r="CN15" s="46"/>
      <c r="CO15" s="46"/>
      <c r="CP15" s="46"/>
      <c r="CQ15" s="46"/>
      <c r="CR15" s="46"/>
      <c r="CS15" s="46"/>
      <c r="CT15" s="502">
        <f t="shared" si="1"/>
        <v>0</v>
      </c>
    </row>
    <row r="16" spans="1:98" s="642" customFormat="1" hidden="1">
      <c r="A16" s="422"/>
      <c r="B16" s="630"/>
      <c r="C16" s="133"/>
      <c r="D16" s="133"/>
      <c r="E16" s="133"/>
      <c r="F16" s="133"/>
      <c r="G16" s="133"/>
      <c r="H16" s="645"/>
      <c r="I16" s="88"/>
      <c r="J16" s="646"/>
      <c r="K16" s="646"/>
      <c r="L16" s="646"/>
      <c r="M16" s="646"/>
      <c r="N16" s="646"/>
      <c r="O16" s="646"/>
      <c r="P16" s="114"/>
      <c r="Q16" s="114"/>
      <c r="R16" s="114"/>
      <c r="S16" s="114"/>
      <c r="T16" s="114"/>
      <c r="U16" s="133"/>
      <c r="V16" s="133"/>
      <c r="W16" s="133"/>
      <c r="X16" s="133"/>
      <c r="Y16" s="135"/>
      <c r="Z16" s="88"/>
      <c r="AA16" s="114"/>
      <c r="AB16" s="114"/>
      <c r="AC16" s="114"/>
      <c r="AD16" s="114"/>
      <c r="AE16" s="114"/>
      <c r="AF16" s="114"/>
      <c r="AG16" s="133"/>
      <c r="AH16" s="114"/>
      <c r="AI16" s="114"/>
      <c r="AJ16" s="114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14"/>
      <c r="AY16" s="114"/>
      <c r="AZ16" s="114"/>
      <c r="BA16" s="114"/>
      <c r="BB16" s="114"/>
      <c r="BC16" s="133"/>
      <c r="BD16" s="133"/>
      <c r="BE16" s="88"/>
      <c r="BF16" s="421"/>
      <c r="BG16" s="421"/>
      <c r="BH16" s="49"/>
      <c r="BI16" s="49"/>
      <c r="BJ16" s="49"/>
      <c r="BK16" s="49"/>
      <c r="BL16" s="49"/>
      <c r="BM16" s="135"/>
      <c r="BN16" s="135"/>
      <c r="BO16" s="114"/>
      <c r="BP16" s="135"/>
      <c r="BQ16" s="114"/>
      <c r="BR16" s="114"/>
      <c r="BS16" s="52"/>
      <c r="BT16" s="114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502">
        <f t="shared" si="0"/>
        <v>0</v>
      </c>
      <c r="CL16" s="46"/>
      <c r="CM16" s="46"/>
      <c r="CN16" s="46"/>
      <c r="CO16" s="46"/>
      <c r="CP16" s="46"/>
      <c r="CQ16" s="46"/>
      <c r="CR16" s="46"/>
      <c r="CS16" s="46"/>
      <c r="CT16" s="502">
        <f t="shared" si="1"/>
        <v>0</v>
      </c>
    </row>
    <row r="17" spans="1:98" s="642" customFormat="1" hidden="1">
      <c r="A17" s="422"/>
      <c r="B17" s="630"/>
      <c r="C17" s="133"/>
      <c r="D17" s="133"/>
      <c r="E17" s="133"/>
      <c r="F17" s="133"/>
      <c r="G17" s="133"/>
      <c r="H17" s="645"/>
      <c r="I17" s="88"/>
      <c r="J17" s="646"/>
      <c r="K17" s="646"/>
      <c r="L17" s="646"/>
      <c r="M17" s="646"/>
      <c r="N17" s="646"/>
      <c r="O17" s="646"/>
      <c r="P17" s="114"/>
      <c r="Q17" s="114"/>
      <c r="R17" s="114"/>
      <c r="S17" s="114"/>
      <c r="T17" s="114"/>
      <c r="U17" s="133"/>
      <c r="V17" s="114"/>
      <c r="W17" s="133"/>
      <c r="X17" s="133"/>
      <c r="Y17" s="114"/>
      <c r="Z17" s="88"/>
      <c r="AA17" s="114"/>
      <c r="AB17" s="114"/>
      <c r="AC17" s="114"/>
      <c r="AD17" s="114"/>
      <c r="AE17" s="114"/>
      <c r="AF17" s="114"/>
      <c r="AG17" s="133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33"/>
      <c r="AW17" s="133"/>
      <c r="AX17" s="114"/>
      <c r="AY17" s="114"/>
      <c r="AZ17" s="114"/>
      <c r="BA17" s="114"/>
      <c r="BB17" s="114"/>
      <c r="BC17" s="133"/>
      <c r="BD17" s="133"/>
      <c r="BE17" s="88"/>
      <c r="BF17" s="421"/>
      <c r="BG17" s="421"/>
      <c r="BH17" s="49"/>
      <c r="BI17" s="49"/>
      <c r="BJ17" s="49"/>
      <c r="BK17" s="49"/>
      <c r="BL17" s="49"/>
      <c r="BM17" s="135"/>
      <c r="BN17" s="135"/>
      <c r="BO17" s="114"/>
      <c r="BP17" s="135"/>
      <c r="BQ17" s="114"/>
      <c r="BR17" s="114"/>
      <c r="BS17" s="52"/>
      <c r="BT17" s="114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502">
        <f t="shared" si="0"/>
        <v>0</v>
      </c>
      <c r="CL17" s="46"/>
      <c r="CM17" s="46"/>
      <c r="CN17" s="46"/>
      <c r="CO17" s="46"/>
      <c r="CP17" s="46"/>
      <c r="CQ17" s="46"/>
      <c r="CR17" s="46"/>
      <c r="CS17" s="46"/>
      <c r="CT17" s="502">
        <f t="shared" si="1"/>
        <v>0</v>
      </c>
    </row>
    <row r="18" spans="1:98" s="642" customFormat="1" hidden="1">
      <c r="A18" s="422"/>
      <c r="B18" s="630"/>
      <c r="C18" s="133"/>
      <c r="D18" s="133"/>
      <c r="E18" s="133"/>
      <c r="F18" s="133"/>
      <c r="G18" s="133"/>
      <c r="H18" s="645"/>
      <c r="I18" s="88"/>
      <c r="J18" s="646"/>
      <c r="K18" s="646"/>
      <c r="L18" s="646"/>
      <c r="M18" s="646"/>
      <c r="N18" s="646"/>
      <c r="O18" s="646"/>
      <c r="P18" s="114"/>
      <c r="Q18" s="114"/>
      <c r="R18" s="114"/>
      <c r="S18" s="114"/>
      <c r="T18" s="114"/>
      <c r="U18" s="133"/>
      <c r="V18" s="114"/>
      <c r="W18" s="114"/>
      <c r="X18" s="133"/>
      <c r="Y18" s="114"/>
      <c r="Z18" s="88"/>
      <c r="AA18" s="114"/>
      <c r="AB18" s="114"/>
      <c r="AC18" s="114"/>
      <c r="AD18" s="114"/>
      <c r="AE18" s="114"/>
      <c r="AF18" s="114"/>
      <c r="AG18" s="133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33"/>
      <c r="AW18" s="114"/>
      <c r="AX18" s="133"/>
      <c r="AY18" s="114"/>
      <c r="AZ18" s="114"/>
      <c r="BA18" s="114"/>
      <c r="BB18" s="114"/>
      <c r="BC18" s="133"/>
      <c r="BD18" s="133"/>
      <c r="BE18" s="88"/>
      <c r="BF18" s="421"/>
      <c r="BG18" s="421"/>
      <c r="BH18" s="49"/>
      <c r="BI18" s="49"/>
      <c r="BJ18" s="49"/>
      <c r="BK18" s="49"/>
      <c r="BL18" s="49"/>
      <c r="BM18" s="135"/>
      <c r="BN18" s="135"/>
      <c r="BO18" s="114"/>
      <c r="BP18" s="135"/>
      <c r="BQ18" s="114"/>
      <c r="BR18" s="114"/>
      <c r="BS18" s="52"/>
      <c r="BT18" s="114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502">
        <f t="shared" si="0"/>
        <v>0</v>
      </c>
      <c r="CL18" s="46"/>
      <c r="CM18" s="46"/>
      <c r="CN18" s="46"/>
      <c r="CO18" s="46"/>
      <c r="CP18" s="46"/>
      <c r="CQ18" s="46"/>
      <c r="CR18" s="46"/>
      <c r="CS18" s="46"/>
      <c r="CT18" s="502">
        <f t="shared" si="1"/>
        <v>0</v>
      </c>
    </row>
    <row r="19" spans="1:98" s="642" customFormat="1" hidden="1">
      <c r="A19" s="422"/>
      <c r="B19" s="648"/>
      <c r="C19" s="133"/>
      <c r="D19" s="133"/>
      <c r="E19" s="133"/>
      <c r="F19" s="133"/>
      <c r="G19" s="133"/>
      <c r="H19" s="645"/>
      <c r="I19" s="88"/>
      <c r="J19" s="646"/>
      <c r="K19" s="646"/>
      <c r="L19" s="646"/>
      <c r="M19" s="646"/>
      <c r="N19" s="646"/>
      <c r="O19" s="646"/>
      <c r="P19" s="114"/>
      <c r="Q19" s="114"/>
      <c r="R19" s="114"/>
      <c r="S19" s="114"/>
      <c r="T19" s="114"/>
      <c r="U19" s="133"/>
      <c r="V19" s="133"/>
      <c r="W19" s="133"/>
      <c r="X19" s="133"/>
      <c r="Y19" s="114"/>
      <c r="Z19" s="88"/>
      <c r="AA19" s="114"/>
      <c r="AB19" s="114"/>
      <c r="AC19" s="114"/>
      <c r="AD19" s="114"/>
      <c r="AE19" s="114"/>
      <c r="AF19" s="114"/>
      <c r="AG19" s="133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33"/>
      <c r="AW19" s="133"/>
      <c r="AX19" s="114"/>
      <c r="AY19" s="114"/>
      <c r="AZ19" s="114"/>
      <c r="BA19" s="114"/>
      <c r="BB19" s="114"/>
      <c r="BC19" s="133"/>
      <c r="BD19" s="114"/>
      <c r="BE19" s="88"/>
      <c r="BF19" s="421"/>
      <c r="BG19" s="421"/>
      <c r="BH19" s="49"/>
      <c r="BI19" s="49"/>
      <c r="BJ19" s="49"/>
      <c r="BK19" s="49"/>
      <c r="BL19" s="49"/>
      <c r="BM19" s="135"/>
      <c r="BN19" s="135"/>
      <c r="BO19" s="114"/>
      <c r="BP19" s="135"/>
      <c r="BQ19" s="114"/>
      <c r="BR19" s="114"/>
      <c r="BS19" s="52"/>
      <c r="BT19" s="114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502">
        <f t="shared" si="0"/>
        <v>0</v>
      </c>
      <c r="CL19" s="46"/>
      <c r="CM19" s="46"/>
      <c r="CN19" s="46"/>
      <c r="CO19" s="46"/>
      <c r="CP19" s="46"/>
      <c r="CQ19" s="46"/>
      <c r="CR19" s="46"/>
      <c r="CS19" s="46"/>
      <c r="CT19" s="502">
        <f t="shared" si="1"/>
        <v>0</v>
      </c>
    </row>
    <row r="20" spans="1:98" s="938" customFormat="1" ht="32.25" customHeight="1">
      <c r="A20" s="1240" t="s">
        <v>720</v>
      </c>
      <c r="B20" s="1240"/>
      <c r="C20" s="1240"/>
      <c r="D20" s="1240"/>
      <c r="E20" s="1240"/>
      <c r="F20" s="1240"/>
      <c r="G20" s="1240"/>
      <c r="H20" s="1241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935"/>
      <c r="AB20" s="935"/>
      <c r="AC20" s="935"/>
      <c r="AD20" s="935"/>
      <c r="AE20" s="935"/>
      <c r="AF20" s="935"/>
      <c r="AG20" s="935"/>
      <c r="AH20" s="935"/>
      <c r="AI20" s="935"/>
      <c r="AJ20" s="935"/>
      <c r="AK20" s="935"/>
      <c r="AL20" s="935"/>
      <c r="AM20" s="935"/>
      <c r="AN20" s="935"/>
      <c r="AO20" s="935"/>
      <c r="AP20" s="935"/>
      <c r="AQ20" s="935"/>
      <c r="AR20" s="935"/>
      <c r="AS20" s="935"/>
      <c r="AT20" s="935"/>
      <c r="AU20" s="935"/>
      <c r="AV20" s="935"/>
      <c r="AW20" s="935"/>
      <c r="AX20" s="935"/>
      <c r="AY20" s="935"/>
      <c r="AZ20" s="935"/>
      <c r="BA20" s="935"/>
      <c r="BB20" s="935"/>
      <c r="BC20" s="935"/>
      <c r="BD20" s="935"/>
      <c r="BE20" s="935"/>
      <c r="BF20" s="935"/>
      <c r="BG20" s="935"/>
      <c r="BH20" s="935"/>
      <c r="BI20" s="935"/>
      <c r="BJ20" s="935"/>
      <c r="BK20" s="935"/>
      <c r="BL20" s="935"/>
      <c r="BM20" s="935"/>
      <c r="BN20" s="935"/>
      <c r="BO20" s="935"/>
      <c r="BP20" s="935"/>
      <c r="BQ20" s="935"/>
      <c r="BR20" s="935"/>
      <c r="BS20" s="936"/>
      <c r="BT20" s="935"/>
      <c r="BU20" s="937"/>
      <c r="BV20" s="937"/>
      <c r="BW20" s="937"/>
      <c r="BX20" s="937"/>
      <c r="BY20" s="937"/>
      <c r="BZ20" s="937"/>
      <c r="CA20" s="937"/>
      <c r="CB20" s="937"/>
      <c r="CC20" s="937"/>
      <c r="CD20" s="937"/>
      <c r="CE20" s="937"/>
      <c r="CF20" s="937"/>
      <c r="CG20" s="937"/>
      <c r="CH20" s="937"/>
      <c r="CI20" s="937"/>
      <c r="CJ20" s="937"/>
      <c r="CK20" s="937"/>
      <c r="CL20" s="937"/>
      <c r="CM20" s="937"/>
      <c r="CN20" s="937"/>
      <c r="CO20" s="937"/>
      <c r="CP20" s="937"/>
      <c r="CQ20" s="937"/>
      <c r="CR20" s="937"/>
      <c r="CS20" s="937"/>
      <c r="CT20" s="937"/>
    </row>
    <row r="21" spans="1:98" s="642" customFormat="1">
      <c r="A21" s="422" t="s">
        <v>334</v>
      </c>
      <c r="B21" s="652" t="s">
        <v>725</v>
      </c>
      <c r="C21" s="652" t="s">
        <v>757</v>
      </c>
      <c r="D21" s="652">
        <f>3.2*6</f>
        <v>19.200000000000003</v>
      </c>
      <c r="E21" s="652">
        <f>(3.2+6)*2</f>
        <v>18.399999999999999</v>
      </c>
      <c r="F21" s="133"/>
      <c r="G21" s="133"/>
      <c r="H21" s="133"/>
      <c r="I21" s="842">
        <f>3.2*6</f>
        <v>19.200000000000003</v>
      </c>
      <c r="J21" s="652"/>
      <c r="K21" s="652"/>
      <c r="L21" s="652"/>
      <c r="M21" s="652"/>
      <c r="N21" s="652"/>
      <c r="O21" s="652">
        <f>3.2*6</f>
        <v>19.200000000000003</v>
      </c>
      <c r="P21" s="652"/>
      <c r="Q21" s="652"/>
      <c r="R21" s="652"/>
      <c r="S21" s="652">
        <f>3.2*6</f>
        <v>19.200000000000003</v>
      </c>
      <c r="T21" s="133"/>
      <c r="U21" s="133"/>
      <c r="V21" s="133"/>
      <c r="W21" s="114"/>
      <c r="X21" s="652">
        <f>(3.2+6)*2</f>
        <v>18.399999999999999</v>
      </c>
      <c r="Y21" s="114"/>
      <c r="Z21" s="842">
        <f t="shared" ref="Z21:AA24" si="2">3.2*6</f>
        <v>19.200000000000003</v>
      </c>
      <c r="AA21" s="652">
        <f t="shared" si="2"/>
        <v>19.200000000000003</v>
      </c>
      <c r="AB21" s="556"/>
      <c r="AC21" s="556"/>
      <c r="AD21" s="556"/>
      <c r="AE21" s="556"/>
      <c r="AF21" s="556"/>
      <c r="AG21" s="556"/>
      <c r="AH21" s="556"/>
      <c r="AI21" s="556"/>
      <c r="AJ21" s="652">
        <f>3.2*6</f>
        <v>19.200000000000003</v>
      </c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>
        <f>3.2*6</f>
        <v>19.200000000000003</v>
      </c>
      <c r="AV21" s="133"/>
      <c r="AW21" s="133"/>
      <c r="AX21" s="133"/>
      <c r="AY21" s="556"/>
      <c r="AZ21" s="556"/>
      <c r="BA21" s="114"/>
      <c r="BB21" s="114"/>
      <c r="BC21" s="652"/>
      <c r="BD21" s="652">
        <f>(3.2+6)*2</f>
        <v>18.399999999999999</v>
      </c>
      <c r="BE21" s="842">
        <f>(3.2+6)*2*2.8</f>
        <v>51.519999999999996</v>
      </c>
      <c r="BF21" s="421">
        <f t="shared" ref="BF21:BF38" si="3">BE21-CK21-CT21</f>
        <v>46.429999999999993</v>
      </c>
      <c r="BG21" s="421">
        <f t="shared" ref="BG21:BG34" si="4">BF21</f>
        <v>46.429999999999993</v>
      </c>
      <c r="BH21" s="49">
        <f>BF21</f>
        <v>46.429999999999993</v>
      </c>
      <c r="BI21" s="49"/>
      <c r="BJ21" s="49"/>
      <c r="BK21" s="49"/>
      <c r="BL21" s="49">
        <f>BF21-BR21</f>
        <v>46.429999999999993</v>
      </c>
      <c r="BM21" s="135"/>
      <c r="BN21" s="135"/>
      <c r="BO21" s="114"/>
      <c r="BP21" s="135"/>
      <c r="BQ21" s="114"/>
      <c r="BR21" s="133"/>
      <c r="BS21" s="52"/>
      <c r="BT21" s="114"/>
      <c r="BU21" s="46">
        <f>1*BU7</f>
        <v>2.2000000000000002</v>
      </c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502">
        <f t="shared" ref="CK21:CK38" si="5">SUM(BU21:CJ21)</f>
        <v>2.2000000000000002</v>
      </c>
      <c r="CL21" s="46">
        <f>1*CL7</f>
        <v>2.8899999999999997</v>
      </c>
      <c r="CM21" s="46"/>
      <c r="CN21" s="46"/>
      <c r="CO21" s="46"/>
      <c r="CP21" s="46"/>
      <c r="CQ21" s="46"/>
      <c r="CR21" s="46"/>
      <c r="CS21" s="46"/>
      <c r="CT21" s="502">
        <f t="shared" ref="CT21:CT38" si="6">SUM(CL21:CS21)</f>
        <v>2.8899999999999997</v>
      </c>
    </row>
    <row r="22" spans="1:98" s="642" customFormat="1">
      <c r="A22" s="422" t="s">
        <v>334</v>
      </c>
      <c r="B22" s="652" t="s">
        <v>725</v>
      </c>
      <c r="C22" s="204" t="s">
        <v>757</v>
      </c>
      <c r="D22" s="652">
        <f>3.2*6</f>
        <v>19.200000000000003</v>
      </c>
      <c r="E22" s="652">
        <f>(3.2+6)*2</f>
        <v>18.399999999999999</v>
      </c>
      <c r="F22" s="133"/>
      <c r="G22" s="133"/>
      <c r="H22" s="133"/>
      <c r="I22" s="842">
        <f>3.2*6</f>
        <v>19.200000000000003</v>
      </c>
      <c r="J22" s="652"/>
      <c r="K22" s="652"/>
      <c r="L22" s="652"/>
      <c r="M22" s="652"/>
      <c r="N22" s="652"/>
      <c r="O22" s="652">
        <f>3.2*6</f>
        <v>19.200000000000003</v>
      </c>
      <c r="P22" s="652"/>
      <c r="Q22" s="652"/>
      <c r="R22" s="652"/>
      <c r="S22" s="652">
        <f>3.2*6</f>
        <v>19.200000000000003</v>
      </c>
      <c r="T22" s="133"/>
      <c r="U22" s="133"/>
      <c r="V22" s="133"/>
      <c r="W22" s="114"/>
      <c r="X22" s="652">
        <f>(3.2+6)*2</f>
        <v>18.399999999999999</v>
      </c>
      <c r="Y22" s="114"/>
      <c r="Z22" s="842">
        <f t="shared" si="2"/>
        <v>19.200000000000003</v>
      </c>
      <c r="AA22" s="652">
        <f t="shared" si="2"/>
        <v>19.200000000000003</v>
      </c>
      <c r="AB22" s="556"/>
      <c r="AC22" s="556"/>
      <c r="AD22" s="556"/>
      <c r="AE22" s="556"/>
      <c r="AF22" s="556"/>
      <c r="AG22" s="556"/>
      <c r="AH22" s="556"/>
      <c r="AI22" s="556"/>
      <c r="AJ22" s="652">
        <f>3.2*6</f>
        <v>19.200000000000003</v>
      </c>
      <c r="AK22" s="652"/>
      <c r="AL22" s="652"/>
      <c r="AM22" s="652"/>
      <c r="AN22" s="652"/>
      <c r="AO22" s="652"/>
      <c r="AP22" s="652"/>
      <c r="AQ22" s="652"/>
      <c r="AR22" s="652"/>
      <c r="AS22" s="652"/>
      <c r="AT22" s="652"/>
      <c r="AU22" s="652">
        <f>3.2*6</f>
        <v>19.200000000000003</v>
      </c>
      <c r="AV22" s="133"/>
      <c r="AW22" s="133"/>
      <c r="AX22" s="133"/>
      <c r="AY22" s="556"/>
      <c r="AZ22" s="556"/>
      <c r="BA22" s="114"/>
      <c r="BB22" s="114"/>
      <c r="BC22" s="652"/>
      <c r="BD22" s="652">
        <f>(3.2+6)*2</f>
        <v>18.399999999999999</v>
      </c>
      <c r="BE22" s="842">
        <f>(3.2+6)*2*2.8</f>
        <v>51.519999999999996</v>
      </c>
      <c r="BF22" s="421">
        <f t="shared" si="3"/>
        <v>46.429999999999993</v>
      </c>
      <c r="BG22" s="421">
        <f t="shared" si="4"/>
        <v>46.429999999999993</v>
      </c>
      <c r="BH22" s="49">
        <f t="shared" ref="BH22:BH34" si="7">BF22</f>
        <v>46.429999999999993</v>
      </c>
      <c r="BI22" s="49"/>
      <c r="BJ22" s="49"/>
      <c r="BK22" s="49"/>
      <c r="BL22" s="49">
        <f>BF22-BR22</f>
        <v>46.429999999999993</v>
      </c>
      <c r="BM22" s="135"/>
      <c r="BN22" s="135"/>
      <c r="BO22" s="114"/>
      <c r="BP22" s="135"/>
      <c r="BQ22" s="114"/>
      <c r="BR22" s="133"/>
      <c r="BS22" s="52"/>
      <c r="BT22" s="114"/>
      <c r="BU22" s="46">
        <f>1*BU7</f>
        <v>2.2000000000000002</v>
      </c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502">
        <f t="shared" si="5"/>
        <v>2.2000000000000002</v>
      </c>
      <c r="CL22" s="46">
        <f>1*CL7</f>
        <v>2.8899999999999997</v>
      </c>
      <c r="CM22" s="46"/>
      <c r="CN22" s="46"/>
      <c r="CO22" s="46"/>
      <c r="CP22" s="46"/>
      <c r="CQ22" s="46"/>
      <c r="CR22" s="46"/>
      <c r="CS22" s="46"/>
      <c r="CT22" s="502">
        <f t="shared" si="6"/>
        <v>2.8899999999999997</v>
      </c>
    </row>
    <row r="23" spans="1:98" s="642" customFormat="1">
      <c r="A23" s="422" t="s">
        <v>334</v>
      </c>
      <c r="B23" s="652" t="s">
        <v>725</v>
      </c>
      <c r="C23" s="652" t="s">
        <v>757</v>
      </c>
      <c r="D23" s="652">
        <f>3.2*6</f>
        <v>19.200000000000003</v>
      </c>
      <c r="E23" s="652">
        <f>(3.2+6)*2</f>
        <v>18.399999999999999</v>
      </c>
      <c r="F23" s="133"/>
      <c r="G23" s="133"/>
      <c r="H23" s="133"/>
      <c r="I23" s="842">
        <f>3.2*6</f>
        <v>19.200000000000003</v>
      </c>
      <c r="J23" s="652"/>
      <c r="K23" s="652"/>
      <c r="L23" s="652"/>
      <c r="M23" s="652"/>
      <c r="N23" s="652"/>
      <c r="O23" s="652">
        <f>3.2*6</f>
        <v>19.200000000000003</v>
      </c>
      <c r="P23" s="652"/>
      <c r="Q23" s="652"/>
      <c r="R23" s="652"/>
      <c r="S23" s="652">
        <f>3.2*6</f>
        <v>19.200000000000003</v>
      </c>
      <c r="T23" s="133"/>
      <c r="U23" s="133"/>
      <c r="V23" s="133"/>
      <c r="W23" s="114"/>
      <c r="X23" s="652">
        <f>(3.2+6)*2</f>
        <v>18.399999999999999</v>
      </c>
      <c r="Y23" s="114"/>
      <c r="Z23" s="842">
        <f t="shared" si="2"/>
        <v>19.200000000000003</v>
      </c>
      <c r="AA23" s="652">
        <f t="shared" si="2"/>
        <v>19.200000000000003</v>
      </c>
      <c r="AB23" s="556"/>
      <c r="AC23" s="556"/>
      <c r="AD23" s="556"/>
      <c r="AE23" s="556"/>
      <c r="AF23" s="556"/>
      <c r="AG23" s="556"/>
      <c r="AH23" s="556"/>
      <c r="AI23" s="556"/>
      <c r="AJ23" s="652">
        <f>3.2*6</f>
        <v>19.200000000000003</v>
      </c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>
        <f>3.2*6</f>
        <v>19.200000000000003</v>
      </c>
      <c r="AV23" s="133"/>
      <c r="AW23" s="133"/>
      <c r="AX23" s="133"/>
      <c r="AY23" s="556"/>
      <c r="AZ23" s="556"/>
      <c r="BA23" s="114"/>
      <c r="BB23" s="114"/>
      <c r="BC23" s="652"/>
      <c r="BD23" s="652">
        <f>(3.2+6)*2</f>
        <v>18.399999999999999</v>
      </c>
      <c r="BE23" s="842">
        <f>(3.2+6)*2*2.8</f>
        <v>51.519999999999996</v>
      </c>
      <c r="BF23" s="421">
        <f t="shared" si="3"/>
        <v>46.429999999999993</v>
      </c>
      <c r="BG23" s="421">
        <f t="shared" si="4"/>
        <v>46.429999999999993</v>
      </c>
      <c r="BH23" s="49">
        <f t="shared" si="7"/>
        <v>46.429999999999993</v>
      </c>
      <c r="BI23" s="49"/>
      <c r="BJ23" s="49"/>
      <c r="BK23" s="49"/>
      <c r="BL23" s="49">
        <f>BF23-BR23</f>
        <v>46.429999999999993</v>
      </c>
      <c r="BM23" s="135"/>
      <c r="BN23" s="135"/>
      <c r="BO23" s="114"/>
      <c r="BP23" s="135"/>
      <c r="BQ23" s="114"/>
      <c r="BR23" s="133"/>
      <c r="BS23" s="52"/>
      <c r="BT23" s="114"/>
      <c r="BU23" s="46">
        <f>1*BU7</f>
        <v>2.2000000000000002</v>
      </c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502">
        <f t="shared" si="5"/>
        <v>2.2000000000000002</v>
      </c>
      <c r="CL23" s="46">
        <f>1*CL7</f>
        <v>2.8899999999999997</v>
      </c>
      <c r="CM23" s="46"/>
      <c r="CN23" s="46"/>
      <c r="CO23" s="46"/>
      <c r="CP23" s="46"/>
      <c r="CQ23" s="46"/>
      <c r="CR23" s="46"/>
      <c r="CS23" s="46"/>
      <c r="CT23" s="502">
        <f t="shared" si="6"/>
        <v>2.8899999999999997</v>
      </c>
    </row>
    <row r="24" spans="1:98" s="642" customFormat="1">
      <c r="A24" s="422" t="s">
        <v>334</v>
      </c>
      <c r="B24" s="652" t="s">
        <v>725</v>
      </c>
      <c r="C24" s="652" t="s">
        <v>757</v>
      </c>
      <c r="D24" s="652">
        <f>3.2*6</f>
        <v>19.200000000000003</v>
      </c>
      <c r="E24" s="652">
        <f>(3.2+6)*2</f>
        <v>18.399999999999999</v>
      </c>
      <c r="F24" s="133"/>
      <c r="G24" s="133"/>
      <c r="H24" s="133"/>
      <c r="I24" s="842">
        <f>3.2*6</f>
        <v>19.200000000000003</v>
      </c>
      <c r="J24" s="652"/>
      <c r="K24" s="652"/>
      <c r="L24" s="652"/>
      <c r="M24" s="652"/>
      <c r="N24" s="652"/>
      <c r="O24" s="652">
        <f>3.2*6</f>
        <v>19.200000000000003</v>
      </c>
      <c r="P24" s="652"/>
      <c r="Q24" s="652"/>
      <c r="R24" s="652"/>
      <c r="S24" s="652">
        <f>3.2*6</f>
        <v>19.200000000000003</v>
      </c>
      <c r="T24" s="133"/>
      <c r="U24" s="133"/>
      <c r="V24" s="133"/>
      <c r="W24" s="114"/>
      <c r="X24" s="652">
        <f>(3.2+6)*2</f>
        <v>18.399999999999999</v>
      </c>
      <c r="Y24" s="114"/>
      <c r="Z24" s="842">
        <f t="shared" si="2"/>
        <v>19.200000000000003</v>
      </c>
      <c r="AA24" s="652">
        <f t="shared" si="2"/>
        <v>19.200000000000003</v>
      </c>
      <c r="AB24" s="556"/>
      <c r="AC24" s="556"/>
      <c r="AD24" s="556"/>
      <c r="AE24" s="556"/>
      <c r="AF24" s="556"/>
      <c r="AG24" s="556"/>
      <c r="AH24" s="556"/>
      <c r="AI24" s="556"/>
      <c r="AJ24" s="652">
        <f>3.2*6</f>
        <v>19.200000000000003</v>
      </c>
      <c r="AK24" s="652"/>
      <c r="AL24" s="652"/>
      <c r="AM24" s="652"/>
      <c r="AN24" s="652"/>
      <c r="AO24" s="652"/>
      <c r="AP24" s="652"/>
      <c r="AQ24" s="652"/>
      <c r="AR24" s="652"/>
      <c r="AS24" s="652"/>
      <c r="AT24" s="652"/>
      <c r="AU24" s="652">
        <f>3.2*6</f>
        <v>19.200000000000003</v>
      </c>
      <c r="AV24" s="133"/>
      <c r="AW24" s="133"/>
      <c r="AX24" s="133"/>
      <c r="AY24" s="556"/>
      <c r="AZ24" s="556"/>
      <c r="BA24" s="114"/>
      <c r="BB24" s="114"/>
      <c r="BC24" s="652"/>
      <c r="BD24" s="652">
        <f>(3.2+6)*2</f>
        <v>18.399999999999999</v>
      </c>
      <c r="BE24" s="842">
        <f>(3.2+6)*2*2.8</f>
        <v>51.519999999999996</v>
      </c>
      <c r="BF24" s="421">
        <f t="shared" si="3"/>
        <v>46.429999999999993</v>
      </c>
      <c r="BG24" s="421">
        <f t="shared" si="4"/>
        <v>46.429999999999993</v>
      </c>
      <c r="BH24" s="49">
        <f t="shared" si="7"/>
        <v>46.429999999999993</v>
      </c>
      <c r="BI24" s="49"/>
      <c r="BJ24" s="49"/>
      <c r="BK24" s="49"/>
      <c r="BL24" s="49">
        <f>BF24-BR24</f>
        <v>46.429999999999993</v>
      </c>
      <c r="BM24" s="49"/>
      <c r="BN24" s="114"/>
      <c r="BO24" s="114"/>
      <c r="BP24" s="49"/>
      <c r="BQ24" s="114"/>
      <c r="BR24" s="133"/>
      <c r="BS24" s="52"/>
      <c r="BT24" s="114"/>
      <c r="BU24" s="46">
        <f>1*BU7</f>
        <v>2.2000000000000002</v>
      </c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502">
        <f t="shared" si="5"/>
        <v>2.2000000000000002</v>
      </c>
      <c r="CL24" s="46">
        <f>1*CL7</f>
        <v>2.8899999999999997</v>
      </c>
      <c r="CM24" s="46"/>
      <c r="CN24" s="46"/>
      <c r="CO24" s="46"/>
      <c r="CP24" s="46"/>
      <c r="CQ24" s="46"/>
      <c r="CR24" s="46"/>
      <c r="CS24" s="46"/>
      <c r="CT24" s="502">
        <f t="shared" si="6"/>
        <v>2.8899999999999997</v>
      </c>
    </row>
    <row r="25" spans="1:98" s="642" customFormat="1">
      <c r="A25" s="422" t="s">
        <v>334</v>
      </c>
      <c r="B25" s="652" t="s">
        <v>725</v>
      </c>
      <c r="C25" s="652" t="s">
        <v>757</v>
      </c>
      <c r="D25" s="652">
        <f>3.2*6</f>
        <v>19.200000000000003</v>
      </c>
      <c r="E25" s="652">
        <f>(3.2+6)*2</f>
        <v>18.399999999999999</v>
      </c>
      <c r="F25" s="133"/>
      <c r="G25" s="133"/>
      <c r="H25" s="133"/>
      <c r="I25" s="842">
        <f>3.2*6</f>
        <v>19.200000000000003</v>
      </c>
      <c r="J25" s="652"/>
      <c r="K25" s="652"/>
      <c r="L25" s="652"/>
      <c r="M25" s="652"/>
      <c r="N25" s="652"/>
      <c r="O25" s="652">
        <f>3.2*6</f>
        <v>19.200000000000003</v>
      </c>
      <c r="P25" s="652"/>
      <c r="Q25" s="652"/>
      <c r="R25" s="652"/>
      <c r="S25" s="652">
        <f>3.2*6</f>
        <v>19.200000000000003</v>
      </c>
      <c r="T25" s="133"/>
      <c r="U25" s="133"/>
      <c r="V25" s="133"/>
      <c r="W25" s="114"/>
      <c r="X25" s="652">
        <f>(3.2+6)*2</f>
        <v>18.399999999999999</v>
      </c>
      <c r="Y25" s="114"/>
      <c r="Z25" s="842">
        <f>3.2*6</f>
        <v>19.200000000000003</v>
      </c>
      <c r="AA25" s="652">
        <f>3.2*6</f>
        <v>19.200000000000003</v>
      </c>
      <c r="AB25" s="556"/>
      <c r="AC25" s="556"/>
      <c r="AD25" s="556"/>
      <c r="AE25" s="556"/>
      <c r="AF25" s="556"/>
      <c r="AG25" s="556"/>
      <c r="AH25" s="556"/>
      <c r="AI25" s="556"/>
      <c r="AJ25" s="652">
        <f>3.2*6</f>
        <v>19.200000000000003</v>
      </c>
      <c r="AK25" s="652"/>
      <c r="AL25" s="652"/>
      <c r="AM25" s="652"/>
      <c r="AN25" s="652"/>
      <c r="AO25" s="652"/>
      <c r="AP25" s="652"/>
      <c r="AQ25" s="652"/>
      <c r="AR25" s="652"/>
      <c r="AS25" s="652"/>
      <c r="AT25" s="652"/>
      <c r="AU25" s="652">
        <f>3.2*6</f>
        <v>19.200000000000003</v>
      </c>
      <c r="AV25" s="133"/>
      <c r="AW25" s="133"/>
      <c r="AX25" s="133"/>
      <c r="AY25" s="556"/>
      <c r="AZ25" s="556"/>
      <c r="BA25" s="114"/>
      <c r="BB25" s="114"/>
      <c r="BC25" s="652"/>
      <c r="BD25" s="652">
        <f>(3.2+6)*2</f>
        <v>18.399999999999999</v>
      </c>
      <c r="BE25" s="842">
        <f>(3.2+6)*2*2.8</f>
        <v>51.519999999999996</v>
      </c>
      <c r="BF25" s="421">
        <f t="shared" si="3"/>
        <v>46.429999999999993</v>
      </c>
      <c r="BG25" s="421">
        <f t="shared" si="4"/>
        <v>46.429999999999993</v>
      </c>
      <c r="BH25" s="49">
        <f t="shared" si="7"/>
        <v>46.429999999999993</v>
      </c>
      <c r="BI25" s="49"/>
      <c r="BJ25" s="49"/>
      <c r="BK25" s="49"/>
      <c r="BL25" s="49">
        <f t="shared" ref="BL25:BL34" si="8">BF25-BR25</f>
        <v>46.429999999999993</v>
      </c>
      <c r="BM25" s="49"/>
      <c r="BN25" s="114"/>
      <c r="BO25" s="114"/>
      <c r="BP25" s="49"/>
      <c r="BQ25" s="114"/>
      <c r="BR25" s="133"/>
      <c r="BS25" s="52"/>
      <c r="BT25" s="114"/>
      <c r="BU25" s="46">
        <f>1*BU7</f>
        <v>2.2000000000000002</v>
      </c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502">
        <f t="shared" si="5"/>
        <v>2.2000000000000002</v>
      </c>
      <c r="CL25" s="46">
        <f>1*CL7</f>
        <v>2.8899999999999997</v>
      </c>
      <c r="CM25" s="46"/>
      <c r="CN25" s="46"/>
      <c r="CO25" s="46"/>
      <c r="CP25" s="46"/>
      <c r="CQ25" s="46"/>
      <c r="CR25" s="46"/>
      <c r="CS25" s="46"/>
      <c r="CT25" s="502">
        <f t="shared" si="6"/>
        <v>2.8899999999999997</v>
      </c>
    </row>
    <row r="26" spans="1:98" s="642" customFormat="1">
      <c r="A26" s="422" t="s">
        <v>335</v>
      </c>
      <c r="B26" s="652" t="s">
        <v>726</v>
      </c>
      <c r="C26" s="652" t="s">
        <v>758</v>
      </c>
      <c r="D26" s="652">
        <f>6.3*6</f>
        <v>37.799999999999997</v>
      </c>
      <c r="E26" s="652">
        <f>(6.3+6.2)*2</f>
        <v>25</v>
      </c>
      <c r="F26" s="133"/>
      <c r="G26" s="133"/>
      <c r="H26" s="133"/>
      <c r="I26" s="842">
        <f>6.3*6</f>
        <v>37.799999999999997</v>
      </c>
      <c r="J26" s="652"/>
      <c r="K26" s="652"/>
      <c r="L26" s="652"/>
      <c r="M26" s="652"/>
      <c r="N26" s="652"/>
      <c r="O26" s="652">
        <f>6.3*6</f>
        <v>37.799999999999997</v>
      </c>
      <c r="P26" s="652"/>
      <c r="Q26" s="652"/>
      <c r="R26" s="652"/>
      <c r="S26" s="652">
        <f>6.3*6</f>
        <v>37.799999999999997</v>
      </c>
      <c r="T26" s="133"/>
      <c r="U26" s="133"/>
      <c r="V26" s="133"/>
      <c r="W26" s="114"/>
      <c r="X26" s="652">
        <f>(6.3+6.2)*2</f>
        <v>25</v>
      </c>
      <c r="Y26" s="114"/>
      <c r="Z26" s="842">
        <f>6.3*6</f>
        <v>37.799999999999997</v>
      </c>
      <c r="AA26" s="652">
        <f>6.3*6</f>
        <v>37.799999999999997</v>
      </c>
      <c r="AB26" s="556"/>
      <c r="AC26" s="556"/>
      <c r="AD26" s="556"/>
      <c r="AE26" s="556"/>
      <c r="AF26" s="556"/>
      <c r="AG26" s="556"/>
      <c r="AH26" s="556"/>
      <c r="AI26" s="556"/>
      <c r="AJ26" s="652">
        <f>6.3*6</f>
        <v>37.799999999999997</v>
      </c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>
        <f>6.3*6</f>
        <v>37.799999999999997</v>
      </c>
      <c r="AV26" s="133"/>
      <c r="AW26" s="133"/>
      <c r="AX26" s="133"/>
      <c r="AY26" s="556"/>
      <c r="AZ26" s="556"/>
      <c r="BA26" s="114"/>
      <c r="BB26" s="114"/>
      <c r="BC26" s="652"/>
      <c r="BD26" s="652">
        <f>(6.3+6.2)*2</f>
        <v>25</v>
      </c>
      <c r="BE26" s="842">
        <f>(6.3+6.2)*2*2.8</f>
        <v>70</v>
      </c>
      <c r="BF26" s="421">
        <f t="shared" si="3"/>
        <v>60.039999999999992</v>
      </c>
      <c r="BG26" s="421">
        <f t="shared" si="4"/>
        <v>60.039999999999992</v>
      </c>
      <c r="BH26" s="49">
        <f t="shared" si="7"/>
        <v>60.039999999999992</v>
      </c>
      <c r="BI26" s="49"/>
      <c r="BJ26" s="49"/>
      <c r="BK26" s="49"/>
      <c r="BL26" s="49">
        <f t="shared" si="8"/>
        <v>60.039999999999992</v>
      </c>
      <c r="BM26" s="49"/>
      <c r="BN26" s="114"/>
      <c r="BO26" s="114"/>
      <c r="BP26" s="49"/>
      <c r="BQ26" s="114"/>
      <c r="BR26" s="133"/>
      <c r="BS26" s="52"/>
      <c r="BT26" s="114"/>
      <c r="BU26" s="46">
        <f>1*BU7</f>
        <v>2.2000000000000002</v>
      </c>
      <c r="BV26" s="46">
        <f>1*BV7</f>
        <v>1.9800000000000002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502">
        <f t="shared" si="5"/>
        <v>4.1800000000000006</v>
      </c>
      <c r="CL26" s="46">
        <f>2*CL7</f>
        <v>5.7799999999999994</v>
      </c>
      <c r="CM26" s="46"/>
      <c r="CN26" s="46"/>
      <c r="CO26" s="46"/>
      <c r="CP26" s="46"/>
      <c r="CQ26" s="46"/>
      <c r="CR26" s="46"/>
      <c r="CS26" s="46"/>
      <c r="CT26" s="502">
        <f t="shared" si="6"/>
        <v>5.7799999999999994</v>
      </c>
    </row>
    <row r="27" spans="1:98" s="642" customFormat="1">
      <c r="A27" s="422" t="s">
        <v>103</v>
      </c>
      <c r="B27" s="652" t="s">
        <v>727</v>
      </c>
      <c r="C27" s="652" t="s">
        <v>722</v>
      </c>
      <c r="D27" s="652">
        <f>4.3*2.45</f>
        <v>10.535</v>
      </c>
      <c r="E27" s="652">
        <f>(4.3+2.45)*2</f>
        <v>13.5</v>
      </c>
      <c r="F27" s="133"/>
      <c r="G27" s="133"/>
      <c r="H27" s="133"/>
      <c r="I27" s="842">
        <f>4.3*2.45</f>
        <v>10.535</v>
      </c>
      <c r="J27" s="652"/>
      <c r="K27" s="652"/>
      <c r="L27" s="652"/>
      <c r="M27" s="652"/>
      <c r="N27" s="652"/>
      <c r="O27" s="652">
        <f>4.3*2.45</f>
        <v>10.535</v>
      </c>
      <c r="P27" s="652"/>
      <c r="Q27" s="652"/>
      <c r="R27" s="652"/>
      <c r="S27" s="652">
        <f>4.3*2.45</f>
        <v>10.535</v>
      </c>
      <c r="T27" s="133"/>
      <c r="U27" s="133"/>
      <c r="V27" s="133"/>
      <c r="W27" s="114"/>
      <c r="X27" s="652">
        <f>(4.3+2.45)*2</f>
        <v>13.5</v>
      </c>
      <c r="Y27" s="114"/>
      <c r="Z27" s="842">
        <f>4.3*2.45</f>
        <v>10.535</v>
      </c>
      <c r="AA27" s="652">
        <f>4.3*2.45</f>
        <v>10.535</v>
      </c>
      <c r="AB27" s="556"/>
      <c r="AC27" s="556"/>
      <c r="AD27" s="556"/>
      <c r="AE27" s="556"/>
      <c r="AF27" s="556"/>
      <c r="AG27" s="556"/>
      <c r="AH27" s="556"/>
      <c r="AI27" s="556"/>
      <c r="AJ27" s="652">
        <f>4.3*2.45</f>
        <v>10.535</v>
      </c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>
        <f>4.3*2.45</f>
        <v>10.535</v>
      </c>
      <c r="AV27" s="133"/>
      <c r="AW27" s="133"/>
      <c r="AX27" s="133"/>
      <c r="AY27" s="133"/>
      <c r="AZ27" s="133"/>
      <c r="BA27" s="114"/>
      <c r="BB27" s="114"/>
      <c r="BC27" s="652"/>
      <c r="BD27" s="652">
        <f>(4.3+2.45)*2</f>
        <v>13.5</v>
      </c>
      <c r="BE27" s="842">
        <f>(4.3+2.45)*2*2.8</f>
        <v>37.799999999999997</v>
      </c>
      <c r="BF27" s="421">
        <f t="shared" si="3"/>
        <v>32.93</v>
      </c>
      <c r="BG27" s="421">
        <f t="shared" si="4"/>
        <v>32.93</v>
      </c>
      <c r="BH27" s="49">
        <f t="shared" si="7"/>
        <v>32.93</v>
      </c>
      <c r="BI27" s="49"/>
      <c r="BJ27" s="49"/>
      <c r="BK27" s="49"/>
      <c r="BL27" s="49">
        <f t="shared" si="8"/>
        <v>32.93</v>
      </c>
      <c r="BM27" s="49"/>
      <c r="BN27" s="114"/>
      <c r="BO27" s="114"/>
      <c r="BP27" s="49"/>
      <c r="BQ27" s="114"/>
      <c r="BR27" s="133"/>
      <c r="BS27" s="52"/>
      <c r="BT27" s="114"/>
      <c r="BU27" s="46"/>
      <c r="BV27" s="46">
        <f>1*BV7</f>
        <v>1.9800000000000002</v>
      </c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502">
        <f t="shared" si="5"/>
        <v>1.9800000000000002</v>
      </c>
      <c r="CL27" s="46">
        <f>1*CL7</f>
        <v>2.8899999999999997</v>
      </c>
      <c r="CM27" s="46"/>
      <c r="CN27" s="46"/>
      <c r="CO27" s="46"/>
      <c r="CP27" s="46"/>
      <c r="CQ27" s="46"/>
      <c r="CR27" s="46"/>
      <c r="CS27" s="46"/>
      <c r="CT27" s="502">
        <f t="shared" si="6"/>
        <v>2.8899999999999997</v>
      </c>
    </row>
    <row r="28" spans="1:98" s="642" customFormat="1">
      <c r="A28" s="422" t="s">
        <v>336</v>
      </c>
      <c r="B28" s="652" t="s">
        <v>728</v>
      </c>
      <c r="C28" s="652" t="s">
        <v>723</v>
      </c>
      <c r="D28" s="652">
        <f>1.9*2.6</f>
        <v>4.9399999999999995</v>
      </c>
      <c r="E28" s="652">
        <f>(1.9+2.6)*2</f>
        <v>9</v>
      </c>
      <c r="F28" s="133"/>
      <c r="G28" s="133"/>
      <c r="H28" s="133"/>
      <c r="I28" s="842">
        <f>1.9*2.6</f>
        <v>4.9399999999999995</v>
      </c>
      <c r="J28" s="652"/>
      <c r="K28" s="652"/>
      <c r="L28" s="652"/>
      <c r="M28" s="652"/>
      <c r="N28" s="652"/>
      <c r="O28" s="652">
        <f>1.9*2.6</f>
        <v>4.9399999999999995</v>
      </c>
      <c r="P28" s="652"/>
      <c r="Q28" s="652"/>
      <c r="R28" s="652"/>
      <c r="S28" s="652">
        <f>1.9*2.6</f>
        <v>4.9399999999999995</v>
      </c>
      <c r="T28" s="133"/>
      <c r="U28" s="133"/>
      <c r="V28" s="133"/>
      <c r="W28" s="114"/>
      <c r="X28" s="652">
        <f>(1.9+2.6)*2</f>
        <v>9</v>
      </c>
      <c r="Y28" s="114"/>
      <c r="Z28" s="842">
        <f>1.9*2.6</f>
        <v>4.9399999999999995</v>
      </c>
      <c r="AA28" s="652">
        <f>1.9*2.6</f>
        <v>4.9399999999999995</v>
      </c>
      <c r="AB28" s="556"/>
      <c r="AC28" s="556"/>
      <c r="AD28" s="556"/>
      <c r="AE28" s="556"/>
      <c r="AF28" s="556"/>
      <c r="AG28" s="556"/>
      <c r="AH28" s="556"/>
      <c r="AI28" s="556"/>
      <c r="AJ28" s="652">
        <f>1.9*2.6</f>
        <v>4.9399999999999995</v>
      </c>
      <c r="AK28" s="652"/>
      <c r="AL28" s="652"/>
      <c r="AM28" s="652"/>
      <c r="AN28" s="652"/>
      <c r="AO28" s="652"/>
      <c r="AP28" s="652"/>
      <c r="AQ28" s="652"/>
      <c r="AR28" s="652"/>
      <c r="AS28" s="652"/>
      <c r="AT28" s="652"/>
      <c r="AU28" s="652"/>
      <c r="AV28" s="652"/>
      <c r="AW28" s="652"/>
      <c r="AX28" s="652">
        <f>1.9*2.6</f>
        <v>4.9399999999999995</v>
      </c>
      <c r="AY28" s="135"/>
      <c r="AZ28" s="135"/>
      <c r="BA28" s="114"/>
      <c r="BB28" s="114"/>
      <c r="BC28" s="652">
        <f>(1.9+2.6)*2</f>
        <v>9</v>
      </c>
      <c r="BD28" s="133"/>
      <c r="BE28" s="842">
        <f>(1.9+2.6)*2*2.8</f>
        <v>25.2</v>
      </c>
      <c r="BF28" s="421">
        <f t="shared" si="3"/>
        <v>23.22</v>
      </c>
      <c r="BG28" s="421">
        <f t="shared" si="4"/>
        <v>23.22</v>
      </c>
      <c r="BH28" s="49">
        <f t="shared" si="7"/>
        <v>23.22</v>
      </c>
      <c r="BI28" s="49"/>
      <c r="BJ28" s="49"/>
      <c r="BK28" s="49"/>
      <c r="BL28" s="49">
        <f t="shared" si="8"/>
        <v>23.22</v>
      </c>
      <c r="BM28" s="135"/>
      <c r="BN28" s="135"/>
      <c r="BO28" s="114"/>
      <c r="BP28" s="135"/>
      <c r="BQ28" s="114"/>
      <c r="BR28" s="133"/>
      <c r="BS28" s="52"/>
      <c r="BT28" s="114"/>
      <c r="BU28" s="46"/>
      <c r="BV28" s="46">
        <f>1*BV7</f>
        <v>1.9800000000000002</v>
      </c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502">
        <f t="shared" si="5"/>
        <v>1.9800000000000002</v>
      </c>
      <c r="CL28" s="46"/>
      <c r="CM28" s="46"/>
      <c r="CN28" s="46"/>
      <c r="CO28" s="46"/>
      <c r="CP28" s="46"/>
      <c r="CQ28" s="46"/>
      <c r="CR28" s="46"/>
      <c r="CS28" s="46"/>
      <c r="CT28" s="502">
        <f t="shared" si="6"/>
        <v>0</v>
      </c>
    </row>
    <row r="29" spans="1:98" s="642" customFormat="1">
      <c r="A29" s="422" t="s">
        <v>334</v>
      </c>
      <c r="B29" s="652" t="s">
        <v>725</v>
      </c>
      <c r="C29" s="652" t="s">
        <v>759</v>
      </c>
      <c r="D29" s="652">
        <f>3.25*6.1</f>
        <v>19.824999999999999</v>
      </c>
      <c r="E29" s="652">
        <f>(3.25+6.1)*2</f>
        <v>18.7</v>
      </c>
      <c r="F29" s="133"/>
      <c r="G29" s="133"/>
      <c r="H29" s="133"/>
      <c r="I29" s="842">
        <f>3.25*6.1</f>
        <v>19.824999999999999</v>
      </c>
      <c r="J29" s="652"/>
      <c r="K29" s="652"/>
      <c r="L29" s="652"/>
      <c r="M29" s="652"/>
      <c r="N29" s="652"/>
      <c r="O29" s="652">
        <f>3.25*6.1</f>
        <v>19.824999999999999</v>
      </c>
      <c r="P29" s="652"/>
      <c r="Q29" s="652"/>
      <c r="R29" s="652"/>
      <c r="S29" s="652">
        <f>3.25*6.1</f>
        <v>19.824999999999999</v>
      </c>
      <c r="T29" s="133"/>
      <c r="U29" s="133"/>
      <c r="V29" s="133"/>
      <c r="W29" s="114"/>
      <c r="X29" s="652">
        <f>(3.25+6.1)*2</f>
        <v>18.7</v>
      </c>
      <c r="Y29" s="114"/>
      <c r="Z29" s="842">
        <f>3.25*6.1</f>
        <v>19.824999999999999</v>
      </c>
      <c r="AA29" s="652">
        <f>3.25*6.1</f>
        <v>19.824999999999999</v>
      </c>
      <c r="AB29" s="556"/>
      <c r="AC29" s="556"/>
      <c r="AD29" s="556"/>
      <c r="AE29" s="556"/>
      <c r="AF29" s="556"/>
      <c r="AG29" s="556"/>
      <c r="AH29" s="556"/>
      <c r="AI29" s="556"/>
      <c r="AJ29" s="652">
        <f>3.25*6.1</f>
        <v>19.824999999999999</v>
      </c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2">
        <f>3.25*6.1</f>
        <v>19.824999999999999</v>
      </c>
      <c r="AV29" s="133"/>
      <c r="AW29" s="133"/>
      <c r="AX29" s="133"/>
      <c r="AY29" s="133"/>
      <c r="AZ29" s="133"/>
      <c r="BA29" s="114"/>
      <c r="BB29" s="114"/>
      <c r="BC29" s="652"/>
      <c r="BD29" s="652">
        <f>(3.25+6.1)*2</f>
        <v>18.7</v>
      </c>
      <c r="BE29" s="842">
        <f>(3.25+6.1)*2*2.8</f>
        <v>52.359999999999992</v>
      </c>
      <c r="BF29" s="421">
        <f t="shared" si="3"/>
        <v>47.269999999999989</v>
      </c>
      <c r="BG29" s="421">
        <f t="shared" si="4"/>
        <v>47.269999999999989</v>
      </c>
      <c r="BH29" s="49">
        <f t="shared" si="7"/>
        <v>47.269999999999989</v>
      </c>
      <c r="BI29" s="49"/>
      <c r="BJ29" s="49"/>
      <c r="BK29" s="49"/>
      <c r="BL29" s="49">
        <f t="shared" si="8"/>
        <v>47.269999999999989</v>
      </c>
      <c r="BM29" s="135"/>
      <c r="BN29" s="135"/>
      <c r="BO29" s="114"/>
      <c r="BP29" s="135"/>
      <c r="BQ29" s="114"/>
      <c r="BR29" s="133"/>
      <c r="BS29" s="52"/>
      <c r="BT29" s="114"/>
      <c r="BU29" s="46">
        <f>1*BU7</f>
        <v>2.2000000000000002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02">
        <f t="shared" si="5"/>
        <v>2.2000000000000002</v>
      </c>
      <c r="CL29" s="46">
        <f>1*CL7</f>
        <v>2.8899999999999997</v>
      </c>
      <c r="CM29" s="46"/>
      <c r="CN29" s="46"/>
      <c r="CO29" s="46"/>
      <c r="CP29" s="46"/>
      <c r="CQ29" s="46"/>
      <c r="CR29" s="46"/>
      <c r="CS29" s="46"/>
      <c r="CT29" s="502">
        <f t="shared" si="6"/>
        <v>2.8899999999999997</v>
      </c>
    </row>
    <row r="30" spans="1:98" s="642" customFormat="1">
      <c r="A30" s="422" t="s">
        <v>334</v>
      </c>
      <c r="B30" s="652" t="s">
        <v>725</v>
      </c>
      <c r="C30" s="652" t="s">
        <v>760</v>
      </c>
      <c r="D30" s="652">
        <f>3*6.1</f>
        <v>18.299999999999997</v>
      </c>
      <c r="E30" s="652">
        <f>(3+6.1)*2</f>
        <v>18.2</v>
      </c>
      <c r="F30" s="133"/>
      <c r="G30" s="133"/>
      <c r="H30" s="133"/>
      <c r="I30" s="842">
        <f>3*6.1</f>
        <v>18.299999999999997</v>
      </c>
      <c r="J30" s="652"/>
      <c r="K30" s="652"/>
      <c r="L30" s="652"/>
      <c r="M30" s="652"/>
      <c r="N30" s="652"/>
      <c r="O30" s="652">
        <f>3*6.1</f>
        <v>18.299999999999997</v>
      </c>
      <c r="P30" s="652"/>
      <c r="Q30" s="652"/>
      <c r="R30" s="652"/>
      <c r="S30" s="652">
        <f>3*6.1</f>
        <v>18.299999999999997</v>
      </c>
      <c r="T30" s="133"/>
      <c r="U30" s="133"/>
      <c r="V30" s="133"/>
      <c r="W30" s="114"/>
      <c r="X30" s="652">
        <f>(3+6.1)*2</f>
        <v>18.2</v>
      </c>
      <c r="Y30" s="114"/>
      <c r="Z30" s="842">
        <f>3*6.1</f>
        <v>18.299999999999997</v>
      </c>
      <c r="AA30" s="652">
        <f>3*6.1</f>
        <v>18.299999999999997</v>
      </c>
      <c r="AB30" s="556"/>
      <c r="AC30" s="556"/>
      <c r="AD30" s="556"/>
      <c r="AE30" s="556"/>
      <c r="AF30" s="556"/>
      <c r="AG30" s="556"/>
      <c r="AH30" s="556"/>
      <c r="AI30" s="556"/>
      <c r="AJ30" s="652">
        <f>3*6.1</f>
        <v>18.299999999999997</v>
      </c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>
        <f>3*6.1</f>
        <v>18.299999999999997</v>
      </c>
      <c r="AV30" s="133"/>
      <c r="AW30" s="133"/>
      <c r="AX30" s="133"/>
      <c r="AY30" s="133"/>
      <c r="AZ30" s="133"/>
      <c r="BA30" s="114"/>
      <c r="BB30" s="114"/>
      <c r="BC30" s="652"/>
      <c r="BD30" s="652">
        <f>(3+6.1)*2</f>
        <v>18.2</v>
      </c>
      <c r="BE30" s="842">
        <f>(3+6.1)*2*2.8</f>
        <v>50.959999999999994</v>
      </c>
      <c r="BF30" s="421">
        <f t="shared" si="3"/>
        <v>45.86999999999999</v>
      </c>
      <c r="BG30" s="421">
        <f t="shared" si="4"/>
        <v>45.86999999999999</v>
      </c>
      <c r="BH30" s="49">
        <f t="shared" si="7"/>
        <v>45.86999999999999</v>
      </c>
      <c r="BI30" s="49"/>
      <c r="BJ30" s="49"/>
      <c r="BK30" s="49"/>
      <c r="BL30" s="49">
        <f t="shared" si="8"/>
        <v>45.86999999999999</v>
      </c>
      <c r="BM30" s="135"/>
      <c r="BN30" s="135"/>
      <c r="BO30" s="114"/>
      <c r="BP30" s="135"/>
      <c r="BQ30" s="114"/>
      <c r="BR30" s="133"/>
      <c r="BS30" s="52"/>
      <c r="BT30" s="114"/>
      <c r="BU30" s="46">
        <f>1*BU7</f>
        <v>2.2000000000000002</v>
      </c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02">
        <f t="shared" si="5"/>
        <v>2.2000000000000002</v>
      </c>
      <c r="CL30" s="46">
        <f>1*CL7</f>
        <v>2.8899999999999997</v>
      </c>
      <c r="CM30" s="46"/>
      <c r="CN30" s="46"/>
      <c r="CO30" s="46"/>
      <c r="CP30" s="46"/>
      <c r="CQ30" s="46"/>
      <c r="CR30" s="46"/>
      <c r="CS30" s="46"/>
      <c r="CT30" s="502">
        <f t="shared" si="6"/>
        <v>2.8899999999999997</v>
      </c>
    </row>
    <row r="31" spans="1:98" s="642" customFormat="1">
      <c r="A31" s="422" t="s">
        <v>334</v>
      </c>
      <c r="B31" s="652" t="s">
        <v>725</v>
      </c>
      <c r="C31" s="652" t="s">
        <v>759</v>
      </c>
      <c r="D31" s="652">
        <f>3.25*6.1</f>
        <v>19.824999999999999</v>
      </c>
      <c r="E31" s="652">
        <f>(3.25+6.1)*2</f>
        <v>18.7</v>
      </c>
      <c r="F31" s="133"/>
      <c r="G31" s="133"/>
      <c r="H31" s="133"/>
      <c r="I31" s="842">
        <f>3.25*6.1</f>
        <v>19.824999999999999</v>
      </c>
      <c r="J31" s="652"/>
      <c r="K31" s="652"/>
      <c r="L31" s="652"/>
      <c r="M31" s="652"/>
      <c r="N31" s="652"/>
      <c r="O31" s="652">
        <f>3.25*6.1</f>
        <v>19.824999999999999</v>
      </c>
      <c r="P31" s="652"/>
      <c r="Q31" s="652"/>
      <c r="R31" s="652"/>
      <c r="S31" s="652">
        <f>3.25*6.1</f>
        <v>19.824999999999999</v>
      </c>
      <c r="T31" s="133"/>
      <c r="U31" s="133"/>
      <c r="V31" s="133"/>
      <c r="W31" s="114"/>
      <c r="X31" s="652">
        <f>(3.25+6.1)*2</f>
        <v>18.7</v>
      </c>
      <c r="Y31" s="114"/>
      <c r="Z31" s="842">
        <f>3.25*6.1</f>
        <v>19.824999999999999</v>
      </c>
      <c r="AA31" s="652">
        <f>3.25*6.1</f>
        <v>19.824999999999999</v>
      </c>
      <c r="AB31" s="556"/>
      <c r="AC31" s="556"/>
      <c r="AD31" s="556"/>
      <c r="AE31" s="556"/>
      <c r="AF31" s="556"/>
      <c r="AG31" s="556"/>
      <c r="AH31" s="556"/>
      <c r="AI31" s="556"/>
      <c r="AJ31" s="652">
        <f>3.25*6.1</f>
        <v>19.824999999999999</v>
      </c>
      <c r="AK31" s="652"/>
      <c r="AL31" s="652"/>
      <c r="AM31" s="652"/>
      <c r="AN31" s="652"/>
      <c r="AO31" s="652"/>
      <c r="AP31" s="652"/>
      <c r="AQ31" s="652"/>
      <c r="AR31" s="652"/>
      <c r="AS31" s="652"/>
      <c r="AT31" s="652"/>
      <c r="AU31" s="652">
        <f>3.25*6.1</f>
        <v>19.824999999999999</v>
      </c>
      <c r="AV31" s="133"/>
      <c r="AW31" s="133"/>
      <c r="AX31" s="133"/>
      <c r="AY31" s="133"/>
      <c r="AZ31" s="133"/>
      <c r="BA31" s="114"/>
      <c r="BB31" s="114"/>
      <c r="BC31" s="652"/>
      <c r="BD31" s="652">
        <f>(3.25+6.1)*2</f>
        <v>18.7</v>
      </c>
      <c r="BE31" s="842">
        <f>(3.25+6.1)*2*2.8</f>
        <v>52.359999999999992</v>
      </c>
      <c r="BF31" s="421">
        <f t="shared" si="3"/>
        <v>47.269999999999989</v>
      </c>
      <c r="BG31" s="421">
        <f t="shared" si="4"/>
        <v>47.269999999999989</v>
      </c>
      <c r="BH31" s="49">
        <f t="shared" si="7"/>
        <v>47.269999999999989</v>
      </c>
      <c r="BI31" s="49"/>
      <c r="BJ31" s="49"/>
      <c r="BK31" s="49"/>
      <c r="BL31" s="49">
        <f t="shared" si="8"/>
        <v>47.269999999999989</v>
      </c>
      <c r="BM31" s="135"/>
      <c r="BN31" s="135"/>
      <c r="BO31" s="114"/>
      <c r="BP31" s="135"/>
      <c r="BQ31" s="114"/>
      <c r="BR31" s="133"/>
      <c r="BS31" s="52"/>
      <c r="BT31" s="114"/>
      <c r="BU31" s="46">
        <f>1*BU7</f>
        <v>2.2000000000000002</v>
      </c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02">
        <f t="shared" si="5"/>
        <v>2.2000000000000002</v>
      </c>
      <c r="CL31" s="46">
        <f>1*CL7</f>
        <v>2.8899999999999997</v>
      </c>
      <c r="CM31" s="46"/>
      <c r="CN31" s="46"/>
      <c r="CO31" s="46"/>
      <c r="CP31" s="46"/>
      <c r="CQ31" s="46"/>
      <c r="CR31" s="46"/>
      <c r="CS31" s="46"/>
      <c r="CT31" s="502">
        <f t="shared" si="6"/>
        <v>2.8899999999999997</v>
      </c>
    </row>
    <row r="32" spans="1:98" s="642" customFormat="1">
      <c r="A32" s="422" t="s">
        <v>334</v>
      </c>
      <c r="B32" s="652" t="s">
        <v>725</v>
      </c>
      <c r="C32" s="652" t="s">
        <v>761</v>
      </c>
      <c r="D32" s="652">
        <f>3.35*6.1</f>
        <v>20.434999999999999</v>
      </c>
      <c r="E32" s="652">
        <f>(3.35+6.1)*2</f>
        <v>18.899999999999999</v>
      </c>
      <c r="F32" s="133"/>
      <c r="G32" s="133"/>
      <c r="H32" s="133"/>
      <c r="I32" s="842">
        <f>3.35*6.1</f>
        <v>20.434999999999999</v>
      </c>
      <c r="J32" s="652"/>
      <c r="K32" s="652"/>
      <c r="L32" s="652"/>
      <c r="M32" s="652"/>
      <c r="N32" s="652"/>
      <c r="O32" s="652">
        <f>3.35*6.1</f>
        <v>20.434999999999999</v>
      </c>
      <c r="P32" s="652"/>
      <c r="Q32" s="652"/>
      <c r="R32" s="652"/>
      <c r="S32" s="652">
        <f>3.35*6.1</f>
        <v>20.434999999999999</v>
      </c>
      <c r="T32" s="133"/>
      <c r="U32" s="133"/>
      <c r="V32" s="114"/>
      <c r="W32" s="133"/>
      <c r="X32" s="652">
        <f>(3.35+6.1)*2</f>
        <v>18.899999999999999</v>
      </c>
      <c r="Y32" s="114"/>
      <c r="Z32" s="842">
        <f>3.35*6.1</f>
        <v>20.434999999999999</v>
      </c>
      <c r="AA32" s="652">
        <f>3.35*6.1</f>
        <v>20.434999999999999</v>
      </c>
      <c r="AB32" s="556"/>
      <c r="AC32" s="556"/>
      <c r="AD32" s="556"/>
      <c r="AE32" s="556"/>
      <c r="AF32" s="556"/>
      <c r="AG32" s="556"/>
      <c r="AH32" s="556"/>
      <c r="AI32" s="556"/>
      <c r="AJ32" s="652">
        <f>3.35*6.1</f>
        <v>20.434999999999999</v>
      </c>
      <c r="AK32" s="652"/>
      <c r="AL32" s="652"/>
      <c r="AM32" s="652"/>
      <c r="AN32" s="652"/>
      <c r="AO32" s="652"/>
      <c r="AP32" s="652"/>
      <c r="AQ32" s="652"/>
      <c r="AR32" s="652"/>
      <c r="AS32" s="652"/>
      <c r="AT32" s="652"/>
      <c r="AU32" s="652">
        <f>3.35*6.1</f>
        <v>20.434999999999999</v>
      </c>
      <c r="AV32" s="133"/>
      <c r="AW32" s="133"/>
      <c r="AX32" s="133"/>
      <c r="AY32" s="133"/>
      <c r="AZ32" s="133"/>
      <c r="BA32" s="114"/>
      <c r="BB32" s="114"/>
      <c r="BC32" s="652"/>
      <c r="BD32" s="652">
        <f>(3.35+6.1)*2</f>
        <v>18.899999999999999</v>
      </c>
      <c r="BE32" s="842">
        <f>(3.35+6.1)*2*2.8</f>
        <v>52.919999999999995</v>
      </c>
      <c r="BF32" s="421">
        <f t="shared" si="3"/>
        <v>47.829999999999991</v>
      </c>
      <c r="BG32" s="421">
        <f t="shared" si="4"/>
        <v>47.829999999999991</v>
      </c>
      <c r="BH32" s="49">
        <f t="shared" si="7"/>
        <v>47.829999999999991</v>
      </c>
      <c r="BI32" s="49"/>
      <c r="BJ32" s="49"/>
      <c r="BK32" s="49"/>
      <c r="BL32" s="49">
        <f t="shared" si="8"/>
        <v>47.829999999999991</v>
      </c>
      <c r="BM32" s="135"/>
      <c r="BN32" s="135"/>
      <c r="BO32" s="114"/>
      <c r="BP32" s="135"/>
      <c r="BQ32" s="114"/>
      <c r="BR32" s="133"/>
      <c r="BS32" s="52"/>
      <c r="BT32" s="114"/>
      <c r="BU32" s="46">
        <f>1*BU7</f>
        <v>2.2000000000000002</v>
      </c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02">
        <f t="shared" si="5"/>
        <v>2.2000000000000002</v>
      </c>
      <c r="CL32" s="46">
        <f>1*CL7</f>
        <v>2.8899999999999997</v>
      </c>
      <c r="CM32" s="46"/>
      <c r="CN32" s="46"/>
      <c r="CO32" s="46"/>
      <c r="CP32" s="46"/>
      <c r="CQ32" s="46"/>
      <c r="CR32" s="46"/>
      <c r="CS32" s="46"/>
      <c r="CT32" s="502">
        <f t="shared" si="6"/>
        <v>2.8899999999999997</v>
      </c>
    </row>
    <row r="33" spans="1:98" s="642" customFormat="1">
      <c r="A33" s="422" t="s">
        <v>334</v>
      </c>
      <c r="B33" s="652" t="s">
        <v>725</v>
      </c>
      <c r="C33" s="652" t="s">
        <v>762</v>
      </c>
      <c r="D33" s="652">
        <f>3.2*6.1</f>
        <v>19.52</v>
      </c>
      <c r="E33" s="652">
        <f>(3.2+6.1)*2</f>
        <v>18.600000000000001</v>
      </c>
      <c r="F33" s="133"/>
      <c r="G33" s="133"/>
      <c r="H33" s="133"/>
      <c r="I33" s="842">
        <f>3.2*6.1</f>
        <v>19.52</v>
      </c>
      <c r="J33" s="652"/>
      <c r="K33" s="652"/>
      <c r="L33" s="652"/>
      <c r="M33" s="652"/>
      <c r="N33" s="652"/>
      <c r="O33" s="652">
        <f>3.2*6.1</f>
        <v>19.52</v>
      </c>
      <c r="P33" s="652"/>
      <c r="Q33" s="652"/>
      <c r="R33" s="652"/>
      <c r="S33" s="652">
        <f>3.2*6.1</f>
        <v>19.52</v>
      </c>
      <c r="T33" s="133"/>
      <c r="U33" s="133"/>
      <c r="V33" s="114"/>
      <c r="W33" s="133"/>
      <c r="X33" s="652">
        <f>(3.2+6.1)*2</f>
        <v>18.600000000000001</v>
      </c>
      <c r="Y33" s="114"/>
      <c r="Z33" s="842">
        <f>3.2*6.1</f>
        <v>19.52</v>
      </c>
      <c r="AA33" s="652">
        <f>3.2*6.1</f>
        <v>19.52</v>
      </c>
      <c r="AB33" s="556"/>
      <c r="AC33" s="556"/>
      <c r="AD33" s="556"/>
      <c r="AE33" s="556"/>
      <c r="AF33" s="556"/>
      <c r="AG33" s="556"/>
      <c r="AH33" s="556"/>
      <c r="AI33" s="556"/>
      <c r="AJ33" s="652">
        <f>3.2*6.1</f>
        <v>19.52</v>
      </c>
      <c r="AK33" s="652"/>
      <c r="AL33" s="652"/>
      <c r="AM33" s="652"/>
      <c r="AN33" s="652"/>
      <c r="AO33" s="652"/>
      <c r="AP33" s="652"/>
      <c r="AQ33" s="652"/>
      <c r="AR33" s="652"/>
      <c r="AS33" s="652"/>
      <c r="AT33" s="652"/>
      <c r="AU33" s="652">
        <f>3.2*6.1</f>
        <v>19.52</v>
      </c>
      <c r="AV33" s="133"/>
      <c r="AW33" s="133"/>
      <c r="AX33" s="133"/>
      <c r="AY33" s="133"/>
      <c r="AZ33" s="133"/>
      <c r="BA33" s="114"/>
      <c r="BB33" s="114"/>
      <c r="BC33" s="652"/>
      <c r="BD33" s="652">
        <f>(3.2+6.1)*2</f>
        <v>18.600000000000001</v>
      </c>
      <c r="BE33" s="842">
        <f>(3.2+6.1)*2*2.8</f>
        <v>52.08</v>
      </c>
      <c r="BF33" s="421">
        <f t="shared" si="3"/>
        <v>46.989999999999995</v>
      </c>
      <c r="BG33" s="421">
        <f t="shared" si="4"/>
        <v>46.989999999999995</v>
      </c>
      <c r="BH33" s="49">
        <f t="shared" si="7"/>
        <v>46.989999999999995</v>
      </c>
      <c r="BI33" s="49"/>
      <c r="BJ33" s="49"/>
      <c r="BK33" s="49"/>
      <c r="BL33" s="49">
        <f t="shared" si="8"/>
        <v>46.989999999999995</v>
      </c>
      <c r="BM33" s="135"/>
      <c r="BN33" s="135"/>
      <c r="BO33" s="114"/>
      <c r="BP33" s="135"/>
      <c r="BQ33" s="114"/>
      <c r="BR33" s="133"/>
      <c r="BS33" s="52"/>
      <c r="BT33" s="114"/>
      <c r="BU33" s="46">
        <f>1*BU7</f>
        <v>2.2000000000000002</v>
      </c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02">
        <f t="shared" si="5"/>
        <v>2.2000000000000002</v>
      </c>
      <c r="CL33" s="46">
        <f>1*CL7</f>
        <v>2.8899999999999997</v>
      </c>
      <c r="CM33" s="46"/>
      <c r="CN33" s="46"/>
      <c r="CO33" s="46"/>
      <c r="CP33" s="46"/>
      <c r="CQ33" s="46"/>
      <c r="CR33" s="46"/>
      <c r="CS33" s="46"/>
      <c r="CT33" s="502">
        <f t="shared" si="6"/>
        <v>2.8899999999999997</v>
      </c>
    </row>
    <row r="34" spans="1:98" s="642" customFormat="1">
      <c r="A34" s="422" t="s">
        <v>334</v>
      </c>
      <c r="B34" s="652" t="s">
        <v>725</v>
      </c>
      <c r="C34" s="652" t="s">
        <v>763</v>
      </c>
      <c r="D34" s="652">
        <f>3.15*6.1</f>
        <v>19.215</v>
      </c>
      <c r="E34" s="652">
        <f>(3.15+6.1)*2</f>
        <v>18.5</v>
      </c>
      <c r="F34" s="133"/>
      <c r="G34" s="133"/>
      <c r="H34" s="133"/>
      <c r="I34" s="842">
        <f>3.15*6.1</f>
        <v>19.215</v>
      </c>
      <c r="J34" s="652"/>
      <c r="K34" s="652"/>
      <c r="L34" s="652"/>
      <c r="M34" s="652"/>
      <c r="N34" s="652"/>
      <c r="O34" s="652">
        <f>3.15*6.1</f>
        <v>19.215</v>
      </c>
      <c r="P34" s="652"/>
      <c r="Q34" s="652"/>
      <c r="R34" s="652"/>
      <c r="S34" s="652">
        <f>3.15*6.1</f>
        <v>19.215</v>
      </c>
      <c r="T34" s="133"/>
      <c r="U34" s="630"/>
      <c r="V34" s="114"/>
      <c r="W34" s="133"/>
      <c r="X34" s="652">
        <f>(3.15+6.1)*2</f>
        <v>18.5</v>
      </c>
      <c r="Y34" s="114"/>
      <c r="Z34" s="842">
        <f>3.15*6.1</f>
        <v>19.215</v>
      </c>
      <c r="AA34" s="652">
        <f>3.15*6.1</f>
        <v>19.215</v>
      </c>
      <c r="AB34" s="556"/>
      <c r="AC34" s="556"/>
      <c r="AD34" s="556"/>
      <c r="AE34" s="556"/>
      <c r="AF34" s="556"/>
      <c r="AG34" s="556"/>
      <c r="AH34" s="556"/>
      <c r="AI34" s="556"/>
      <c r="AJ34" s="652">
        <f>3.15*6.1</f>
        <v>19.215</v>
      </c>
      <c r="AK34" s="652"/>
      <c r="AL34" s="652"/>
      <c r="AM34" s="652"/>
      <c r="AN34" s="652"/>
      <c r="AO34" s="652"/>
      <c r="AP34" s="652"/>
      <c r="AQ34" s="652"/>
      <c r="AR34" s="652"/>
      <c r="AS34" s="652"/>
      <c r="AT34" s="652"/>
      <c r="AU34" s="652">
        <f>3.15*6.1</f>
        <v>19.215</v>
      </c>
      <c r="AV34" s="630"/>
      <c r="AW34" s="630"/>
      <c r="AX34" s="630"/>
      <c r="AY34" s="630"/>
      <c r="AZ34" s="630"/>
      <c r="BA34" s="114"/>
      <c r="BB34" s="114"/>
      <c r="BC34" s="652"/>
      <c r="BD34" s="652">
        <f>(3.15+6.1)*2</f>
        <v>18.5</v>
      </c>
      <c r="BE34" s="842">
        <f>(3.15+6.1)*2*2.8</f>
        <v>51.8</v>
      </c>
      <c r="BF34" s="421">
        <f t="shared" si="3"/>
        <v>46.709999999999994</v>
      </c>
      <c r="BG34" s="421">
        <f t="shared" si="4"/>
        <v>46.709999999999994</v>
      </c>
      <c r="BH34" s="49">
        <f t="shared" si="7"/>
        <v>46.709999999999994</v>
      </c>
      <c r="BI34" s="49"/>
      <c r="BJ34" s="49"/>
      <c r="BK34" s="49"/>
      <c r="BL34" s="49">
        <f t="shared" si="8"/>
        <v>46.709999999999994</v>
      </c>
      <c r="BM34" s="135"/>
      <c r="BN34" s="135"/>
      <c r="BO34" s="114"/>
      <c r="BP34" s="135"/>
      <c r="BQ34" s="114"/>
      <c r="BR34" s="133"/>
      <c r="BS34" s="52"/>
      <c r="BT34" s="114"/>
      <c r="BU34" s="46">
        <f>1*BU7</f>
        <v>2.2000000000000002</v>
      </c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502">
        <f t="shared" si="5"/>
        <v>2.2000000000000002</v>
      </c>
      <c r="CL34" s="46">
        <f>1*CL7</f>
        <v>2.8899999999999997</v>
      </c>
      <c r="CM34" s="46"/>
      <c r="CN34" s="46"/>
      <c r="CO34" s="46"/>
      <c r="CP34" s="46"/>
      <c r="CQ34" s="46"/>
      <c r="CR34" s="46"/>
      <c r="CS34" s="46"/>
      <c r="CT34" s="502">
        <f t="shared" si="6"/>
        <v>2.8899999999999997</v>
      </c>
    </row>
    <row r="35" spans="1:98" s="642" customFormat="1">
      <c r="A35" s="422" t="s">
        <v>334</v>
      </c>
      <c r="B35" s="652" t="s">
        <v>725</v>
      </c>
      <c r="C35" s="652" t="s">
        <v>763</v>
      </c>
      <c r="D35" s="652">
        <f>3.15*6.1</f>
        <v>19.215</v>
      </c>
      <c r="E35" s="652">
        <f>(3.15+6.1)*2</f>
        <v>18.5</v>
      </c>
      <c r="F35" s="133"/>
      <c r="G35" s="133"/>
      <c r="H35" s="133"/>
      <c r="I35" s="842">
        <f>3.15*6.1</f>
        <v>19.215</v>
      </c>
      <c r="J35" s="652"/>
      <c r="K35" s="652"/>
      <c r="L35" s="652"/>
      <c r="M35" s="652"/>
      <c r="N35" s="652"/>
      <c r="O35" s="652">
        <f>3.15*6.1</f>
        <v>19.215</v>
      </c>
      <c r="P35" s="652"/>
      <c r="Q35" s="652"/>
      <c r="R35" s="652"/>
      <c r="S35" s="652">
        <f>3.15*6.1</f>
        <v>19.215</v>
      </c>
      <c r="T35" s="133"/>
      <c r="U35" s="630"/>
      <c r="V35" s="133"/>
      <c r="W35" s="133"/>
      <c r="X35" s="652">
        <f>(3.15+6.1)*2</f>
        <v>18.5</v>
      </c>
      <c r="Y35" s="114"/>
      <c r="Z35" s="842">
        <f>3.15*6.1</f>
        <v>19.215</v>
      </c>
      <c r="AA35" s="652">
        <f>3.15*6.1</f>
        <v>19.215</v>
      </c>
      <c r="AB35" s="556"/>
      <c r="AC35" s="556"/>
      <c r="AD35" s="556"/>
      <c r="AE35" s="556"/>
      <c r="AF35" s="556"/>
      <c r="AG35" s="556"/>
      <c r="AH35" s="556"/>
      <c r="AI35" s="556"/>
      <c r="AJ35" s="652">
        <f>3.15*6.1</f>
        <v>19.215</v>
      </c>
      <c r="AK35" s="652"/>
      <c r="AL35" s="652"/>
      <c r="AM35" s="652"/>
      <c r="AN35" s="652"/>
      <c r="AO35" s="652"/>
      <c r="AP35" s="652"/>
      <c r="AQ35" s="652"/>
      <c r="AR35" s="652"/>
      <c r="AS35" s="652"/>
      <c r="AT35" s="652"/>
      <c r="AU35" s="652">
        <f>3.15*6.1</f>
        <v>19.215</v>
      </c>
      <c r="AV35" s="133"/>
      <c r="AW35" s="133"/>
      <c r="AX35" s="133"/>
      <c r="AY35" s="114"/>
      <c r="AZ35" s="114"/>
      <c r="BA35" s="114"/>
      <c r="BB35" s="114"/>
      <c r="BC35" s="652"/>
      <c r="BD35" s="652">
        <f>(3.15+6.1)*2</f>
        <v>18.5</v>
      </c>
      <c r="BE35" s="842">
        <f>(3.15+6.1)*2*2.8</f>
        <v>51.8</v>
      </c>
      <c r="BF35" s="421">
        <f t="shared" si="3"/>
        <v>46.709999999999994</v>
      </c>
      <c r="BG35" s="421">
        <f t="shared" ref="BG35:BG42" si="9">BF35</f>
        <v>46.709999999999994</v>
      </c>
      <c r="BH35" s="49">
        <f t="shared" ref="BH35:BH42" si="10">BF35</f>
        <v>46.709999999999994</v>
      </c>
      <c r="BI35" s="49"/>
      <c r="BJ35" s="49"/>
      <c r="BK35" s="49"/>
      <c r="BL35" s="49">
        <f t="shared" ref="BL35:BL42" si="11">BF35-BR35</f>
        <v>46.709999999999994</v>
      </c>
      <c r="BM35" s="135"/>
      <c r="BN35" s="135"/>
      <c r="BO35" s="114"/>
      <c r="BP35" s="135"/>
      <c r="BQ35" s="114"/>
      <c r="BR35" s="133"/>
      <c r="BS35" s="52"/>
      <c r="BT35" s="114"/>
      <c r="BU35" s="46">
        <f>1*BU7</f>
        <v>2.2000000000000002</v>
      </c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502">
        <f t="shared" si="5"/>
        <v>2.2000000000000002</v>
      </c>
      <c r="CL35" s="46">
        <f>1*CL7</f>
        <v>2.8899999999999997</v>
      </c>
      <c r="CM35" s="46"/>
      <c r="CN35" s="46"/>
      <c r="CO35" s="46"/>
      <c r="CP35" s="46"/>
      <c r="CQ35" s="46"/>
      <c r="CR35" s="46"/>
      <c r="CS35" s="46"/>
      <c r="CT35" s="502">
        <f t="shared" si="6"/>
        <v>2.8899999999999997</v>
      </c>
    </row>
    <row r="36" spans="1:98" s="642" customFormat="1" ht="31.5">
      <c r="A36" s="804"/>
      <c r="B36" s="652" t="s">
        <v>741</v>
      </c>
      <c r="C36" s="652" t="s">
        <v>773</v>
      </c>
      <c r="D36" s="652">
        <f>38.5+74</f>
        <v>112.5</v>
      </c>
      <c r="E36" s="652">
        <f>(39.55+5.5)*2  + 0.3*2</f>
        <v>90.699999999999989</v>
      </c>
      <c r="F36" s="133"/>
      <c r="G36" s="133"/>
      <c r="H36" s="133"/>
      <c r="I36" s="842">
        <f>71</f>
        <v>71</v>
      </c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>
        <f>71</f>
        <v>71</v>
      </c>
      <c r="V36" s="133"/>
      <c r="W36" s="133"/>
      <c r="X36" s="652">
        <f>(39.55+5.5)*2  + 0.3*2</f>
        <v>90.699999999999989</v>
      </c>
      <c r="Y36" s="114"/>
      <c r="Z36" s="842">
        <f>38.5+74</f>
        <v>112.5</v>
      </c>
      <c r="AA36" s="652">
        <f>38.5+74</f>
        <v>112.5</v>
      </c>
      <c r="AB36" s="556"/>
      <c r="AC36" s="556"/>
      <c r="AD36" s="556"/>
      <c r="AE36" s="556"/>
      <c r="AF36" s="556"/>
      <c r="AG36" s="556"/>
      <c r="AH36" s="556"/>
      <c r="AI36" s="556"/>
      <c r="AJ36" s="652">
        <f>38.5+74</f>
        <v>112.5</v>
      </c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133"/>
      <c r="AW36" s="133"/>
      <c r="AX36" s="133"/>
      <c r="AY36" s="114"/>
      <c r="AZ36" s="651">
        <f>38.5+74</f>
        <v>112.5</v>
      </c>
      <c r="BA36" s="114"/>
      <c r="BB36" s="114"/>
      <c r="BC36" s="652">
        <f>(39.55+5.5)*2  + 0.3*2</f>
        <v>90.699999999999989</v>
      </c>
      <c r="BD36" s="133"/>
      <c r="BE36" s="842">
        <f>(39.55+5.5)*2*2.8  + 0.3*2*2.8</f>
        <v>253.95999999999998</v>
      </c>
      <c r="BF36" s="421">
        <f>BE36-CK36-CT36</f>
        <v>231.53999999999996</v>
      </c>
      <c r="BG36" s="421">
        <f t="shared" si="9"/>
        <v>231.53999999999996</v>
      </c>
      <c r="BH36" s="49">
        <f>BF36</f>
        <v>231.53999999999996</v>
      </c>
      <c r="BI36" s="49"/>
      <c r="BJ36" s="49"/>
      <c r="BK36" s="49"/>
      <c r="BL36" s="49">
        <f t="shared" si="11"/>
        <v>231.53999999999996</v>
      </c>
      <c r="BM36" s="135"/>
      <c r="BN36" s="135"/>
      <c r="BO36" s="114"/>
      <c r="BP36" s="135"/>
      <c r="BQ36" s="114"/>
      <c r="BR36" s="133"/>
      <c r="BS36" s="52"/>
      <c r="BT36" s="114"/>
      <c r="BU36" s="46">
        <f>1*BU7</f>
        <v>2.2000000000000002</v>
      </c>
      <c r="BV36" s="46">
        <f>3*BV7</f>
        <v>5.94</v>
      </c>
      <c r="BW36" s="46">
        <f>1*BW7</f>
        <v>4.1999999999999993</v>
      </c>
      <c r="BX36" s="46"/>
      <c r="BY36" s="46"/>
      <c r="BZ36" s="46">
        <f>2*BZ7</f>
        <v>2.8</v>
      </c>
      <c r="CA36" s="46">
        <f>1*CA7</f>
        <v>7.2799999999999994</v>
      </c>
      <c r="CB36" s="46"/>
      <c r="CC36" s="46"/>
      <c r="CD36" s="46"/>
      <c r="CE36" s="46"/>
      <c r="CF36" s="46"/>
      <c r="CG36" s="46"/>
      <c r="CH36" s="46"/>
      <c r="CI36" s="46"/>
      <c r="CJ36" s="46"/>
      <c r="CK36" s="502">
        <f t="shared" si="5"/>
        <v>22.42</v>
      </c>
      <c r="CL36" s="46"/>
      <c r="CM36" s="46"/>
      <c r="CN36" s="46"/>
      <c r="CO36" s="46"/>
      <c r="CP36" s="46"/>
      <c r="CQ36" s="46"/>
      <c r="CR36" s="46"/>
      <c r="CS36" s="46"/>
      <c r="CT36" s="502">
        <f t="shared" si="6"/>
        <v>0</v>
      </c>
    </row>
    <row r="37" spans="1:98" s="642" customFormat="1" ht="22.5" customHeight="1">
      <c r="A37" s="817" t="s">
        <v>729</v>
      </c>
      <c r="B37" s="794" t="s">
        <v>740</v>
      </c>
      <c r="C37" s="652" t="s">
        <v>724</v>
      </c>
      <c r="D37" s="652">
        <f>6.5*6.2</f>
        <v>40.300000000000004</v>
      </c>
      <c r="E37" s="795">
        <f>(6.5+6.2)*2+(2.2+2)*2+(1.65+1.1)*2*6+6.2*2+0.65*2</f>
        <v>80.5</v>
      </c>
      <c r="F37" s="133"/>
      <c r="G37" s="133"/>
      <c r="H37" s="133"/>
      <c r="I37" s="842">
        <f>6.5*6.2</f>
        <v>40.300000000000004</v>
      </c>
      <c r="J37" s="652"/>
      <c r="K37" s="652"/>
      <c r="L37" s="652"/>
      <c r="M37" s="652"/>
      <c r="N37" s="652"/>
      <c r="O37" s="652">
        <f>6.5*6.2</f>
        <v>40.300000000000004</v>
      </c>
      <c r="P37" s="652"/>
      <c r="Q37" s="652"/>
      <c r="R37" s="652">
        <f>6.5*6.2</f>
        <v>40.300000000000004</v>
      </c>
      <c r="S37" s="133"/>
      <c r="T37" s="133"/>
      <c r="U37" s="630"/>
      <c r="V37" s="133"/>
      <c r="W37" s="133"/>
      <c r="X37" s="795"/>
      <c r="Y37" s="114"/>
      <c r="Z37" s="842">
        <f>6.5*6.2</f>
        <v>40.300000000000004</v>
      </c>
      <c r="AA37" s="652">
        <f>6.5*6.2</f>
        <v>40.300000000000004</v>
      </c>
      <c r="AB37" s="556"/>
      <c r="AC37" s="556"/>
      <c r="AD37" s="556"/>
      <c r="AE37" s="556"/>
      <c r="AF37" s="556"/>
      <c r="AG37" s="556"/>
      <c r="AH37" s="556"/>
      <c r="AI37" s="556"/>
      <c r="AJ37" s="652">
        <f>6.5*6.2</f>
        <v>40.300000000000004</v>
      </c>
      <c r="AK37" s="652"/>
      <c r="AL37" s="652"/>
      <c r="AM37" s="652"/>
      <c r="AN37" s="652"/>
      <c r="AO37" s="652"/>
      <c r="AP37" s="652"/>
      <c r="AQ37" s="652"/>
      <c r="AR37" s="652"/>
      <c r="AS37" s="652"/>
      <c r="AT37" s="652"/>
      <c r="AU37" s="652"/>
      <c r="AV37" s="652"/>
      <c r="AW37" s="652"/>
      <c r="AX37" s="652">
        <f>6.5*6.2</f>
        <v>40.300000000000004</v>
      </c>
      <c r="AY37" s="556"/>
      <c r="AZ37" s="556"/>
      <c r="BA37" s="114"/>
      <c r="BB37" s="114"/>
      <c r="BC37" s="795">
        <f>(6.5+6.2)*2+(2.2+2)*2+(1.65+1.1)*2*6+6.2*2+0.65*2</f>
        <v>80.5</v>
      </c>
      <c r="BD37" s="133"/>
      <c r="BE37" s="844">
        <f>(6.5+6.2)*2*2.8+(2.2+2)*2*2.8+(1.65+1.1)*2*6*2.8+6.2*2*2.8+0.65*2*2.8</f>
        <v>225.39999999999995</v>
      </c>
      <c r="BF37" s="421">
        <f t="shared" si="3"/>
        <v>194.99999999999994</v>
      </c>
      <c r="BG37" s="421">
        <f t="shared" si="9"/>
        <v>194.99999999999994</v>
      </c>
      <c r="BH37" s="49">
        <f t="shared" si="10"/>
        <v>194.99999999999994</v>
      </c>
      <c r="BI37" s="49"/>
      <c r="BJ37" s="49"/>
      <c r="BK37" s="49"/>
      <c r="BL37" s="49">
        <f t="shared" si="11"/>
        <v>0</v>
      </c>
      <c r="BM37" s="135"/>
      <c r="BN37" s="135"/>
      <c r="BO37" s="114"/>
      <c r="BP37" s="135"/>
      <c r="BQ37" s="114"/>
      <c r="BR37" s="133">
        <f>BF37+0</f>
        <v>194.99999999999994</v>
      </c>
      <c r="BS37" s="52"/>
      <c r="BT37" s="114"/>
      <c r="BU37" s="46">
        <f>1*BU7</f>
        <v>2.2000000000000002</v>
      </c>
      <c r="BV37" s="46">
        <f>2*BV7</f>
        <v>3.9600000000000004</v>
      </c>
      <c r="BW37" s="46"/>
      <c r="BX37" s="46"/>
      <c r="BY37" s="46">
        <f>6*2*BY7</f>
        <v>20.160000000000004</v>
      </c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502">
        <f t="shared" si="5"/>
        <v>26.320000000000004</v>
      </c>
      <c r="CL37" s="46"/>
      <c r="CM37" s="46"/>
      <c r="CN37" s="46">
        <f>2*CN7</f>
        <v>4.08</v>
      </c>
      <c r="CO37" s="46"/>
      <c r="CP37" s="46"/>
      <c r="CQ37" s="46"/>
      <c r="CR37" s="46"/>
      <c r="CS37" s="46"/>
      <c r="CT37" s="502">
        <f t="shared" si="6"/>
        <v>4.08</v>
      </c>
    </row>
    <row r="38" spans="1:98" s="642" customFormat="1" ht="29.25" customHeight="1">
      <c r="A38" s="422" t="s">
        <v>336</v>
      </c>
      <c r="B38" s="818" t="s">
        <v>771</v>
      </c>
      <c r="C38" s="651" t="s">
        <v>772</v>
      </c>
      <c r="D38" s="652">
        <f>1.3*1.1*2</f>
        <v>2.8600000000000003</v>
      </c>
      <c r="E38" s="651">
        <f>(1.3+1.1)*2*2</f>
        <v>9.6000000000000014</v>
      </c>
      <c r="F38" s="133"/>
      <c r="G38" s="133"/>
      <c r="H38" s="133"/>
      <c r="I38" s="842">
        <f>1.3*1.1*2</f>
        <v>2.8600000000000003</v>
      </c>
      <c r="J38" s="652"/>
      <c r="K38" s="652"/>
      <c r="L38" s="652"/>
      <c r="M38" s="652">
        <f>1.3*1.1*2</f>
        <v>2.8600000000000003</v>
      </c>
      <c r="N38" s="652">
        <f>1.3*1.1*2</f>
        <v>2.8600000000000003</v>
      </c>
      <c r="O38" s="114"/>
      <c r="P38" s="114"/>
      <c r="Q38" s="114"/>
      <c r="R38" s="630"/>
      <c r="S38" s="630">
        <v>0</v>
      </c>
      <c r="T38" s="630"/>
      <c r="U38" s="630"/>
      <c r="V38" s="114"/>
      <c r="W38" s="133"/>
      <c r="X38" s="651"/>
      <c r="Y38" s="114"/>
      <c r="Z38" s="842">
        <f>1.3*1.1*2</f>
        <v>2.8600000000000003</v>
      </c>
      <c r="AA38" s="652">
        <f>1.3*1.1*2</f>
        <v>2.8600000000000003</v>
      </c>
      <c r="AB38" s="556"/>
      <c r="AC38" s="556"/>
      <c r="AD38" s="556"/>
      <c r="AE38" s="556"/>
      <c r="AF38" s="556"/>
      <c r="AG38" s="556"/>
      <c r="AH38" s="556"/>
      <c r="AI38" s="556"/>
      <c r="AJ38" s="652">
        <f>1.3*1.1*2</f>
        <v>2.8600000000000003</v>
      </c>
      <c r="AK38" s="652"/>
      <c r="AL38" s="652"/>
      <c r="AM38" s="652"/>
      <c r="AN38" s="652"/>
      <c r="AO38" s="652"/>
      <c r="AP38" s="652"/>
      <c r="AQ38" s="652"/>
      <c r="AR38" s="652"/>
      <c r="AS38" s="652"/>
      <c r="AT38" s="652"/>
      <c r="AU38" s="652"/>
      <c r="AV38" s="652"/>
      <c r="AW38" s="652"/>
      <c r="AX38" s="652">
        <f>1.3*1.1*2</f>
        <v>2.8600000000000003</v>
      </c>
      <c r="AY38" s="630"/>
      <c r="AZ38" s="630"/>
      <c r="BA38" s="114"/>
      <c r="BB38" s="114"/>
      <c r="BC38" s="651">
        <f>(1.3+1.1)*2*2</f>
        <v>9.6000000000000014</v>
      </c>
      <c r="BD38" s="133"/>
      <c r="BE38" s="843">
        <f>(1.3+1.1)*2*2*2.8</f>
        <v>26.880000000000003</v>
      </c>
      <c r="BF38" s="421">
        <f t="shared" si="3"/>
        <v>24.080000000000002</v>
      </c>
      <c r="BG38" s="421">
        <f t="shared" si="9"/>
        <v>24.080000000000002</v>
      </c>
      <c r="BH38" s="49">
        <f t="shared" si="10"/>
        <v>24.080000000000002</v>
      </c>
      <c r="BI38" s="49"/>
      <c r="BJ38" s="49"/>
      <c r="BK38" s="49"/>
      <c r="BL38" s="49">
        <f t="shared" si="11"/>
        <v>24.080000000000002</v>
      </c>
      <c r="BM38" s="135"/>
      <c r="BN38" s="135"/>
      <c r="BO38" s="114"/>
      <c r="BP38" s="135"/>
      <c r="BQ38" s="114"/>
      <c r="BR38" s="133"/>
      <c r="BS38" s="52"/>
      <c r="BT38" s="114"/>
      <c r="BU38" s="46"/>
      <c r="BV38" s="46"/>
      <c r="BW38" s="46"/>
      <c r="BX38" s="46"/>
      <c r="BY38" s="46"/>
      <c r="BZ38" s="46">
        <f>2*BZ7</f>
        <v>2.8</v>
      </c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502">
        <f t="shared" si="5"/>
        <v>2.8</v>
      </c>
      <c r="CL38" s="46"/>
      <c r="CM38" s="46"/>
      <c r="CN38" s="46"/>
      <c r="CO38" s="46"/>
      <c r="CP38" s="46"/>
      <c r="CQ38" s="46"/>
      <c r="CR38" s="46"/>
      <c r="CS38" s="46"/>
      <c r="CT38" s="502">
        <f t="shared" si="6"/>
        <v>0</v>
      </c>
    </row>
    <row r="39" spans="1:98" s="642" customFormat="1" ht="49.5">
      <c r="A39" s="422" t="s">
        <v>59</v>
      </c>
      <c r="B39" s="818" t="s">
        <v>774</v>
      </c>
      <c r="C39" s="651" t="s">
        <v>775</v>
      </c>
      <c r="D39" s="841">
        <f>6.6*3</f>
        <v>19.799999999999997</v>
      </c>
      <c r="E39" s="651">
        <f>(6.6+3)*2+0.3*2</f>
        <v>19.8</v>
      </c>
      <c r="F39" s="133" t="s">
        <v>812</v>
      </c>
      <c r="G39" s="133"/>
      <c r="H39" s="133"/>
      <c r="I39" s="843">
        <v>0</v>
      </c>
      <c r="J39" s="114"/>
      <c r="K39" s="114"/>
      <c r="L39" s="114"/>
      <c r="M39" s="651">
        <f>6.6*3</f>
        <v>19.799999999999997</v>
      </c>
      <c r="N39" s="651">
        <f>6.6*3</f>
        <v>19.799999999999997</v>
      </c>
      <c r="O39" s="114"/>
      <c r="P39" s="114"/>
      <c r="Q39" s="114"/>
      <c r="R39" s="133"/>
      <c r="S39" s="630">
        <v>0</v>
      </c>
      <c r="T39" s="114"/>
      <c r="U39" s="133"/>
      <c r="V39" s="114"/>
      <c r="W39" s="133"/>
      <c r="X39" s="651"/>
      <c r="Y39" s="114"/>
      <c r="Z39" s="843">
        <v>0</v>
      </c>
      <c r="AA39" s="841"/>
      <c r="AB39" s="556"/>
      <c r="AC39" s="556"/>
      <c r="AD39" s="556"/>
      <c r="AE39" s="556"/>
      <c r="AF39" s="556"/>
      <c r="AG39" s="556"/>
      <c r="AH39" s="556"/>
      <c r="AI39" s="556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556"/>
      <c r="AW39" s="556"/>
      <c r="AX39" s="556"/>
      <c r="AY39" s="135"/>
      <c r="AZ39" s="114"/>
      <c r="BA39" s="114"/>
      <c r="BB39" s="114"/>
      <c r="BC39" s="651"/>
      <c r="BD39" s="133"/>
      <c r="BE39" s="843">
        <f>(6.6+3)*2*(2.8+0.2)+0.3*2*(2.8+0.2)</f>
        <v>59.399999999999991</v>
      </c>
      <c r="BF39" s="421">
        <f>BE39-CK39-CT39</f>
        <v>48.597499999999989</v>
      </c>
      <c r="BG39" s="421">
        <f t="shared" si="9"/>
        <v>48.597499999999989</v>
      </c>
      <c r="BH39" s="49">
        <f t="shared" si="10"/>
        <v>48.597499999999989</v>
      </c>
      <c r="BI39" s="49"/>
      <c r="BJ39" s="49"/>
      <c r="BK39" s="49"/>
      <c r="BL39" s="49">
        <f t="shared" si="11"/>
        <v>48.597499999999989</v>
      </c>
      <c r="BM39" s="135"/>
      <c r="BN39" s="135"/>
      <c r="BO39" s="114"/>
      <c r="BP39" s="135"/>
      <c r="BQ39" s="114"/>
      <c r="BR39" s="114"/>
      <c r="BS39" s="52"/>
      <c r="BT39" s="114"/>
      <c r="BU39" s="46"/>
      <c r="BV39" s="46">
        <f>2*BV7</f>
        <v>3.9600000000000004</v>
      </c>
      <c r="BW39" s="46"/>
      <c r="BX39" s="46">
        <f>1*2*BX7</f>
        <v>3.7800000000000002</v>
      </c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502">
        <f>SUM(BU39:CJ39)</f>
        <v>7.74</v>
      </c>
      <c r="CL39" s="46"/>
      <c r="CM39" s="46">
        <f>1*CM7</f>
        <v>3.0625</v>
      </c>
      <c r="CN39" s="46"/>
      <c r="CO39" s="46"/>
      <c r="CP39" s="46"/>
      <c r="CQ39" s="46"/>
      <c r="CR39" s="46"/>
      <c r="CS39" s="46"/>
      <c r="CT39" s="502">
        <f>SUM(CL39:CS39)</f>
        <v>3.0625</v>
      </c>
    </row>
    <row r="40" spans="1:98" s="642" customFormat="1">
      <c r="A40" s="422" t="s">
        <v>324</v>
      </c>
      <c r="B40" s="652" t="s">
        <v>617</v>
      </c>
      <c r="C40" s="651" t="s">
        <v>776</v>
      </c>
      <c r="D40" s="651">
        <f>2.2*1.5</f>
        <v>3.3000000000000003</v>
      </c>
      <c r="E40" s="651">
        <v>0</v>
      </c>
      <c r="F40" s="133"/>
      <c r="G40" s="133"/>
      <c r="H40" s="133"/>
      <c r="I40" s="843">
        <f>2.2*1.5</f>
        <v>3.3000000000000003</v>
      </c>
      <c r="J40" s="651"/>
      <c r="K40" s="651"/>
      <c r="L40" s="651"/>
      <c r="M40" s="651">
        <f>2.2*1.5</f>
        <v>3.3000000000000003</v>
      </c>
      <c r="N40" s="651">
        <f>2.2*1.5</f>
        <v>3.3000000000000003</v>
      </c>
      <c r="O40" s="114"/>
      <c r="P40" s="114"/>
      <c r="Q40" s="114"/>
      <c r="R40" s="133"/>
      <c r="S40" s="630">
        <v>0</v>
      </c>
      <c r="T40" s="114"/>
      <c r="U40" s="133"/>
      <c r="V40" s="114"/>
      <c r="W40" s="133"/>
      <c r="X40" s="651"/>
      <c r="Y40" s="114"/>
      <c r="Z40" s="843">
        <f>2.2*1.5</f>
        <v>3.3000000000000003</v>
      </c>
      <c r="AA40" s="651">
        <f>2.2*1.5</f>
        <v>3.3000000000000003</v>
      </c>
      <c r="AB40" s="556"/>
      <c r="AC40" s="556"/>
      <c r="AD40" s="556"/>
      <c r="AE40" s="556"/>
      <c r="AF40" s="556"/>
      <c r="AG40" s="556"/>
      <c r="AH40" s="556"/>
      <c r="AI40" s="556"/>
      <c r="AJ40" s="651">
        <f>2.2*1.5</f>
        <v>3.3000000000000003</v>
      </c>
      <c r="AK40" s="651"/>
      <c r="AL40" s="651"/>
      <c r="AM40" s="651"/>
      <c r="AN40" s="651"/>
      <c r="AO40" s="651"/>
      <c r="AP40" s="651"/>
      <c r="AQ40" s="651"/>
      <c r="AR40" s="651"/>
      <c r="AS40" s="651"/>
      <c r="AT40" s="651"/>
      <c r="AU40" s="651"/>
      <c r="AV40" s="651"/>
      <c r="AW40" s="651"/>
      <c r="AX40" s="651"/>
      <c r="AY40" s="651"/>
      <c r="AZ40" s="651"/>
      <c r="BA40" s="651">
        <f>2.2*1.5</f>
        <v>3.3000000000000003</v>
      </c>
      <c r="BB40" s="114"/>
      <c r="BC40" s="651"/>
      <c r="BD40" s="133"/>
      <c r="BE40" s="843">
        <v>0</v>
      </c>
      <c r="BF40" s="421">
        <f>BE40-CK40-CT40</f>
        <v>0</v>
      </c>
      <c r="BG40" s="421">
        <f t="shared" si="9"/>
        <v>0</v>
      </c>
      <c r="BH40" s="49">
        <f t="shared" si="10"/>
        <v>0</v>
      </c>
      <c r="BI40" s="49"/>
      <c r="BJ40" s="49"/>
      <c r="BK40" s="49"/>
      <c r="BL40" s="49">
        <f t="shared" si="11"/>
        <v>0</v>
      </c>
      <c r="BM40" s="135"/>
      <c r="BN40" s="135"/>
      <c r="BO40" s="114"/>
      <c r="BP40" s="135"/>
      <c r="BQ40" s="114"/>
      <c r="BR40" s="114"/>
      <c r="BS40" s="52"/>
      <c r="BT40" s="114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502">
        <f>SUM(BU40:CJ40)</f>
        <v>0</v>
      </c>
      <c r="CL40" s="46"/>
      <c r="CM40" s="46"/>
      <c r="CN40" s="46"/>
      <c r="CO40" s="46"/>
      <c r="CP40" s="46"/>
      <c r="CQ40" s="46"/>
      <c r="CR40" s="46"/>
      <c r="CS40" s="46"/>
      <c r="CT40" s="502">
        <f>SUM(CL40:CS40)</f>
        <v>0</v>
      </c>
    </row>
    <row r="41" spans="1:98" s="642" customFormat="1">
      <c r="A41" s="649"/>
      <c r="B41" s="652"/>
      <c r="C41" s="133"/>
      <c r="D41" s="133"/>
      <c r="E41" s="133"/>
      <c r="F41" s="133"/>
      <c r="G41" s="133"/>
      <c r="H41" s="133"/>
      <c r="I41" s="703"/>
      <c r="J41" s="114"/>
      <c r="K41" s="114"/>
      <c r="L41" s="114"/>
      <c r="M41" s="114"/>
      <c r="N41" s="114"/>
      <c r="O41" s="114"/>
      <c r="P41" s="114"/>
      <c r="Q41" s="114"/>
      <c r="R41" s="133"/>
      <c r="S41" s="114"/>
      <c r="T41" s="114"/>
      <c r="U41" s="133"/>
      <c r="V41" s="114"/>
      <c r="W41" s="133"/>
      <c r="X41" s="133"/>
      <c r="Y41" s="114"/>
      <c r="Z41" s="703"/>
      <c r="AA41" s="556"/>
      <c r="AB41" s="556"/>
      <c r="AC41" s="556"/>
      <c r="AD41" s="556"/>
      <c r="AE41" s="556"/>
      <c r="AF41" s="556"/>
      <c r="AG41" s="556"/>
      <c r="AH41" s="556"/>
      <c r="AI41" s="556"/>
      <c r="AJ41" s="133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  <c r="AV41" s="556"/>
      <c r="AW41" s="556"/>
      <c r="AX41" s="556"/>
      <c r="AY41" s="135"/>
      <c r="AZ41" s="135"/>
      <c r="BA41" s="114"/>
      <c r="BB41" s="114"/>
      <c r="BC41" s="133"/>
      <c r="BD41" s="133"/>
      <c r="BE41" s="88"/>
      <c r="BF41" s="421">
        <f>BE41-CK41-CT41</f>
        <v>0</v>
      </c>
      <c r="BG41" s="421">
        <f t="shared" si="9"/>
        <v>0</v>
      </c>
      <c r="BH41" s="49">
        <f t="shared" si="10"/>
        <v>0</v>
      </c>
      <c r="BI41" s="49"/>
      <c r="BJ41" s="49"/>
      <c r="BK41" s="49"/>
      <c r="BL41" s="49">
        <f t="shared" si="11"/>
        <v>0</v>
      </c>
      <c r="BM41" s="135"/>
      <c r="BN41" s="135"/>
      <c r="BO41" s="114"/>
      <c r="BP41" s="135"/>
      <c r="BQ41" s="114"/>
      <c r="BR41" s="114"/>
      <c r="BS41" s="52"/>
      <c r="BT41" s="114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502">
        <f>SUM(BU41:CJ41)</f>
        <v>0</v>
      </c>
      <c r="CL41" s="46"/>
      <c r="CM41" s="46"/>
      <c r="CN41" s="46"/>
      <c r="CO41" s="46"/>
      <c r="CP41" s="46"/>
      <c r="CQ41" s="46"/>
      <c r="CR41" s="46"/>
      <c r="CS41" s="46"/>
      <c r="CT41" s="502">
        <f>SUM(CL41:CS41)</f>
        <v>0</v>
      </c>
    </row>
    <row r="42" spans="1:98" s="642" customFormat="1">
      <c r="A42" s="649"/>
      <c r="B42" s="652"/>
      <c r="C42" s="133"/>
      <c r="D42" s="133"/>
      <c r="E42" s="133"/>
      <c r="F42" s="133"/>
      <c r="G42" s="133"/>
      <c r="H42" s="133"/>
      <c r="I42" s="88"/>
      <c r="J42" s="114"/>
      <c r="K42" s="114"/>
      <c r="L42" s="114"/>
      <c r="M42" s="114"/>
      <c r="N42" s="114"/>
      <c r="O42" s="114"/>
      <c r="P42" s="114"/>
      <c r="Q42" s="114"/>
      <c r="R42" s="133"/>
      <c r="S42" s="114"/>
      <c r="T42" s="114"/>
      <c r="U42" s="133"/>
      <c r="V42" s="114"/>
      <c r="W42" s="133"/>
      <c r="X42" s="133"/>
      <c r="Y42" s="114"/>
      <c r="Z42" s="88"/>
      <c r="AA42" s="556"/>
      <c r="AB42" s="556"/>
      <c r="AC42" s="556"/>
      <c r="AD42" s="556"/>
      <c r="AE42" s="556"/>
      <c r="AF42" s="556"/>
      <c r="AG42" s="556"/>
      <c r="AH42" s="556"/>
      <c r="AI42" s="556"/>
      <c r="AJ42" s="133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556"/>
      <c r="AZ42" s="556"/>
      <c r="BA42" s="114"/>
      <c r="BB42" s="114"/>
      <c r="BC42" s="133"/>
      <c r="BD42" s="133"/>
      <c r="BE42" s="88"/>
      <c r="BF42" s="421">
        <f>BE42-CK42-CT42</f>
        <v>0</v>
      </c>
      <c r="BG42" s="421">
        <f t="shared" si="9"/>
        <v>0</v>
      </c>
      <c r="BH42" s="49">
        <f t="shared" si="10"/>
        <v>0</v>
      </c>
      <c r="BI42" s="49"/>
      <c r="BJ42" s="49"/>
      <c r="BK42" s="49"/>
      <c r="BL42" s="49">
        <f t="shared" si="11"/>
        <v>0</v>
      </c>
      <c r="BM42" s="135"/>
      <c r="BN42" s="135"/>
      <c r="BO42" s="114"/>
      <c r="BP42" s="135"/>
      <c r="BQ42" s="114"/>
      <c r="BR42" s="114"/>
      <c r="BS42" s="52"/>
      <c r="BT42" s="114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502">
        <f>SUM(BU42:CJ42)</f>
        <v>0</v>
      </c>
      <c r="CL42" s="46"/>
      <c r="CM42" s="46"/>
      <c r="CN42" s="46"/>
      <c r="CO42" s="46"/>
      <c r="CP42" s="46"/>
      <c r="CQ42" s="46"/>
      <c r="CR42" s="46"/>
      <c r="CS42" s="46"/>
      <c r="CT42" s="502">
        <f>SUM(CL42:CS42)</f>
        <v>0</v>
      </c>
    </row>
    <row r="43" spans="1:98" s="642" customFormat="1">
      <c r="A43" s="422"/>
      <c r="B43" s="652"/>
      <c r="C43" s="133"/>
      <c r="D43" s="133"/>
      <c r="E43" s="133"/>
      <c r="F43" s="133"/>
      <c r="G43" s="133"/>
      <c r="H43" s="133"/>
      <c r="I43" s="88"/>
      <c r="J43" s="114"/>
      <c r="K43" s="114"/>
      <c r="L43" s="114"/>
      <c r="M43" s="114"/>
      <c r="N43" s="114"/>
      <c r="O43" s="114"/>
      <c r="P43" s="114"/>
      <c r="Q43" s="114"/>
      <c r="R43" s="133"/>
      <c r="S43" s="133"/>
      <c r="T43" s="133"/>
      <c r="U43" s="133"/>
      <c r="V43" s="133"/>
      <c r="W43" s="133"/>
      <c r="X43" s="133"/>
      <c r="Y43" s="114"/>
      <c r="Z43" s="88"/>
      <c r="AA43" s="556"/>
      <c r="AB43" s="556"/>
      <c r="AC43" s="556"/>
      <c r="AD43" s="556"/>
      <c r="AE43" s="556"/>
      <c r="AF43" s="556"/>
      <c r="AG43" s="556"/>
      <c r="AH43" s="556"/>
      <c r="AI43" s="556"/>
      <c r="AJ43" s="133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  <c r="AV43" s="556"/>
      <c r="AW43" s="556"/>
      <c r="AX43" s="556"/>
      <c r="AY43" s="135"/>
      <c r="AZ43" s="135"/>
      <c r="BA43" s="114"/>
      <c r="BB43" s="114"/>
      <c r="BC43" s="133"/>
      <c r="BD43" s="133"/>
      <c r="BE43" s="88"/>
      <c r="BF43" s="421"/>
      <c r="BG43" s="421"/>
      <c r="BH43" s="49"/>
      <c r="BI43" s="49"/>
      <c r="BJ43" s="49"/>
      <c r="BK43" s="49"/>
      <c r="BL43" s="49"/>
      <c r="BM43" s="135"/>
      <c r="BN43" s="135"/>
      <c r="BO43" s="114"/>
      <c r="BP43" s="135"/>
      <c r="BQ43" s="114"/>
      <c r="BR43" s="114"/>
      <c r="BS43" s="52"/>
      <c r="BT43" s="114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502"/>
      <c r="CL43" s="46"/>
      <c r="CM43" s="46"/>
      <c r="CN43" s="46"/>
      <c r="CO43" s="46"/>
      <c r="CP43" s="46"/>
      <c r="CQ43" s="46"/>
      <c r="CR43" s="46"/>
      <c r="CS43" s="46"/>
      <c r="CT43" s="502"/>
    </row>
    <row r="44" spans="1:98" s="642" customFormat="1" ht="21">
      <c r="A44" s="637"/>
      <c r="B44" s="847"/>
      <c r="C44" s="651"/>
      <c r="D44" s="651"/>
      <c r="E44" s="651"/>
      <c r="F44" s="114"/>
      <c r="G44" s="114"/>
      <c r="H44" s="114"/>
      <c r="I44" s="88"/>
      <c r="J44" s="556"/>
      <c r="K44" s="556"/>
      <c r="L44" s="556"/>
      <c r="M44" s="556"/>
      <c r="N44" s="556"/>
      <c r="O44" s="651"/>
      <c r="P44" s="845"/>
      <c r="Q44" s="845"/>
      <c r="R44" s="845"/>
      <c r="S44" s="651"/>
      <c r="T44" s="846"/>
      <c r="U44" s="846"/>
      <c r="V44" s="846"/>
      <c r="W44" s="846"/>
      <c r="X44" s="651"/>
      <c r="Y44" s="114"/>
      <c r="Z44" s="88"/>
      <c r="AA44" s="133"/>
      <c r="AB44" s="114"/>
      <c r="AC44" s="114"/>
      <c r="AD44" s="114"/>
      <c r="AE44" s="114"/>
      <c r="AF44" s="114"/>
      <c r="AG44" s="114"/>
      <c r="AH44" s="114"/>
      <c r="AI44" s="114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14"/>
      <c r="BB44" s="114"/>
      <c r="BC44" s="133"/>
      <c r="BD44" s="133"/>
      <c r="BE44" s="88"/>
      <c r="BF44" s="421"/>
      <c r="BG44" s="421"/>
      <c r="BH44" s="49"/>
      <c r="BI44" s="49"/>
      <c r="BJ44" s="49"/>
      <c r="BK44" s="49"/>
      <c r="BL44" s="49"/>
      <c r="BM44" s="114"/>
      <c r="BN44" s="114"/>
      <c r="BO44" s="114"/>
      <c r="BP44" s="114"/>
      <c r="BQ44" s="114"/>
      <c r="BR44" s="114"/>
      <c r="BS44" s="114"/>
      <c r="BT44" s="114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502"/>
      <c r="CL44" s="46"/>
      <c r="CM44" s="46"/>
      <c r="CN44" s="46"/>
      <c r="CO44" s="46"/>
      <c r="CP44" s="46"/>
      <c r="CQ44" s="46"/>
      <c r="CR44" s="46"/>
      <c r="CS44" s="46"/>
      <c r="CT44" s="502"/>
    </row>
    <row r="45" spans="1:98" s="642" customFormat="1" ht="19.5">
      <c r="A45" s="637"/>
      <c r="B45" s="650"/>
      <c r="C45" s="114"/>
      <c r="D45" s="133"/>
      <c r="E45" s="133"/>
      <c r="F45" s="114"/>
      <c r="G45" s="114"/>
      <c r="H45" s="114"/>
      <c r="I45" s="88"/>
      <c r="J45" s="556"/>
      <c r="K45" s="556"/>
      <c r="L45" s="556"/>
      <c r="M45" s="556"/>
      <c r="N45" s="556"/>
      <c r="O45" s="556"/>
      <c r="P45" s="556"/>
      <c r="Q45" s="556"/>
      <c r="R45" s="556"/>
      <c r="S45" s="114"/>
      <c r="T45" s="114"/>
      <c r="U45" s="114"/>
      <c r="V45" s="114"/>
      <c r="W45" s="114"/>
      <c r="X45" s="114"/>
      <c r="Y45" s="114"/>
      <c r="Z45" s="88"/>
      <c r="AA45" s="114"/>
      <c r="AB45" s="114"/>
      <c r="AC45" s="114"/>
      <c r="AD45" s="114"/>
      <c r="AE45" s="114"/>
      <c r="AF45" s="114"/>
      <c r="AG45" s="114"/>
      <c r="AH45" s="114"/>
      <c r="AI45" s="114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14"/>
      <c r="BB45" s="114"/>
      <c r="BC45" s="133"/>
      <c r="BD45" s="114"/>
      <c r="BE45" s="88"/>
      <c r="BF45" s="421">
        <f>BE45-CK45-CT45</f>
        <v>0</v>
      </c>
      <c r="BG45" s="421">
        <f>BF45</f>
        <v>0</v>
      </c>
      <c r="BH45" s="49">
        <f>BF45</f>
        <v>0</v>
      </c>
      <c r="BI45" s="49"/>
      <c r="BJ45" s="49"/>
      <c r="BK45" s="49"/>
      <c r="BL45" s="49">
        <f>BF45-BR45</f>
        <v>0</v>
      </c>
      <c r="BM45" s="114"/>
      <c r="BN45" s="114"/>
      <c r="BO45" s="114"/>
      <c r="BP45" s="114"/>
      <c r="BQ45" s="114"/>
      <c r="BR45" s="114"/>
      <c r="BS45" s="114"/>
      <c r="BT45" s="114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502">
        <f>SUM(BU45:CJ45)</f>
        <v>0</v>
      </c>
      <c r="CL45" s="46"/>
      <c r="CM45" s="46"/>
      <c r="CN45" s="46"/>
      <c r="CO45" s="46"/>
      <c r="CP45" s="46"/>
      <c r="CQ45" s="46"/>
      <c r="CR45" s="46"/>
      <c r="CS45" s="46"/>
      <c r="CT45" s="502">
        <f>SUM(CL45:CS45)</f>
        <v>0</v>
      </c>
    </row>
    <row r="46" spans="1:98" s="642" customFormat="1" ht="19.5">
      <c r="A46" s="637"/>
      <c r="B46" s="650"/>
      <c r="C46" s="114"/>
      <c r="D46" s="133"/>
      <c r="E46" s="133"/>
      <c r="F46" s="114"/>
      <c r="G46" s="114"/>
      <c r="H46" s="114"/>
      <c r="I46" s="88"/>
      <c r="J46" s="556"/>
      <c r="K46" s="556"/>
      <c r="L46" s="556"/>
      <c r="M46" s="556"/>
      <c r="N46" s="556"/>
      <c r="O46" s="556"/>
      <c r="P46" s="556"/>
      <c r="Q46" s="556"/>
      <c r="R46" s="556"/>
      <c r="S46" s="114"/>
      <c r="T46" s="114"/>
      <c r="U46" s="114"/>
      <c r="V46" s="114"/>
      <c r="W46" s="114"/>
      <c r="X46" s="114"/>
      <c r="Y46" s="114"/>
      <c r="Z46" s="88"/>
      <c r="AA46" s="114"/>
      <c r="AB46" s="114"/>
      <c r="AC46" s="114"/>
      <c r="AD46" s="114"/>
      <c r="AE46" s="114"/>
      <c r="AF46" s="114"/>
      <c r="AG46" s="114"/>
      <c r="AH46" s="114"/>
      <c r="AI46" s="114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14"/>
      <c r="BB46" s="114"/>
      <c r="BC46" s="133"/>
      <c r="BD46" s="114"/>
      <c r="BE46" s="88"/>
      <c r="BF46" s="421">
        <f>BE46-CK46-CT46</f>
        <v>0</v>
      </c>
      <c r="BG46" s="421">
        <f>BF46</f>
        <v>0</v>
      </c>
      <c r="BH46" s="49">
        <f>BF46</f>
        <v>0</v>
      </c>
      <c r="BI46" s="49"/>
      <c r="BJ46" s="49"/>
      <c r="BK46" s="49"/>
      <c r="BL46" s="49">
        <f>BF46-BR46</f>
        <v>0</v>
      </c>
      <c r="BM46" s="114"/>
      <c r="BN46" s="114"/>
      <c r="BO46" s="114"/>
      <c r="BP46" s="114"/>
      <c r="BQ46" s="114"/>
      <c r="BR46" s="114"/>
      <c r="BS46" s="114"/>
      <c r="BT46" s="114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502">
        <f>SUM(BU46:CJ46)</f>
        <v>0</v>
      </c>
      <c r="CL46" s="46"/>
      <c r="CM46" s="46"/>
      <c r="CN46" s="46"/>
      <c r="CO46" s="46"/>
      <c r="CP46" s="46"/>
      <c r="CQ46" s="46"/>
      <c r="CR46" s="46"/>
      <c r="CS46" s="46"/>
      <c r="CT46" s="502">
        <f>SUM(CL46:CS46)</f>
        <v>0</v>
      </c>
    </row>
    <row r="47" spans="1:98" s="642" customFormat="1">
      <c r="A47" s="637"/>
      <c r="B47" s="27"/>
      <c r="C47" s="114"/>
      <c r="D47" s="114"/>
      <c r="E47" s="114"/>
      <c r="F47" s="114"/>
      <c r="G47" s="114"/>
      <c r="H47" s="114"/>
      <c r="I47" s="88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88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88"/>
      <c r="BF47" s="421">
        <f>BE47-CK47-CT47</f>
        <v>0</v>
      </c>
      <c r="BG47" s="421">
        <f>BF47</f>
        <v>0</v>
      </c>
      <c r="BH47" s="49">
        <f>BF47</f>
        <v>0</v>
      </c>
      <c r="BI47" s="49"/>
      <c r="BJ47" s="49"/>
      <c r="BK47" s="49"/>
      <c r="BL47" s="49">
        <f>BF47-BR47</f>
        <v>0</v>
      </c>
      <c r="BM47" s="114"/>
      <c r="BN47" s="114"/>
      <c r="BO47" s="114"/>
      <c r="BP47" s="114"/>
      <c r="BQ47" s="114"/>
      <c r="BR47" s="114"/>
      <c r="BS47" s="114"/>
      <c r="BT47" s="114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502">
        <f>SUM(BU47:CJ47)</f>
        <v>0</v>
      </c>
      <c r="CL47" s="46"/>
      <c r="CM47" s="46"/>
      <c r="CN47" s="46"/>
      <c r="CO47" s="46"/>
      <c r="CP47" s="46"/>
      <c r="CQ47" s="46"/>
      <c r="CR47" s="46"/>
      <c r="CS47" s="46"/>
      <c r="CT47" s="502">
        <f>SUM(CL47:CS47)</f>
        <v>0</v>
      </c>
    </row>
    <row r="48" spans="1:98" s="25" customFormat="1" ht="45" customHeight="1" thickBot="1">
      <c r="A48" s="1248" t="s">
        <v>509</v>
      </c>
      <c r="B48" s="1248"/>
      <c r="C48" s="1248"/>
      <c r="D48" s="1248"/>
      <c r="E48" s="1248"/>
      <c r="F48" s="1248"/>
      <c r="G48" s="1248"/>
      <c r="H48" s="1249"/>
      <c r="I48" s="88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88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88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</row>
    <row r="49" spans="1:98" s="25" customFormat="1">
      <c r="A49" s="1227" t="s">
        <v>80</v>
      </c>
      <c r="B49" s="423" t="s">
        <v>510</v>
      </c>
      <c r="C49" s="700" t="s">
        <v>816</v>
      </c>
      <c r="D49" s="700"/>
      <c r="E49" s="423"/>
      <c r="F49" s="423" t="s">
        <v>5</v>
      </c>
      <c r="G49" s="701"/>
      <c r="H49" s="702"/>
      <c r="I49" s="65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88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88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</row>
    <row r="50" spans="1:98" s="25" customFormat="1">
      <c r="A50" s="1228"/>
      <c r="B50" s="290" t="s">
        <v>511</v>
      </c>
      <c r="C50" s="49" t="s">
        <v>817</v>
      </c>
      <c r="D50" s="49"/>
      <c r="E50" s="290"/>
      <c r="F50" s="290" t="s">
        <v>5</v>
      </c>
      <c r="G50" s="114"/>
      <c r="H50" s="136"/>
      <c r="I50" s="657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88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88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</row>
    <row r="51" spans="1:98" s="25" customFormat="1">
      <c r="A51" s="1228"/>
      <c r="B51" s="290" t="s">
        <v>272</v>
      </c>
      <c r="C51" s="290" t="s">
        <v>454</v>
      </c>
      <c r="D51" s="290"/>
      <c r="E51" s="290"/>
      <c r="F51" s="290" t="s">
        <v>1</v>
      </c>
      <c r="G51" s="114"/>
      <c r="H51" s="136"/>
      <c r="I51" s="657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88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88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</row>
    <row r="52" spans="1:98" s="25" customFormat="1">
      <c r="A52" s="1228" t="s">
        <v>630</v>
      </c>
      <c r="B52" s="290" t="s">
        <v>510</v>
      </c>
      <c r="C52" s="420"/>
      <c r="D52" s="420"/>
      <c r="E52" s="419"/>
      <c r="F52" s="419"/>
      <c r="G52" s="24"/>
      <c r="H52" s="58"/>
      <c r="I52" s="657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88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88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</row>
    <row r="53" spans="1:98" s="25" customFormat="1">
      <c r="A53" s="1228"/>
      <c r="B53" s="290" t="s">
        <v>511</v>
      </c>
      <c r="C53" s="420"/>
      <c r="D53" s="420"/>
      <c r="E53" s="419"/>
      <c r="F53" s="419"/>
      <c r="G53" s="24"/>
      <c r="H53" s="58"/>
      <c r="I53" s="657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88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88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</row>
    <row r="54" spans="1:98" s="25" customFormat="1">
      <c r="A54" s="1228"/>
      <c r="B54" s="290" t="s">
        <v>272</v>
      </c>
      <c r="C54" s="419"/>
      <c r="D54" s="419"/>
      <c r="E54" s="419"/>
      <c r="F54" s="419"/>
      <c r="G54" s="24"/>
      <c r="H54" s="58"/>
      <c r="I54" s="657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88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88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</row>
    <row r="55" spans="1:98" s="25" customFormat="1">
      <c r="A55" s="1260"/>
      <c r="B55" s="290"/>
      <c r="C55" s="290"/>
      <c r="D55" s="290"/>
      <c r="E55" s="290"/>
      <c r="F55" s="421"/>
      <c r="G55" s="24"/>
      <c r="H55" s="58"/>
      <c r="I55" s="657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88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88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</row>
    <row r="56" spans="1:98" s="25" customFormat="1">
      <c r="A56" s="1261"/>
      <c r="B56" s="290"/>
      <c r="C56" s="290"/>
      <c r="D56" s="290"/>
      <c r="E56" s="290"/>
      <c r="F56" s="421"/>
      <c r="G56" s="24"/>
      <c r="H56" s="58"/>
      <c r="I56" s="657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88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88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</row>
    <row r="57" spans="1:98" s="25" customFormat="1">
      <c r="A57" s="1262"/>
      <c r="B57" s="290"/>
      <c r="C57" s="290"/>
      <c r="D57" s="290"/>
      <c r="E57" s="290"/>
      <c r="F57" s="421"/>
      <c r="G57" s="24"/>
      <c r="H57" s="58"/>
      <c r="I57" s="657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88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88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</row>
    <row r="58" spans="1:98" s="25" customFormat="1">
      <c r="A58" s="1260"/>
      <c r="B58" s="290"/>
      <c r="C58" s="290"/>
      <c r="D58" s="290"/>
      <c r="E58" s="290"/>
      <c r="F58" s="421"/>
      <c r="G58" s="24"/>
      <c r="H58" s="58"/>
      <c r="I58" s="657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88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88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</row>
    <row r="59" spans="1:98" s="25" customFormat="1">
      <c r="A59" s="1261"/>
      <c r="B59" s="290"/>
      <c r="C59" s="290"/>
      <c r="D59" s="290"/>
      <c r="E59" s="290"/>
      <c r="F59" s="421"/>
      <c r="G59" s="24"/>
      <c r="H59" s="58"/>
      <c r="I59" s="65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88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88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</row>
    <row r="60" spans="1:98" s="25" customFormat="1">
      <c r="A60" s="1262"/>
      <c r="B60" s="290"/>
      <c r="C60" s="290"/>
      <c r="D60" s="290"/>
      <c r="E60" s="290"/>
      <c r="F60" s="421"/>
      <c r="G60" s="24"/>
      <c r="H60" s="58"/>
      <c r="I60" s="657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88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88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</row>
    <row r="61" spans="1:98" s="25" customFormat="1">
      <c r="A61" s="1260"/>
      <c r="B61" s="290"/>
      <c r="C61" s="290"/>
      <c r="D61" s="290"/>
      <c r="E61" s="290"/>
      <c r="F61" s="421"/>
      <c r="G61" s="24"/>
      <c r="H61" s="58"/>
      <c r="I61" s="657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88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88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</row>
    <row r="62" spans="1:98" s="25" customFormat="1">
      <c r="A62" s="1261"/>
      <c r="B62" s="290"/>
      <c r="C62" s="290"/>
      <c r="D62" s="290"/>
      <c r="E62" s="290"/>
      <c r="F62" s="421"/>
      <c r="G62" s="24"/>
      <c r="H62" s="58"/>
      <c r="I62" s="657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88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88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</row>
    <row r="63" spans="1:98" s="25" customFormat="1">
      <c r="A63" s="1262"/>
      <c r="B63" s="290"/>
      <c r="C63" s="290"/>
      <c r="D63" s="290"/>
      <c r="E63" s="290"/>
      <c r="F63" s="421"/>
      <c r="G63" s="24"/>
      <c r="H63" s="58"/>
      <c r="I63" s="657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88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88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</row>
    <row r="64" spans="1:98" s="25" customFormat="1">
      <c r="A64" s="666"/>
      <c r="B64" s="290"/>
      <c r="C64" s="290"/>
      <c r="D64" s="290"/>
      <c r="E64" s="290"/>
      <c r="F64" s="421"/>
      <c r="G64" s="24"/>
      <c r="H64" s="58"/>
      <c r="I64" s="657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88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88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</row>
    <row r="65" spans="1:98" s="25" customFormat="1">
      <c r="A65" s="1225" t="s">
        <v>20</v>
      </c>
      <c r="B65" s="129" t="s">
        <v>510</v>
      </c>
      <c r="C65" s="129"/>
      <c r="D65" s="129">
        <f>D49+D52+D55+D58+D61</f>
        <v>0</v>
      </c>
      <c r="E65" s="290"/>
      <c r="F65" s="290" t="s">
        <v>5</v>
      </c>
      <c r="G65" s="24"/>
      <c r="H65" s="58"/>
      <c r="I65" s="657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88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49"/>
      <c r="BA65" s="24"/>
      <c r="BB65" s="24"/>
      <c r="BC65" s="24"/>
      <c r="BD65" s="24"/>
      <c r="BE65" s="88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</row>
    <row r="66" spans="1:98" s="25" customFormat="1">
      <c r="A66" s="1225"/>
      <c r="B66" s="129" t="s">
        <v>511</v>
      </c>
      <c r="C66" s="129"/>
      <c r="D66" s="129">
        <f>D50+D53+D56+D59+D62</f>
        <v>0</v>
      </c>
      <c r="E66" s="290"/>
      <c r="F66" s="290" t="s">
        <v>5</v>
      </c>
      <c r="G66" s="24"/>
      <c r="H66" s="58"/>
      <c r="I66" s="657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88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49"/>
      <c r="BA66" s="24"/>
      <c r="BB66" s="24"/>
      <c r="BC66" s="24"/>
      <c r="BD66" s="24"/>
      <c r="BE66" s="88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</row>
    <row r="67" spans="1:98" s="25" customFormat="1" ht="17.25" thickBot="1">
      <c r="A67" s="1226"/>
      <c r="B67" s="431" t="s">
        <v>272</v>
      </c>
      <c r="C67" s="431"/>
      <c r="D67" s="431">
        <f>D51+D54+D57+D60+D63</f>
        <v>0</v>
      </c>
      <c r="E67" s="425"/>
      <c r="F67" s="425" t="s">
        <v>1</v>
      </c>
      <c r="G67" s="437"/>
      <c r="H67" s="438"/>
      <c r="I67" s="657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88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88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</row>
    <row r="68" spans="1:98" s="25" customFormat="1">
      <c r="A68" s="429"/>
      <c r="B68" s="430"/>
      <c r="C68" s="69"/>
      <c r="D68" s="69"/>
      <c r="E68" s="69"/>
      <c r="F68" s="69"/>
      <c r="G68" s="69"/>
      <c r="H68" s="69"/>
      <c r="I68" s="88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88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88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</row>
    <row r="69" spans="1:98" s="25" customFormat="1">
      <c r="A69" s="113"/>
      <c r="B69" s="121"/>
      <c r="C69" s="24"/>
      <c r="D69" s="24"/>
      <c r="E69" s="24"/>
      <c r="F69" s="24"/>
      <c r="G69" s="24"/>
      <c r="H69" s="24"/>
      <c r="I69" s="88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88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88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</row>
    <row r="70" spans="1:98" s="25" customFormat="1" ht="17.25" thickBot="1">
      <c r="A70" s="451"/>
      <c r="B70" s="452"/>
      <c r="C70" s="439"/>
      <c r="D70" s="439"/>
      <c r="E70" s="439"/>
      <c r="F70" s="439"/>
      <c r="G70" s="439"/>
      <c r="H70" s="439"/>
      <c r="I70" s="88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88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8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</row>
    <row r="71" spans="1:98" s="25" customFormat="1" ht="52.5" customHeight="1" thickBot="1">
      <c r="A71" s="1219" t="s">
        <v>512</v>
      </c>
      <c r="B71" s="1220"/>
      <c r="C71" s="1220"/>
      <c r="D71" s="1220"/>
      <c r="E71" s="1220"/>
      <c r="F71" s="1220"/>
      <c r="G71" s="1220"/>
      <c r="H71" s="1221"/>
      <c r="I71" s="657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88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88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</row>
    <row r="72" spans="1:98" s="25" customFormat="1" ht="33">
      <c r="A72" s="1242" t="s">
        <v>823</v>
      </c>
      <c r="B72" s="433" t="s">
        <v>824</v>
      </c>
      <c r="C72" s="423" t="s">
        <v>940</v>
      </c>
      <c r="D72" s="423"/>
      <c r="E72" s="423"/>
      <c r="F72" s="423" t="s">
        <v>5</v>
      </c>
      <c r="G72" s="433"/>
      <c r="H72" s="61"/>
      <c r="I72" s="657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88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88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</row>
    <row r="73" spans="1:98" s="25" customFormat="1" ht="33">
      <c r="A73" s="1243"/>
      <c r="B73" s="432" t="s">
        <v>825</v>
      </c>
      <c r="C73" s="290"/>
      <c r="D73" s="290"/>
      <c r="E73" s="290"/>
      <c r="F73" s="290" t="s">
        <v>5</v>
      </c>
      <c r="G73" s="432"/>
      <c r="H73" s="58"/>
      <c r="I73" s="657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88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88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</row>
    <row r="74" spans="1:98" s="25" customFormat="1" ht="33">
      <c r="A74" s="1243"/>
      <c r="B74" s="432" t="s">
        <v>826</v>
      </c>
      <c r="C74" s="290"/>
      <c r="D74" s="290"/>
      <c r="E74" s="290"/>
      <c r="F74" s="290" t="s">
        <v>5</v>
      </c>
      <c r="G74" s="432"/>
      <c r="H74" s="58"/>
      <c r="I74" s="657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88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88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</row>
    <row r="75" spans="1:98" s="25" customFormat="1">
      <c r="A75" s="1243"/>
      <c r="B75" s="432" t="s">
        <v>606</v>
      </c>
      <c r="C75" s="290" t="s">
        <v>454</v>
      </c>
      <c r="D75" s="290"/>
      <c r="E75" s="290"/>
      <c r="F75" s="290" t="s">
        <v>1</v>
      </c>
      <c r="G75" s="432"/>
      <c r="H75" s="58"/>
      <c r="I75" s="657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88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88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</row>
    <row r="76" spans="1:98" s="25" customFormat="1">
      <c r="A76" s="1243"/>
      <c r="B76" s="432"/>
      <c r="C76" s="290"/>
      <c r="D76" s="290"/>
      <c r="E76" s="290"/>
      <c r="F76" s="290"/>
      <c r="G76" s="432"/>
      <c r="H76" s="58"/>
      <c r="I76" s="657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88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88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</row>
    <row r="77" spans="1:98" s="25" customFormat="1">
      <c r="A77" s="1243"/>
      <c r="B77" s="432"/>
      <c r="C77" s="290"/>
      <c r="D77" s="290"/>
      <c r="E77" s="290"/>
      <c r="F77" s="290"/>
      <c r="G77" s="432"/>
      <c r="H77" s="58"/>
      <c r="I77" s="657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88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88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</row>
    <row r="78" spans="1:98" s="25" customFormat="1" ht="17.25" thickBot="1">
      <c r="A78" s="1244"/>
      <c r="B78" s="695"/>
      <c r="C78" s="425"/>
      <c r="D78" s="425"/>
      <c r="E78" s="425"/>
      <c r="F78" s="425"/>
      <c r="G78" s="695"/>
      <c r="H78" s="438"/>
      <c r="I78" s="657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88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88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</row>
    <row r="79" spans="1:98" s="25" customFormat="1" ht="33">
      <c r="A79" s="1245" t="s">
        <v>753</v>
      </c>
      <c r="B79" s="696" t="s">
        <v>622</v>
      </c>
      <c r="C79" s="423" t="s">
        <v>821</v>
      </c>
      <c r="D79" s="423"/>
      <c r="E79" s="423"/>
      <c r="F79" s="423" t="s">
        <v>5</v>
      </c>
      <c r="G79" s="433"/>
      <c r="H79" s="61"/>
      <c r="I79" s="657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88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88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</row>
    <row r="80" spans="1:98" s="25" customFormat="1" ht="33">
      <c r="A80" s="1246"/>
      <c r="B80" s="697" t="s">
        <v>633</v>
      </c>
      <c r="C80" s="290"/>
      <c r="D80" s="290"/>
      <c r="E80" s="290"/>
      <c r="F80" s="290" t="s">
        <v>5</v>
      </c>
      <c r="G80" s="432"/>
      <c r="H80" s="58"/>
      <c r="I80" s="657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88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88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</row>
    <row r="81" spans="1:98" s="25" customFormat="1" ht="33">
      <c r="A81" s="1246"/>
      <c r="B81" s="697" t="s">
        <v>624</v>
      </c>
      <c r="C81" s="290"/>
      <c r="D81" s="290"/>
      <c r="E81" s="290"/>
      <c r="F81" s="290" t="s">
        <v>5</v>
      </c>
      <c r="G81" s="432"/>
      <c r="H81" s="58"/>
      <c r="I81" s="657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8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88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</row>
    <row r="82" spans="1:98" s="25" customFormat="1">
      <c r="A82" s="1246"/>
      <c r="B82" s="697" t="s">
        <v>606</v>
      </c>
      <c r="C82" s="290"/>
      <c r="D82" s="290"/>
      <c r="E82" s="290"/>
      <c r="F82" s="290" t="s">
        <v>1</v>
      </c>
      <c r="G82" s="432"/>
      <c r="H82" s="58"/>
      <c r="I82" s="657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88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88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</row>
    <row r="83" spans="1:98" s="25" customFormat="1">
      <c r="A83" s="1246"/>
      <c r="B83" s="697"/>
      <c r="C83" s="290"/>
      <c r="D83" s="290"/>
      <c r="E83" s="290"/>
      <c r="F83" s="290"/>
      <c r="G83" s="432"/>
      <c r="H83" s="58"/>
      <c r="I83" s="657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88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88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</row>
    <row r="84" spans="1:98" s="25" customFormat="1">
      <c r="A84" s="1246"/>
      <c r="B84" s="697"/>
      <c r="C84" s="290"/>
      <c r="D84" s="290"/>
      <c r="E84" s="290"/>
      <c r="F84" s="290"/>
      <c r="G84" s="432"/>
      <c r="H84" s="58"/>
      <c r="I84" s="657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88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88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</row>
    <row r="85" spans="1:98" s="25" customFormat="1" ht="17.25" thickBot="1">
      <c r="A85" s="1247"/>
      <c r="B85" s="698"/>
      <c r="C85" s="425"/>
      <c r="D85" s="425"/>
      <c r="E85" s="425"/>
      <c r="F85" s="425"/>
      <c r="G85" s="695"/>
      <c r="H85" s="438"/>
      <c r="I85" s="657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88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88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</row>
    <row r="86" spans="1:98" s="25" customFormat="1" ht="33">
      <c r="A86" s="1227" t="s">
        <v>618</v>
      </c>
      <c r="B86" s="433" t="s">
        <v>622</v>
      </c>
      <c r="C86" s="423" t="s">
        <v>822</v>
      </c>
      <c r="D86" s="423"/>
      <c r="E86" s="423"/>
      <c r="F86" s="423" t="s">
        <v>5</v>
      </c>
      <c r="G86" s="433"/>
      <c r="H86" s="61"/>
      <c r="I86" s="657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88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88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</row>
    <row r="87" spans="1:98" s="25" customFormat="1" ht="33">
      <c r="A87" s="1228"/>
      <c r="B87" s="432" t="s">
        <v>623</v>
      </c>
      <c r="C87" s="290"/>
      <c r="D87" s="290"/>
      <c r="E87" s="290"/>
      <c r="F87" s="290" t="s">
        <v>5</v>
      </c>
      <c r="G87" s="432"/>
      <c r="H87" s="58"/>
      <c r="I87" s="657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88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88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</row>
    <row r="88" spans="1:98" s="25" customFormat="1" ht="33">
      <c r="A88" s="1228"/>
      <c r="B88" s="432" t="s">
        <v>624</v>
      </c>
      <c r="C88" s="290"/>
      <c r="D88" s="290"/>
      <c r="E88" s="290"/>
      <c r="F88" s="290" t="s">
        <v>5</v>
      </c>
      <c r="G88" s="432"/>
      <c r="H88" s="58"/>
      <c r="I88" s="657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88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88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</row>
    <row r="89" spans="1:98" s="25" customFormat="1">
      <c r="A89" s="1228"/>
      <c r="B89" s="432" t="s">
        <v>606</v>
      </c>
      <c r="C89" s="290"/>
      <c r="D89" s="290"/>
      <c r="E89" s="290"/>
      <c r="F89" s="290" t="s">
        <v>1</v>
      </c>
      <c r="G89" s="432"/>
      <c r="H89" s="58"/>
      <c r="I89" s="657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88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88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</row>
    <row r="90" spans="1:98" s="25" customFormat="1">
      <c r="A90" s="1228"/>
      <c r="B90" s="432"/>
      <c r="C90" s="290"/>
      <c r="D90" s="290"/>
      <c r="E90" s="290"/>
      <c r="F90" s="290"/>
      <c r="G90" s="432"/>
      <c r="H90" s="58"/>
      <c r="I90" s="657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88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88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</row>
    <row r="91" spans="1:98" s="25" customFormat="1">
      <c r="A91" s="1228"/>
      <c r="B91" s="432"/>
      <c r="C91" s="290"/>
      <c r="D91" s="290"/>
      <c r="E91" s="290"/>
      <c r="F91" s="290"/>
      <c r="G91" s="432"/>
      <c r="H91" s="58"/>
      <c r="I91" s="657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88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88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</row>
    <row r="92" spans="1:98" s="25" customFormat="1" ht="17.25" thickBot="1">
      <c r="A92" s="1229"/>
      <c r="B92" s="695"/>
      <c r="C92" s="425"/>
      <c r="D92" s="425"/>
      <c r="E92" s="425"/>
      <c r="F92" s="425"/>
      <c r="G92" s="695"/>
      <c r="H92" s="438"/>
      <c r="I92" s="657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88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88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</row>
    <row r="93" spans="1:98" s="25" customFormat="1" ht="33">
      <c r="A93" s="1227" t="s">
        <v>617</v>
      </c>
      <c r="B93" s="433" t="s">
        <v>622</v>
      </c>
      <c r="C93" s="433"/>
      <c r="D93" s="423"/>
      <c r="E93" s="423"/>
      <c r="F93" s="423" t="s">
        <v>5</v>
      </c>
      <c r="G93" s="60"/>
      <c r="H93" s="61"/>
      <c r="I93" s="657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88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88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</row>
    <row r="94" spans="1:98" s="25" customFormat="1" ht="33">
      <c r="A94" s="1228"/>
      <c r="B94" s="432" t="s">
        <v>625</v>
      </c>
      <c r="C94" s="432"/>
      <c r="D94" s="290"/>
      <c r="E94" s="290"/>
      <c r="F94" s="290" t="s">
        <v>5</v>
      </c>
      <c r="G94" s="24"/>
      <c r="H94" s="58"/>
      <c r="I94" s="657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88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88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</row>
    <row r="95" spans="1:98" s="25" customFormat="1" ht="33">
      <c r="A95" s="1228"/>
      <c r="B95" s="432" t="s">
        <v>626</v>
      </c>
      <c r="C95" s="432"/>
      <c r="D95" s="290"/>
      <c r="E95" s="290"/>
      <c r="F95" s="290" t="s">
        <v>5</v>
      </c>
      <c r="G95" s="24"/>
      <c r="H95" s="58"/>
      <c r="I95" s="657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88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88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</row>
    <row r="96" spans="1:98" s="25" customFormat="1">
      <c r="A96" s="1228"/>
      <c r="B96" s="432" t="s">
        <v>606</v>
      </c>
      <c r="C96" s="432"/>
      <c r="D96" s="290"/>
      <c r="E96" s="290"/>
      <c r="F96" s="290" t="s">
        <v>1</v>
      </c>
      <c r="G96" s="24"/>
      <c r="H96" s="58"/>
      <c r="I96" s="657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88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88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</row>
    <row r="97" spans="1:99" s="25" customFormat="1">
      <c r="A97" s="1228"/>
      <c r="B97" s="424"/>
      <c r="C97" s="290"/>
      <c r="D97" s="290"/>
      <c r="E97" s="290"/>
      <c r="F97" s="24"/>
      <c r="G97" s="24"/>
      <c r="H97" s="58"/>
      <c r="I97" s="657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88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88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</row>
    <row r="98" spans="1:99" s="25" customFormat="1">
      <c r="A98" s="1228"/>
      <c r="B98" s="424"/>
      <c r="C98" s="290"/>
      <c r="D98" s="290"/>
      <c r="E98" s="290"/>
      <c r="F98" s="24"/>
      <c r="G98" s="24"/>
      <c r="H98" s="58"/>
      <c r="I98" s="657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88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88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</row>
    <row r="99" spans="1:99" s="25" customFormat="1" ht="17.25" thickBot="1">
      <c r="A99" s="1229"/>
      <c r="B99" s="699"/>
      <c r="C99" s="425"/>
      <c r="D99" s="425"/>
      <c r="E99" s="425"/>
      <c r="F99" s="437"/>
      <c r="G99" s="437"/>
      <c r="H99" s="438"/>
      <c r="I99" s="657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88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88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</row>
    <row r="100" spans="1:99" s="25" customFormat="1" ht="33">
      <c r="A100" s="1224" t="s">
        <v>513</v>
      </c>
      <c r="B100" s="436" t="s">
        <v>619</v>
      </c>
      <c r="C100" s="436"/>
      <c r="D100" s="893">
        <f>D72+D79+D86+D93</f>
        <v>0</v>
      </c>
      <c r="E100" s="426"/>
      <c r="F100" s="426" t="s">
        <v>5</v>
      </c>
      <c r="G100" s="426"/>
      <c r="H100" s="61"/>
      <c r="I100" s="657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88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88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</row>
    <row r="101" spans="1:99" s="25" customFormat="1" ht="33">
      <c r="A101" s="1225"/>
      <c r="B101" s="435" t="s">
        <v>620</v>
      </c>
      <c r="C101" s="435"/>
      <c r="D101" s="874">
        <f>D73+D80+D87+D94</f>
        <v>0</v>
      </c>
      <c r="E101" s="427"/>
      <c r="F101" s="427" t="s">
        <v>5</v>
      </c>
      <c r="G101" s="427"/>
      <c r="H101" s="58"/>
      <c r="I101" s="657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88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88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</row>
    <row r="102" spans="1:99" s="25" customFormat="1" ht="33">
      <c r="A102" s="1225"/>
      <c r="B102" s="435" t="s">
        <v>621</v>
      </c>
      <c r="C102" s="435"/>
      <c r="D102" s="874">
        <f>D74+D81+D88+D95</f>
        <v>0</v>
      </c>
      <c r="E102" s="427"/>
      <c r="F102" s="427" t="s">
        <v>5</v>
      </c>
      <c r="G102" s="427"/>
      <c r="H102" s="58"/>
      <c r="I102" s="657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88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88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</row>
    <row r="103" spans="1:99" s="25" customFormat="1">
      <c r="A103" s="1225"/>
      <c r="B103" s="435" t="s">
        <v>606</v>
      </c>
      <c r="C103" s="435"/>
      <c r="D103" s="874">
        <f>D75+D82+D89+D96</f>
        <v>0</v>
      </c>
      <c r="E103" s="427"/>
      <c r="F103" s="427" t="s">
        <v>1</v>
      </c>
      <c r="G103" s="427"/>
      <c r="H103" s="58"/>
      <c r="I103" s="657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88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88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</row>
    <row r="104" spans="1:99" s="25" customFormat="1" ht="17.25" thickBot="1">
      <c r="A104" s="1226"/>
      <c r="B104" s="626"/>
      <c r="C104" s="626"/>
      <c r="D104" s="625"/>
      <c r="E104" s="625"/>
      <c r="F104" s="625"/>
      <c r="G104" s="625"/>
      <c r="H104" s="438"/>
      <c r="I104" s="657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88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88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</row>
    <row r="105" spans="1:99" s="25" customFormat="1">
      <c r="A105" s="628"/>
      <c r="B105" s="628"/>
      <c r="C105" s="628"/>
      <c r="D105" s="628"/>
      <c r="E105" s="628"/>
      <c r="F105" s="628"/>
      <c r="G105" s="628"/>
      <c r="H105" s="628"/>
      <c r="I105" s="88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88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88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</row>
    <row r="106" spans="1:99" s="25" customFormat="1">
      <c r="A106" s="628"/>
      <c r="B106" s="628"/>
      <c r="C106" s="628"/>
      <c r="D106" s="628"/>
      <c r="E106" s="628"/>
      <c r="F106" s="628"/>
      <c r="G106" s="628"/>
      <c r="H106" s="628"/>
      <c r="I106" s="88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88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88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</row>
    <row r="107" spans="1:99" s="25" customFormat="1">
      <c r="A107" s="628"/>
      <c r="B107" s="628"/>
      <c r="C107" s="628"/>
      <c r="D107" s="628"/>
      <c r="E107" s="628"/>
      <c r="F107" s="628"/>
      <c r="G107" s="628"/>
      <c r="H107" s="628"/>
      <c r="I107" s="88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88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88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</row>
    <row r="108" spans="1:99" s="25" customFormat="1">
      <c r="A108" s="628"/>
      <c r="B108" s="628"/>
      <c r="C108" s="628"/>
      <c r="D108" s="628"/>
      <c r="E108" s="628"/>
      <c r="F108" s="628"/>
      <c r="G108" s="628"/>
      <c r="H108" s="628"/>
      <c r="I108" s="88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88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88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</row>
    <row r="109" spans="1:99" s="25" customFormat="1">
      <c r="A109" s="44"/>
      <c r="B109" s="44"/>
      <c r="C109" s="44"/>
      <c r="D109" s="44"/>
      <c r="E109" s="44"/>
      <c r="F109" s="44"/>
      <c r="G109" s="44"/>
      <c r="H109" s="44"/>
      <c r="I109" s="88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88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88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</row>
    <row r="110" spans="1:99">
      <c r="A110" s="67"/>
      <c r="B110" s="63"/>
      <c r="C110" s="24"/>
      <c r="D110" s="24"/>
      <c r="E110" s="24"/>
      <c r="F110" s="24"/>
      <c r="G110" s="24"/>
      <c r="H110" s="24"/>
      <c r="I110" s="88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88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88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130"/>
      <c r="BV110" s="130"/>
      <c r="BW110" s="130"/>
      <c r="BX110" s="130"/>
      <c r="BY110" s="398"/>
      <c r="BZ110" s="398"/>
      <c r="CA110" s="398"/>
      <c r="CB110" s="398"/>
      <c r="CC110" s="398"/>
      <c r="CD110" s="398"/>
      <c r="CE110" s="398"/>
      <c r="CF110" s="398"/>
      <c r="CG110" s="398"/>
      <c r="CH110" s="398"/>
      <c r="CI110" s="398"/>
      <c r="CJ110" s="398"/>
      <c r="CK110" s="130"/>
      <c r="CL110" s="130"/>
      <c r="CM110" s="130"/>
      <c r="CN110" s="130"/>
      <c r="CO110" s="398"/>
      <c r="CP110" s="398"/>
      <c r="CQ110" s="130"/>
      <c r="CR110" s="130"/>
      <c r="CS110" s="130"/>
      <c r="CT110" s="130"/>
    </row>
    <row r="111" spans="1:99" s="16" customFormat="1" ht="52.5" customHeight="1">
      <c r="A111" s="71"/>
      <c r="B111" s="65"/>
      <c r="C111" s="20"/>
      <c r="D111" s="20"/>
      <c r="E111" s="20"/>
      <c r="F111" s="20"/>
      <c r="G111" s="20"/>
      <c r="H111" s="20"/>
      <c r="I111" s="557">
        <f t="shared" ref="I111:AN111" si="12">SUM(I10:I110)</f>
        <v>403.07</v>
      </c>
      <c r="J111" s="19">
        <f t="shared" si="12"/>
        <v>0</v>
      </c>
      <c r="K111" s="19">
        <f t="shared" si="12"/>
        <v>0</v>
      </c>
      <c r="L111" s="19">
        <f t="shared" si="12"/>
        <v>0</v>
      </c>
      <c r="M111" s="19">
        <f t="shared" si="12"/>
        <v>25.959999999999997</v>
      </c>
      <c r="N111" s="19">
        <f t="shared" si="12"/>
        <v>25.959999999999997</v>
      </c>
      <c r="O111" s="19">
        <f t="shared" si="12"/>
        <v>325.90999999999997</v>
      </c>
      <c r="P111" s="19">
        <f t="shared" si="12"/>
        <v>0</v>
      </c>
      <c r="Q111" s="19">
        <f t="shared" si="12"/>
        <v>0</v>
      </c>
      <c r="R111" s="19">
        <f t="shared" si="12"/>
        <v>40.300000000000004</v>
      </c>
      <c r="S111" s="19">
        <f t="shared" si="12"/>
        <v>285.60999999999996</v>
      </c>
      <c r="T111" s="19">
        <f t="shared" si="12"/>
        <v>0</v>
      </c>
      <c r="U111" s="19">
        <f t="shared" si="12"/>
        <v>71</v>
      </c>
      <c r="V111" s="19">
        <f t="shared" si="12"/>
        <v>0</v>
      </c>
      <c r="W111" s="19">
        <f t="shared" si="12"/>
        <v>0</v>
      </c>
      <c r="X111" s="19">
        <f t="shared" si="12"/>
        <v>360.29999999999995</v>
      </c>
      <c r="Y111" s="19">
        <f t="shared" si="12"/>
        <v>0</v>
      </c>
      <c r="Z111" s="557">
        <f t="shared" si="12"/>
        <v>444.57</v>
      </c>
      <c r="AA111" s="19">
        <f t="shared" si="12"/>
        <v>444.57</v>
      </c>
      <c r="AB111" s="19">
        <f t="shared" si="12"/>
        <v>0</v>
      </c>
      <c r="AC111" s="19">
        <f t="shared" si="12"/>
        <v>0</v>
      </c>
      <c r="AD111" s="19">
        <f t="shared" si="12"/>
        <v>0</v>
      </c>
      <c r="AE111" s="19">
        <f t="shared" si="12"/>
        <v>0</v>
      </c>
      <c r="AF111" s="19">
        <f t="shared" si="12"/>
        <v>0</v>
      </c>
      <c r="AG111" s="19">
        <f t="shared" si="12"/>
        <v>0</v>
      </c>
      <c r="AH111" s="19">
        <f t="shared" si="12"/>
        <v>0</v>
      </c>
      <c r="AI111" s="19">
        <f t="shared" si="12"/>
        <v>0</v>
      </c>
      <c r="AJ111" s="19">
        <f t="shared" si="12"/>
        <v>444.57</v>
      </c>
      <c r="AK111" s="19">
        <f t="shared" si="12"/>
        <v>0</v>
      </c>
      <c r="AL111" s="19">
        <f t="shared" si="12"/>
        <v>0</v>
      </c>
      <c r="AM111" s="19">
        <f t="shared" si="12"/>
        <v>0</v>
      </c>
      <c r="AN111" s="19">
        <f t="shared" si="12"/>
        <v>0</v>
      </c>
      <c r="AO111" s="19">
        <f t="shared" ref="AO111:BT111" si="13">SUM(AO10:AO110)</f>
        <v>0</v>
      </c>
      <c r="AP111" s="19">
        <f t="shared" si="13"/>
        <v>0</v>
      </c>
      <c r="AQ111" s="19">
        <f t="shared" si="13"/>
        <v>0</v>
      </c>
      <c r="AR111" s="19">
        <f t="shared" si="13"/>
        <v>0</v>
      </c>
      <c r="AS111" s="19">
        <f t="shared" si="13"/>
        <v>0</v>
      </c>
      <c r="AT111" s="19">
        <f t="shared" si="13"/>
        <v>0</v>
      </c>
      <c r="AU111" s="19">
        <f t="shared" si="13"/>
        <v>280.66999999999996</v>
      </c>
      <c r="AV111" s="19">
        <f t="shared" si="13"/>
        <v>0</v>
      </c>
      <c r="AW111" s="19">
        <f t="shared" si="13"/>
        <v>0</v>
      </c>
      <c r="AX111" s="19">
        <f t="shared" si="13"/>
        <v>48.1</v>
      </c>
      <c r="AY111" s="19">
        <f t="shared" si="13"/>
        <v>0</v>
      </c>
      <c r="AZ111" s="19">
        <f t="shared" si="13"/>
        <v>112.5</v>
      </c>
      <c r="BA111" s="19">
        <f t="shared" si="13"/>
        <v>3.3000000000000003</v>
      </c>
      <c r="BB111" s="19">
        <f t="shared" si="13"/>
        <v>0</v>
      </c>
      <c r="BC111" s="19">
        <f t="shared" si="13"/>
        <v>189.79999999999998</v>
      </c>
      <c r="BD111" s="19">
        <f t="shared" si="13"/>
        <v>260.59999999999997</v>
      </c>
      <c r="BE111" s="557">
        <f t="shared" si="13"/>
        <v>1320.52</v>
      </c>
      <c r="BF111" s="557">
        <f t="shared" si="13"/>
        <v>1176.2075</v>
      </c>
      <c r="BG111" s="19">
        <f t="shared" si="13"/>
        <v>1176.2075</v>
      </c>
      <c r="BH111" s="19">
        <f t="shared" si="13"/>
        <v>1176.2075</v>
      </c>
      <c r="BI111" s="19">
        <f t="shared" si="13"/>
        <v>0</v>
      </c>
      <c r="BJ111" s="19">
        <f t="shared" si="13"/>
        <v>0</v>
      </c>
      <c r="BK111" s="19">
        <f t="shared" si="13"/>
        <v>0</v>
      </c>
      <c r="BL111" s="19">
        <f t="shared" si="13"/>
        <v>981.20749999999998</v>
      </c>
      <c r="BM111" s="19">
        <f t="shared" si="13"/>
        <v>0</v>
      </c>
      <c r="BN111" s="19">
        <f t="shared" si="13"/>
        <v>0</v>
      </c>
      <c r="BO111" s="19">
        <f t="shared" si="13"/>
        <v>0</v>
      </c>
      <c r="BP111" s="19">
        <f t="shared" si="13"/>
        <v>0</v>
      </c>
      <c r="BQ111" s="19">
        <f t="shared" si="13"/>
        <v>0</v>
      </c>
      <c r="BR111" s="19">
        <f t="shared" si="13"/>
        <v>194.99999999999994</v>
      </c>
      <c r="BS111" s="19">
        <f t="shared" si="13"/>
        <v>0</v>
      </c>
      <c r="BT111" s="19">
        <f t="shared" si="13"/>
        <v>0</v>
      </c>
      <c r="BU111" s="881">
        <f t="shared" ref="BU111:CE111" si="14">SUM(BU10:BU110)</f>
        <v>32.999999999999993</v>
      </c>
      <c r="BV111" s="881">
        <f t="shared" si="14"/>
        <v>19.8</v>
      </c>
      <c r="BW111" s="881">
        <f t="shared" si="14"/>
        <v>4.1999999999999993</v>
      </c>
      <c r="BX111" s="881">
        <f t="shared" si="14"/>
        <v>3.7800000000000002</v>
      </c>
      <c r="BY111" s="881">
        <f t="shared" si="14"/>
        <v>20.160000000000004</v>
      </c>
      <c r="BZ111" s="881">
        <f t="shared" si="14"/>
        <v>5.6</v>
      </c>
      <c r="CA111" s="881">
        <f t="shared" si="14"/>
        <v>7.2799999999999994</v>
      </c>
      <c r="CB111" s="881">
        <f t="shared" si="14"/>
        <v>0</v>
      </c>
      <c r="CC111" s="881">
        <f t="shared" si="14"/>
        <v>0</v>
      </c>
      <c r="CD111" s="881">
        <f t="shared" si="14"/>
        <v>0</v>
      </c>
      <c r="CE111" s="881">
        <f t="shared" si="14"/>
        <v>0</v>
      </c>
      <c r="CF111" s="881"/>
      <c r="CG111" s="881"/>
      <c r="CH111" s="881">
        <f>SUM(CH10:CH110)</f>
        <v>0</v>
      </c>
      <c r="CI111" s="881">
        <f>SUM(CI10:CI110)</f>
        <v>0</v>
      </c>
      <c r="CJ111" s="881">
        <f>SUM(CJ10:CJ110)</f>
        <v>0</v>
      </c>
      <c r="CK111" s="557"/>
      <c r="CL111" s="881">
        <f>SUM(CL10:CL110)</f>
        <v>43.35</v>
      </c>
      <c r="CM111" s="881">
        <f>SUM(CM10:CM110)</f>
        <v>3.0625</v>
      </c>
      <c r="CN111" s="881">
        <f>SUM(CN10:CN110)</f>
        <v>4.08</v>
      </c>
      <c r="CO111" s="881"/>
      <c r="CP111" s="881"/>
      <c r="CQ111" s="881">
        <f>SUM(CQ10:CQ110)</f>
        <v>0</v>
      </c>
      <c r="CR111" s="881">
        <f>SUM(CR10:CR110)</f>
        <v>0</v>
      </c>
      <c r="CS111" s="19">
        <f>SUM(CS10:CS110)</f>
        <v>0</v>
      </c>
      <c r="CT111" s="557"/>
    </row>
    <row r="112" spans="1:99" s="2" customFormat="1">
      <c r="A112" s="72"/>
      <c r="B112" s="66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926"/>
      <c r="N112" s="926"/>
      <c r="O112" s="926"/>
      <c r="P112" s="24"/>
      <c r="Q112" s="24"/>
      <c r="R112" s="926"/>
      <c r="S112" s="926"/>
      <c r="T112" s="24"/>
      <c r="U112" s="926"/>
      <c r="V112" s="24"/>
      <c r="W112" s="24"/>
      <c r="X112" s="926"/>
      <c r="Y112" s="24"/>
      <c r="Z112" s="24"/>
      <c r="AA112" s="926"/>
      <c r="AB112" s="24"/>
      <c r="AC112" s="24"/>
      <c r="AD112" s="24"/>
      <c r="AE112" s="24"/>
      <c r="AF112" s="24"/>
      <c r="AG112" s="24"/>
      <c r="AH112" s="24"/>
      <c r="AI112" s="946"/>
      <c r="AJ112" s="926"/>
      <c r="AK112" s="24"/>
      <c r="AL112" s="946"/>
      <c r="AM112" s="24"/>
      <c r="AN112" s="24"/>
      <c r="AO112" s="24"/>
      <c r="AP112" s="24"/>
      <c r="AQ112" s="24"/>
      <c r="AR112" s="24"/>
      <c r="AS112" s="24"/>
      <c r="AT112" s="24"/>
      <c r="AU112" s="926"/>
      <c r="AV112" s="24"/>
      <c r="AW112" s="24"/>
      <c r="AX112" s="926"/>
      <c r="AY112" s="24"/>
      <c r="AZ112" s="926"/>
      <c r="BA112" s="926"/>
      <c r="BB112" s="24"/>
      <c r="BC112" s="926"/>
      <c r="BD112" s="926"/>
      <c r="BE112" s="24"/>
      <c r="BF112" s="24"/>
      <c r="BG112" s="926"/>
      <c r="BH112" s="926"/>
      <c r="BI112" s="24"/>
      <c r="BJ112" s="24"/>
      <c r="BK112" s="24"/>
      <c r="BL112" s="926"/>
      <c r="BM112" s="24"/>
      <c r="BN112" s="24"/>
      <c r="BO112" s="24"/>
      <c r="BP112" s="24"/>
      <c r="BQ112" s="24"/>
      <c r="BR112" s="926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5"/>
    </row>
    <row r="113" spans="1:98" s="802" customFormat="1">
      <c r="A113" s="809"/>
      <c r="B113" s="810" t="s">
        <v>798</v>
      </c>
      <c r="C113" s="623"/>
      <c r="D113" s="557" t="s">
        <v>5</v>
      </c>
      <c r="E113" s="557" t="s">
        <v>4</v>
      </c>
      <c r="F113" s="122"/>
      <c r="G113" s="122"/>
      <c r="H113" s="122"/>
      <c r="I113" s="796"/>
      <c r="J113" s="122"/>
      <c r="K113" s="925">
        <v>188</v>
      </c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796"/>
      <c r="AA113" s="797"/>
      <c r="AB113" s="925">
        <v>11</v>
      </c>
      <c r="AC113" s="925">
        <v>190</v>
      </c>
      <c r="AD113" s="797"/>
      <c r="AE113" s="797"/>
      <c r="AF113" s="925">
        <v>196</v>
      </c>
      <c r="AG113" s="797"/>
      <c r="AH113" s="797"/>
      <c r="AI113" s="797"/>
      <c r="AJ113" s="122"/>
      <c r="AK113" s="797"/>
      <c r="AL113" s="797"/>
      <c r="AM113" s="797"/>
      <c r="AN113" s="797"/>
      <c r="AO113" s="797"/>
      <c r="AP113" s="797"/>
      <c r="AQ113" s="797"/>
      <c r="AR113" s="797"/>
      <c r="AS113" s="797"/>
      <c r="AT113" s="797"/>
      <c r="AU113" s="797"/>
      <c r="AV113" s="797"/>
      <c r="AW113" s="797"/>
      <c r="AX113" s="797"/>
      <c r="AY113" s="797"/>
      <c r="AZ113" s="797"/>
      <c r="BA113" s="122"/>
      <c r="BB113" s="122"/>
      <c r="BC113" s="122"/>
      <c r="BD113" s="122"/>
      <c r="BE113" s="796"/>
      <c r="BF113" s="798"/>
      <c r="BG113" s="798"/>
      <c r="BH113" s="420"/>
      <c r="BI113" s="420"/>
      <c r="BJ113" s="420"/>
      <c r="BK113" s="420"/>
      <c r="BL113" s="420"/>
      <c r="BM113" s="797"/>
      <c r="BN113" s="797"/>
      <c r="BO113" s="122"/>
      <c r="BP113" s="797"/>
      <c r="BQ113" s="925">
        <f>(1+1)*1.2</f>
        <v>2.4</v>
      </c>
      <c r="BR113" s="122"/>
      <c r="BS113" s="800"/>
      <c r="BT113" s="122"/>
      <c r="BU113" s="801"/>
      <c r="BV113" s="801"/>
      <c r="BW113" s="801"/>
      <c r="BX113" s="801"/>
      <c r="BY113" s="801"/>
      <c r="BZ113" s="801"/>
      <c r="CA113" s="801"/>
      <c r="CB113" s="801"/>
      <c r="CC113" s="801"/>
      <c r="CD113" s="801"/>
      <c r="CE113" s="801"/>
      <c r="CF113" s="801"/>
      <c r="CG113" s="801"/>
      <c r="CH113" s="801"/>
      <c r="CI113" s="928">
        <f>0.9*2.2*11</f>
        <v>21.78</v>
      </c>
      <c r="CJ113" s="801"/>
      <c r="CK113" s="799"/>
      <c r="CL113" s="801"/>
      <c r="CM113" s="801"/>
      <c r="CN113" s="801"/>
      <c r="CO113" s="801"/>
      <c r="CP113" s="801"/>
      <c r="CQ113" s="801"/>
      <c r="CR113" s="928">
        <f>0.9*1.35*3+0.85*1.35*5+0.9*1.45*9+1.8*1.8*1</f>
        <v>24.3675</v>
      </c>
      <c r="CS113" s="801"/>
      <c r="CT113" s="799"/>
    </row>
    <row r="114" spans="1:98" s="919" customFormat="1">
      <c r="A114" s="915"/>
      <c r="B114" s="916"/>
      <c r="C114" s="556"/>
      <c r="D114" s="917"/>
      <c r="E114" s="917"/>
      <c r="F114" s="797"/>
      <c r="G114" s="797"/>
      <c r="H114" s="797"/>
      <c r="I114" s="797"/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97"/>
      <c r="U114" s="797"/>
      <c r="V114" s="797"/>
      <c r="W114" s="797"/>
      <c r="X114" s="797"/>
      <c r="Y114" s="797"/>
      <c r="Z114" s="797"/>
      <c r="AA114" s="797"/>
      <c r="AB114" s="797"/>
      <c r="AC114" s="797"/>
      <c r="AD114" s="797"/>
      <c r="AE114" s="797"/>
      <c r="AF114" s="797"/>
      <c r="AG114" s="797"/>
      <c r="AH114" s="797"/>
      <c r="AI114" s="797"/>
      <c r="AJ114" s="797"/>
      <c r="AK114" s="797"/>
      <c r="AL114" s="797"/>
      <c r="AM114" s="797"/>
      <c r="AN114" s="797"/>
      <c r="AO114" s="797"/>
      <c r="AP114" s="797"/>
      <c r="AQ114" s="797"/>
      <c r="AR114" s="797"/>
      <c r="AS114" s="797"/>
      <c r="AT114" s="797"/>
      <c r="AU114" s="797"/>
      <c r="AV114" s="797"/>
      <c r="AW114" s="797"/>
      <c r="AX114" s="797"/>
      <c r="AY114" s="797"/>
      <c r="AZ114" s="797"/>
      <c r="BA114" s="797"/>
      <c r="BB114" s="797"/>
      <c r="BC114" s="797"/>
      <c r="BD114" s="797"/>
      <c r="BE114" s="797"/>
      <c r="BF114" s="798"/>
      <c r="BG114" s="798"/>
      <c r="BH114" s="420"/>
      <c r="BI114" s="420"/>
      <c r="BJ114" s="420"/>
      <c r="BK114" s="420"/>
      <c r="BL114" s="420"/>
      <c r="BM114" s="797"/>
      <c r="BN114" s="797"/>
      <c r="BO114" s="797"/>
      <c r="BP114" s="797"/>
      <c r="BQ114" s="797"/>
      <c r="BR114" s="797"/>
      <c r="BS114" s="918"/>
      <c r="BT114" s="797"/>
      <c r="BU114" s="798"/>
      <c r="BV114" s="798"/>
      <c r="BW114" s="798"/>
      <c r="BX114" s="798"/>
      <c r="BY114" s="798"/>
      <c r="BZ114" s="798"/>
      <c r="CA114" s="798"/>
      <c r="CB114" s="798"/>
      <c r="CC114" s="798"/>
      <c r="CD114" s="798"/>
      <c r="CE114" s="798"/>
      <c r="CF114" s="798"/>
      <c r="CG114" s="798"/>
      <c r="CH114" s="798"/>
      <c r="CI114" s="798"/>
      <c r="CJ114" s="798"/>
      <c r="CK114" s="798"/>
      <c r="CL114" s="798"/>
      <c r="CM114" s="798"/>
      <c r="CN114" s="798"/>
      <c r="CO114" s="798"/>
      <c r="CP114" s="798"/>
      <c r="CQ114" s="798"/>
      <c r="CR114" s="798"/>
      <c r="CS114" s="798"/>
      <c r="CT114" s="798"/>
    </row>
    <row r="115" spans="1:98" ht="52.5">
      <c r="A115" s="113"/>
      <c r="B115" s="652" t="s">
        <v>748</v>
      </c>
      <c r="C115" s="133" t="s">
        <v>756</v>
      </c>
      <c r="D115" s="133">
        <f>(12.8+0.15+3.3+0.15+3.1+0.15)* 2.8+ 3.4*2.8 + 6.25*2.8</f>
        <v>82.039999999999992</v>
      </c>
      <c r="E115" s="925">
        <f>(12.8+0.15+3.3+0.15+3.1+0.15)* 2.8*0.3+ 3.4*2.8*0.2 + 6.25*2.8*0.15</f>
        <v>21.034999999999997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398"/>
      <c r="BV115" s="398"/>
      <c r="BW115" s="398"/>
      <c r="BX115" s="398"/>
      <c r="BY115" s="398"/>
      <c r="BZ115" s="398"/>
      <c r="CA115" s="398"/>
      <c r="CB115" s="398"/>
      <c r="CC115" s="398"/>
      <c r="CD115" s="398"/>
      <c r="CE115" s="398"/>
      <c r="CF115" s="398"/>
      <c r="CG115" s="398"/>
      <c r="CH115" s="398"/>
      <c r="CI115" s="398"/>
      <c r="CJ115" s="398"/>
      <c r="CK115" s="398"/>
      <c r="CL115" s="398"/>
      <c r="CM115" s="398"/>
      <c r="CN115" s="398"/>
      <c r="CO115" s="398"/>
      <c r="CP115" s="398"/>
      <c r="CQ115" s="398"/>
      <c r="CR115" s="398"/>
      <c r="CS115" s="398"/>
      <c r="CT115" s="398"/>
    </row>
    <row r="116" spans="1:98" ht="31.5">
      <c r="A116" s="113"/>
      <c r="B116" s="652" t="s">
        <v>754</v>
      </c>
      <c r="C116" s="133" t="s">
        <v>755</v>
      </c>
      <c r="D116" s="133">
        <f>(1.7*1.7-0.85*1.4)*  (3+5+9+1)</f>
        <v>30.599999999999994</v>
      </c>
      <c r="E116" s="925">
        <f>(1.7*1.7-0.85*1.4)*  (3+5+9+1)*0.3</f>
        <v>9.1799999999999979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398"/>
      <c r="BV116" s="398"/>
      <c r="BW116" s="398"/>
      <c r="BX116" s="398"/>
      <c r="BY116" s="398"/>
      <c r="BZ116" s="398"/>
      <c r="CA116" s="398"/>
      <c r="CB116" s="398"/>
      <c r="CC116" s="398"/>
      <c r="CD116" s="398"/>
      <c r="CE116" s="398"/>
      <c r="CF116" s="398"/>
      <c r="CG116" s="398"/>
      <c r="CH116" s="398"/>
      <c r="CI116" s="398"/>
      <c r="CJ116" s="398"/>
      <c r="CK116" s="398"/>
      <c r="CL116" s="398"/>
      <c r="CM116" s="398"/>
      <c r="CN116" s="398"/>
      <c r="CO116" s="398"/>
      <c r="CP116" s="398"/>
      <c r="CQ116" s="398"/>
      <c r="CR116" s="398"/>
      <c r="CS116" s="398"/>
      <c r="CT116" s="398"/>
    </row>
    <row r="117" spans="1:98" ht="31.5">
      <c r="A117" s="113"/>
      <c r="B117" s="652" t="s">
        <v>750</v>
      </c>
      <c r="C117" s="133"/>
      <c r="D117" s="133"/>
      <c r="E117" s="925">
        <v>4</v>
      </c>
      <c r="F117" s="62" t="s">
        <v>2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8"/>
      <c r="CS117" s="398"/>
      <c r="CT117" s="398"/>
    </row>
    <row r="118" spans="1:98">
      <c r="A118" s="113"/>
      <c r="B118" s="652" t="s">
        <v>749</v>
      </c>
      <c r="C118" s="133"/>
      <c r="D118" s="133" t="s">
        <v>770</v>
      </c>
      <c r="E118" s="925">
        <f>8*1+1*2</f>
        <v>10</v>
      </c>
      <c r="F118" s="62" t="s">
        <v>1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398"/>
      <c r="BV118" s="398"/>
      <c r="BW118" s="398"/>
      <c r="BX118" s="398"/>
      <c r="BY118" s="398"/>
      <c r="BZ118" s="398"/>
      <c r="CA118" s="398"/>
      <c r="CB118" s="398"/>
      <c r="CC118" s="398"/>
      <c r="CD118" s="398"/>
      <c r="CE118" s="398"/>
      <c r="CF118" s="398"/>
      <c r="CG118" s="398"/>
      <c r="CH118" s="398"/>
      <c r="CI118" s="398"/>
      <c r="CJ118" s="398"/>
      <c r="CK118" s="398"/>
      <c r="CL118" s="398"/>
      <c r="CM118" s="398"/>
      <c r="CN118" s="398"/>
      <c r="CO118" s="398"/>
      <c r="CP118" s="398"/>
      <c r="CQ118" s="398"/>
      <c r="CR118" s="398"/>
      <c r="CS118" s="398"/>
      <c r="CT118" s="398"/>
    </row>
    <row r="119" spans="1:98" s="919" customFormat="1">
      <c r="A119" s="915"/>
      <c r="B119" s="916"/>
      <c r="C119" s="556"/>
      <c r="D119" s="917"/>
      <c r="E119" s="917"/>
      <c r="F119" s="797"/>
      <c r="G119" s="797"/>
      <c r="H119" s="797"/>
      <c r="I119" s="797"/>
      <c r="J119" s="797"/>
      <c r="K119" s="797"/>
      <c r="L119" s="797"/>
      <c r="M119" s="797"/>
      <c r="N119" s="797"/>
      <c r="O119" s="797"/>
      <c r="P119" s="797"/>
      <c r="Q119" s="797"/>
      <c r="R119" s="797"/>
      <c r="S119" s="797"/>
      <c r="T119" s="797"/>
      <c r="U119" s="797"/>
      <c r="V119" s="797"/>
      <c r="W119" s="797"/>
      <c r="X119" s="797"/>
      <c r="Y119" s="797"/>
      <c r="Z119" s="797"/>
      <c r="AA119" s="797"/>
      <c r="AB119" s="797"/>
      <c r="AC119" s="797"/>
      <c r="AD119" s="797"/>
      <c r="AE119" s="797"/>
      <c r="AF119" s="797"/>
      <c r="AG119" s="797"/>
      <c r="AH119" s="797"/>
      <c r="AI119" s="797"/>
      <c r="AJ119" s="797"/>
      <c r="AK119" s="797"/>
      <c r="AL119" s="797"/>
      <c r="AM119" s="797"/>
      <c r="AN119" s="797"/>
      <c r="AO119" s="797"/>
      <c r="AP119" s="797"/>
      <c r="AQ119" s="797"/>
      <c r="AR119" s="797"/>
      <c r="AS119" s="797"/>
      <c r="AT119" s="797"/>
      <c r="AU119" s="797"/>
      <c r="AV119" s="797"/>
      <c r="AW119" s="797"/>
      <c r="AX119" s="797"/>
      <c r="AY119" s="797"/>
      <c r="AZ119" s="797"/>
      <c r="BA119" s="797"/>
      <c r="BB119" s="797"/>
      <c r="BC119" s="797"/>
      <c r="BD119" s="797"/>
      <c r="BE119" s="797"/>
      <c r="BF119" s="798"/>
      <c r="BG119" s="798"/>
      <c r="BH119" s="420"/>
      <c r="BI119" s="420"/>
      <c r="BJ119" s="420"/>
      <c r="BK119" s="420"/>
      <c r="BL119" s="420"/>
      <c r="BM119" s="797"/>
      <c r="BN119" s="797"/>
      <c r="BO119" s="797"/>
      <c r="BP119" s="797"/>
      <c r="BQ119" s="797"/>
      <c r="BR119" s="797"/>
      <c r="BS119" s="918"/>
      <c r="BT119" s="797"/>
      <c r="BU119" s="798"/>
      <c r="BV119" s="798"/>
      <c r="BW119" s="798"/>
      <c r="BX119" s="798"/>
      <c r="BY119" s="798"/>
      <c r="BZ119" s="798"/>
      <c r="CA119" s="798"/>
      <c r="CB119" s="798"/>
      <c r="CC119" s="798"/>
      <c r="CD119" s="798"/>
      <c r="CE119" s="798"/>
      <c r="CF119" s="798"/>
      <c r="CG119" s="798"/>
      <c r="CH119" s="798"/>
      <c r="CI119" s="798"/>
      <c r="CJ119" s="798"/>
      <c r="CK119" s="798"/>
      <c r="CL119" s="798"/>
      <c r="CM119" s="798"/>
      <c r="CN119" s="798"/>
      <c r="CO119" s="798"/>
      <c r="CP119" s="798"/>
      <c r="CQ119" s="798"/>
      <c r="CR119" s="798"/>
      <c r="CS119" s="798"/>
      <c r="CT119" s="798"/>
    </row>
    <row r="120" spans="1:98" s="919" customFormat="1">
      <c r="A120" s="915"/>
      <c r="B120" s="916"/>
      <c r="C120" s="556"/>
      <c r="D120" s="917"/>
      <c r="E120" s="917"/>
      <c r="F120" s="797"/>
      <c r="G120" s="797"/>
      <c r="H120" s="797"/>
      <c r="I120" s="797"/>
      <c r="J120" s="797"/>
      <c r="K120" s="797"/>
      <c r="L120" s="797"/>
      <c r="M120" s="797"/>
      <c r="N120" s="797"/>
      <c r="O120" s="797"/>
      <c r="P120" s="797"/>
      <c r="Q120" s="797"/>
      <c r="R120" s="797"/>
      <c r="S120" s="797"/>
      <c r="T120" s="797"/>
      <c r="U120" s="797"/>
      <c r="V120" s="797"/>
      <c r="W120" s="797"/>
      <c r="X120" s="797"/>
      <c r="Y120" s="797"/>
      <c r="Z120" s="797"/>
      <c r="AA120" s="797"/>
      <c r="AB120" s="797"/>
      <c r="AC120" s="797"/>
      <c r="AD120" s="797"/>
      <c r="AE120" s="797"/>
      <c r="AF120" s="797"/>
      <c r="AG120" s="797"/>
      <c r="AH120" s="797"/>
      <c r="AI120" s="797"/>
      <c r="AJ120" s="797"/>
      <c r="AK120" s="797"/>
      <c r="AL120" s="797"/>
      <c r="AM120" s="797"/>
      <c r="AN120" s="797"/>
      <c r="AO120" s="797"/>
      <c r="AP120" s="797"/>
      <c r="AQ120" s="797"/>
      <c r="AR120" s="797"/>
      <c r="AS120" s="797"/>
      <c r="AT120" s="797"/>
      <c r="AU120" s="797"/>
      <c r="AV120" s="797"/>
      <c r="AW120" s="797"/>
      <c r="AX120" s="797"/>
      <c r="AY120" s="797"/>
      <c r="AZ120" s="797"/>
      <c r="BA120" s="797"/>
      <c r="BB120" s="797"/>
      <c r="BC120" s="797"/>
      <c r="BD120" s="797"/>
      <c r="BE120" s="797"/>
      <c r="BF120" s="798"/>
      <c r="BG120" s="798"/>
      <c r="BH120" s="420"/>
      <c r="BI120" s="420"/>
      <c r="BJ120" s="420"/>
      <c r="BK120" s="420"/>
      <c r="BL120" s="420"/>
      <c r="BM120" s="797"/>
      <c r="BN120" s="797"/>
      <c r="BO120" s="797"/>
      <c r="BP120" s="797"/>
      <c r="BQ120" s="797"/>
      <c r="BR120" s="797"/>
      <c r="BS120" s="918"/>
      <c r="BT120" s="797"/>
      <c r="BU120" s="798"/>
      <c r="BV120" s="798"/>
      <c r="BW120" s="798"/>
      <c r="BX120" s="798"/>
      <c r="BY120" s="798"/>
      <c r="BZ120" s="798"/>
      <c r="CA120" s="798"/>
      <c r="CB120" s="798"/>
      <c r="CC120" s="798"/>
      <c r="CD120" s="798"/>
      <c r="CE120" s="798"/>
      <c r="CF120" s="798"/>
      <c r="CG120" s="798"/>
      <c r="CH120" s="798"/>
      <c r="CI120" s="798"/>
      <c r="CJ120" s="798"/>
      <c r="CK120" s="798"/>
      <c r="CL120" s="798"/>
      <c r="CM120" s="798"/>
      <c r="CN120" s="798"/>
      <c r="CO120" s="798"/>
      <c r="CP120" s="798"/>
      <c r="CQ120" s="798"/>
      <c r="CR120" s="798"/>
      <c r="CS120" s="798"/>
      <c r="CT120" s="798"/>
    </row>
    <row r="121" spans="1:98" s="919" customFormat="1">
      <c r="A121" s="915"/>
      <c r="B121" s="916"/>
      <c r="C121" s="556"/>
      <c r="D121" s="917"/>
      <c r="E121" s="917"/>
      <c r="F121" s="797"/>
      <c r="G121" s="797"/>
      <c r="H121" s="797"/>
      <c r="I121" s="797"/>
      <c r="J121" s="797"/>
      <c r="K121" s="797"/>
      <c r="L121" s="797"/>
      <c r="M121" s="797"/>
      <c r="N121" s="797"/>
      <c r="O121" s="797"/>
      <c r="P121" s="797"/>
      <c r="Q121" s="797"/>
      <c r="R121" s="797"/>
      <c r="S121" s="797"/>
      <c r="T121" s="797"/>
      <c r="U121" s="797"/>
      <c r="V121" s="797"/>
      <c r="W121" s="797"/>
      <c r="X121" s="797"/>
      <c r="Y121" s="797"/>
      <c r="Z121" s="797"/>
      <c r="AA121" s="797"/>
      <c r="AB121" s="797"/>
      <c r="AC121" s="797"/>
      <c r="AD121" s="797"/>
      <c r="AE121" s="797"/>
      <c r="AF121" s="797"/>
      <c r="AG121" s="797"/>
      <c r="AH121" s="797"/>
      <c r="AI121" s="797"/>
      <c r="AJ121" s="797"/>
      <c r="AK121" s="797"/>
      <c r="AL121" s="797"/>
      <c r="AM121" s="797"/>
      <c r="AN121" s="797"/>
      <c r="AO121" s="797"/>
      <c r="AP121" s="797"/>
      <c r="AQ121" s="797"/>
      <c r="AR121" s="797"/>
      <c r="AS121" s="797"/>
      <c r="AT121" s="797"/>
      <c r="AU121" s="797"/>
      <c r="AV121" s="797"/>
      <c r="AW121" s="797"/>
      <c r="AX121" s="797"/>
      <c r="AY121" s="797"/>
      <c r="AZ121" s="797"/>
      <c r="BA121" s="797"/>
      <c r="BB121" s="797"/>
      <c r="BC121" s="797"/>
      <c r="BD121" s="797"/>
      <c r="BE121" s="797"/>
      <c r="BF121" s="798"/>
      <c r="BG121" s="798"/>
      <c r="BH121" s="420"/>
      <c r="BI121" s="420"/>
      <c r="BJ121" s="420"/>
      <c r="BK121" s="420"/>
      <c r="BL121" s="420"/>
      <c r="BM121" s="797"/>
      <c r="BN121" s="797"/>
      <c r="BO121" s="797"/>
      <c r="BP121" s="797"/>
      <c r="BQ121" s="797"/>
      <c r="BR121" s="797"/>
      <c r="BS121" s="918"/>
      <c r="BT121" s="797"/>
      <c r="BU121" s="798"/>
      <c r="BV121" s="798"/>
      <c r="BW121" s="798"/>
      <c r="BX121" s="798"/>
      <c r="BY121" s="798"/>
      <c r="BZ121" s="798"/>
      <c r="CA121" s="798"/>
      <c r="CB121" s="798"/>
      <c r="CC121" s="798"/>
      <c r="CD121" s="798"/>
      <c r="CE121" s="798"/>
      <c r="CF121" s="798"/>
      <c r="CG121" s="798"/>
      <c r="CH121" s="798"/>
      <c r="CI121" s="798"/>
      <c r="CJ121" s="798"/>
      <c r="CK121" s="798"/>
      <c r="CL121" s="798"/>
      <c r="CM121" s="798"/>
      <c r="CN121" s="798"/>
      <c r="CO121" s="798"/>
      <c r="CP121" s="798"/>
      <c r="CQ121" s="798"/>
      <c r="CR121" s="798"/>
      <c r="CS121" s="798"/>
      <c r="CT121" s="798"/>
    </row>
    <row r="122" spans="1:98" s="919" customFormat="1">
      <c r="A122" s="915"/>
      <c r="B122" s="916"/>
      <c r="C122" s="556"/>
      <c r="D122" s="917"/>
      <c r="E122" s="917"/>
      <c r="F122" s="797"/>
      <c r="G122" s="797"/>
      <c r="H122" s="797"/>
      <c r="I122" s="797"/>
      <c r="J122" s="797"/>
      <c r="K122" s="797"/>
      <c r="L122" s="797"/>
      <c r="M122" s="797"/>
      <c r="N122" s="797"/>
      <c r="O122" s="797"/>
      <c r="P122" s="797"/>
      <c r="Q122" s="797"/>
      <c r="R122" s="797"/>
      <c r="S122" s="797"/>
      <c r="T122" s="797"/>
      <c r="U122" s="797"/>
      <c r="V122" s="797"/>
      <c r="W122" s="797"/>
      <c r="X122" s="797"/>
      <c r="Y122" s="797"/>
      <c r="Z122" s="797"/>
      <c r="AA122" s="797"/>
      <c r="AB122" s="797"/>
      <c r="AC122" s="797"/>
      <c r="AD122" s="797"/>
      <c r="AE122" s="797"/>
      <c r="AF122" s="797"/>
      <c r="AG122" s="797"/>
      <c r="AH122" s="797"/>
      <c r="AI122" s="797"/>
      <c r="AJ122" s="797"/>
      <c r="AK122" s="797"/>
      <c r="AL122" s="797"/>
      <c r="AM122" s="797"/>
      <c r="AN122" s="797"/>
      <c r="AO122" s="797"/>
      <c r="AP122" s="797"/>
      <c r="AQ122" s="797"/>
      <c r="AR122" s="797"/>
      <c r="AS122" s="797"/>
      <c r="AT122" s="797"/>
      <c r="AU122" s="797"/>
      <c r="AV122" s="797"/>
      <c r="AW122" s="797"/>
      <c r="AX122" s="797"/>
      <c r="AY122" s="797"/>
      <c r="AZ122" s="797"/>
      <c r="BA122" s="797"/>
      <c r="BB122" s="797"/>
      <c r="BC122" s="797"/>
      <c r="BD122" s="797"/>
      <c r="BE122" s="797"/>
      <c r="BF122" s="798"/>
      <c r="BG122" s="798"/>
      <c r="BH122" s="420"/>
      <c r="BI122" s="420"/>
      <c r="BJ122" s="420"/>
      <c r="BK122" s="420"/>
      <c r="BL122" s="420"/>
      <c r="BM122" s="797"/>
      <c r="BN122" s="797"/>
      <c r="BO122" s="797"/>
      <c r="BP122" s="797"/>
      <c r="BQ122" s="797"/>
      <c r="BR122" s="797"/>
      <c r="BS122" s="918"/>
      <c r="BT122" s="797"/>
      <c r="BU122" s="798"/>
      <c r="BV122" s="798"/>
      <c r="BW122" s="798"/>
      <c r="BX122" s="798"/>
      <c r="BY122" s="798"/>
      <c r="BZ122" s="798"/>
      <c r="CA122" s="798"/>
      <c r="CB122" s="798"/>
      <c r="CC122" s="798"/>
      <c r="CD122" s="798"/>
      <c r="CE122" s="798"/>
      <c r="CF122" s="798"/>
      <c r="CG122" s="798"/>
      <c r="CH122" s="798"/>
      <c r="CI122" s="798"/>
      <c r="CJ122" s="798"/>
      <c r="CK122" s="798"/>
      <c r="CL122" s="798"/>
      <c r="CM122" s="798"/>
      <c r="CN122" s="798"/>
      <c r="CO122" s="798"/>
      <c r="CP122" s="798"/>
      <c r="CQ122" s="798"/>
      <c r="CR122" s="798"/>
      <c r="CS122" s="798"/>
      <c r="CT122" s="798"/>
    </row>
    <row r="123" spans="1:98" s="919" customFormat="1">
      <c r="A123" s="915"/>
      <c r="B123" s="916"/>
      <c r="C123" s="556"/>
      <c r="D123" s="917"/>
      <c r="E123" s="917"/>
      <c r="F123" s="797"/>
      <c r="G123" s="797"/>
      <c r="H123" s="797"/>
      <c r="I123" s="797"/>
      <c r="J123" s="797"/>
      <c r="K123" s="797"/>
      <c r="L123" s="797"/>
      <c r="M123" s="797"/>
      <c r="N123" s="797"/>
      <c r="O123" s="797"/>
      <c r="P123" s="797"/>
      <c r="Q123" s="797"/>
      <c r="R123" s="797"/>
      <c r="S123" s="797"/>
      <c r="T123" s="797"/>
      <c r="U123" s="797"/>
      <c r="V123" s="797"/>
      <c r="W123" s="797"/>
      <c r="X123" s="797"/>
      <c r="Y123" s="797"/>
      <c r="Z123" s="797"/>
      <c r="AA123" s="797"/>
      <c r="AB123" s="797"/>
      <c r="AC123" s="797"/>
      <c r="AD123" s="797"/>
      <c r="AE123" s="797"/>
      <c r="AF123" s="797"/>
      <c r="AG123" s="797"/>
      <c r="AH123" s="797"/>
      <c r="AI123" s="797"/>
      <c r="AJ123" s="797"/>
      <c r="AK123" s="797"/>
      <c r="AL123" s="797"/>
      <c r="AM123" s="797"/>
      <c r="AN123" s="797"/>
      <c r="AO123" s="797"/>
      <c r="AP123" s="797"/>
      <c r="AQ123" s="797"/>
      <c r="AR123" s="797"/>
      <c r="AS123" s="797"/>
      <c r="AT123" s="797"/>
      <c r="AU123" s="797"/>
      <c r="AV123" s="797"/>
      <c r="AW123" s="797"/>
      <c r="AX123" s="797"/>
      <c r="AY123" s="797"/>
      <c r="AZ123" s="797"/>
      <c r="BA123" s="797"/>
      <c r="BB123" s="797"/>
      <c r="BC123" s="797"/>
      <c r="BD123" s="797"/>
      <c r="BE123" s="797"/>
      <c r="BF123" s="798"/>
      <c r="BG123" s="798"/>
      <c r="BH123" s="420"/>
      <c r="BI123" s="420"/>
      <c r="BJ123" s="420"/>
      <c r="BK123" s="420"/>
      <c r="BL123" s="420"/>
      <c r="BM123" s="797"/>
      <c r="BN123" s="797"/>
      <c r="BO123" s="797"/>
      <c r="BP123" s="797"/>
      <c r="BQ123" s="797"/>
      <c r="BR123" s="797"/>
      <c r="BS123" s="918"/>
      <c r="BT123" s="797"/>
      <c r="BU123" s="798"/>
      <c r="BV123" s="798"/>
      <c r="BW123" s="798"/>
      <c r="BX123" s="798"/>
      <c r="BY123" s="798"/>
      <c r="BZ123" s="798"/>
      <c r="CA123" s="798"/>
      <c r="CB123" s="798"/>
      <c r="CC123" s="798"/>
      <c r="CD123" s="798"/>
      <c r="CE123" s="798"/>
      <c r="CF123" s="798"/>
      <c r="CG123" s="798"/>
      <c r="CH123" s="798"/>
      <c r="CI123" s="798"/>
      <c r="CJ123" s="798"/>
      <c r="CK123" s="798"/>
      <c r="CL123" s="798"/>
      <c r="CM123" s="798"/>
      <c r="CN123" s="798"/>
      <c r="CO123" s="798"/>
      <c r="CP123" s="798"/>
      <c r="CQ123" s="798"/>
      <c r="CR123" s="798"/>
      <c r="CS123" s="798"/>
      <c r="CT123" s="798"/>
    </row>
    <row r="124" spans="1:98" s="919" customFormat="1">
      <c r="A124" s="915"/>
      <c r="B124" s="916"/>
      <c r="C124" s="556"/>
      <c r="D124" s="917"/>
      <c r="E124" s="917"/>
      <c r="F124" s="797"/>
      <c r="G124" s="797"/>
      <c r="H124" s="797"/>
      <c r="I124" s="797"/>
      <c r="J124" s="797"/>
      <c r="K124" s="797"/>
      <c r="L124" s="797"/>
      <c r="M124" s="797"/>
      <c r="N124" s="797"/>
      <c r="O124" s="797"/>
      <c r="P124" s="797"/>
      <c r="Q124" s="797"/>
      <c r="R124" s="797"/>
      <c r="S124" s="797"/>
      <c r="T124" s="797"/>
      <c r="U124" s="797"/>
      <c r="V124" s="797"/>
      <c r="W124" s="797"/>
      <c r="X124" s="797"/>
      <c r="Y124" s="797"/>
      <c r="Z124" s="797"/>
      <c r="AA124" s="797"/>
      <c r="AB124" s="797"/>
      <c r="AC124" s="797"/>
      <c r="AD124" s="797"/>
      <c r="AE124" s="797"/>
      <c r="AF124" s="797"/>
      <c r="AG124" s="797"/>
      <c r="AH124" s="797"/>
      <c r="AI124" s="797"/>
      <c r="AJ124" s="797"/>
      <c r="AK124" s="797"/>
      <c r="AL124" s="797"/>
      <c r="AM124" s="797"/>
      <c r="AN124" s="797"/>
      <c r="AO124" s="797"/>
      <c r="AP124" s="797"/>
      <c r="AQ124" s="797"/>
      <c r="AR124" s="797"/>
      <c r="AS124" s="797"/>
      <c r="AT124" s="797"/>
      <c r="AU124" s="797"/>
      <c r="AV124" s="797"/>
      <c r="AW124" s="797"/>
      <c r="AX124" s="797"/>
      <c r="AY124" s="797"/>
      <c r="AZ124" s="797"/>
      <c r="BA124" s="797"/>
      <c r="BB124" s="797"/>
      <c r="BC124" s="797"/>
      <c r="BD124" s="797"/>
      <c r="BE124" s="797"/>
      <c r="BF124" s="798"/>
      <c r="BG124" s="798"/>
      <c r="BH124" s="420"/>
      <c r="BI124" s="420"/>
      <c r="BJ124" s="420"/>
      <c r="BK124" s="420"/>
      <c r="BL124" s="420"/>
      <c r="BM124" s="797"/>
      <c r="BN124" s="797"/>
      <c r="BO124" s="797"/>
      <c r="BP124" s="797"/>
      <c r="BQ124" s="797"/>
      <c r="BR124" s="797"/>
      <c r="BS124" s="918"/>
      <c r="BT124" s="797"/>
      <c r="BU124" s="798"/>
      <c r="BV124" s="798"/>
      <c r="BW124" s="798"/>
      <c r="BX124" s="798"/>
      <c r="BY124" s="798"/>
      <c r="BZ124" s="798"/>
      <c r="CA124" s="798"/>
      <c r="CB124" s="798"/>
      <c r="CC124" s="798"/>
      <c r="CD124" s="798"/>
      <c r="CE124" s="798"/>
      <c r="CF124" s="798"/>
      <c r="CG124" s="798"/>
      <c r="CH124" s="798"/>
      <c r="CI124" s="798"/>
      <c r="CJ124" s="798"/>
      <c r="CK124" s="798"/>
      <c r="CL124" s="798"/>
      <c r="CM124" s="798"/>
      <c r="CN124" s="798"/>
      <c r="CO124" s="798"/>
      <c r="CP124" s="798"/>
      <c r="CQ124" s="798"/>
      <c r="CR124" s="798"/>
      <c r="CS124" s="798"/>
      <c r="CT124" s="798"/>
    </row>
    <row r="125" spans="1:98" s="934" customFormat="1" ht="39" customHeight="1">
      <c r="A125" s="1240" t="s">
        <v>793</v>
      </c>
      <c r="B125" s="1240"/>
      <c r="C125" s="1240"/>
      <c r="D125" s="1240"/>
      <c r="E125" s="1240"/>
      <c r="F125" s="1240"/>
      <c r="G125" s="1240"/>
      <c r="H125" s="1241"/>
      <c r="I125" s="929"/>
      <c r="J125" s="929"/>
      <c r="K125" s="929"/>
      <c r="L125" s="929"/>
      <c r="M125" s="929"/>
      <c r="N125" s="929"/>
      <c r="O125" s="929"/>
      <c r="P125" s="929"/>
      <c r="Q125" s="929"/>
      <c r="R125" s="929"/>
      <c r="S125" s="929"/>
      <c r="T125" s="929"/>
      <c r="U125" s="929"/>
      <c r="V125" s="929"/>
      <c r="W125" s="929"/>
      <c r="X125" s="929"/>
      <c r="Y125" s="929"/>
      <c r="Z125" s="929"/>
      <c r="AA125" s="929"/>
      <c r="AB125" s="929"/>
      <c r="AC125" s="929"/>
      <c r="AD125" s="929"/>
      <c r="AE125" s="929"/>
      <c r="AF125" s="929"/>
      <c r="AG125" s="929"/>
      <c r="AH125" s="929"/>
      <c r="AI125" s="929"/>
      <c r="AJ125" s="929"/>
      <c r="AK125" s="929"/>
      <c r="AL125" s="929"/>
      <c r="AM125" s="929"/>
      <c r="AN125" s="929"/>
      <c r="AO125" s="929"/>
      <c r="AP125" s="929"/>
      <c r="AQ125" s="929"/>
      <c r="AR125" s="929"/>
      <c r="AS125" s="929"/>
      <c r="AT125" s="929"/>
      <c r="AU125" s="929"/>
      <c r="AV125" s="929"/>
      <c r="AW125" s="929"/>
      <c r="AX125" s="929"/>
      <c r="AY125" s="929"/>
      <c r="AZ125" s="929"/>
      <c r="BA125" s="929"/>
      <c r="BB125" s="929"/>
      <c r="BC125" s="929"/>
      <c r="BD125" s="929"/>
      <c r="BE125" s="929"/>
      <c r="BF125" s="930"/>
      <c r="BG125" s="930"/>
      <c r="BH125" s="930"/>
      <c r="BI125" s="930"/>
      <c r="BJ125" s="930"/>
      <c r="BK125" s="930"/>
      <c r="BL125" s="930"/>
      <c r="BM125" s="930"/>
      <c r="BN125" s="930"/>
      <c r="BO125" s="930"/>
      <c r="BP125" s="930"/>
      <c r="BQ125" s="930"/>
      <c r="BR125" s="930"/>
      <c r="BS125" s="931"/>
      <c r="BT125" s="930"/>
      <c r="BU125" s="932"/>
      <c r="BV125" s="932"/>
      <c r="BW125" s="932"/>
      <c r="BX125" s="932"/>
      <c r="BY125" s="932"/>
      <c r="BZ125" s="932"/>
      <c r="CA125" s="932"/>
      <c r="CB125" s="932"/>
      <c r="CC125" s="932"/>
      <c r="CD125" s="932"/>
      <c r="CE125" s="932"/>
      <c r="CF125" s="932"/>
      <c r="CG125" s="932"/>
      <c r="CH125" s="932"/>
      <c r="CI125" s="932"/>
      <c r="CJ125" s="932"/>
      <c r="CK125" s="933"/>
      <c r="CL125" s="932"/>
      <c r="CM125" s="932"/>
      <c r="CN125" s="932"/>
      <c r="CO125" s="932"/>
      <c r="CP125" s="932"/>
      <c r="CQ125" s="932"/>
      <c r="CR125" s="932"/>
      <c r="CS125" s="932"/>
      <c r="CT125" s="933"/>
    </row>
    <row r="126" spans="1:98" s="642" customFormat="1" ht="21">
      <c r="A126" s="637"/>
      <c r="B126" s="847" t="s">
        <v>810</v>
      </c>
      <c r="C126" s="651" t="s">
        <v>811</v>
      </c>
      <c r="D126" s="651">
        <f>4.2*4.8</f>
        <v>20.16</v>
      </c>
      <c r="E126" s="651">
        <f>(4.2+4.8)*2</f>
        <v>18</v>
      </c>
      <c r="F126" s="114"/>
      <c r="G126" s="114"/>
      <c r="H126" s="114"/>
      <c r="I126" s="88">
        <f>4.2*4.8</f>
        <v>20.16</v>
      </c>
      <c r="J126" s="556"/>
      <c r="K126" s="556"/>
      <c r="L126" s="556"/>
      <c r="M126" s="556"/>
      <c r="N126" s="556"/>
      <c r="O126" s="651">
        <f>4.2*4.8</f>
        <v>20.16</v>
      </c>
      <c r="P126" s="845"/>
      <c r="Q126" s="845"/>
      <c r="R126" s="845"/>
      <c r="S126" s="651">
        <f>4.2*4.8</f>
        <v>20.16</v>
      </c>
      <c r="T126" s="846"/>
      <c r="U126" s="846"/>
      <c r="V126" s="846"/>
      <c r="W126" s="846"/>
      <c r="X126" s="651">
        <f>(4.2+4.8)*2</f>
        <v>18</v>
      </c>
      <c r="Y126" s="114"/>
      <c r="Z126" s="88">
        <f>4.2*4.8</f>
        <v>20.16</v>
      </c>
      <c r="AA126" s="133">
        <f>4.2*4.8</f>
        <v>20.16</v>
      </c>
      <c r="AB126" s="114"/>
      <c r="AC126" s="114"/>
      <c r="AD126" s="114"/>
      <c r="AE126" s="114"/>
      <c r="AF126" s="114"/>
      <c r="AG126" s="114"/>
      <c r="AH126" s="114"/>
      <c r="AI126" s="114"/>
      <c r="AJ126" s="133">
        <f>4.2*4.8</f>
        <v>20.16</v>
      </c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>
        <f>4.2*4.8</f>
        <v>20.16</v>
      </c>
      <c r="AV126" s="133"/>
      <c r="AW126" s="133"/>
      <c r="AX126" s="133"/>
      <c r="AY126" s="133"/>
      <c r="AZ126" s="133"/>
      <c r="BA126" s="114"/>
      <c r="BB126" s="114"/>
      <c r="BC126" s="133"/>
      <c r="BD126" s="133">
        <f>(4.2+4.8)*2</f>
        <v>18</v>
      </c>
      <c r="BE126" s="88">
        <f>(4.2+4.8)*2*2.8</f>
        <v>50.4</v>
      </c>
      <c r="BF126" s="421">
        <f>BE126-CK126-CT126</f>
        <v>50.4</v>
      </c>
      <c r="BG126" s="421">
        <f>BF126</f>
        <v>50.4</v>
      </c>
      <c r="BH126" s="49">
        <f>BF126</f>
        <v>50.4</v>
      </c>
      <c r="BI126" s="49"/>
      <c r="BJ126" s="49"/>
      <c r="BK126" s="49"/>
      <c r="BL126" s="49">
        <f>BF126-BR126</f>
        <v>50.4</v>
      </c>
      <c r="BM126" s="114"/>
      <c r="BN126" s="114"/>
      <c r="BO126" s="114"/>
      <c r="BP126" s="114"/>
      <c r="BQ126" s="114"/>
      <c r="BR126" s="114"/>
      <c r="BS126" s="114"/>
      <c r="BT126" s="114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>
        <f>1*CG80</f>
        <v>0</v>
      </c>
      <c r="CH126" s="46"/>
      <c r="CI126" s="46"/>
      <c r="CJ126" s="46"/>
      <c r="CK126" s="502">
        <f>SUM(BU126:CJ126)</f>
        <v>0</v>
      </c>
      <c r="CL126" s="46"/>
      <c r="CM126" s="46"/>
      <c r="CN126" s="46"/>
      <c r="CO126" s="46"/>
      <c r="CP126" s="46"/>
      <c r="CQ126" s="46">
        <f>1*CQ80</f>
        <v>0</v>
      </c>
      <c r="CR126" s="46"/>
      <c r="CS126" s="46"/>
      <c r="CT126" s="502">
        <f>SUM(CL126:CS126)</f>
        <v>0</v>
      </c>
    </row>
    <row r="127" spans="1:98" s="642" customFormat="1" ht="19.5">
      <c r="A127" s="637"/>
      <c r="B127" s="650"/>
      <c r="C127" s="114"/>
      <c r="D127" s="133"/>
      <c r="E127" s="133"/>
      <c r="F127" s="114"/>
      <c r="G127" s="114"/>
      <c r="H127" s="114"/>
      <c r="I127" s="88"/>
      <c r="J127" s="556"/>
      <c r="K127" s="556"/>
      <c r="L127" s="556"/>
      <c r="M127" s="556"/>
      <c r="N127" s="556"/>
      <c r="O127" s="556"/>
      <c r="P127" s="556"/>
      <c r="Q127" s="556"/>
      <c r="R127" s="556"/>
      <c r="S127" s="114"/>
      <c r="T127" s="114"/>
      <c r="U127" s="114"/>
      <c r="V127" s="114"/>
      <c r="W127" s="114"/>
      <c r="X127" s="114"/>
      <c r="Y127" s="114"/>
      <c r="Z127" s="88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14"/>
      <c r="BB127" s="114"/>
      <c r="BC127" s="133"/>
      <c r="BD127" s="114"/>
      <c r="BE127" s="88"/>
      <c r="BF127" s="421">
        <f>BE127-CK127-CT127</f>
        <v>0</v>
      </c>
      <c r="BG127" s="421">
        <f>BF127</f>
        <v>0</v>
      </c>
      <c r="BH127" s="49">
        <f>BF127</f>
        <v>0</v>
      </c>
      <c r="BI127" s="49"/>
      <c r="BJ127" s="49"/>
      <c r="BK127" s="49"/>
      <c r="BL127" s="49">
        <f>BF127-BR127</f>
        <v>0</v>
      </c>
      <c r="BM127" s="114"/>
      <c r="BN127" s="114"/>
      <c r="BO127" s="114"/>
      <c r="BP127" s="114"/>
      <c r="BQ127" s="114"/>
      <c r="BR127" s="114"/>
      <c r="BS127" s="114"/>
      <c r="BT127" s="114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502">
        <f>SUM(BU127:CJ127)</f>
        <v>0</v>
      </c>
      <c r="CL127" s="46"/>
      <c r="CM127" s="46"/>
      <c r="CN127" s="46"/>
      <c r="CO127" s="46"/>
      <c r="CP127" s="46"/>
      <c r="CQ127" s="46"/>
      <c r="CR127" s="46"/>
      <c r="CS127" s="46"/>
      <c r="CT127" s="502">
        <f>SUM(CL127:CS127)</f>
        <v>0</v>
      </c>
    </row>
    <row r="128" spans="1:98" s="642" customFormat="1" ht="19.5">
      <c r="A128" s="637"/>
      <c r="B128" s="650"/>
      <c r="C128" s="114"/>
      <c r="D128" s="133"/>
      <c r="E128" s="133"/>
      <c r="F128" s="114"/>
      <c r="G128" s="114"/>
      <c r="H128" s="114"/>
      <c r="I128" s="88"/>
      <c r="J128" s="556"/>
      <c r="K128" s="556"/>
      <c r="L128" s="556"/>
      <c r="M128" s="556"/>
      <c r="N128" s="556"/>
      <c r="O128" s="556"/>
      <c r="P128" s="556"/>
      <c r="Q128" s="556"/>
      <c r="R128" s="556"/>
      <c r="S128" s="114"/>
      <c r="T128" s="114"/>
      <c r="U128" s="114"/>
      <c r="V128" s="114"/>
      <c r="W128" s="114"/>
      <c r="X128" s="114"/>
      <c r="Y128" s="114"/>
      <c r="Z128" s="88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14"/>
      <c r="BB128" s="114"/>
      <c r="BC128" s="133"/>
      <c r="BD128" s="114"/>
      <c r="BE128" s="88"/>
      <c r="BF128" s="421">
        <f>BE128-CK128-CT128</f>
        <v>0</v>
      </c>
      <c r="BG128" s="421">
        <f>BF128</f>
        <v>0</v>
      </c>
      <c r="BH128" s="49">
        <f>BF128</f>
        <v>0</v>
      </c>
      <c r="BI128" s="49"/>
      <c r="BJ128" s="49"/>
      <c r="BK128" s="49"/>
      <c r="BL128" s="49">
        <f>BF128-BR128</f>
        <v>0</v>
      </c>
      <c r="BM128" s="114"/>
      <c r="BN128" s="114"/>
      <c r="BO128" s="114"/>
      <c r="BP128" s="114"/>
      <c r="BQ128" s="114"/>
      <c r="BR128" s="114"/>
      <c r="BS128" s="114"/>
      <c r="BT128" s="114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502">
        <f>SUM(BU128:CJ128)</f>
        <v>0</v>
      </c>
      <c r="CL128" s="46"/>
      <c r="CM128" s="46"/>
      <c r="CN128" s="46"/>
      <c r="CO128" s="46"/>
      <c r="CP128" s="46"/>
      <c r="CQ128" s="46"/>
      <c r="CR128" s="46"/>
      <c r="CS128" s="46"/>
      <c r="CT128" s="502">
        <f>SUM(CL128:CS128)</f>
        <v>0</v>
      </c>
    </row>
    <row r="129" spans="1:98" s="919" customFormat="1">
      <c r="A129" s="915"/>
      <c r="B129" s="916"/>
      <c r="C129" s="556"/>
      <c r="D129" s="917"/>
      <c r="E129" s="917"/>
      <c r="F129" s="797"/>
      <c r="G129" s="797"/>
      <c r="H129" s="797"/>
      <c r="I129" s="797"/>
      <c r="J129" s="797"/>
      <c r="K129" s="797"/>
      <c r="L129" s="797"/>
      <c r="M129" s="797"/>
      <c r="N129" s="797"/>
      <c r="O129" s="797"/>
      <c r="P129" s="797"/>
      <c r="Q129" s="797"/>
      <c r="R129" s="797"/>
      <c r="S129" s="797"/>
      <c r="T129" s="797"/>
      <c r="U129" s="797"/>
      <c r="V129" s="797"/>
      <c r="W129" s="797"/>
      <c r="X129" s="797"/>
      <c r="Y129" s="797"/>
      <c r="Z129" s="797"/>
      <c r="AA129" s="797"/>
      <c r="AB129" s="797"/>
      <c r="AC129" s="797"/>
      <c r="AD129" s="797"/>
      <c r="AE129" s="797"/>
      <c r="AF129" s="797"/>
      <c r="AG129" s="797"/>
      <c r="AH129" s="797"/>
      <c r="AI129" s="797"/>
      <c r="AJ129" s="797"/>
      <c r="AK129" s="797"/>
      <c r="AL129" s="797"/>
      <c r="AM129" s="797"/>
      <c r="AN129" s="797"/>
      <c r="AO129" s="797"/>
      <c r="AP129" s="797"/>
      <c r="AQ129" s="797"/>
      <c r="AR129" s="797"/>
      <c r="AS129" s="797"/>
      <c r="AT129" s="797"/>
      <c r="AU129" s="797"/>
      <c r="AV129" s="797"/>
      <c r="AW129" s="797"/>
      <c r="AX129" s="797"/>
      <c r="AY129" s="797"/>
      <c r="AZ129" s="797"/>
      <c r="BA129" s="797"/>
      <c r="BB129" s="797"/>
      <c r="BC129" s="797"/>
      <c r="BD129" s="797"/>
      <c r="BE129" s="797"/>
      <c r="BF129" s="798"/>
      <c r="BG129" s="798"/>
      <c r="BH129" s="420"/>
      <c r="BI129" s="420"/>
      <c r="BJ129" s="420"/>
      <c r="BK129" s="420"/>
      <c r="BL129" s="420"/>
      <c r="BM129" s="797"/>
      <c r="BN129" s="797"/>
      <c r="BO129" s="797"/>
      <c r="BP129" s="797"/>
      <c r="BQ129" s="797"/>
      <c r="BR129" s="797"/>
      <c r="BS129" s="918"/>
      <c r="BT129" s="797"/>
      <c r="BU129" s="798"/>
      <c r="BV129" s="798"/>
      <c r="BW129" s="798"/>
      <c r="BX129" s="798"/>
      <c r="BY129" s="798"/>
      <c r="BZ129" s="798"/>
      <c r="CA129" s="798"/>
      <c r="CB129" s="798"/>
      <c r="CC129" s="798"/>
      <c r="CD129" s="798"/>
      <c r="CE129" s="798"/>
      <c r="CF129" s="798"/>
      <c r="CG129" s="798"/>
      <c r="CH129" s="798"/>
      <c r="CI129" s="798"/>
      <c r="CJ129" s="798"/>
      <c r="CK129" s="798"/>
      <c r="CL129" s="798"/>
      <c r="CM129" s="798"/>
      <c r="CN129" s="798"/>
      <c r="CO129" s="798"/>
      <c r="CP129" s="798"/>
      <c r="CQ129" s="798"/>
      <c r="CR129" s="798"/>
      <c r="CS129" s="798"/>
      <c r="CT129" s="798"/>
    </row>
    <row r="130" spans="1:98" s="25" customFormat="1" ht="52.5" customHeight="1">
      <c r="A130" s="71"/>
      <c r="B130" s="65"/>
      <c r="C130" s="20"/>
      <c r="D130" s="20"/>
      <c r="E130" s="20"/>
      <c r="F130" s="20"/>
      <c r="G130" s="20"/>
      <c r="H130" s="20"/>
      <c r="I130" s="557">
        <f t="shared" ref="I130:AN130" si="15">SUM(I126:I129)</f>
        <v>20.16</v>
      </c>
      <c r="J130" s="19">
        <f t="shared" si="15"/>
        <v>0</v>
      </c>
      <c r="K130" s="19">
        <f t="shared" si="15"/>
        <v>0</v>
      </c>
      <c r="L130" s="19">
        <f t="shared" si="15"/>
        <v>0</v>
      </c>
      <c r="M130" s="19">
        <f t="shared" si="15"/>
        <v>0</v>
      </c>
      <c r="N130" s="19">
        <f t="shared" si="15"/>
        <v>0</v>
      </c>
      <c r="O130" s="19">
        <f t="shared" si="15"/>
        <v>20.16</v>
      </c>
      <c r="P130" s="19">
        <f t="shared" si="15"/>
        <v>0</v>
      </c>
      <c r="Q130" s="19">
        <f t="shared" si="15"/>
        <v>0</v>
      </c>
      <c r="R130" s="19">
        <f t="shared" si="15"/>
        <v>0</v>
      </c>
      <c r="S130" s="19">
        <f t="shared" si="15"/>
        <v>20.16</v>
      </c>
      <c r="T130" s="19">
        <f t="shared" si="15"/>
        <v>0</v>
      </c>
      <c r="U130" s="19">
        <f t="shared" si="15"/>
        <v>0</v>
      </c>
      <c r="V130" s="19">
        <f t="shared" si="15"/>
        <v>0</v>
      </c>
      <c r="W130" s="19">
        <f t="shared" si="15"/>
        <v>0</v>
      </c>
      <c r="X130" s="19">
        <f t="shared" si="15"/>
        <v>18</v>
      </c>
      <c r="Y130" s="19">
        <f t="shared" si="15"/>
        <v>0</v>
      </c>
      <c r="Z130" s="557">
        <f t="shared" si="15"/>
        <v>20.16</v>
      </c>
      <c r="AA130" s="19">
        <f t="shared" si="15"/>
        <v>20.16</v>
      </c>
      <c r="AB130" s="19">
        <f t="shared" si="15"/>
        <v>0</v>
      </c>
      <c r="AC130" s="19">
        <f t="shared" si="15"/>
        <v>0</v>
      </c>
      <c r="AD130" s="19">
        <f t="shared" si="15"/>
        <v>0</v>
      </c>
      <c r="AE130" s="19">
        <f t="shared" si="15"/>
        <v>0</v>
      </c>
      <c r="AF130" s="19">
        <f t="shared" si="15"/>
        <v>0</v>
      </c>
      <c r="AG130" s="19">
        <f t="shared" si="15"/>
        <v>0</v>
      </c>
      <c r="AH130" s="19">
        <f t="shared" si="15"/>
        <v>0</v>
      </c>
      <c r="AI130" s="19">
        <f t="shared" si="15"/>
        <v>0</v>
      </c>
      <c r="AJ130" s="19">
        <f t="shared" si="15"/>
        <v>20.16</v>
      </c>
      <c r="AK130" s="19">
        <f t="shared" si="15"/>
        <v>0</v>
      </c>
      <c r="AL130" s="19">
        <f t="shared" si="15"/>
        <v>0</v>
      </c>
      <c r="AM130" s="19">
        <f t="shared" si="15"/>
        <v>0</v>
      </c>
      <c r="AN130" s="19">
        <f t="shared" si="15"/>
        <v>0</v>
      </c>
      <c r="AO130" s="19">
        <f t="shared" ref="AO130:BT130" si="16">SUM(AO126:AO129)</f>
        <v>0</v>
      </c>
      <c r="AP130" s="19">
        <f t="shared" si="16"/>
        <v>0</v>
      </c>
      <c r="AQ130" s="19">
        <f t="shared" si="16"/>
        <v>0</v>
      </c>
      <c r="AR130" s="19">
        <f t="shared" si="16"/>
        <v>0</v>
      </c>
      <c r="AS130" s="19">
        <f t="shared" si="16"/>
        <v>0</v>
      </c>
      <c r="AT130" s="19">
        <f t="shared" si="16"/>
        <v>0</v>
      </c>
      <c r="AU130" s="19">
        <f t="shared" si="16"/>
        <v>20.16</v>
      </c>
      <c r="AV130" s="19">
        <f t="shared" si="16"/>
        <v>0</v>
      </c>
      <c r="AW130" s="19">
        <f t="shared" si="16"/>
        <v>0</v>
      </c>
      <c r="AX130" s="19">
        <f t="shared" si="16"/>
        <v>0</v>
      </c>
      <c r="AY130" s="19">
        <f t="shared" si="16"/>
        <v>0</v>
      </c>
      <c r="AZ130" s="19">
        <f t="shared" si="16"/>
        <v>0</v>
      </c>
      <c r="BA130" s="19">
        <f t="shared" si="16"/>
        <v>0</v>
      </c>
      <c r="BB130" s="19">
        <f t="shared" si="16"/>
        <v>0</v>
      </c>
      <c r="BC130" s="19">
        <f t="shared" si="16"/>
        <v>0</v>
      </c>
      <c r="BD130" s="19">
        <f t="shared" si="16"/>
        <v>18</v>
      </c>
      <c r="BE130" s="557">
        <f t="shared" si="16"/>
        <v>50.4</v>
      </c>
      <c r="BF130" s="557">
        <f t="shared" si="16"/>
        <v>50.4</v>
      </c>
      <c r="BG130" s="19">
        <f t="shared" si="16"/>
        <v>50.4</v>
      </c>
      <c r="BH130" s="19">
        <f t="shared" si="16"/>
        <v>50.4</v>
      </c>
      <c r="BI130" s="19">
        <f t="shared" si="16"/>
        <v>0</v>
      </c>
      <c r="BJ130" s="19">
        <f t="shared" si="16"/>
        <v>0</v>
      </c>
      <c r="BK130" s="19">
        <f t="shared" si="16"/>
        <v>0</v>
      </c>
      <c r="BL130" s="19">
        <f t="shared" si="16"/>
        <v>50.4</v>
      </c>
      <c r="BM130" s="19">
        <f t="shared" si="16"/>
        <v>0</v>
      </c>
      <c r="BN130" s="19">
        <f t="shared" si="16"/>
        <v>0</v>
      </c>
      <c r="BO130" s="19">
        <f t="shared" si="16"/>
        <v>0</v>
      </c>
      <c r="BP130" s="19">
        <f t="shared" si="16"/>
        <v>0</v>
      </c>
      <c r="BQ130" s="19">
        <f t="shared" si="16"/>
        <v>0</v>
      </c>
      <c r="BR130" s="19">
        <f t="shared" si="16"/>
        <v>0</v>
      </c>
      <c r="BS130" s="19">
        <f t="shared" si="16"/>
        <v>0</v>
      </c>
      <c r="BT130" s="19">
        <f t="shared" si="16"/>
        <v>0</v>
      </c>
      <c r="BU130" s="881">
        <f t="shared" ref="BU130:CJ130" si="17">SUM(BU126:BU129)</f>
        <v>0</v>
      </c>
      <c r="BV130" s="881">
        <f t="shared" si="17"/>
        <v>0</v>
      </c>
      <c r="BW130" s="881">
        <f t="shared" si="17"/>
        <v>0</v>
      </c>
      <c r="BX130" s="881">
        <f t="shared" si="17"/>
        <v>0</v>
      </c>
      <c r="BY130" s="881">
        <f t="shared" si="17"/>
        <v>0</v>
      </c>
      <c r="BZ130" s="881">
        <f t="shared" si="17"/>
        <v>0</v>
      </c>
      <c r="CA130" s="881">
        <f t="shared" si="17"/>
        <v>0</v>
      </c>
      <c r="CB130" s="881">
        <f t="shared" si="17"/>
        <v>0</v>
      </c>
      <c r="CC130" s="881">
        <f t="shared" si="17"/>
        <v>0</v>
      </c>
      <c r="CD130" s="881">
        <f t="shared" si="17"/>
        <v>0</v>
      </c>
      <c r="CE130" s="881">
        <f t="shared" si="17"/>
        <v>0</v>
      </c>
      <c r="CF130" s="881">
        <f t="shared" si="17"/>
        <v>0</v>
      </c>
      <c r="CG130" s="881">
        <f t="shared" si="17"/>
        <v>0</v>
      </c>
      <c r="CH130" s="881">
        <f t="shared" si="17"/>
        <v>0</v>
      </c>
      <c r="CI130" s="881">
        <f t="shared" si="17"/>
        <v>0</v>
      </c>
      <c r="CJ130" s="881">
        <f t="shared" si="17"/>
        <v>0</v>
      </c>
      <c r="CK130" s="557"/>
      <c r="CL130" s="881">
        <f t="shared" ref="CL130:CS130" si="18">SUM(CL126:CL129)</f>
        <v>0</v>
      </c>
      <c r="CM130" s="881">
        <f t="shared" si="18"/>
        <v>0</v>
      </c>
      <c r="CN130" s="881">
        <f t="shared" si="18"/>
        <v>0</v>
      </c>
      <c r="CO130" s="881">
        <f t="shared" si="18"/>
        <v>0</v>
      </c>
      <c r="CP130" s="881">
        <f t="shared" si="18"/>
        <v>0</v>
      </c>
      <c r="CQ130" s="881">
        <f t="shared" si="18"/>
        <v>0</v>
      </c>
      <c r="CR130" s="881">
        <f t="shared" si="18"/>
        <v>0</v>
      </c>
      <c r="CS130" s="19">
        <f t="shared" si="18"/>
        <v>0</v>
      </c>
      <c r="CT130" s="557"/>
    </row>
    <row r="131" spans="1:98" s="919" customFormat="1">
      <c r="A131" s="915"/>
      <c r="B131" s="916"/>
      <c r="C131" s="556"/>
      <c r="D131" s="917"/>
      <c r="E131" s="917"/>
      <c r="F131" s="797"/>
      <c r="G131" s="797"/>
      <c r="H131" s="797"/>
      <c r="I131" s="797"/>
      <c r="J131" s="797"/>
      <c r="K131" s="924"/>
      <c r="L131" s="797"/>
      <c r="M131" s="797"/>
      <c r="N131" s="924"/>
      <c r="O131" s="924"/>
      <c r="P131" s="797"/>
      <c r="Q131" s="797"/>
      <c r="R131" s="924"/>
      <c r="S131" s="924"/>
      <c r="T131" s="797"/>
      <c r="U131" s="924"/>
      <c r="V131" s="797"/>
      <c r="W131" s="797"/>
      <c r="X131" s="924"/>
      <c r="Y131" s="797"/>
      <c r="Z131" s="797"/>
      <c r="AA131" s="924"/>
      <c r="AB131" s="924"/>
      <c r="AC131" s="924"/>
      <c r="AD131" s="797"/>
      <c r="AE131" s="797"/>
      <c r="AF131" s="924"/>
      <c r="AG131" s="797"/>
      <c r="AH131" s="797"/>
      <c r="AI131" s="797"/>
      <c r="AJ131" s="924"/>
      <c r="AK131" s="797"/>
      <c r="AL131" s="797"/>
      <c r="AM131" s="797"/>
      <c r="AN131" s="797"/>
      <c r="AO131" s="797"/>
      <c r="AP131" s="797"/>
      <c r="AQ131" s="797"/>
      <c r="AR131" s="797"/>
      <c r="AS131" s="797"/>
      <c r="AT131" s="797"/>
      <c r="AU131" s="924"/>
      <c r="AV131" s="797"/>
      <c r="AW131" s="797"/>
      <c r="AX131" s="924"/>
      <c r="AY131" s="797"/>
      <c r="AZ131" s="924"/>
      <c r="BA131" s="924"/>
      <c r="BB131" s="797"/>
      <c r="BC131" s="924"/>
      <c r="BD131" s="924"/>
      <c r="BE131" s="797"/>
      <c r="BF131" s="798"/>
      <c r="BG131" s="927"/>
      <c r="BH131" s="927"/>
      <c r="BI131" s="420"/>
      <c r="BJ131" s="420"/>
      <c r="BK131" s="420"/>
      <c r="BL131" s="949"/>
      <c r="BM131" s="797"/>
      <c r="BN131" s="797"/>
      <c r="BO131" s="797"/>
      <c r="BP131" s="797"/>
      <c r="BQ131" s="924"/>
      <c r="BR131" s="924"/>
      <c r="BS131" s="918"/>
      <c r="BT131" s="797"/>
      <c r="BU131" s="798"/>
      <c r="BV131" s="798"/>
      <c r="BW131" s="798"/>
      <c r="BX131" s="798"/>
      <c r="BY131" s="798"/>
      <c r="BZ131" s="798"/>
      <c r="CA131" s="798"/>
      <c r="CB131" s="798"/>
      <c r="CC131" s="798"/>
      <c r="CD131" s="798"/>
      <c r="CE131" s="798"/>
      <c r="CF131" s="798"/>
      <c r="CG131" s="798"/>
      <c r="CH131" s="798"/>
      <c r="CI131" s="798"/>
      <c r="CJ131" s="798"/>
      <c r="CK131" s="798"/>
      <c r="CL131" s="798"/>
      <c r="CM131" s="798"/>
      <c r="CN131" s="798"/>
      <c r="CO131" s="798"/>
      <c r="CP131" s="798"/>
      <c r="CQ131" s="798"/>
      <c r="CR131" s="798"/>
      <c r="CS131" s="798"/>
      <c r="CT131" s="798"/>
    </row>
    <row r="132" spans="1:98" s="25" customFormat="1">
      <c r="A132" s="113"/>
      <c r="B132" s="810" t="s">
        <v>800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398"/>
      <c r="BV132" s="398"/>
      <c r="BW132" s="398"/>
      <c r="BX132" s="398"/>
      <c r="BY132" s="398"/>
      <c r="BZ132" s="398"/>
      <c r="CA132" s="398"/>
      <c r="CB132" s="398"/>
      <c r="CC132" s="398"/>
      <c r="CD132" s="398"/>
      <c r="CE132" s="398"/>
      <c r="CF132" s="398"/>
      <c r="CG132" s="398"/>
      <c r="CH132" s="398"/>
      <c r="CI132" s="928">
        <f>0.9*2.2*1</f>
        <v>1.9800000000000002</v>
      </c>
      <c r="CJ132" s="398"/>
      <c r="CK132" s="398"/>
      <c r="CL132" s="398"/>
      <c r="CM132" s="398"/>
      <c r="CN132" s="398"/>
      <c r="CO132" s="398"/>
      <c r="CP132" s="398"/>
      <c r="CQ132" s="398"/>
      <c r="CR132" s="928">
        <f>1.1*0.5</f>
        <v>0.55000000000000004</v>
      </c>
      <c r="CS132" s="398"/>
      <c r="CT132" s="398"/>
    </row>
    <row r="133" spans="1:98" s="919" customFormat="1">
      <c r="A133" s="915"/>
      <c r="B133" s="916"/>
      <c r="C133" s="556"/>
      <c r="D133" s="917"/>
      <c r="E133" s="917"/>
      <c r="F133" s="797"/>
      <c r="G133" s="797"/>
      <c r="H133" s="797"/>
      <c r="I133" s="797"/>
      <c r="J133" s="797"/>
      <c r="K133" s="797"/>
      <c r="L133" s="797"/>
      <c r="M133" s="797"/>
      <c r="N133" s="797"/>
      <c r="O133" s="797"/>
      <c r="P133" s="797"/>
      <c r="Q133" s="797"/>
      <c r="R133" s="797"/>
      <c r="S133" s="797"/>
      <c r="T133" s="797"/>
      <c r="U133" s="797"/>
      <c r="V133" s="797"/>
      <c r="W133" s="797"/>
      <c r="X133" s="797"/>
      <c r="Y133" s="797"/>
      <c r="Z133" s="797"/>
      <c r="AA133" s="797"/>
      <c r="AB133" s="797"/>
      <c r="AC133" s="797"/>
      <c r="AD133" s="797"/>
      <c r="AE133" s="797"/>
      <c r="AF133" s="797"/>
      <c r="AG133" s="797"/>
      <c r="AH133" s="797"/>
      <c r="AI133" s="797"/>
      <c r="AJ133" s="797"/>
      <c r="AK133" s="797"/>
      <c r="AL133" s="797"/>
      <c r="AM133" s="797"/>
      <c r="AN133" s="797"/>
      <c r="AO133" s="797"/>
      <c r="AP133" s="797"/>
      <c r="AQ133" s="797"/>
      <c r="AR133" s="797"/>
      <c r="AS133" s="797"/>
      <c r="AT133" s="797"/>
      <c r="AU133" s="797"/>
      <c r="AV133" s="797"/>
      <c r="AW133" s="797"/>
      <c r="AX133" s="797"/>
      <c r="AY133" s="797"/>
      <c r="AZ133" s="797"/>
      <c r="BA133" s="797"/>
      <c r="BB133" s="797"/>
      <c r="BC133" s="797"/>
      <c r="BD133" s="797"/>
      <c r="BE133" s="797"/>
      <c r="BF133" s="798"/>
      <c r="BG133" s="798"/>
      <c r="BH133" s="420"/>
      <c r="BI133" s="420"/>
      <c r="BJ133" s="420"/>
      <c r="BK133" s="420"/>
      <c r="BL133" s="420"/>
      <c r="BM133" s="797"/>
      <c r="BN133" s="797"/>
      <c r="BO133" s="797"/>
      <c r="BP133" s="797"/>
      <c r="BQ133" s="797"/>
      <c r="BR133" s="797"/>
      <c r="BS133" s="918"/>
      <c r="BT133" s="797"/>
      <c r="BU133" s="798"/>
      <c r="BV133" s="798"/>
      <c r="BW133" s="798"/>
      <c r="BX133" s="798"/>
      <c r="BY133" s="798"/>
      <c r="BZ133" s="798"/>
      <c r="CA133" s="798"/>
      <c r="CB133" s="798"/>
      <c r="CC133" s="798"/>
      <c r="CD133" s="798"/>
      <c r="CE133" s="798"/>
      <c r="CF133" s="798"/>
      <c r="CG133" s="798"/>
      <c r="CH133" s="798"/>
      <c r="CI133" s="798"/>
      <c r="CJ133" s="798"/>
      <c r="CK133" s="798"/>
      <c r="CL133" s="798"/>
      <c r="CM133" s="798"/>
      <c r="CN133" s="798"/>
      <c r="CO133" s="798"/>
      <c r="CP133" s="798"/>
      <c r="CQ133" s="798"/>
      <c r="CR133" s="798"/>
      <c r="CS133" s="798"/>
      <c r="CT133" s="798"/>
    </row>
    <row r="134" spans="1:98" s="919" customFormat="1">
      <c r="A134" s="915"/>
      <c r="B134" s="916"/>
      <c r="C134" s="556"/>
      <c r="D134" s="917"/>
      <c r="E134" s="917"/>
      <c r="F134" s="797"/>
      <c r="G134" s="797"/>
      <c r="H134" s="797"/>
      <c r="I134" s="797"/>
      <c r="J134" s="797"/>
      <c r="K134" s="797"/>
      <c r="L134" s="797"/>
      <c r="M134" s="797"/>
      <c r="N134" s="797"/>
      <c r="O134" s="797"/>
      <c r="P134" s="797"/>
      <c r="Q134" s="797"/>
      <c r="R134" s="797"/>
      <c r="S134" s="797"/>
      <c r="T134" s="797"/>
      <c r="U134" s="797"/>
      <c r="V134" s="797"/>
      <c r="W134" s="797"/>
      <c r="X134" s="797"/>
      <c r="Y134" s="797"/>
      <c r="Z134" s="797"/>
      <c r="AA134" s="797"/>
      <c r="AB134" s="797"/>
      <c r="AC134" s="797"/>
      <c r="AD134" s="797"/>
      <c r="AE134" s="797"/>
      <c r="AF134" s="797"/>
      <c r="AG134" s="797"/>
      <c r="AH134" s="797"/>
      <c r="AI134" s="797"/>
      <c r="AJ134" s="797"/>
      <c r="AK134" s="797"/>
      <c r="AL134" s="797"/>
      <c r="AM134" s="797"/>
      <c r="AN134" s="797"/>
      <c r="AO134" s="797"/>
      <c r="AP134" s="797"/>
      <c r="AQ134" s="797"/>
      <c r="AR134" s="797"/>
      <c r="AS134" s="797"/>
      <c r="AT134" s="797"/>
      <c r="AU134" s="797"/>
      <c r="AV134" s="797"/>
      <c r="AW134" s="797"/>
      <c r="AX134" s="797"/>
      <c r="AY134" s="797"/>
      <c r="AZ134" s="797"/>
      <c r="BA134" s="797"/>
      <c r="BB134" s="797"/>
      <c r="BC134" s="797"/>
      <c r="BD134" s="797"/>
      <c r="BE134" s="797"/>
      <c r="BF134" s="798"/>
      <c r="BG134" s="798"/>
      <c r="BH134" s="420"/>
      <c r="BI134" s="420"/>
      <c r="BJ134" s="420"/>
      <c r="BK134" s="420"/>
      <c r="BL134" s="420"/>
      <c r="BM134" s="797"/>
      <c r="BN134" s="797"/>
      <c r="BO134" s="797"/>
      <c r="BP134" s="797"/>
      <c r="BQ134" s="797"/>
      <c r="BR134" s="797"/>
      <c r="BS134" s="918"/>
      <c r="BT134" s="797"/>
      <c r="BU134" s="798"/>
      <c r="BV134" s="798"/>
      <c r="BW134" s="798"/>
      <c r="BX134" s="798"/>
      <c r="BY134" s="798"/>
      <c r="BZ134" s="798"/>
      <c r="CA134" s="798"/>
      <c r="CB134" s="798"/>
      <c r="CC134" s="798"/>
      <c r="CD134" s="798"/>
      <c r="CE134" s="798"/>
      <c r="CF134" s="798"/>
      <c r="CG134" s="798"/>
      <c r="CH134" s="798"/>
      <c r="CI134" s="798"/>
      <c r="CJ134" s="798"/>
      <c r="CK134" s="798"/>
      <c r="CL134" s="798"/>
      <c r="CM134" s="798"/>
      <c r="CN134" s="798"/>
      <c r="CO134" s="798"/>
      <c r="CP134" s="798"/>
      <c r="CQ134" s="798"/>
      <c r="CR134" s="798"/>
      <c r="CS134" s="798"/>
      <c r="CT134" s="798"/>
    </row>
    <row r="135" spans="1:98" s="25" customFormat="1">
      <c r="A135" s="451"/>
      <c r="B135" s="452"/>
      <c r="C135" s="439"/>
      <c r="D135" s="439"/>
      <c r="E135" s="439"/>
      <c r="F135" s="439"/>
      <c r="G135" s="439"/>
      <c r="H135" s="439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398"/>
      <c r="BV135" s="398"/>
      <c r="BW135" s="398"/>
      <c r="BX135" s="398"/>
      <c r="BY135" s="398"/>
      <c r="BZ135" s="398"/>
      <c r="CA135" s="398"/>
      <c r="CB135" s="398"/>
      <c r="CC135" s="398"/>
      <c r="CD135" s="398"/>
      <c r="CE135" s="398"/>
      <c r="CF135" s="398"/>
      <c r="CG135" s="398"/>
      <c r="CH135" s="398"/>
      <c r="CI135" s="398"/>
      <c r="CJ135" s="398"/>
      <c r="CK135" s="398"/>
      <c r="CL135" s="398"/>
      <c r="CM135" s="398"/>
      <c r="CN135" s="398"/>
      <c r="CO135" s="398"/>
      <c r="CP135" s="398"/>
      <c r="CQ135" s="398"/>
      <c r="CR135" s="398"/>
      <c r="CS135" s="398"/>
      <c r="CT135" s="398"/>
    </row>
    <row r="136" spans="1:98" s="934" customFormat="1" ht="39" customHeight="1">
      <c r="A136" s="1240" t="s">
        <v>721</v>
      </c>
      <c r="B136" s="1240"/>
      <c r="C136" s="1240"/>
      <c r="D136" s="1240"/>
      <c r="E136" s="1240"/>
      <c r="F136" s="1240"/>
      <c r="G136" s="1240"/>
      <c r="H136" s="1241"/>
      <c r="I136" s="929"/>
      <c r="J136" s="929"/>
      <c r="K136" s="929"/>
      <c r="L136" s="929"/>
      <c r="M136" s="929"/>
      <c r="N136" s="929"/>
      <c r="O136" s="929"/>
      <c r="P136" s="929"/>
      <c r="Q136" s="929"/>
      <c r="R136" s="929"/>
      <c r="S136" s="929"/>
      <c r="T136" s="929"/>
      <c r="U136" s="929"/>
      <c r="V136" s="929"/>
      <c r="W136" s="929"/>
      <c r="X136" s="929"/>
      <c r="Y136" s="929"/>
      <c r="Z136" s="929"/>
      <c r="AA136" s="929"/>
      <c r="AB136" s="929"/>
      <c r="AC136" s="929"/>
      <c r="AD136" s="929"/>
      <c r="AE136" s="929"/>
      <c r="AF136" s="929"/>
      <c r="AG136" s="929"/>
      <c r="AH136" s="929"/>
      <c r="AI136" s="929"/>
      <c r="AJ136" s="929"/>
      <c r="AK136" s="929"/>
      <c r="AL136" s="929"/>
      <c r="AM136" s="929"/>
      <c r="AN136" s="929"/>
      <c r="AO136" s="929"/>
      <c r="AP136" s="929"/>
      <c r="AQ136" s="929"/>
      <c r="AR136" s="929"/>
      <c r="AS136" s="929"/>
      <c r="AT136" s="929"/>
      <c r="AU136" s="929"/>
      <c r="AV136" s="929"/>
      <c r="AW136" s="929"/>
      <c r="AX136" s="929"/>
      <c r="AY136" s="929"/>
      <c r="AZ136" s="929"/>
      <c r="BA136" s="929"/>
      <c r="BB136" s="929"/>
      <c r="BC136" s="929"/>
      <c r="BD136" s="929"/>
      <c r="BE136" s="929"/>
      <c r="BF136" s="930"/>
      <c r="BG136" s="930"/>
      <c r="BH136" s="930"/>
      <c r="BI136" s="930"/>
      <c r="BJ136" s="930"/>
      <c r="BK136" s="930"/>
      <c r="BL136" s="930"/>
      <c r="BM136" s="930"/>
      <c r="BN136" s="930"/>
      <c r="BO136" s="930"/>
      <c r="BP136" s="930"/>
      <c r="BQ136" s="930"/>
      <c r="BR136" s="930"/>
      <c r="BS136" s="931"/>
      <c r="BT136" s="930"/>
      <c r="BU136" s="932"/>
      <c r="BV136" s="932"/>
      <c r="BW136" s="932"/>
      <c r="BX136" s="932"/>
      <c r="BY136" s="932"/>
      <c r="BZ136" s="932"/>
      <c r="CA136" s="932"/>
      <c r="CB136" s="932"/>
      <c r="CC136" s="932"/>
      <c r="CD136" s="932"/>
      <c r="CE136" s="932"/>
      <c r="CF136" s="932"/>
      <c r="CG136" s="932"/>
      <c r="CH136" s="932"/>
      <c r="CI136" s="932"/>
      <c r="CJ136" s="932"/>
      <c r="CK136" s="933"/>
      <c r="CL136" s="932"/>
      <c r="CM136" s="932"/>
      <c r="CN136" s="932"/>
      <c r="CO136" s="932"/>
      <c r="CP136" s="932"/>
      <c r="CQ136" s="932"/>
      <c r="CR136" s="932"/>
      <c r="CS136" s="932"/>
      <c r="CT136" s="933"/>
    </row>
    <row r="137" spans="1:98" s="642" customFormat="1">
      <c r="A137" s="422" t="s">
        <v>335</v>
      </c>
      <c r="B137" s="652" t="s">
        <v>778</v>
      </c>
      <c r="C137" s="651" t="s">
        <v>779</v>
      </c>
      <c r="D137" s="651">
        <f>6.7*6.1</f>
        <v>40.869999999999997</v>
      </c>
      <c r="E137" s="651">
        <f>(6.7+6.1)*2</f>
        <v>25.6</v>
      </c>
      <c r="F137" s="133"/>
      <c r="G137" s="133"/>
      <c r="H137" s="133"/>
      <c r="I137" s="88">
        <f>6.7*6.1</f>
        <v>40.869999999999997</v>
      </c>
      <c r="J137" s="556"/>
      <c r="K137" s="556"/>
      <c r="L137" s="556"/>
      <c r="M137" s="133">
        <f>6.7*6.1</f>
        <v>40.869999999999997</v>
      </c>
      <c r="N137" s="133">
        <f>6.7*6.1</f>
        <v>40.869999999999997</v>
      </c>
      <c r="O137" s="133"/>
      <c r="P137" s="556"/>
      <c r="Q137" s="556"/>
      <c r="R137" s="556"/>
      <c r="S137" s="114"/>
      <c r="T137" s="114"/>
      <c r="U137" s="133"/>
      <c r="V137" s="133"/>
      <c r="W137" s="133"/>
      <c r="X137" s="133"/>
      <c r="Y137" s="114"/>
      <c r="Z137" s="88">
        <f>6.7*6.1</f>
        <v>40.869999999999997</v>
      </c>
      <c r="AA137" s="114"/>
      <c r="AB137" s="114"/>
      <c r="AC137" s="114"/>
      <c r="AD137" s="114"/>
      <c r="AE137" s="114"/>
      <c r="AF137" s="114"/>
      <c r="AG137" s="133"/>
      <c r="AH137" s="114"/>
      <c r="AI137" s="133">
        <f>6.7*6.1</f>
        <v>40.869999999999997</v>
      </c>
      <c r="AJ137" s="133"/>
      <c r="AK137" s="133"/>
      <c r="AL137" s="133">
        <f>6.7*6.1</f>
        <v>40.869999999999997</v>
      </c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14"/>
      <c r="BB137" s="114"/>
      <c r="BC137" s="133"/>
      <c r="BD137" s="114"/>
      <c r="BE137" s="88">
        <f>(6.7+6.1)*2*4.3</f>
        <v>110.08</v>
      </c>
      <c r="BF137" s="421">
        <f t="shared" ref="BF137:BF144" si="19">BE137-CK137-CT137</f>
        <v>107.98</v>
      </c>
      <c r="BG137" s="421">
        <f>BF137</f>
        <v>107.98</v>
      </c>
      <c r="BH137" s="49">
        <f>BF137</f>
        <v>107.98</v>
      </c>
      <c r="BI137" s="49"/>
      <c r="BJ137" s="49"/>
      <c r="BK137" s="49"/>
      <c r="BL137" s="49">
        <f>BF137-BR137</f>
        <v>107.98</v>
      </c>
      <c r="BM137" s="135"/>
      <c r="BN137" s="135"/>
      <c r="BO137" s="114"/>
      <c r="BP137" s="135"/>
      <c r="BQ137" s="114"/>
      <c r="BR137" s="133"/>
      <c r="BS137" s="52"/>
      <c r="BT137" s="114"/>
      <c r="BU137" s="46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>
        <f>1*2.1*1</f>
        <v>2.1</v>
      </c>
      <c r="CG137" s="114"/>
      <c r="CH137" s="114"/>
      <c r="CI137" s="46"/>
      <c r="CJ137" s="46"/>
      <c r="CK137" s="502">
        <f t="shared" ref="CK137:CK144" si="20">SUM(BU137:CJ137)</f>
        <v>2.1</v>
      </c>
      <c r="CL137" s="114"/>
      <c r="CM137" s="114"/>
      <c r="CN137" s="114"/>
      <c r="CO137" s="114"/>
      <c r="CP137" s="114"/>
      <c r="CQ137" s="114"/>
      <c r="CR137" s="46"/>
      <c r="CS137" s="46"/>
      <c r="CT137" s="502">
        <f t="shared" ref="CT137:CT144" si="21">SUM(CL137:CS137)</f>
        <v>0</v>
      </c>
    </row>
    <row r="138" spans="1:98" s="642" customFormat="1">
      <c r="A138" s="422" t="s">
        <v>335</v>
      </c>
      <c r="B138" s="652" t="s">
        <v>778</v>
      </c>
      <c r="C138" s="651" t="s">
        <v>780</v>
      </c>
      <c r="D138" s="651">
        <f>19.75*6.1</f>
        <v>120.47499999999999</v>
      </c>
      <c r="E138" s="651">
        <f>(19.75+6.1)*2</f>
        <v>51.7</v>
      </c>
      <c r="F138" s="133"/>
      <c r="G138" s="133"/>
      <c r="H138" s="133"/>
      <c r="I138" s="88">
        <f>19.75*6.1</f>
        <v>120.47499999999999</v>
      </c>
      <c r="J138" s="556"/>
      <c r="K138" s="556"/>
      <c r="L138" s="556"/>
      <c r="M138" s="133">
        <f>19.75*6.1</f>
        <v>120.47499999999999</v>
      </c>
      <c r="N138" s="133">
        <f>19.75*6.1</f>
        <v>120.47499999999999</v>
      </c>
      <c r="O138" s="133"/>
      <c r="P138" s="556"/>
      <c r="Q138" s="556"/>
      <c r="R138" s="556"/>
      <c r="S138" s="114"/>
      <c r="T138" s="114"/>
      <c r="U138" s="133"/>
      <c r="V138" s="133"/>
      <c r="W138" s="133"/>
      <c r="X138" s="133"/>
      <c r="Y138" s="114"/>
      <c r="Z138" s="88">
        <f>19.75*6.1</f>
        <v>120.47499999999999</v>
      </c>
      <c r="AA138" s="114"/>
      <c r="AB138" s="114"/>
      <c r="AC138" s="114"/>
      <c r="AD138" s="114"/>
      <c r="AE138" s="114"/>
      <c r="AF138" s="114"/>
      <c r="AG138" s="133"/>
      <c r="AH138" s="114"/>
      <c r="AI138" s="133">
        <f>19.75*6.1</f>
        <v>120.47499999999999</v>
      </c>
      <c r="AJ138" s="133"/>
      <c r="AK138" s="133"/>
      <c r="AL138" s="133">
        <f>19.75*6.1</f>
        <v>120.47499999999999</v>
      </c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14"/>
      <c r="BB138" s="114"/>
      <c r="BC138" s="133"/>
      <c r="BD138" s="114"/>
      <c r="BE138" s="88">
        <f>(19.75+6.1)*2*4.3</f>
        <v>222.31</v>
      </c>
      <c r="BF138" s="421">
        <f t="shared" si="19"/>
        <v>222.31</v>
      </c>
      <c r="BG138" s="421">
        <f>BF138</f>
        <v>222.31</v>
      </c>
      <c r="BH138" s="49">
        <f>BF138</f>
        <v>222.31</v>
      </c>
      <c r="BI138" s="49"/>
      <c r="BJ138" s="49"/>
      <c r="BK138" s="49"/>
      <c r="BL138" s="49">
        <f>BF138-BR138</f>
        <v>222.31</v>
      </c>
      <c r="BM138" s="135"/>
      <c r="BN138" s="135"/>
      <c r="BO138" s="114"/>
      <c r="BP138" s="135"/>
      <c r="BQ138" s="114"/>
      <c r="BR138" s="133"/>
      <c r="BS138" s="52"/>
      <c r="BT138" s="114"/>
      <c r="BU138" s="46"/>
      <c r="BV138" s="46"/>
      <c r="BW138" s="46"/>
      <c r="BX138" s="114"/>
      <c r="BY138" s="114"/>
      <c r="BZ138" s="114"/>
      <c r="CA138" s="114"/>
      <c r="CB138" s="46"/>
      <c r="CC138" s="46">
        <f>1*CC80</f>
        <v>0</v>
      </c>
      <c r="CD138" s="46">
        <f>1*CD80</f>
        <v>0</v>
      </c>
      <c r="CE138" s="46"/>
      <c r="CF138" s="46"/>
      <c r="CG138" s="46"/>
      <c r="CH138" s="46"/>
      <c r="CI138" s="46"/>
      <c r="CJ138" s="46"/>
      <c r="CK138" s="502">
        <f t="shared" si="20"/>
        <v>0</v>
      </c>
      <c r="CL138" s="114"/>
      <c r="CM138" s="114"/>
      <c r="CN138" s="114"/>
      <c r="CO138" s="114"/>
      <c r="CP138" s="114"/>
      <c r="CQ138" s="46"/>
      <c r="CR138" s="46"/>
      <c r="CS138" s="46"/>
      <c r="CT138" s="502">
        <f t="shared" si="21"/>
        <v>0</v>
      </c>
    </row>
    <row r="139" spans="1:98" s="642" customFormat="1">
      <c r="A139" s="1002" t="s">
        <v>335</v>
      </c>
      <c r="B139" s="1003" t="s">
        <v>778</v>
      </c>
      <c r="C139" s="1004" t="s">
        <v>781</v>
      </c>
      <c r="D139" s="1004">
        <f>6.3*5.8</f>
        <v>36.54</v>
      </c>
      <c r="E139" s="1004">
        <f>(6.3+5.8)*2</f>
        <v>24.2</v>
      </c>
      <c r="F139" s="133"/>
      <c r="G139" s="133"/>
      <c r="H139" s="133"/>
      <c r="I139" s="1001"/>
      <c r="J139" s="556"/>
      <c r="K139" s="556"/>
      <c r="L139" s="556"/>
      <c r="M139" s="1001"/>
      <c r="N139" s="1001"/>
      <c r="O139" s="133"/>
      <c r="P139" s="556"/>
      <c r="Q139" s="556"/>
      <c r="R139" s="556"/>
      <c r="S139" s="114"/>
      <c r="T139" s="114"/>
      <c r="U139" s="133"/>
      <c r="V139" s="133"/>
      <c r="W139" s="133"/>
      <c r="X139" s="133"/>
      <c r="Y139" s="114"/>
      <c r="Z139" s="1001"/>
      <c r="AA139" s="114"/>
      <c r="AB139" s="114"/>
      <c r="AC139" s="114"/>
      <c r="AD139" s="114"/>
      <c r="AE139" s="114"/>
      <c r="AF139" s="114"/>
      <c r="AG139" s="133"/>
      <c r="AH139" s="114"/>
      <c r="AI139" s="1001"/>
      <c r="AJ139" s="133"/>
      <c r="AK139" s="133"/>
      <c r="AL139" s="1001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14"/>
      <c r="BB139" s="114"/>
      <c r="BC139" s="133"/>
      <c r="BD139" s="133"/>
      <c r="BE139" s="1001"/>
      <c r="BF139" s="1005"/>
      <c r="BG139" s="1005"/>
      <c r="BH139" s="874"/>
      <c r="BI139" s="49"/>
      <c r="BJ139" s="49"/>
      <c r="BK139" s="49"/>
      <c r="BL139" s="874"/>
      <c r="BM139" s="135"/>
      <c r="BN139" s="135"/>
      <c r="BO139" s="114"/>
      <c r="BP139" s="135"/>
      <c r="BQ139" s="114"/>
      <c r="BR139" s="133"/>
      <c r="BS139" s="52"/>
      <c r="BT139" s="114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1006"/>
      <c r="CG139" s="46"/>
      <c r="CH139" s="46"/>
      <c r="CI139" s="46"/>
      <c r="CJ139" s="46"/>
      <c r="CK139" s="1005"/>
      <c r="CL139" s="114"/>
      <c r="CM139" s="114"/>
      <c r="CN139" s="114"/>
      <c r="CO139" s="114"/>
      <c r="CP139" s="114"/>
      <c r="CQ139" s="46"/>
      <c r="CR139" s="46"/>
      <c r="CS139" s="46"/>
      <c r="CT139" s="1005"/>
    </row>
    <row r="140" spans="1:98" s="642" customFormat="1">
      <c r="A140" s="422" t="s">
        <v>334</v>
      </c>
      <c r="B140" s="652" t="s">
        <v>741</v>
      </c>
      <c r="C140" s="651" t="s">
        <v>782</v>
      </c>
      <c r="D140" s="651">
        <f>26.6*3.2</f>
        <v>85.12</v>
      </c>
      <c r="E140" s="651">
        <f>(26.6+3.2)*2+3.2*2</f>
        <v>66</v>
      </c>
      <c r="F140" s="133"/>
      <c r="G140" s="133"/>
      <c r="H140" s="133"/>
      <c r="I140" s="88">
        <f>26.6*3.2</f>
        <v>85.12</v>
      </c>
      <c r="J140" s="556"/>
      <c r="K140" s="556"/>
      <c r="L140" s="556"/>
      <c r="M140" s="133">
        <f>26.6*3.2</f>
        <v>85.12</v>
      </c>
      <c r="N140" s="133">
        <f>26.6*3.2</f>
        <v>85.12</v>
      </c>
      <c r="O140" s="133"/>
      <c r="P140" s="556"/>
      <c r="Q140" s="556"/>
      <c r="R140" s="556"/>
      <c r="S140" s="114"/>
      <c r="T140" s="114"/>
      <c r="U140" s="133"/>
      <c r="V140" s="133"/>
      <c r="W140" s="133"/>
      <c r="X140" s="133"/>
      <c r="Y140" s="114"/>
      <c r="Z140" s="88">
        <f>26.6*3.2</f>
        <v>85.12</v>
      </c>
      <c r="AA140" s="114"/>
      <c r="AB140" s="114"/>
      <c r="AC140" s="114"/>
      <c r="AD140" s="114"/>
      <c r="AE140" s="114"/>
      <c r="AF140" s="114"/>
      <c r="AG140" s="133"/>
      <c r="AH140" s="114"/>
      <c r="AI140" s="133">
        <f>26.6*3.2</f>
        <v>85.12</v>
      </c>
      <c r="AJ140" s="133"/>
      <c r="AK140" s="133"/>
      <c r="AL140" s="133">
        <f>26.6*3.2</f>
        <v>85.12</v>
      </c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14"/>
      <c r="BB140" s="114"/>
      <c r="BC140" s="133"/>
      <c r="BD140" s="133"/>
      <c r="BE140" s="88">
        <f>(26.6+3.2)*2*4.3+3.2*2*4.3</f>
        <v>283.79999999999995</v>
      </c>
      <c r="BF140" s="421">
        <f t="shared" si="19"/>
        <v>277.49999999999994</v>
      </c>
      <c r="BG140" s="421">
        <f>BF140</f>
        <v>277.49999999999994</v>
      </c>
      <c r="BH140" s="49">
        <f>BF140</f>
        <v>277.49999999999994</v>
      </c>
      <c r="BI140" s="49"/>
      <c r="BJ140" s="49"/>
      <c r="BK140" s="49"/>
      <c r="BL140" s="49">
        <f>BF140-BR140</f>
        <v>277.49999999999994</v>
      </c>
      <c r="BM140" s="135"/>
      <c r="BN140" s="135"/>
      <c r="BO140" s="114"/>
      <c r="BP140" s="135"/>
      <c r="BQ140" s="114"/>
      <c r="BR140" s="133"/>
      <c r="BS140" s="52"/>
      <c r="BT140" s="114"/>
      <c r="BU140" s="46"/>
      <c r="BV140" s="46"/>
      <c r="BW140" s="46"/>
      <c r="BX140" s="46"/>
      <c r="BY140" s="46"/>
      <c r="BZ140" s="46"/>
      <c r="CA140" s="46"/>
      <c r="CB140" s="46"/>
      <c r="CC140" s="46">
        <f>1*CC80</f>
        <v>0</v>
      </c>
      <c r="CD140" s="46">
        <f>1*CD80</f>
        <v>0</v>
      </c>
      <c r="CE140" s="46">
        <f>1*CE80*2</f>
        <v>0</v>
      </c>
      <c r="CF140" s="46">
        <f>1*2.1*3</f>
        <v>6.3000000000000007</v>
      </c>
      <c r="CG140" s="46"/>
      <c r="CH140" s="46"/>
      <c r="CI140" s="46"/>
      <c r="CJ140" s="46"/>
      <c r="CK140" s="502">
        <f t="shared" si="20"/>
        <v>6.3000000000000007</v>
      </c>
      <c r="CL140" s="46"/>
      <c r="CM140" s="46"/>
      <c r="CN140" s="46"/>
      <c r="CO140" s="46"/>
      <c r="CP140" s="46"/>
      <c r="CQ140" s="46"/>
      <c r="CR140" s="46"/>
      <c r="CS140" s="46"/>
      <c r="CT140" s="502">
        <f t="shared" si="21"/>
        <v>0</v>
      </c>
    </row>
    <row r="141" spans="1:98" s="642" customFormat="1">
      <c r="A141" s="422" t="s">
        <v>103</v>
      </c>
      <c r="B141" s="652" t="s">
        <v>774</v>
      </c>
      <c r="C141" s="651" t="s">
        <v>783</v>
      </c>
      <c r="D141" s="651">
        <f>3.85*5.8</f>
        <v>22.33</v>
      </c>
      <c r="E141" s="651">
        <f>(3.85+5.8)*2</f>
        <v>19.3</v>
      </c>
      <c r="F141" s="133"/>
      <c r="G141" s="133"/>
      <c r="H141" s="133"/>
      <c r="I141" s="88">
        <f>3.85*5.8</f>
        <v>22.33</v>
      </c>
      <c r="J141" s="556"/>
      <c r="K141" s="556"/>
      <c r="L141" s="556"/>
      <c r="M141" s="133">
        <f>3.85*5.8</f>
        <v>22.33</v>
      </c>
      <c r="N141" s="133">
        <f>3.85*5.8</f>
        <v>22.33</v>
      </c>
      <c r="O141" s="133"/>
      <c r="P141" s="556"/>
      <c r="Q141" s="556"/>
      <c r="R141" s="556"/>
      <c r="S141" s="114"/>
      <c r="T141" s="114"/>
      <c r="U141" s="133"/>
      <c r="V141" s="133"/>
      <c r="W141" s="133"/>
      <c r="X141" s="133"/>
      <c r="Y141" s="114"/>
      <c r="Z141" s="88">
        <f>3.85*5.8</f>
        <v>22.33</v>
      </c>
      <c r="AA141" s="114"/>
      <c r="AB141" s="114"/>
      <c r="AC141" s="114"/>
      <c r="AD141" s="114"/>
      <c r="AE141" s="114"/>
      <c r="AF141" s="114"/>
      <c r="AG141" s="133"/>
      <c r="AH141" s="114"/>
      <c r="AI141" s="133">
        <f>3.85*5.8</f>
        <v>22.33</v>
      </c>
      <c r="AJ141" s="133"/>
      <c r="AK141" s="133"/>
      <c r="AL141" s="133">
        <f>3.85*5.8</f>
        <v>22.33</v>
      </c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14"/>
      <c r="BB141" s="114"/>
      <c r="BC141" s="133"/>
      <c r="BD141" s="114"/>
      <c r="BE141" s="88">
        <f>(3.85+5.8)*2*3.3</f>
        <v>63.69</v>
      </c>
      <c r="BF141" s="421">
        <f t="shared" si="19"/>
        <v>58.44</v>
      </c>
      <c r="BG141" s="421">
        <f>BF141</f>
        <v>58.44</v>
      </c>
      <c r="BH141" s="49">
        <f>BF141</f>
        <v>58.44</v>
      </c>
      <c r="BI141" s="49"/>
      <c r="BJ141" s="49"/>
      <c r="BK141" s="49"/>
      <c r="BL141" s="49">
        <f>BF141-BR141</f>
        <v>58.44</v>
      </c>
      <c r="BM141" s="135"/>
      <c r="BN141" s="135"/>
      <c r="BO141" s="114"/>
      <c r="BP141" s="135"/>
      <c r="BQ141" s="114"/>
      <c r="BR141" s="133"/>
      <c r="BS141" s="52"/>
      <c r="BT141" s="114"/>
      <c r="BU141" s="627"/>
      <c r="BV141" s="627"/>
      <c r="BW141" s="627"/>
      <c r="BX141" s="627"/>
      <c r="BY141" s="627"/>
      <c r="BZ141" s="627"/>
      <c r="CA141" s="627"/>
      <c r="CB141" s="627"/>
      <c r="CC141" s="627"/>
      <c r="CD141" s="627"/>
      <c r="CE141" s="627"/>
      <c r="CF141" s="627">
        <f>1.5*2.1*1+1*2.1*1</f>
        <v>5.25</v>
      </c>
      <c r="CG141" s="627"/>
      <c r="CH141" s="627"/>
      <c r="CI141" s="627"/>
      <c r="CJ141" s="627"/>
      <c r="CK141" s="502">
        <f t="shared" si="20"/>
        <v>5.25</v>
      </c>
      <c r="CL141" s="627"/>
      <c r="CM141" s="627"/>
      <c r="CN141" s="627"/>
      <c r="CO141" s="627"/>
      <c r="CP141" s="627"/>
      <c r="CQ141" s="627"/>
      <c r="CR141" s="627"/>
      <c r="CS141" s="627"/>
      <c r="CT141" s="502">
        <f t="shared" si="21"/>
        <v>0</v>
      </c>
    </row>
    <row r="142" spans="1:98" s="642" customFormat="1">
      <c r="A142" s="1002" t="s">
        <v>228</v>
      </c>
      <c r="B142" s="1003" t="s">
        <v>808</v>
      </c>
      <c r="C142" s="1004" t="s">
        <v>809</v>
      </c>
      <c r="D142" s="1004">
        <f>4.3*1.05+7.4*1.2</f>
        <v>13.395</v>
      </c>
      <c r="E142" s="1004">
        <f>(7.4+5.5)*2</f>
        <v>25.8</v>
      </c>
      <c r="F142" s="133"/>
      <c r="G142" s="133"/>
      <c r="H142" s="133"/>
      <c r="I142" s="1001"/>
      <c r="J142" s="556"/>
      <c r="K142" s="556"/>
      <c r="L142" s="556"/>
      <c r="M142" s="1001"/>
      <c r="N142" s="1001"/>
      <c r="O142" s="133"/>
      <c r="P142" s="556"/>
      <c r="Q142" s="556"/>
      <c r="R142" s="556"/>
      <c r="S142" s="114"/>
      <c r="T142" s="114"/>
      <c r="U142" s="133"/>
      <c r="V142" s="133"/>
      <c r="W142" s="133"/>
      <c r="X142" s="133"/>
      <c r="Y142" s="114"/>
      <c r="Z142" s="1001"/>
      <c r="AA142" s="114"/>
      <c r="AB142" s="114"/>
      <c r="AC142" s="114"/>
      <c r="AD142" s="114"/>
      <c r="AE142" s="114"/>
      <c r="AF142" s="114"/>
      <c r="AG142" s="133"/>
      <c r="AH142" s="114"/>
      <c r="AI142" s="1001"/>
      <c r="AJ142" s="133"/>
      <c r="AK142" s="133"/>
      <c r="AL142" s="1001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14"/>
      <c r="BB142" s="114"/>
      <c r="BC142" s="133"/>
      <c r="BD142" s="114"/>
      <c r="BE142" s="1001"/>
      <c r="BF142" s="1005"/>
      <c r="BG142" s="1005"/>
      <c r="BH142" s="874"/>
      <c r="BI142" s="49"/>
      <c r="BJ142" s="49"/>
      <c r="BK142" s="49"/>
      <c r="BL142" s="874"/>
      <c r="BM142" s="135"/>
      <c r="BN142" s="135"/>
      <c r="BO142" s="114"/>
      <c r="BP142" s="135"/>
      <c r="BQ142" s="114"/>
      <c r="BR142" s="133"/>
      <c r="BS142" s="52"/>
      <c r="BT142" s="114"/>
      <c r="BU142" s="627"/>
      <c r="BV142" s="627"/>
      <c r="BW142" s="627"/>
      <c r="BX142" s="627"/>
      <c r="BY142" s="627"/>
      <c r="BZ142" s="627"/>
      <c r="CA142" s="627"/>
      <c r="CB142" s="627"/>
      <c r="CC142" s="627"/>
      <c r="CD142" s="627"/>
      <c r="CE142" s="627"/>
      <c r="CF142" s="1006"/>
      <c r="CG142" s="627"/>
      <c r="CH142" s="627"/>
      <c r="CI142" s="627"/>
      <c r="CJ142" s="627"/>
      <c r="CK142" s="1005"/>
      <c r="CL142" s="627"/>
      <c r="CM142" s="627"/>
      <c r="CN142" s="627"/>
      <c r="CO142" s="627"/>
      <c r="CP142" s="627"/>
      <c r="CQ142" s="627"/>
      <c r="CR142" s="627"/>
      <c r="CS142" s="627"/>
      <c r="CT142" s="1005"/>
    </row>
    <row r="143" spans="1:98" s="642" customFormat="1">
      <c r="A143" s="422"/>
      <c r="B143" s="652"/>
      <c r="C143" s="133"/>
      <c r="D143" s="133"/>
      <c r="E143" s="133"/>
      <c r="F143" s="133"/>
      <c r="G143" s="133"/>
      <c r="H143" s="133"/>
      <c r="I143" s="88"/>
      <c r="J143" s="556"/>
      <c r="K143" s="556"/>
      <c r="L143" s="556"/>
      <c r="M143" s="114">
        <f>(1.5+0.9+1.8+1.2*5+1+1.5)*0.3</f>
        <v>3.8099999999999996</v>
      </c>
      <c r="N143" s="114">
        <f>(1.5+0.9+1.8+1.2*5+1+1.5)*0.3</f>
        <v>3.8099999999999996</v>
      </c>
      <c r="O143" s="114"/>
      <c r="P143" s="556"/>
      <c r="Q143" s="556"/>
      <c r="R143" s="556"/>
      <c r="S143" s="114"/>
      <c r="T143" s="114"/>
      <c r="U143" s="133"/>
      <c r="V143" s="133"/>
      <c r="W143" s="133"/>
      <c r="X143" s="133"/>
      <c r="Y143" s="114"/>
      <c r="Z143" s="88"/>
      <c r="AA143" s="114"/>
      <c r="AB143" s="114"/>
      <c r="AC143" s="114"/>
      <c r="AD143" s="114"/>
      <c r="AE143" s="114"/>
      <c r="AF143" s="114"/>
      <c r="AG143" s="133"/>
      <c r="AH143" s="114"/>
      <c r="AI143" s="114">
        <f>(1.5+0.9+1.8+1.2*5+1+1.5)*0.3</f>
        <v>3.8099999999999996</v>
      </c>
      <c r="AJ143" s="133"/>
      <c r="AK143" s="133"/>
      <c r="AL143" s="114">
        <f>(1.5+0.9+1.8+1.2*5+1+1.5)*0.3</f>
        <v>3.8099999999999996</v>
      </c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14"/>
      <c r="BB143" s="114"/>
      <c r="BC143" s="133"/>
      <c r="BD143" s="114"/>
      <c r="BE143" s="88"/>
      <c r="BF143" s="421">
        <f t="shared" si="19"/>
        <v>0</v>
      </c>
      <c r="BG143" s="421">
        <f>BF143</f>
        <v>0</v>
      </c>
      <c r="BH143" s="49">
        <f>BF143</f>
        <v>0</v>
      </c>
      <c r="BI143" s="49"/>
      <c r="BJ143" s="49"/>
      <c r="BK143" s="49"/>
      <c r="BL143" s="49">
        <f>BF143-BR143</f>
        <v>0</v>
      </c>
      <c r="BM143" s="135"/>
      <c r="BN143" s="135"/>
      <c r="BO143" s="114"/>
      <c r="BP143" s="135"/>
      <c r="BQ143" s="114"/>
      <c r="BR143" s="133"/>
      <c r="BS143" s="52"/>
      <c r="BT143" s="114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502">
        <f t="shared" si="20"/>
        <v>0</v>
      </c>
      <c r="CL143" s="46"/>
      <c r="CM143" s="46"/>
      <c r="CN143" s="46"/>
      <c r="CO143" s="46"/>
      <c r="CP143" s="46"/>
      <c r="CQ143" s="46"/>
      <c r="CR143" s="46"/>
      <c r="CS143" s="46"/>
      <c r="CT143" s="502">
        <f t="shared" si="21"/>
        <v>0</v>
      </c>
    </row>
    <row r="144" spans="1:98" s="642" customFormat="1">
      <c r="A144" s="422"/>
      <c r="B144" s="652"/>
      <c r="C144" s="133"/>
      <c r="D144" s="133"/>
      <c r="E144" s="133"/>
      <c r="F144" s="133"/>
      <c r="G144" s="133"/>
      <c r="H144" s="133"/>
      <c r="I144" s="88"/>
      <c r="J144" s="556"/>
      <c r="K144" s="556"/>
      <c r="L144" s="556"/>
      <c r="M144" s="556"/>
      <c r="N144" s="556"/>
      <c r="O144" s="556"/>
      <c r="P144" s="556"/>
      <c r="Q144" s="556"/>
      <c r="R144" s="556"/>
      <c r="S144" s="114"/>
      <c r="T144" s="114"/>
      <c r="U144" s="133"/>
      <c r="V144" s="133"/>
      <c r="W144" s="133"/>
      <c r="X144" s="133"/>
      <c r="Y144" s="114"/>
      <c r="Z144" s="88"/>
      <c r="AA144" s="114"/>
      <c r="AB144" s="114"/>
      <c r="AC144" s="114"/>
      <c r="AD144" s="114"/>
      <c r="AE144" s="114"/>
      <c r="AF144" s="114"/>
      <c r="AG144" s="133"/>
      <c r="AH144" s="114"/>
      <c r="AI144" s="114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14"/>
      <c r="BB144" s="114"/>
      <c r="BC144" s="133"/>
      <c r="BD144" s="133"/>
      <c r="BE144" s="88"/>
      <c r="BF144" s="421">
        <f t="shared" si="19"/>
        <v>0</v>
      </c>
      <c r="BG144" s="421">
        <f>BF144</f>
        <v>0</v>
      </c>
      <c r="BH144" s="49">
        <f>BF144</f>
        <v>0</v>
      </c>
      <c r="BI144" s="49"/>
      <c r="BJ144" s="49"/>
      <c r="BK144" s="49"/>
      <c r="BL144" s="49">
        <f>BF144-BR144</f>
        <v>0</v>
      </c>
      <c r="BM144" s="135"/>
      <c r="BN144" s="135"/>
      <c r="BO144" s="114"/>
      <c r="BP144" s="135"/>
      <c r="BQ144" s="114"/>
      <c r="BR144" s="133"/>
      <c r="BS144" s="52"/>
      <c r="BT144" s="114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502">
        <f t="shared" si="20"/>
        <v>0</v>
      </c>
      <c r="CL144" s="46"/>
      <c r="CM144" s="46"/>
      <c r="CN144" s="46"/>
      <c r="CO144" s="46"/>
      <c r="CP144" s="46"/>
      <c r="CQ144" s="46"/>
      <c r="CR144" s="46"/>
      <c r="CS144" s="46"/>
      <c r="CT144" s="502">
        <f t="shared" si="21"/>
        <v>0</v>
      </c>
    </row>
    <row r="145" spans="1:98" s="642" customFormat="1" ht="17.25" thickBot="1">
      <c r="A145" s="422"/>
      <c r="B145" s="652"/>
      <c r="C145" s="133"/>
      <c r="D145" s="133"/>
      <c r="E145" s="133"/>
      <c r="F145" s="133"/>
      <c r="G145" s="133"/>
      <c r="H145" s="133"/>
      <c r="I145" s="88"/>
      <c r="J145" s="556"/>
      <c r="K145" s="556"/>
      <c r="L145" s="556"/>
      <c r="M145" s="556"/>
      <c r="N145" s="556"/>
      <c r="O145" s="556"/>
      <c r="P145" s="556"/>
      <c r="Q145" s="556"/>
      <c r="R145" s="556"/>
      <c r="S145" s="114"/>
      <c r="T145" s="114"/>
      <c r="U145" s="133"/>
      <c r="V145" s="133"/>
      <c r="W145" s="133"/>
      <c r="X145" s="133"/>
      <c r="Y145" s="114"/>
      <c r="Z145" s="88"/>
      <c r="AA145" s="114"/>
      <c r="AB145" s="114"/>
      <c r="AC145" s="114"/>
      <c r="AD145" s="114"/>
      <c r="AE145" s="114"/>
      <c r="AF145" s="114"/>
      <c r="AG145" s="133"/>
      <c r="AH145" s="114"/>
      <c r="AI145" s="114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14"/>
      <c r="BB145" s="114"/>
      <c r="BC145" s="133"/>
      <c r="BD145" s="133"/>
      <c r="BE145" s="88"/>
      <c r="BF145" s="421"/>
      <c r="BG145" s="421"/>
      <c r="BH145" s="49"/>
      <c r="BI145" s="49"/>
      <c r="BJ145" s="49"/>
      <c r="BK145" s="49"/>
      <c r="BL145" s="49"/>
      <c r="BM145" s="135"/>
      <c r="BN145" s="135"/>
      <c r="BO145" s="114"/>
      <c r="BP145" s="135"/>
      <c r="BQ145" s="114"/>
      <c r="BR145" s="133"/>
      <c r="BS145" s="52"/>
      <c r="BT145" s="114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02"/>
      <c r="CL145" s="46"/>
      <c r="CM145" s="46"/>
      <c r="CN145" s="46"/>
      <c r="CO145" s="46"/>
      <c r="CP145" s="46"/>
      <c r="CQ145" s="46"/>
      <c r="CR145" s="46"/>
      <c r="CS145" s="46"/>
      <c r="CT145" s="502"/>
    </row>
    <row r="146" spans="1:98" s="25" customFormat="1" ht="17.25" thickBot="1">
      <c r="A146" s="1219" t="s">
        <v>939</v>
      </c>
      <c r="B146" s="1220"/>
      <c r="C146" s="1220"/>
      <c r="D146" s="1220"/>
      <c r="E146" s="1220"/>
      <c r="F146" s="1220"/>
      <c r="G146" s="1220"/>
      <c r="H146" s="1221"/>
      <c r="I146" s="657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88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88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</row>
    <row r="147" spans="1:98" s="25" customFormat="1" ht="33">
      <c r="A147" s="1242" t="s">
        <v>823</v>
      </c>
      <c r="B147" s="433" t="s">
        <v>824</v>
      </c>
      <c r="C147" s="423" t="s">
        <v>828</v>
      </c>
      <c r="D147" s="423">
        <f>(0.16+0.3)*1.2*6</f>
        <v>3.3119999999999994</v>
      </c>
      <c r="E147" s="423"/>
      <c r="F147" s="423" t="s">
        <v>5</v>
      </c>
      <c r="G147" s="433"/>
      <c r="H147" s="61"/>
      <c r="I147" s="657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88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88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</row>
    <row r="148" spans="1:98" s="25" customFormat="1" ht="33">
      <c r="A148" s="1243"/>
      <c r="B148" s="432" t="s">
        <v>825</v>
      </c>
      <c r="C148" s="290"/>
      <c r="D148" s="290">
        <v>2</v>
      </c>
      <c r="E148" s="290"/>
      <c r="F148" s="290" t="s">
        <v>5</v>
      </c>
      <c r="G148" s="432"/>
      <c r="H148" s="58"/>
      <c r="I148" s="657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88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88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</row>
    <row r="149" spans="1:98" s="25" customFormat="1" ht="33">
      <c r="A149" s="1243"/>
      <c r="B149" s="432" t="s">
        <v>826</v>
      </c>
      <c r="C149" s="290" t="s">
        <v>827</v>
      </c>
      <c r="D149" s="290">
        <f>1.8*0.95/2*2+0.3*0.16*2*6</f>
        <v>2.286</v>
      </c>
      <c r="E149" s="290"/>
      <c r="F149" s="290" t="s">
        <v>5</v>
      </c>
      <c r="G149" s="432"/>
      <c r="H149" s="58"/>
      <c r="I149" s="657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88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88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</row>
    <row r="150" spans="1:98" s="25" customFormat="1">
      <c r="A150" s="1243"/>
      <c r="B150" s="432" t="s">
        <v>606</v>
      </c>
      <c r="C150" s="290" t="s">
        <v>454</v>
      </c>
      <c r="D150" s="290">
        <f>1.5+4+2</f>
        <v>7.5</v>
      </c>
      <c r="E150" s="290"/>
      <c r="F150" s="290" t="s">
        <v>1</v>
      </c>
      <c r="G150" s="432"/>
      <c r="H150" s="58"/>
      <c r="I150" s="657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88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88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</row>
    <row r="151" spans="1:98" s="25" customFormat="1">
      <c r="A151" s="1243"/>
      <c r="B151" s="432"/>
      <c r="C151" s="290"/>
      <c r="D151" s="290"/>
      <c r="E151" s="290"/>
      <c r="F151" s="290"/>
      <c r="G151" s="432"/>
      <c r="H151" s="58"/>
      <c r="I151" s="657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88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88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</row>
    <row r="152" spans="1:98" s="25" customFormat="1">
      <c r="A152" s="1243"/>
      <c r="B152" s="432"/>
      <c r="C152" s="290"/>
      <c r="D152" s="290"/>
      <c r="E152" s="290"/>
      <c r="F152" s="290"/>
      <c r="G152" s="432"/>
      <c r="H152" s="58"/>
      <c r="I152" s="657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88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88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</row>
    <row r="153" spans="1:98" s="25" customFormat="1" ht="17.25" thickBot="1">
      <c r="A153" s="1244"/>
      <c r="B153" s="695"/>
      <c r="C153" s="425"/>
      <c r="D153" s="425"/>
      <c r="E153" s="425"/>
      <c r="F153" s="425"/>
      <c r="G153" s="695"/>
      <c r="H153" s="438"/>
      <c r="I153" s="657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88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88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</row>
    <row r="154" spans="1:98" s="25" customFormat="1" ht="33">
      <c r="A154" s="1245" t="s">
        <v>753</v>
      </c>
      <c r="B154" s="696" t="s">
        <v>622</v>
      </c>
      <c r="C154" s="423" t="s">
        <v>821</v>
      </c>
      <c r="D154" s="423"/>
      <c r="E154" s="423"/>
      <c r="F154" s="423" t="s">
        <v>5</v>
      </c>
      <c r="G154" s="433"/>
      <c r="H154" s="61"/>
      <c r="I154" s="657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88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88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</row>
    <row r="155" spans="1:98" s="25" customFormat="1" ht="33">
      <c r="A155" s="1246"/>
      <c r="B155" s="697" t="s">
        <v>633</v>
      </c>
      <c r="C155" s="290"/>
      <c r="D155" s="290"/>
      <c r="E155" s="290"/>
      <c r="F155" s="290" t="s">
        <v>5</v>
      </c>
      <c r="G155" s="432"/>
      <c r="H155" s="58"/>
      <c r="I155" s="657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88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88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</row>
    <row r="156" spans="1:98" s="25" customFormat="1" ht="33">
      <c r="A156" s="1246"/>
      <c r="B156" s="697" t="s">
        <v>624</v>
      </c>
      <c r="C156" s="290"/>
      <c r="D156" s="290"/>
      <c r="E156" s="290"/>
      <c r="F156" s="290" t="s">
        <v>5</v>
      </c>
      <c r="G156" s="432"/>
      <c r="H156" s="58"/>
      <c r="I156" s="657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88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88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</row>
    <row r="157" spans="1:98" s="25" customFormat="1">
      <c r="A157" s="1246"/>
      <c r="B157" s="697" t="s">
        <v>606</v>
      </c>
      <c r="C157" s="290"/>
      <c r="D157" s="290"/>
      <c r="E157" s="290"/>
      <c r="F157" s="290" t="s">
        <v>1</v>
      </c>
      <c r="G157" s="432"/>
      <c r="H157" s="58"/>
      <c r="I157" s="657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88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88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</row>
    <row r="158" spans="1:98" s="25" customFormat="1">
      <c r="A158" s="1246"/>
      <c r="B158" s="697"/>
      <c r="C158" s="290"/>
      <c r="D158" s="290"/>
      <c r="E158" s="290"/>
      <c r="F158" s="290"/>
      <c r="G158" s="432"/>
      <c r="H158" s="58"/>
      <c r="I158" s="657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88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88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</row>
    <row r="159" spans="1:98" s="25" customFormat="1">
      <c r="A159" s="1246"/>
      <c r="B159" s="697"/>
      <c r="C159" s="290"/>
      <c r="D159" s="290"/>
      <c r="E159" s="290"/>
      <c r="F159" s="290"/>
      <c r="G159" s="432"/>
      <c r="H159" s="58"/>
      <c r="I159" s="657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88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88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</row>
    <row r="160" spans="1:98" s="25" customFormat="1" ht="17.25" thickBot="1">
      <c r="A160" s="1247"/>
      <c r="B160" s="698"/>
      <c r="C160" s="425"/>
      <c r="D160" s="425"/>
      <c r="E160" s="425"/>
      <c r="F160" s="425"/>
      <c r="G160" s="695"/>
      <c r="H160" s="438"/>
      <c r="I160" s="657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88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88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</row>
    <row r="161" spans="1:98" s="642" customFormat="1" ht="17.25" thickBot="1">
      <c r="A161" s="422"/>
      <c r="B161" s="652"/>
      <c r="C161" s="133"/>
      <c r="D161" s="133"/>
      <c r="E161" s="133"/>
      <c r="F161" s="133"/>
      <c r="G161" s="133"/>
      <c r="H161" s="133"/>
      <c r="I161" s="88"/>
      <c r="J161" s="556"/>
      <c r="K161" s="556"/>
      <c r="L161" s="556"/>
      <c r="M161" s="556"/>
      <c r="N161" s="556"/>
      <c r="O161" s="556"/>
      <c r="P161" s="556"/>
      <c r="Q161" s="556"/>
      <c r="R161" s="556"/>
      <c r="S161" s="114"/>
      <c r="T161" s="114"/>
      <c r="U161" s="133"/>
      <c r="V161" s="133"/>
      <c r="W161" s="133"/>
      <c r="X161" s="133"/>
      <c r="Y161" s="114"/>
      <c r="Z161" s="88"/>
      <c r="AA161" s="114"/>
      <c r="AB161" s="114"/>
      <c r="AC161" s="114"/>
      <c r="AD161" s="114"/>
      <c r="AE161" s="114"/>
      <c r="AF161" s="114"/>
      <c r="AG161" s="133"/>
      <c r="AH161" s="114"/>
      <c r="AI161" s="114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14"/>
      <c r="BB161" s="114"/>
      <c r="BC161" s="133"/>
      <c r="BD161" s="133"/>
      <c r="BE161" s="88"/>
      <c r="BF161" s="421"/>
      <c r="BG161" s="421"/>
      <c r="BH161" s="49"/>
      <c r="BI161" s="49"/>
      <c r="BJ161" s="49"/>
      <c r="BK161" s="49"/>
      <c r="BL161" s="49"/>
      <c r="BM161" s="135"/>
      <c r="BN161" s="135"/>
      <c r="BO161" s="114"/>
      <c r="BP161" s="135"/>
      <c r="BQ161" s="114"/>
      <c r="BR161" s="133"/>
      <c r="BS161" s="52"/>
      <c r="BT161" s="114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502"/>
      <c r="CL161" s="46"/>
      <c r="CM161" s="46"/>
      <c r="CN161" s="46"/>
      <c r="CO161" s="46"/>
      <c r="CP161" s="46"/>
      <c r="CQ161" s="46"/>
      <c r="CR161" s="46"/>
      <c r="CS161" s="46"/>
      <c r="CT161" s="502"/>
    </row>
    <row r="162" spans="1:98" s="25" customFormat="1" ht="33">
      <c r="A162" s="1224" t="s">
        <v>513</v>
      </c>
      <c r="B162" s="436" t="s">
        <v>619</v>
      </c>
      <c r="C162" s="436"/>
      <c r="D162" s="956">
        <f>D147+D154</f>
        <v>3.3119999999999994</v>
      </c>
      <c r="E162" s="426"/>
      <c r="F162" s="426" t="s">
        <v>5</v>
      </c>
      <c r="G162" s="426"/>
      <c r="H162" s="61"/>
      <c r="I162" s="657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88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88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</row>
    <row r="163" spans="1:98" s="25" customFormat="1" ht="33">
      <c r="A163" s="1225"/>
      <c r="B163" s="435" t="s">
        <v>620</v>
      </c>
      <c r="C163" s="435"/>
      <c r="D163" s="941">
        <f>+D148+D155</f>
        <v>2</v>
      </c>
      <c r="E163" s="427"/>
      <c r="F163" s="427" t="s">
        <v>5</v>
      </c>
      <c r="G163" s="427"/>
      <c r="H163" s="58"/>
      <c r="I163" s="657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88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88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</row>
    <row r="164" spans="1:98" s="25" customFormat="1" ht="33">
      <c r="A164" s="1225"/>
      <c r="B164" s="435" t="s">
        <v>621</v>
      </c>
      <c r="C164" s="435"/>
      <c r="D164" s="941">
        <f>+D149+D156</f>
        <v>2.286</v>
      </c>
      <c r="E164" s="427"/>
      <c r="F164" s="427" t="s">
        <v>5</v>
      </c>
      <c r="G164" s="427"/>
      <c r="H164" s="58"/>
      <c r="I164" s="657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88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88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</row>
    <row r="165" spans="1:98" s="25" customFormat="1">
      <c r="A165" s="1225"/>
      <c r="B165" s="435" t="s">
        <v>606</v>
      </c>
      <c r="C165" s="435"/>
      <c r="D165" s="941">
        <f>+D150+D157</f>
        <v>7.5</v>
      </c>
      <c r="E165" s="427"/>
      <c r="F165" s="427" t="s">
        <v>1</v>
      </c>
      <c r="G165" s="427"/>
      <c r="H165" s="58"/>
      <c r="I165" s="657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88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88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</row>
    <row r="166" spans="1:98" s="25" customFormat="1" ht="17.25" thickBot="1">
      <c r="A166" s="1226"/>
      <c r="B166" s="626"/>
      <c r="C166" s="626"/>
      <c r="D166" s="625"/>
      <c r="E166" s="625"/>
      <c r="F166" s="625"/>
      <c r="G166" s="625"/>
      <c r="H166" s="438"/>
      <c r="I166" s="657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88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88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</row>
    <row r="167" spans="1:98" s="642" customFormat="1">
      <c r="A167" s="422"/>
      <c r="B167" s="652"/>
      <c r="C167" s="133"/>
      <c r="D167" s="133"/>
      <c r="E167" s="133"/>
      <c r="F167" s="133"/>
      <c r="G167" s="133"/>
      <c r="H167" s="133"/>
      <c r="I167" s="88"/>
      <c r="J167" s="556"/>
      <c r="K167" s="556"/>
      <c r="L167" s="556"/>
      <c r="M167" s="556"/>
      <c r="N167" s="556"/>
      <c r="O167" s="556"/>
      <c r="P167" s="556"/>
      <c r="Q167" s="556"/>
      <c r="R167" s="556"/>
      <c r="S167" s="114"/>
      <c r="T167" s="114"/>
      <c r="U167" s="133"/>
      <c r="V167" s="133"/>
      <c r="W167" s="133"/>
      <c r="X167" s="133"/>
      <c r="Y167" s="114"/>
      <c r="Z167" s="88"/>
      <c r="AA167" s="114"/>
      <c r="AB167" s="114"/>
      <c r="AC167" s="114"/>
      <c r="AD167" s="114"/>
      <c r="AE167" s="114"/>
      <c r="AF167" s="114"/>
      <c r="AG167" s="133"/>
      <c r="AH167" s="114"/>
      <c r="AI167" s="114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14"/>
      <c r="BB167" s="114"/>
      <c r="BC167" s="133"/>
      <c r="BD167" s="133"/>
      <c r="BE167" s="88"/>
      <c r="BF167" s="421"/>
      <c r="BG167" s="421"/>
      <c r="BH167" s="49"/>
      <c r="BI167" s="49"/>
      <c r="BJ167" s="49"/>
      <c r="BK167" s="49"/>
      <c r="BL167" s="49"/>
      <c r="BM167" s="135"/>
      <c r="BN167" s="135"/>
      <c r="BO167" s="114"/>
      <c r="BP167" s="135"/>
      <c r="BQ167" s="114"/>
      <c r="BR167" s="133"/>
      <c r="BS167" s="52"/>
      <c r="BT167" s="114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502"/>
      <c r="CL167" s="46"/>
      <c r="CM167" s="46"/>
      <c r="CN167" s="46"/>
      <c r="CO167" s="46"/>
      <c r="CP167" s="46"/>
      <c r="CQ167" s="46"/>
      <c r="CR167" s="46"/>
      <c r="CS167" s="46"/>
      <c r="CT167" s="502"/>
    </row>
    <row r="168" spans="1:98" s="642" customFormat="1">
      <c r="A168" s="422"/>
      <c r="B168" s="652"/>
      <c r="C168" s="133"/>
      <c r="D168" s="133"/>
      <c r="E168" s="133"/>
      <c r="F168" s="133"/>
      <c r="G168" s="133"/>
      <c r="H168" s="133"/>
      <c r="I168" s="88"/>
      <c r="J168" s="556"/>
      <c r="K168" s="556"/>
      <c r="L168" s="556"/>
      <c r="M168" s="556"/>
      <c r="N168" s="556"/>
      <c r="O168" s="556"/>
      <c r="P168" s="556"/>
      <c r="Q168" s="556"/>
      <c r="R168" s="556"/>
      <c r="S168" s="114"/>
      <c r="T168" s="114"/>
      <c r="U168" s="133"/>
      <c r="V168" s="133"/>
      <c r="W168" s="133"/>
      <c r="X168" s="133"/>
      <c r="Y168" s="114"/>
      <c r="Z168" s="88"/>
      <c r="AA168" s="114"/>
      <c r="AB168" s="114"/>
      <c r="AC168" s="114"/>
      <c r="AD168" s="114"/>
      <c r="AE168" s="114"/>
      <c r="AF168" s="114"/>
      <c r="AG168" s="133"/>
      <c r="AH168" s="114"/>
      <c r="AI168" s="114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14"/>
      <c r="BB168" s="114"/>
      <c r="BC168" s="133"/>
      <c r="BD168" s="133"/>
      <c r="BE168" s="88"/>
      <c r="BF168" s="421"/>
      <c r="BG168" s="421"/>
      <c r="BH168" s="49"/>
      <c r="BI168" s="49"/>
      <c r="BJ168" s="49"/>
      <c r="BK168" s="49"/>
      <c r="BL168" s="49"/>
      <c r="BM168" s="135"/>
      <c r="BN168" s="135"/>
      <c r="BO168" s="114"/>
      <c r="BP168" s="135"/>
      <c r="BQ168" s="114"/>
      <c r="BR168" s="133"/>
      <c r="BS168" s="52"/>
      <c r="BT168" s="114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502"/>
      <c r="CL168" s="46"/>
      <c r="CM168" s="46"/>
      <c r="CN168" s="46"/>
      <c r="CO168" s="46"/>
      <c r="CP168" s="46"/>
      <c r="CQ168" s="46"/>
      <c r="CR168" s="46"/>
      <c r="CS168" s="46"/>
      <c r="CT168" s="502"/>
    </row>
    <row r="169" spans="1:98" s="642" customFormat="1">
      <c r="A169" s="422"/>
      <c r="B169" s="652"/>
      <c r="C169" s="133"/>
      <c r="D169" s="133"/>
      <c r="E169" s="133"/>
      <c r="F169" s="133"/>
      <c r="G169" s="133"/>
      <c r="H169" s="133"/>
      <c r="I169" s="88"/>
      <c r="J169" s="556"/>
      <c r="K169" s="556"/>
      <c r="L169" s="556"/>
      <c r="M169" s="556"/>
      <c r="N169" s="556"/>
      <c r="O169" s="556"/>
      <c r="P169" s="556"/>
      <c r="Q169" s="556"/>
      <c r="R169" s="556"/>
      <c r="S169" s="114"/>
      <c r="T169" s="114"/>
      <c r="U169" s="133"/>
      <c r="V169" s="133"/>
      <c r="W169" s="133"/>
      <c r="X169" s="133"/>
      <c r="Y169" s="114"/>
      <c r="Z169" s="88"/>
      <c r="AA169" s="114"/>
      <c r="AB169" s="114"/>
      <c r="AC169" s="114"/>
      <c r="AD169" s="114"/>
      <c r="AE169" s="114"/>
      <c r="AF169" s="114"/>
      <c r="AG169" s="133"/>
      <c r="AH169" s="114"/>
      <c r="AI169" s="114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14"/>
      <c r="BB169" s="114"/>
      <c r="BC169" s="133"/>
      <c r="BD169" s="133"/>
      <c r="BE169" s="88"/>
      <c r="BF169" s="421"/>
      <c r="BG169" s="421"/>
      <c r="BH169" s="49"/>
      <c r="BI169" s="49"/>
      <c r="BJ169" s="49"/>
      <c r="BK169" s="49"/>
      <c r="BL169" s="49"/>
      <c r="BM169" s="135"/>
      <c r="BN169" s="135"/>
      <c r="BO169" s="114"/>
      <c r="BP169" s="135"/>
      <c r="BQ169" s="114"/>
      <c r="BR169" s="133"/>
      <c r="BS169" s="52"/>
      <c r="BT169" s="114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502"/>
      <c r="CL169" s="46"/>
      <c r="CM169" s="46"/>
      <c r="CN169" s="46"/>
      <c r="CO169" s="46"/>
      <c r="CP169" s="46"/>
      <c r="CQ169" s="46"/>
      <c r="CR169" s="46"/>
      <c r="CS169" s="46"/>
      <c r="CT169" s="502"/>
    </row>
    <row r="170" spans="1:98" s="25" customFormat="1">
      <c r="A170" s="71"/>
      <c r="B170" s="65"/>
      <c r="C170" s="20"/>
      <c r="D170" s="20"/>
      <c r="E170" s="20"/>
      <c r="F170" s="20"/>
      <c r="G170" s="20"/>
      <c r="H170" s="20"/>
      <c r="I170" s="557">
        <f t="shared" ref="I170:AN170" si="22">SUM(I137:I169)</f>
        <v>268.79500000000002</v>
      </c>
      <c r="J170" s="19">
        <f t="shared" si="22"/>
        <v>0</v>
      </c>
      <c r="K170" s="19">
        <f t="shared" si="22"/>
        <v>0</v>
      </c>
      <c r="L170" s="19">
        <f t="shared" si="22"/>
        <v>0</v>
      </c>
      <c r="M170" s="19">
        <f t="shared" si="22"/>
        <v>272.60500000000002</v>
      </c>
      <c r="N170" s="19">
        <f t="shared" si="22"/>
        <v>272.60500000000002</v>
      </c>
      <c r="O170" s="19">
        <f t="shared" si="22"/>
        <v>0</v>
      </c>
      <c r="P170" s="19">
        <f t="shared" si="22"/>
        <v>0</v>
      </c>
      <c r="Q170" s="19">
        <f t="shared" si="22"/>
        <v>0</v>
      </c>
      <c r="R170" s="19">
        <f t="shared" si="22"/>
        <v>0</v>
      </c>
      <c r="S170" s="19">
        <f t="shared" si="22"/>
        <v>0</v>
      </c>
      <c r="T170" s="19">
        <f t="shared" si="22"/>
        <v>0</v>
      </c>
      <c r="U170" s="19">
        <f t="shared" si="22"/>
        <v>0</v>
      </c>
      <c r="V170" s="19">
        <f t="shared" si="22"/>
        <v>0</v>
      </c>
      <c r="W170" s="19">
        <f t="shared" si="22"/>
        <v>0</v>
      </c>
      <c r="X170" s="19">
        <f t="shared" si="22"/>
        <v>0</v>
      </c>
      <c r="Y170" s="19">
        <f t="shared" si="22"/>
        <v>0</v>
      </c>
      <c r="Z170" s="557">
        <f t="shared" si="22"/>
        <v>268.79500000000002</v>
      </c>
      <c r="AA170" s="19">
        <f t="shared" si="22"/>
        <v>0</v>
      </c>
      <c r="AB170" s="19">
        <f t="shared" si="22"/>
        <v>0</v>
      </c>
      <c r="AC170" s="19">
        <f t="shared" si="22"/>
        <v>0</v>
      </c>
      <c r="AD170" s="19">
        <f t="shared" si="22"/>
        <v>0</v>
      </c>
      <c r="AE170" s="19">
        <f t="shared" si="22"/>
        <v>0</v>
      </c>
      <c r="AF170" s="19">
        <f t="shared" si="22"/>
        <v>0</v>
      </c>
      <c r="AG170" s="19">
        <f t="shared" si="22"/>
        <v>0</v>
      </c>
      <c r="AH170" s="19">
        <f t="shared" si="22"/>
        <v>0</v>
      </c>
      <c r="AI170" s="19">
        <f t="shared" si="22"/>
        <v>272.60500000000002</v>
      </c>
      <c r="AJ170" s="19">
        <f t="shared" si="22"/>
        <v>0</v>
      </c>
      <c r="AK170" s="19">
        <f t="shared" si="22"/>
        <v>0</v>
      </c>
      <c r="AL170" s="19">
        <f t="shared" si="22"/>
        <v>272.60500000000002</v>
      </c>
      <c r="AM170" s="19">
        <f t="shared" si="22"/>
        <v>0</v>
      </c>
      <c r="AN170" s="19">
        <f t="shared" si="22"/>
        <v>0</v>
      </c>
      <c r="AO170" s="19">
        <f t="shared" ref="AO170:BT170" si="23">SUM(AO137:AO169)</f>
        <v>0</v>
      </c>
      <c r="AP170" s="19">
        <f t="shared" si="23"/>
        <v>0</v>
      </c>
      <c r="AQ170" s="19">
        <f t="shared" si="23"/>
        <v>0</v>
      </c>
      <c r="AR170" s="19">
        <f t="shared" si="23"/>
        <v>0</v>
      </c>
      <c r="AS170" s="19">
        <f t="shared" si="23"/>
        <v>0</v>
      </c>
      <c r="AT170" s="19">
        <f t="shared" si="23"/>
        <v>0</v>
      </c>
      <c r="AU170" s="19">
        <f t="shared" si="23"/>
        <v>0</v>
      </c>
      <c r="AV170" s="19">
        <f t="shared" si="23"/>
        <v>0</v>
      </c>
      <c r="AW170" s="19">
        <f t="shared" si="23"/>
        <v>0</v>
      </c>
      <c r="AX170" s="19">
        <f t="shared" si="23"/>
        <v>0</v>
      </c>
      <c r="AY170" s="19">
        <f t="shared" si="23"/>
        <v>0</v>
      </c>
      <c r="AZ170" s="19">
        <f t="shared" si="23"/>
        <v>0</v>
      </c>
      <c r="BA170" s="19">
        <f t="shared" si="23"/>
        <v>0</v>
      </c>
      <c r="BB170" s="19">
        <f t="shared" si="23"/>
        <v>0</v>
      </c>
      <c r="BC170" s="19">
        <f t="shared" si="23"/>
        <v>0</v>
      </c>
      <c r="BD170" s="19">
        <f t="shared" si="23"/>
        <v>0</v>
      </c>
      <c r="BE170" s="557">
        <f t="shared" si="23"/>
        <v>679.87999999999988</v>
      </c>
      <c r="BF170" s="557">
        <f t="shared" si="23"/>
        <v>666.23</v>
      </c>
      <c r="BG170" s="19">
        <f t="shared" si="23"/>
        <v>666.23</v>
      </c>
      <c r="BH170" s="19">
        <f t="shared" si="23"/>
        <v>666.23</v>
      </c>
      <c r="BI170" s="19">
        <f t="shared" si="23"/>
        <v>0</v>
      </c>
      <c r="BJ170" s="19">
        <f t="shared" si="23"/>
        <v>0</v>
      </c>
      <c r="BK170" s="19">
        <f t="shared" si="23"/>
        <v>0</v>
      </c>
      <c r="BL170" s="19">
        <f t="shared" si="23"/>
        <v>666.23</v>
      </c>
      <c r="BM170" s="19">
        <f t="shared" si="23"/>
        <v>0</v>
      </c>
      <c r="BN170" s="19">
        <f t="shared" si="23"/>
        <v>0</v>
      </c>
      <c r="BO170" s="19">
        <f t="shared" si="23"/>
        <v>0</v>
      </c>
      <c r="BP170" s="19">
        <f t="shared" si="23"/>
        <v>0</v>
      </c>
      <c r="BQ170" s="19">
        <f t="shared" si="23"/>
        <v>0</v>
      </c>
      <c r="BR170" s="19">
        <f t="shared" si="23"/>
        <v>0</v>
      </c>
      <c r="BS170" s="19">
        <f t="shared" si="23"/>
        <v>0</v>
      </c>
      <c r="BT170" s="19">
        <f t="shared" si="23"/>
        <v>0</v>
      </c>
      <c r="BU170" s="881">
        <f t="shared" ref="BU170:CJ170" si="24">SUM(BU137:BU169)</f>
        <v>0</v>
      </c>
      <c r="BV170" s="881">
        <f t="shared" si="24"/>
        <v>0</v>
      </c>
      <c r="BW170" s="881">
        <f t="shared" si="24"/>
        <v>0</v>
      </c>
      <c r="BX170" s="881">
        <f t="shared" si="24"/>
        <v>0</v>
      </c>
      <c r="BY170" s="881">
        <f t="shared" si="24"/>
        <v>0</v>
      </c>
      <c r="BZ170" s="881">
        <f t="shared" si="24"/>
        <v>0</v>
      </c>
      <c r="CA170" s="881">
        <f t="shared" si="24"/>
        <v>0</v>
      </c>
      <c r="CB170" s="881">
        <f t="shared" si="24"/>
        <v>0</v>
      </c>
      <c r="CC170" s="881">
        <f t="shared" si="24"/>
        <v>0</v>
      </c>
      <c r="CD170" s="881">
        <f t="shared" si="24"/>
        <v>0</v>
      </c>
      <c r="CE170" s="881">
        <f t="shared" si="24"/>
        <v>0</v>
      </c>
      <c r="CF170" s="881">
        <f t="shared" si="24"/>
        <v>13.65</v>
      </c>
      <c r="CG170" s="881">
        <f t="shared" si="24"/>
        <v>0</v>
      </c>
      <c r="CH170" s="881">
        <f t="shared" si="24"/>
        <v>0</v>
      </c>
      <c r="CI170" s="881">
        <f t="shared" si="24"/>
        <v>0</v>
      </c>
      <c r="CJ170" s="881">
        <f t="shared" si="24"/>
        <v>0</v>
      </c>
      <c r="CK170" s="557"/>
      <c r="CL170" s="881">
        <f t="shared" ref="CL170:CS170" si="25">SUM(CL137:CL169)</f>
        <v>0</v>
      </c>
      <c r="CM170" s="881">
        <f t="shared" si="25"/>
        <v>0</v>
      </c>
      <c r="CN170" s="881">
        <f t="shared" si="25"/>
        <v>0</v>
      </c>
      <c r="CO170" s="881">
        <f t="shared" si="25"/>
        <v>0</v>
      </c>
      <c r="CP170" s="881">
        <f t="shared" si="25"/>
        <v>0</v>
      </c>
      <c r="CQ170" s="881">
        <f t="shared" si="25"/>
        <v>0</v>
      </c>
      <c r="CR170" s="881">
        <f t="shared" si="25"/>
        <v>0</v>
      </c>
      <c r="CS170" s="19">
        <f t="shared" si="25"/>
        <v>0</v>
      </c>
      <c r="CT170" s="557"/>
    </row>
    <row r="171" spans="1:98" s="642" customFormat="1">
      <c r="A171" s="422"/>
      <c r="B171" s="652"/>
      <c r="C171" s="133"/>
      <c r="D171" s="630"/>
      <c r="E171" s="133"/>
      <c r="F171" s="133"/>
      <c r="G171" s="133"/>
      <c r="H171" s="133"/>
      <c r="I171" s="703"/>
      <c r="J171" s="556"/>
      <c r="K171" s="925"/>
      <c r="L171" s="556"/>
      <c r="M171" s="925"/>
      <c r="N171" s="925"/>
      <c r="O171" s="925"/>
      <c r="P171" s="556"/>
      <c r="Q171" s="556"/>
      <c r="R171" s="925"/>
      <c r="S171" s="925"/>
      <c r="T171" s="133"/>
      <c r="U171" s="954"/>
      <c r="V171" s="133"/>
      <c r="W171" s="133"/>
      <c r="X171" s="925"/>
      <c r="Y171" s="114"/>
      <c r="Z171" s="703"/>
      <c r="AA171" s="943"/>
      <c r="AB171" s="943"/>
      <c r="AC171" s="943"/>
      <c r="AD171" s="114"/>
      <c r="AE171" s="114"/>
      <c r="AF171" s="943"/>
      <c r="AG171" s="133"/>
      <c r="AH171" s="114"/>
      <c r="AI171" s="943"/>
      <c r="AJ171" s="954"/>
      <c r="AK171" s="630"/>
      <c r="AL171" s="954"/>
      <c r="AM171" s="630"/>
      <c r="AN171" s="630"/>
      <c r="AO171" s="630"/>
      <c r="AP171" s="630"/>
      <c r="AQ171" s="630"/>
      <c r="AR171" s="630"/>
      <c r="AS171" s="630"/>
      <c r="AT171" s="630"/>
      <c r="AU171" s="954"/>
      <c r="AV171" s="133"/>
      <c r="AW171" s="133"/>
      <c r="AX171" s="925"/>
      <c r="AY171" s="133"/>
      <c r="AZ171" s="925"/>
      <c r="BA171" s="925"/>
      <c r="BB171" s="114"/>
      <c r="BC171" s="925"/>
      <c r="BD171" s="925"/>
      <c r="BE171" s="88"/>
      <c r="BF171" s="421"/>
      <c r="BG171" s="928"/>
      <c r="BH171" s="941"/>
      <c r="BI171" s="49"/>
      <c r="BJ171" s="49"/>
      <c r="BK171" s="49"/>
      <c r="BL171" s="941"/>
      <c r="BM171" s="135"/>
      <c r="BN171" s="135"/>
      <c r="BO171" s="114"/>
      <c r="BP171" s="135"/>
      <c r="BQ171" s="943"/>
      <c r="BR171" s="943"/>
      <c r="BS171" s="52"/>
      <c r="BT171" s="114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502"/>
      <c r="CL171" s="46"/>
      <c r="CM171" s="46"/>
      <c r="CN171" s="46"/>
      <c r="CO171" s="46"/>
      <c r="CP171" s="46"/>
      <c r="CQ171" s="46"/>
      <c r="CR171" s="46"/>
      <c r="CS171" s="46"/>
      <c r="CT171" s="502"/>
    </row>
    <row r="172" spans="1:98">
      <c r="A172" s="113"/>
      <c r="B172" s="810" t="s">
        <v>799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398"/>
      <c r="BV172" s="398"/>
      <c r="BW172" s="398"/>
      <c r="BX172" s="398"/>
      <c r="BY172" s="398"/>
      <c r="BZ172" s="398"/>
      <c r="CA172" s="398"/>
      <c r="CB172" s="398"/>
      <c r="CC172" s="398"/>
      <c r="CD172" s="398"/>
      <c r="CE172" s="398"/>
      <c r="CF172" s="398"/>
      <c r="CG172" s="398"/>
      <c r="CH172" s="398"/>
      <c r="CI172" s="928">
        <f>0.9*2.1*1</f>
        <v>1.8900000000000001</v>
      </c>
      <c r="CJ172" s="398"/>
      <c r="CK172" s="398"/>
      <c r="CL172" s="398"/>
      <c r="CM172" s="398"/>
      <c r="CN172" s="398"/>
      <c r="CO172" s="398"/>
      <c r="CP172" s="398"/>
      <c r="CQ172" s="398"/>
      <c r="CR172" s="398"/>
      <c r="CS172" s="398"/>
      <c r="CT172" s="398"/>
    </row>
    <row r="173" spans="1:98" s="642" customFormat="1">
      <c r="A173" s="422"/>
      <c r="B173" s="652"/>
      <c r="C173" s="133"/>
      <c r="D173" s="630"/>
      <c r="E173" s="133"/>
      <c r="F173" s="133"/>
      <c r="G173" s="133"/>
      <c r="H173" s="133"/>
      <c r="I173" s="703"/>
      <c r="J173" s="556"/>
      <c r="K173" s="556"/>
      <c r="L173" s="556"/>
      <c r="M173" s="556"/>
      <c r="N173" s="556"/>
      <c r="O173" s="556"/>
      <c r="P173" s="556"/>
      <c r="Q173" s="556"/>
      <c r="R173" s="133"/>
      <c r="S173" s="133"/>
      <c r="T173" s="133"/>
      <c r="U173" s="630"/>
      <c r="V173" s="133"/>
      <c r="W173" s="133"/>
      <c r="X173" s="133"/>
      <c r="Y173" s="114"/>
      <c r="Z173" s="703"/>
      <c r="AA173" s="114"/>
      <c r="AB173" s="114"/>
      <c r="AC173" s="114"/>
      <c r="AD173" s="114"/>
      <c r="AE173" s="114"/>
      <c r="AF173" s="114"/>
      <c r="AG173" s="133"/>
      <c r="AH173" s="114"/>
      <c r="AI173" s="114"/>
      <c r="AJ173" s="630"/>
      <c r="AK173" s="630"/>
      <c r="AL173" s="630"/>
      <c r="AM173" s="630"/>
      <c r="AN173" s="630"/>
      <c r="AO173" s="630"/>
      <c r="AP173" s="630"/>
      <c r="AQ173" s="630"/>
      <c r="AR173" s="630"/>
      <c r="AS173" s="630"/>
      <c r="AT173" s="630"/>
      <c r="AU173" s="630"/>
      <c r="AV173" s="133"/>
      <c r="AW173" s="133"/>
      <c r="AX173" s="133"/>
      <c r="AY173" s="133"/>
      <c r="AZ173" s="133"/>
      <c r="BA173" s="114"/>
      <c r="BB173" s="114"/>
      <c r="BC173" s="133"/>
      <c r="BD173" s="133"/>
      <c r="BE173" s="88"/>
      <c r="BF173" s="421"/>
      <c r="BG173" s="421"/>
      <c r="BH173" s="49"/>
      <c r="BI173" s="49"/>
      <c r="BJ173" s="49"/>
      <c r="BK173" s="49"/>
      <c r="BL173" s="49"/>
      <c r="BM173" s="135"/>
      <c r="BN173" s="135"/>
      <c r="BO173" s="114"/>
      <c r="BP173" s="135"/>
      <c r="BQ173" s="114"/>
      <c r="BR173" s="133"/>
      <c r="BS173" s="52"/>
      <c r="BT173" s="114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502"/>
      <c r="CL173" s="46"/>
      <c r="CM173" s="46"/>
      <c r="CN173" s="46"/>
      <c r="CO173" s="46"/>
      <c r="CP173" s="46"/>
      <c r="CQ173" s="46"/>
      <c r="CR173" s="46"/>
      <c r="CS173" s="46"/>
      <c r="CT173" s="502"/>
    </row>
    <row r="174" spans="1:98" ht="31.5">
      <c r="A174" s="113"/>
      <c r="B174" s="830" t="s">
        <v>853</v>
      </c>
      <c r="C174" s="62" t="s">
        <v>854</v>
      </c>
      <c r="D174" s="62"/>
      <c r="E174" s="940">
        <f>5.4*4.3*0.25</f>
        <v>5.8049999999999997</v>
      </c>
      <c r="F174" s="62" t="s">
        <v>4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398"/>
      <c r="BV174" s="398"/>
      <c r="BW174" s="398"/>
      <c r="BX174" s="398"/>
      <c r="BY174" s="398"/>
      <c r="BZ174" s="398"/>
      <c r="CA174" s="398"/>
      <c r="CB174" s="398"/>
      <c r="CC174" s="398"/>
      <c r="CD174" s="398"/>
      <c r="CE174" s="398"/>
      <c r="CF174" s="398"/>
      <c r="CG174" s="398"/>
      <c r="CH174" s="398"/>
      <c r="CI174" s="398"/>
      <c r="CJ174" s="398"/>
      <c r="CK174" s="398"/>
      <c r="CL174" s="398"/>
      <c r="CM174" s="398"/>
      <c r="CN174" s="398"/>
      <c r="CO174" s="398"/>
      <c r="CP174" s="398"/>
      <c r="CQ174" s="398"/>
      <c r="CR174" s="398"/>
      <c r="CS174" s="398"/>
      <c r="CT174" s="398"/>
    </row>
    <row r="175" spans="1:98" ht="63">
      <c r="A175" s="113"/>
      <c r="B175" s="830" t="s">
        <v>946</v>
      </c>
      <c r="C175" s="62" t="s">
        <v>948</v>
      </c>
      <c r="D175" s="24"/>
      <c r="E175" s="940">
        <f>2*0.15+3.3*2*0.2</f>
        <v>1.62</v>
      </c>
      <c r="F175" s="62" t="s">
        <v>4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398"/>
      <c r="BV175" s="398"/>
      <c r="BW175" s="398"/>
      <c r="BX175" s="398"/>
      <c r="BY175" s="398"/>
      <c r="BZ175" s="398"/>
      <c r="CA175" s="398"/>
      <c r="CB175" s="398"/>
      <c r="CC175" s="398"/>
      <c r="CD175" s="398"/>
      <c r="CE175" s="398"/>
      <c r="CF175" s="398"/>
      <c r="CG175" s="398"/>
      <c r="CH175" s="398"/>
      <c r="CI175" s="398"/>
      <c r="CJ175" s="398"/>
      <c r="CK175" s="398"/>
      <c r="CL175" s="398"/>
      <c r="CM175" s="398"/>
      <c r="CN175" s="398"/>
      <c r="CO175" s="398"/>
      <c r="CP175" s="398"/>
      <c r="CQ175" s="398"/>
      <c r="CR175" s="398"/>
      <c r="CS175" s="398"/>
      <c r="CT175" s="398"/>
    </row>
    <row r="176" spans="1:98" s="642" customFormat="1" ht="63">
      <c r="A176" s="422"/>
      <c r="B176" s="652" t="s">
        <v>947</v>
      </c>
      <c r="C176" s="133" t="s">
        <v>950</v>
      </c>
      <c r="D176" s="630"/>
      <c r="E176" s="925">
        <v>2</v>
      </c>
      <c r="F176" s="133" t="s">
        <v>2</v>
      </c>
      <c r="G176" s="133"/>
      <c r="H176" s="133"/>
      <c r="I176" s="703"/>
      <c r="J176" s="556"/>
      <c r="K176" s="556"/>
      <c r="L176" s="556"/>
      <c r="M176" s="556"/>
      <c r="N176" s="556"/>
      <c r="O176" s="556"/>
      <c r="P176" s="556"/>
      <c r="Q176" s="556"/>
      <c r="R176" s="133"/>
      <c r="S176" s="133"/>
      <c r="T176" s="133"/>
      <c r="U176" s="630"/>
      <c r="V176" s="133"/>
      <c r="W176" s="133"/>
      <c r="X176" s="133"/>
      <c r="Y176" s="114"/>
      <c r="Z176" s="703"/>
      <c r="AA176" s="114"/>
      <c r="AB176" s="114"/>
      <c r="AC176" s="114"/>
      <c r="AD176" s="114"/>
      <c r="AE176" s="114"/>
      <c r="AF176" s="114"/>
      <c r="AG176" s="133"/>
      <c r="AH176" s="114"/>
      <c r="AI176" s="114"/>
      <c r="AJ176" s="630"/>
      <c r="AK176" s="630"/>
      <c r="AL176" s="630"/>
      <c r="AM176" s="630"/>
      <c r="AN176" s="630"/>
      <c r="AO176" s="630"/>
      <c r="AP176" s="630"/>
      <c r="AQ176" s="630"/>
      <c r="AR176" s="630"/>
      <c r="AS176" s="630"/>
      <c r="AT176" s="630"/>
      <c r="AU176" s="630"/>
      <c r="AV176" s="133"/>
      <c r="AW176" s="133"/>
      <c r="AX176" s="133"/>
      <c r="AY176" s="133"/>
      <c r="AZ176" s="133"/>
      <c r="BA176" s="114"/>
      <c r="BB176" s="114"/>
      <c r="BC176" s="133"/>
      <c r="BD176" s="133"/>
      <c r="BE176" s="88"/>
      <c r="BF176" s="421"/>
      <c r="BG176" s="421"/>
      <c r="BH176" s="49"/>
      <c r="BI176" s="49"/>
      <c r="BJ176" s="49"/>
      <c r="BK176" s="49"/>
      <c r="BL176" s="49"/>
      <c r="BM176" s="135"/>
      <c r="BN176" s="135"/>
      <c r="BO176" s="114"/>
      <c r="BP176" s="135"/>
      <c r="BQ176" s="114"/>
      <c r="BR176" s="133"/>
      <c r="BS176" s="52"/>
      <c r="BT176" s="114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502"/>
      <c r="CL176" s="46"/>
      <c r="CM176" s="46"/>
      <c r="CN176" s="46"/>
      <c r="CO176" s="46"/>
      <c r="CP176" s="46"/>
      <c r="CQ176" s="46"/>
      <c r="CR176" s="46"/>
      <c r="CS176" s="46"/>
      <c r="CT176" s="502"/>
    </row>
    <row r="177" spans="1:98" s="642" customFormat="1">
      <c r="A177" s="422"/>
      <c r="B177" s="652"/>
      <c r="C177" s="133"/>
      <c r="D177" s="630"/>
      <c r="E177" s="133"/>
      <c r="F177" s="133"/>
      <c r="G177" s="133"/>
      <c r="H177" s="133"/>
      <c r="I177" s="703"/>
      <c r="J177" s="556"/>
      <c r="K177" s="556"/>
      <c r="L177" s="556"/>
      <c r="M177" s="556"/>
      <c r="N177" s="556"/>
      <c r="O177" s="556"/>
      <c r="P177" s="556"/>
      <c r="Q177" s="556"/>
      <c r="R177" s="133"/>
      <c r="S177" s="133"/>
      <c r="T177" s="133"/>
      <c r="U177" s="630"/>
      <c r="V177" s="133"/>
      <c r="W177" s="133"/>
      <c r="X177" s="133"/>
      <c r="Y177" s="114"/>
      <c r="Z177" s="703"/>
      <c r="AA177" s="114"/>
      <c r="AB177" s="114"/>
      <c r="AC177" s="114"/>
      <c r="AD177" s="114"/>
      <c r="AE177" s="114"/>
      <c r="AF177" s="114"/>
      <c r="AG177" s="133"/>
      <c r="AH177" s="114"/>
      <c r="AI177" s="114"/>
      <c r="AJ177" s="630"/>
      <c r="AK177" s="630"/>
      <c r="AL177" s="630"/>
      <c r="AM177" s="630"/>
      <c r="AN177" s="630"/>
      <c r="AO177" s="630"/>
      <c r="AP177" s="630"/>
      <c r="AQ177" s="630"/>
      <c r="AR177" s="630"/>
      <c r="AS177" s="630"/>
      <c r="AT177" s="630"/>
      <c r="AU177" s="630"/>
      <c r="AV177" s="133"/>
      <c r="AW177" s="133"/>
      <c r="AX177" s="133"/>
      <c r="AY177" s="133"/>
      <c r="AZ177" s="133"/>
      <c r="BA177" s="114"/>
      <c r="BB177" s="114"/>
      <c r="BC177" s="133"/>
      <c r="BD177" s="133"/>
      <c r="BE177" s="88"/>
      <c r="BF177" s="421"/>
      <c r="BG177" s="421"/>
      <c r="BH177" s="49"/>
      <c r="BI177" s="49"/>
      <c r="BJ177" s="49"/>
      <c r="BK177" s="49"/>
      <c r="BL177" s="49"/>
      <c r="BM177" s="135"/>
      <c r="BN177" s="135"/>
      <c r="BO177" s="114"/>
      <c r="BP177" s="135"/>
      <c r="BQ177" s="114"/>
      <c r="BR177" s="133"/>
      <c r="BS177" s="52"/>
      <c r="BT177" s="114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502"/>
      <c r="CL177" s="46"/>
      <c r="CM177" s="46"/>
      <c r="CN177" s="46"/>
      <c r="CO177" s="46"/>
      <c r="CP177" s="46"/>
      <c r="CQ177" s="46"/>
      <c r="CR177" s="46"/>
      <c r="CS177" s="46"/>
      <c r="CT177" s="502"/>
    </row>
    <row r="178" spans="1:98" s="642" customFormat="1">
      <c r="A178" s="422"/>
      <c r="B178" s="810" t="s">
        <v>975</v>
      </c>
      <c r="C178" s="133"/>
      <c r="D178" s="630"/>
      <c r="E178" s="133"/>
      <c r="F178" s="133"/>
      <c r="G178" s="133"/>
      <c r="H178" s="133"/>
      <c r="I178" s="703"/>
      <c r="J178" s="556"/>
      <c r="K178" s="556"/>
      <c r="L178" s="556"/>
      <c r="M178" s="556"/>
      <c r="N178" s="556"/>
      <c r="O178" s="556"/>
      <c r="P178" s="556"/>
      <c r="Q178" s="556"/>
      <c r="R178" s="133"/>
      <c r="S178" s="133"/>
      <c r="T178" s="133"/>
      <c r="U178" s="630"/>
      <c r="V178" s="133"/>
      <c r="W178" s="133"/>
      <c r="X178" s="133"/>
      <c r="Y178" s="114"/>
      <c r="Z178" s="703"/>
      <c r="AA178" s="114"/>
      <c r="AB178" s="114"/>
      <c r="AC178" s="114"/>
      <c r="AD178" s="114"/>
      <c r="AE178" s="114"/>
      <c r="AF178" s="114"/>
      <c r="AG178" s="133"/>
      <c r="AH178" s="114"/>
      <c r="AI178" s="114"/>
      <c r="AJ178" s="630"/>
      <c r="AK178" s="630"/>
      <c r="AL178" s="630"/>
      <c r="AM178" s="630"/>
      <c r="AN178" s="630"/>
      <c r="AO178" s="630"/>
      <c r="AP178" s="630"/>
      <c r="AQ178" s="630"/>
      <c r="AR178" s="630"/>
      <c r="AS178" s="630"/>
      <c r="AT178" s="630"/>
      <c r="AU178" s="630"/>
      <c r="AV178" s="133"/>
      <c r="AW178" s="133"/>
      <c r="AX178" s="133"/>
      <c r="AY178" s="133"/>
      <c r="AZ178" s="133"/>
      <c r="BA178" s="114"/>
      <c r="BB178" s="114"/>
      <c r="BC178" s="133"/>
      <c r="BD178" s="133"/>
      <c r="BE178" s="88"/>
      <c r="BF178" s="421"/>
      <c r="BG178" s="421"/>
      <c r="BH178" s="49"/>
      <c r="BI178" s="49"/>
      <c r="BJ178" s="49"/>
      <c r="BK178" s="49"/>
      <c r="BL178" s="49"/>
      <c r="BM178" s="135"/>
      <c r="BN178" s="135"/>
      <c r="BO178" s="114"/>
      <c r="BP178" s="135"/>
      <c r="BQ178" s="114"/>
      <c r="BR178" s="133"/>
      <c r="BS178" s="52"/>
      <c r="BT178" s="114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502"/>
      <c r="CL178" s="46"/>
      <c r="CM178" s="46"/>
      <c r="CN178" s="46"/>
      <c r="CO178" s="46"/>
      <c r="CP178" s="46"/>
      <c r="CQ178" s="46"/>
      <c r="CR178" s="46"/>
      <c r="CS178" s="46"/>
      <c r="CT178" s="502"/>
    </row>
    <row r="179" spans="1:98" s="368" customFormat="1">
      <c r="A179" s="1014"/>
      <c r="B179" s="1016" t="s">
        <v>976</v>
      </c>
      <c r="C179" s="556"/>
      <c r="D179" s="1015"/>
      <c r="E179" s="556"/>
      <c r="F179" s="556"/>
      <c r="G179" s="556"/>
      <c r="H179" s="556"/>
      <c r="I179" s="1015"/>
      <c r="J179" s="556"/>
      <c r="K179" s="556"/>
      <c r="L179" s="556"/>
      <c r="M179" s="556"/>
      <c r="N179" s="556"/>
      <c r="O179" s="556"/>
      <c r="P179" s="556"/>
      <c r="Q179" s="556"/>
      <c r="R179" s="556"/>
      <c r="S179" s="556"/>
      <c r="T179" s="556"/>
      <c r="U179" s="1015"/>
      <c r="V179" s="556"/>
      <c r="W179" s="556"/>
      <c r="X179" s="556"/>
      <c r="Y179" s="135"/>
      <c r="Z179" s="1015"/>
      <c r="AA179" s="135"/>
      <c r="AB179" s="135"/>
      <c r="AC179" s="135"/>
      <c r="AD179" s="135"/>
      <c r="AE179" s="135"/>
      <c r="AF179" s="135"/>
      <c r="AG179" s="556"/>
      <c r="AH179" s="135"/>
      <c r="AI179" s="135"/>
      <c r="AJ179" s="1015"/>
      <c r="AK179" s="1015"/>
      <c r="AL179" s="1015"/>
      <c r="AM179" s="1015"/>
      <c r="AN179" s="1015"/>
      <c r="AO179" s="1015"/>
      <c r="AP179" s="1015"/>
      <c r="AQ179" s="1015"/>
      <c r="AR179" s="1015"/>
      <c r="AS179" s="1015"/>
      <c r="AT179" s="1015"/>
      <c r="AU179" s="1015"/>
      <c r="AV179" s="556"/>
      <c r="AW179" s="556"/>
      <c r="AX179" s="556"/>
      <c r="AY179" s="556"/>
      <c r="AZ179" s="556"/>
      <c r="BA179" s="135"/>
      <c r="BB179" s="135"/>
      <c r="BC179" s="556"/>
      <c r="BD179" s="556"/>
      <c r="BE179" s="556"/>
      <c r="BF179" s="421"/>
      <c r="BG179" s="421"/>
      <c r="BH179" s="49"/>
      <c r="BI179" s="49"/>
      <c r="BJ179" s="49"/>
      <c r="BK179" s="49"/>
      <c r="BL179" s="49"/>
      <c r="BM179" s="135"/>
      <c r="BN179" s="135"/>
      <c r="BO179" s="135"/>
      <c r="BP179" s="135"/>
      <c r="BQ179" s="135"/>
      <c r="BR179" s="556"/>
      <c r="BS179" s="647"/>
      <c r="BT179" s="135"/>
      <c r="BU179" s="627"/>
      <c r="BV179" s="627"/>
      <c r="BW179" s="627"/>
      <c r="BX179" s="627"/>
      <c r="BY179" s="627"/>
      <c r="BZ179" s="627"/>
      <c r="CA179" s="627"/>
      <c r="CB179" s="627"/>
      <c r="CC179" s="627"/>
      <c r="CD179" s="627"/>
      <c r="CE179" s="627"/>
      <c r="CF179" s="627"/>
      <c r="CG179" s="627"/>
      <c r="CH179" s="627"/>
      <c r="CI179" s="627"/>
      <c r="CJ179" s="627"/>
      <c r="CK179" s="421"/>
      <c r="CL179" s="627"/>
      <c r="CM179" s="627"/>
      <c r="CN179" s="627"/>
      <c r="CO179" s="627"/>
      <c r="CP179" s="627"/>
      <c r="CQ179" s="627"/>
      <c r="CR179" s="627"/>
      <c r="CS179" s="627"/>
      <c r="CT179" s="421"/>
    </row>
    <row r="180" spans="1:98" s="368" customFormat="1" ht="66.75" customHeight="1">
      <c r="A180" s="1014" t="s">
        <v>334</v>
      </c>
      <c r="B180" s="916">
        <v>6.1</v>
      </c>
      <c r="C180" s="556" t="s">
        <v>978</v>
      </c>
      <c r="D180" s="1015">
        <f>7*2*3.7+    6.1*2*8+   0.5*7*8</f>
        <v>177.4</v>
      </c>
      <c r="E180" s="556">
        <f>1.1*D180</f>
        <v>195.14000000000001</v>
      </c>
      <c r="F180" s="556"/>
      <c r="G180" s="556"/>
      <c r="H180" s="556"/>
      <c r="I180" s="1015"/>
      <c r="J180" s="556"/>
      <c r="K180" s="556"/>
      <c r="L180" s="556"/>
      <c r="M180" s="556"/>
      <c r="N180" s="556"/>
      <c r="O180" s="556"/>
      <c r="P180" s="556"/>
      <c r="Q180" s="556"/>
      <c r="R180" s="556"/>
      <c r="S180" s="556"/>
      <c r="T180" s="556"/>
      <c r="U180" s="1015"/>
      <c r="V180" s="556"/>
      <c r="W180" s="556"/>
      <c r="X180" s="556"/>
      <c r="Y180" s="135"/>
      <c r="Z180" s="1015"/>
      <c r="AA180" s="135"/>
      <c r="AB180" s="135"/>
      <c r="AC180" s="135"/>
      <c r="AD180" s="135"/>
      <c r="AE180" s="135"/>
      <c r="AF180" s="135"/>
      <c r="AG180" s="556"/>
      <c r="AH180" s="135"/>
      <c r="AI180" s="135"/>
      <c r="AJ180" s="1015"/>
      <c r="AK180" s="1015"/>
      <c r="AL180" s="1015"/>
      <c r="AM180" s="1015"/>
      <c r="AN180" s="1015"/>
      <c r="AO180" s="1015"/>
      <c r="AP180" s="1015"/>
      <c r="AQ180" s="1015"/>
      <c r="AR180" s="1015"/>
      <c r="AS180" s="1015"/>
      <c r="AT180" s="1015"/>
      <c r="AU180" s="1015"/>
      <c r="AV180" s="556"/>
      <c r="AW180" s="556"/>
      <c r="AX180" s="556"/>
      <c r="AY180" s="556"/>
      <c r="AZ180" s="556"/>
      <c r="BA180" s="135"/>
      <c r="BB180" s="135"/>
      <c r="BC180" s="556"/>
      <c r="BD180" s="556"/>
      <c r="BE180" s="556"/>
      <c r="BF180" s="421"/>
      <c r="BG180" s="421"/>
      <c r="BH180" s="49"/>
      <c r="BI180" s="49"/>
      <c r="BJ180" s="49"/>
      <c r="BK180" s="49"/>
      <c r="BL180" s="49"/>
      <c r="BM180" s="135"/>
      <c r="BN180" s="135"/>
      <c r="BO180" s="135"/>
      <c r="BP180" s="135"/>
      <c r="BQ180" s="135"/>
      <c r="BR180" s="556"/>
      <c r="BS180" s="647"/>
      <c r="BT180" s="135"/>
      <c r="BU180" s="627"/>
      <c r="BV180" s="627"/>
      <c r="BW180" s="627"/>
      <c r="BX180" s="627"/>
      <c r="BY180" s="627"/>
      <c r="BZ180" s="627"/>
      <c r="CA180" s="627"/>
      <c r="CB180" s="627"/>
      <c r="CC180" s="627"/>
      <c r="CD180" s="627"/>
      <c r="CE180" s="627"/>
      <c r="CF180" s="627"/>
      <c r="CG180" s="627"/>
      <c r="CH180" s="627"/>
      <c r="CI180" s="627"/>
      <c r="CJ180" s="627"/>
      <c r="CK180" s="421"/>
      <c r="CL180" s="627"/>
      <c r="CM180" s="627"/>
      <c r="CN180" s="627"/>
      <c r="CO180" s="627"/>
      <c r="CP180" s="627"/>
      <c r="CQ180" s="627"/>
      <c r="CR180" s="627"/>
      <c r="CS180" s="627"/>
      <c r="CT180" s="421"/>
    </row>
    <row r="181" spans="1:98" s="368" customFormat="1" ht="66.75" customHeight="1">
      <c r="A181" s="1014"/>
      <c r="B181" s="916" t="s">
        <v>981</v>
      </c>
      <c r="C181" s="556" t="s">
        <v>979</v>
      </c>
      <c r="D181" s="1015">
        <f>7*2*3.7+    6.2*2*8+   0.5*7*8</f>
        <v>179</v>
      </c>
      <c r="E181" s="556">
        <f t="shared" ref="E181:E189" si="26">1.1*D181</f>
        <v>196.9</v>
      </c>
      <c r="F181" s="556"/>
      <c r="G181" s="556"/>
      <c r="H181" s="556"/>
      <c r="I181" s="1015"/>
      <c r="J181" s="556"/>
      <c r="K181" s="556"/>
      <c r="L181" s="556"/>
      <c r="M181" s="556"/>
      <c r="N181" s="556"/>
      <c r="O181" s="556"/>
      <c r="P181" s="556"/>
      <c r="Q181" s="556"/>
      <c r="R181" s="556"/>
      <c r="S181" s="556"/>
      <c r="T181" s="556"/>
      <c r="U181" s="1015"/>
      <c r="V181" s="556"/>
      <c r="W181" s="556"/>
      <c r="X181" s="556"/>
      <c r="Y181" s="135"/>
      <c r="Z181" s="1015"/>
      <c r="AA181" s="135"/>
      <c r="AB181" s="135"/>
      <c r="AC181" s="135"/>
      <c r="AD181" s="135"/>
      <c r="AE181" s="135"/>
      <c r="AF181" s="135"/>
      <c r="AG181" s="556"/>
      <c r="AH181" s="135"/>
      <c r="AI181" s="135"/>
      <c r="AJ181" s="1015"/>
      <c r="AK181" s="1015"/>
      <c r="AL181" s="1015"/>
      <c r="AM181" s="1015"/>
      <c r="AN181" s="1015"/>
      <c r="AO181" s="1015"/>
      <c r="AP181" s="1015"/>
      <c r="AQ181" s="1015"/>
      <c r="AR181" s="1015"/>
      <c r="AS181" s="1015"/>
      <c r="AT181" s="1015"/>
      <c r="AU181" s="1015"/>
      <c r="AV181" s="556"/>
      <c r="AW181" s="556"/>
      <c r="AX181" s="556"/>
      <c r="AY181" s="556"/>
      <c r="AZ181" s="556"/>
      <c r="BA181" s="135"/>
      <c r="BB181" s="135"/>
      <c r="BC181" s="556"/>
      <c r="BD181" s="556"/>
      <c r="BE181" s="556"/>
      <c r="BF181" s="421"/>
      <c r="BG181" s="421"/>
      <c r="BH181" s="49"/>
      <c r="BI181" s="49"/>
      <c r="BJ181" s="49"/>
      <c r="BK181" s="49"/>
      <c r="BL181" s="49"/>
      <c r="BM181" s="135"/>
      <c r="BN181" s="135"/>
      <c r="BO181" s="135"/>
      <c r="BP181" s="135"/>
      <c r="BQ181" s="135"/>
      <c r="BR181" s="556"/>
      <c r="BS181" s="647"/>
      <c r="BT181" s="135"/>
      <c r="BU181" s="627"/>
      <c r="BV181" s="627"/>
      <c r="BW181" s="627"/>
      <c r="BX181" s="627"/>
      <c r="BY181" s="627"/>
      <c r="BZ181" s="627"/>
      <c r="CA181" s="627"/>
      <c r="CB181" s="627"/>
      <c r="CC181" s="627"/>
      <c r="CD181" s="627"/>
      <c r="CE181" s="627"/>
      <c r="CF181" s="627"/>
      <c r="CG181" s="627"/>
      <c r="CH181" s="627"/>
      <c r="CI181" s="627"/>
      <c r="CJ181" s="627"/>
      <c r="CK181" s="421"/>
      <c r="CL181" s="627"/>
      <c r="CM181" s="627"/>
      <c r="CN181" s="627"/>
      <c r="CO181" s="627"/>
      <c r="CP181" s="627"/>
      <c r="CQ181" s="627"/>
      <c r="CR181" s="627"/>
      <c r="CS181" s="627"/>
      <c r="CT181" s="421"/>
    </row>
    <row r="182" spans="1:98" s="368" customFormat="1" ht="66.75" customHeight="1">
      <c r="A182" s="1014"/>
      <c r="B182" s="916" t="s">
        <v>981</v>
      </c>
      <c r="C182" s="556" t="s">
        <v>979</v>
      </c>
      <c r="D182" s="1015">
        <f>7*2*3.7+    6.2*2*8+   0.5*7*8</f>
        <v>179</v>
      </c>
      <c r="E182" s="556">
        <f t="shared" si="26"/>
        <v>196.9</v>
      </c>
      <c r="F182" s="556"/>
      <c r="G182" s="556"/>
      <c r="H182" s="556"/>
      <c r="I182" s="1015"/>
      <c r="J182" s="556"/>
      <c r="K182" s="556"/>
      <c r="L182" s="556"/>
      <c r="M182" s="556"/>
      <c r="N182" s="556"/>
      <c r="O182" s="556"/>
      <c r="P182" s="556"/>
      <c r="Q182" s="556"/>
      <c r="R182" s="556"/>
      <c r="S182" s="556"/>
      <c r="T182" s="556"/>
      <c r="U182" s="1015"/>
      <c r="V182" s="556"/>
      <c r="W182" s="556"/>
      <c r="X182" s="556"/>
      <c r="Y182" s="135"/>
      <c r="Z182" s="1015"/>
      <c r="AA182" s="135"/>
      <c r="AB182" s="135"/>
      <c r="AC182" s="135"/>
      <c r="AD182" s="135"/>
      <c r="AE182" s="135"/>
      <c r="AF182" s="135"/>
      <c r="AG182" s="556"/>
      <c r="AH182" s="135"/>
      <c r="AI182" s="135"/>
      <c r="AJ182" s="1015"/>
      <c r="AK182" s="1015"/>
      <c r="AL182" s="1015"/>
      <c r="AM182" s="1015"/>
      <c r="AN182" s="1015"/>
      <c r="AO182" s="1015"/>
      <c r="AP182" s="1015"/>
      <c r="AQ182" s="1015"/>
      <c r="AR182" s="1015"/>
      <c r="AS182" s="1015"/>
      <c r="AT182" s="1015"/>
      <c r="AU182" s="1015"/>
      <c r="AV182" s="556"/>
      <c r="AW182" s="556"/>
      <c r="AX182" s="556"/>
      <c r="AY182" s="556"/>
      <c r="AZ182" s="556"/>
      <c r="BA182" s="135"/>
      <c r="BB182" s="135"/>
      <c r="BC182" s="556"/>
      <c r="BD182" s="556"/>
      <c r="BE182" s="556"/>
      <c r="BF182" s="421"/>
      <c r="BG182" s="421"/>
      <c r="BH182" s="49"/>
      <c r="BI182" s="49"/>
      <c r="BJ182" s="49"/>
      <c r="BK182" s="49"/>
      <c r="BL182" s="49"/>
      <c r="BM182" s="135"/>
      <c r="BN182" s="135"/>
      <c r="BO182" s="135"/>
      <c r="BP182" s="135"/>
      <c r="BQ182" s="135"/>
      <c r="BR182" s="556"/>
      <c r="BS182" s="647"/>
      <c r="BT182" s="135"/>
      <c r="BU182" s="627"/>
      <c r="BV182" s="627"/>
      <c r="BW182" s="627"/>
      <c r="BX182" s="627"/>
      <c r="BY182" s="627"/>
      <c r="BZ182" s="627"/>
      <c r="CA182" s="627"/>
      <c r="CB182" s="627"/>
      <c r="CC182" s="627"/>
      <c r="CD182" s="627"/>
      <c r="CE182" s="627"/>
      <c r="CF182" s="627"/>
      <c r="CG182" s="627"/>
      <c r="CH182" s="627"/>
      <c r="CI182" s="627"/>
      <c r="CJ182" s="627"/>
      <c r="CK182" s="421"/>
      <c r="CL182" s="627"/>
      <c r="CM182" s="627"/>
      <c r="CN182" s="627"/>
      <c r="CO182" s="627"/>
      <c r="CP182" s="627"/>
      <c r="CQ182" s="627"/>
      <c r="CR182" s="627"/>
      <c r="CS182" s="627"/>
      <c r="CT182" s="421"/>
    </row>
    <row r="183" spans="1:98" s="368" customFormat="1" ht="66.75" customHeight="1">
      <c r="A183" s="1014"/>
      <c r="B183" s="916" t="s">
        <v>982</v>
      </c>
      <c r="C183" s="556" t="s">
        <v>980</v>
      </c>
      <c r="D183" s="1015">
        <f>8*2*3.7+    6.5*2*8+   0.5*8*8</f>
        <v>195.2</v>
      </c>
      <c r="E183" s="556">
        <f t="shared" si="26"/>
        <v>214.72</v>
      </c>
      <c r="F183" s="556"/>
      <c r="G183" s="556"/>
      <c r="H183" s="556"/>
      <c r="I183" s="1015"/>
      <c r="J183" s="556"/>
      <c r="K183" s="556"/>
      <c r="L183" s="556"/>
      <c r="M183" s="556"/>
      <c r="N183" s="556"/>
      <c r="O183" s="556"/>
      <c r="P183" s="556"/>
      <c r="Q183" s="556"/>
      <c r="R183" s="556"/>
      <c r="S183" s="556"/>
      <c r="T183" s="556"/>
      <c r="U183" s="1015"/>
      <c r="V183" s="556"/>
      <c r="W183" s="556"/>
      <c r="X183" s="556"/>
      <c r="Y183" s="135"/>
      <c r="Z183" s="1015"/>
      <c r="AA183" s="135"/>
      <c r="AB183" s="135"/>
      <c r="AC183" s="135"/>
      <c r="AD183" s="135"/>
      <c r="AE183" s="135"/>
      <c r="AF183" s="135"/>
      <c r="AG183" s="556"/>
      <c r="AH183" s="135"/>
      <c r="AI183" s="135"/>
      <c r="AJ183" s="1015"/>
      <c r="AK183" s="1015"/>
      <c r="AL183" s="1015"/>
      <c r="AM183" s="1015"/>
      <c r="AN183" s="1015"/>
      <c r="AO183" s="1015"/>
      <c r="AP183" s="1015"/>
      <c r="AQ183" s="1015"/>
      <c r="AR183" s="1015"/>
      <c r="AS183" s="1015"/>
      <c r="AT183" s="1015"/>
      <c r="AU183" s="1015"/>
      <c r="AV183" s="556"/>
      <c r="AW183" s="556"/>
      <c r="AX183" s="556"/>
      <c r="AY183" s="556"/>
      <c r="AZ183" s="556"/>
      <c r="BA183" s="135"/>
      <c r="BB183" s="135"/>
      <c r="BC183" s="556"/>
      <c r="BD183" s="556"/>
      <c r="BE183" s="556"/>
      <c r="BF183" s="421"/>
      <c r="BG183" s="421"/>
      <c r="BH183" s="49"/>
      <c r="BI183" s="49"/>
      <c r="BJ183" s="49"/>
      <c r="BK183" s="49"/>
      <c r="BL183" s="49"/>
      <c r="BM183" s="135"/>
      <c r="BN183" s="135"/>
      <c r="BO183" s="135"/>
      <c r="BP183" s="135"/>
      <c r="BQ183" s="135"/>
      <c r="BR183" s="556"/>
      <c r="BS183" s="647"/>
      <c r="BT183" s="135"/>
      <c r="BU183" s="627"/>
      <c r="BV183" s="627"/>
      <c r="BW183" s="627"/>
      <c r="BX183" s="627"/>
      <c r="BY183" s="627"/>
      <c r="BZ183" s="627"/>
      <c r="CA183" s="627"/>
      <c r="CB183" s="627"/>
      <c r="CC183" s="627"/>
      <c r="CD183" s="627"/>
      <c r="CE183" s="627"/>
      <c r="CF183" s="627"/>
      <c r="CG183" s="627"/>
      <c r="CH183" s="627"/>
      <c r="CI183" s="627"/>
      <c r="CJ183" s="627"/>
      <c r="CK183" s="421"/>
      <c r="CL183" s="627"/>
      <c r="CM183" s="627"/>
      <c r="CN183" s="627"/>
      <c r="CO183" s="627"/>
      <c r="CP183" s="627"/>
      <c r="CQ183" s="627"/>
      <c r="CR183" s="627"/>
      <c r="CS183" s="627"/>
      <c r="CT183" s="421"/>
    </row>
    <row r="184" spans="1:98" s="368" customFormat="1" ht="66.75" customHeight="1">
      <c r="A184" s="1014"/>
      <c r="B184" s="916" t="s">
        <v>983</v>
      </c>
      <c r="C184" s="556" t="s">
        <v>993</v>
      </c>
      <c r="D184" s="1015">
        <f>5*(5*2*3.7+ 3.8*2*8+   0.5*5*8)</f>
        <v>589</v>
      </c>
      <c r="E184" s="556">
        <f t="shared" si="26"/>
        <v>647.90000000000009</v>
      </c>
      <c r="F184" s="556"/>
      <c r="G184" s="556"/>
      <c r="H184" s="556"/>
      <c r="I184" s="1015"/>
      <c r="J184" s="556"/>
      <c r="K184" s="556"/>
      <c r="L184" s="556"/>
      <c r="M184" s="556"/>
      <c r="N184" s="556"/>
      <c r="O184" s="556"/>
      <c r="P184" s="556"/>
      <c r="Q184" s="556"/>
      <c r="R184" s="556"/>
      <c r="S184" s="556"/>
      <c r="T184" s="556"/>
      <c r="U184" s="1015"/>
      <c r="V184" s="556"/>
      <c r="W184" s="556"/>
      <c r="X184" s="556"/>
      <c r="Y184" s="135"/>
      <c r="Z184" s="1015"/>
      <c r="AA184" s="135"/>
      <c r="AB184" s="135"/>
      <c r="AC184" s="135"/>
      <c r="AD184" s="135"/>
      <c r="AE184" s="135"/>
      <c r="AF184" s="135"/>
      <c r="AG184" s="556"/>
      <c r="AH184" s="135"/>
      <c r="AI184" s="135"/>
      <c r="AJ184" s="1015"/>
      <c r="AK184" s="1015"/>
      <c r="AL184" s="1015"/>
      <c r="AM184" s="1015"/>
      <c r="AN184" s="1015"/>
      <c r="AO184" s="1015"/>
      <c r="AP184" s="1015"/>
      <c r="AQ184" s="1015"/>
      <c r="AR184" s="1015"/>
      <c r="AS184" s="1015"/>
      <c r="AT184" s="1015"/>
      <c r="AU184" s="1015"/>
      <c r="AV184" s="556"/>
      <c r="AW184" s="556"/>
      <c r="AX184" s="556"/>
      <c r="AY184" s="556"/>
      <c r="AZ184" s="556"/>
      <c r="BA184" s="135"/>
      <c r="BB184" s="135"/>
      <c r="BC184" s="556"/>
      <c r="BD184" s="556"/>
      <c r="BE184" s="556"/>
      <c r="BF184" s="421"/>
      <c r="BG184" s="421"/>
      <c r="BH184" s="49"/>
      <c r="BI184" s="49"/>
      <c r="BJ184" s="49"/>
      <c r="BK184" s="49"/>
      <c r="BL184" s="49"/>
      <c r="BM184" s="135"/>
      <c r="BN184" s="135"/>
      <c r="BO184" s="135"/>
      <c r="BP184" s="135"/>
      <c r="BQ184" s="135"/>
      <c r="BR184" s="556"/>
      <c r="BS184" s="647"/>
      <c r="BT184" s="135"/>
      <c r="BU184" s="627"/>
      <c r="BV184" s="627"/>
      <c r="BW184" s="627"/>
      <c r="BX184" s="627"/>
      <c r="BY184" s="627"/>
      <c r="BZ184" s="627"/>
      <c r="CA184" s="627"/>
      <c r="CB184" s="627"/>
      <c r="CC184" s="627"/>
      <c r="CD184" s="627"/>
      <c r="CE184" s="627"/>
      <c r="CF184" s="627"/>
      <c r="CG184" s="627"/>
      <c r="CH184" s="627"/>
      <c r="CI184" s="627"/>
      <c r="CJ184" s="627"/>
      <c r="CK184" s="421"/>
      <c r="CL184" s="627"/>
      <c r="CM184" s="627"/>
      <c r="CN184" s="627"/>
      <c r="CO184" s="627"/>
      <c r="CP184" s="627"/>
      <c r="CQ184" s="627"/>
      <c r="CR184" s="627"/>
      <c r="CS184" s="627"/>
      <c r="CT184" s="421"/>
    </row>
    <row r="185" spans="1:98" s="368" customFormat="1" ht="66.75" customHeight="1">
      <c r="A185" s="1014"/>
      <c r="B185" s="916" t="s">
        <v>984</v>
      </c>
      <c r="C185" s="556" t="s">
        <v>987</v>
      </c>
      <c r="D185" s="1015">
        <f>6*2*3.7+    4.7*2*8+   0.5*6*8</f>
        <v>143.60000000000002</v>
      </c>
      <c r="E185" s="556">
        <f t="shared" si="26"/>
        <v>157.96000000000004</v>
      </c>
      <c r="F185" s="556"/>
      <c r="G185" s="556"/>
      <c r="H185" s="556"/>
      <c r="I185" s="1015"/>
      <c r="J185" s="556"/>
      <c r="K185" s="556"/>
      <c r="L185" s="556"/>
      <c r="M185" s="556"/>
      <c r="N185" s="556"/>
      <c r="O185" s="556"/>
      <c r="P185" s="556"/>
      <c r="Q185" s="556"/>
      <c r="R185" s="556"/>
      <c r="S185" s="556"/>
      <c r="T185" s="556"/>
      <c r="U185" s="1015"/>
      <c r="V185" s="556"/>
      <c r="W185" s="556"/>
      <c r="X185" s="556"/>
      <c r="Y185" s="135"/>
      <c r="Z185" s="1015"/>
      <c r="AA185" s="135"/>
      <c r="AB185" s="135"/>
      <c r="AC185" s="135"/>
      <c r="AD185" s="135"/>
      <c r="AE185" s="135"/>
      <c r="AF185" s="135"/>
      <c r="AG185" s="556"/>
      <c r="AH185" s="135"/>
      <c r="AI185" s="135"/>
      <c r="AJ185" s="1015"/>
      <c r="AK185" s="1015"/>
      <c r="AL185" s="1015"/>
      <c r="AM185" s="1015"/>
      <c r="AN185" s="1015"/>
      <c r="AO185" s="1015"/>
      <c r="AP185" s="1015"/>
      <c r="AQ185" s="1015"/>
      <c r="AR185" s="1015"/>
      <c r="AS185" s="1015"/>
      <c r="AT185" s="1015"/>
      <c r="AU185" s="1015"/>
      <c r="AV185" s="556"/>
      <c r="AW185" s="556"/>
      <c r="AX185" s="556"/>
      <c r="AY185" s="556"/>
      <c r="AZ185" s="556"/>
      <c r="BA185" s="135"/>
      <c r="BB185" s="135"/>
      <c r="BC185" s="556"/>
      <c r="BD185" s="556"/>
      <c r="BE185" s="556"/>
      <c r="BF185" s="421"/>
      <c r="BG185" s="421"/>
      <c r="BH185" s="49"/>
      <c r="BI185" s="49"/>
      <c r="BJ185" s="49"/>
      <c r="BK185" s="49"/>
      <c r="BL185" s="49"/>
      <c r="BM185" s="135"/>
      <c r="BN185" s="135"/>
      <c r="BO185" s="135"/>
      <c r="BP185" s="135"/>
      <c r="BQ185" s="135"/>
      <c r="BR185" s="556"/>
      <c r="BS185" s="647"/>
      <c r="BT185" s="135"/>
      <c r="BU185" s="627"/>
      <c r="BV185" s="627"/>
      <c r="BW185" s="627"/>
      <c r="BX185" s="627"/>
      <c r="BY185" s="627"/>
      <c r="BZ185" s="627"/>
      <c r="CA185" s="627"/>
      <c r="CB185" s="627"/>
      <c r="CC185" s="627"/>
      <c r="CD185" s="627"/>
      <c r="CE185" s="627"/>
      <c r="CF185" s="627"/>
      <c r="CG185" s="627"/>
      <c r="CH185" s="627"/>
      <c r="CI185" s="627"/>
      <c r="CJ185" s="627"/>
      <c r="CK185" s="421"/>
      <c r="CL185" s="627"/>
      <c r="CM185" s="627"/>
      <c r="CN185" s="627"/>
      <c r="CO185" s="627"/>
      <c r="CP185" s="627"/>
      <c r="CQ185" s="627"/>
      <c r="CR185" s="627"/>
      <c r="CS185" s="627"/>
      <c r="CT185" s="421"/>
    </row>
    <row r="186" spans="1:98" s="368" customFormat="1" ht="66.75" customHeight="1">
      <c r="A186" s="1014"/>
      <c r="B186" s="916" t="s">
        <v>985</v>
      </c>
      <c r="C186" s="556" t="s">
        <v>988</v>
      </c>
      <c r="D186" s="1015">
        <f>10*(5*2*3.7+ 3.5*2*8+   0.5*5*8)</f>
        <v>1130</v>
      </c>
      <c r="E186" s="556">
        <f t="shared" si="26"/>
        <v>1243</v>
      </c>
      <c r="F186" s="556"/>
      <c r="G186" s="556"/>
      <c r="H186" s="556"/>
      <c r="I186" s="1015"/>
      <c r="J186" s="556"/>
      <c r="K186" s="556"/>
      <c r="L186" s="556"/>
      <c r="M186" s="556"/>
      <c r="N186" s="556"/>
      <c r="O186" s="556"/>
      <c r="P186" s="556"/>
      <c r="Q186" s="556"/>
      <c r="R186" s="556"/>
      <c r="S186" s="556"/>
      <c r="T186" s="556"/>
      <c r="U186" s="1015"/>
      <c r="V186" s="556"/>
      <c r="W186" s="556"/>
      <c r="X186" s="556"/>
      <c r="Y186" s="135"/>
      <c r="Z186" s="1015"/>
      <c r="AA186" s="135"/>
      <c r="AB186" s="135"/>
      <c r="AC186" s="135"/>
      <c r="AD186" s="135"/>
      <c r="AE186" s="135"/>
      <c r="AF186" s="135"/>
      <c r="AG186" s="556"/>
      <c r="AH186" s="135"/>
      <c r="AI186" s="135"/>
      <c r="AJ186" s="1015"/>
      <c r="AK186" s="1015"/>
      <c r="AL186" s="1015"/>
      <c r="AM186" s="1015"/>
      <c r="AN186" s="1015"/>
      <c r="AO186" s="1015"/>
      <c r="AP186" s="1015"/>
      <c r="AQ186" s="1015"/>
      <c r="AR186" s="1015"/>
      <c r="AS186" s="1015"/>
      <c r="AT186" s="1015"/>
      <c r="AU186" s="1015"/>
      <c r="AV186" s="556"/>
      <c r="AW186" s="556"/>
      <c r="AX186" s="556"/>
      <c r="AY186" s="556"/>
      <c r="AZ186" s="556"/>
      <c r="BA186" s="135"/>
      <c r="BB186" s="135"/>
      <c r="BC186" s="556"/>
      <c r="BD186" s="556"/>
      <c r="BE186" s="556"/>
      <c r="BF186" s="421"/>
      <c r="BG186" s="421"/>
      <c r="BH186" s="49"/>
      <c r="BI186" s="49"/>
      <c r="BJ186" s="49"/>
      <c r="BK186" s="49"/>
      <c r="BL186" s="49"/>
      <c r="BM186" s="135"/>
      <c r="BN186" s="135"/>
      <c r="BO186" s="135"/>
      <c r="BP186" s="135"/>
      <c r="BQ186" s="135"/>
      <c r="BR186" s="556"/>
      <c r="BS186" s="647"/>
      <c r="BT186" s="135"/>
      <c r="BU186" s="627"/>
      <c r="BV186" s="627"/>
      <c r="BW186" s="627"/>
      <c r="BX186" s="627"/>
      <c r="BY186" s="627"/>
      <c r="BZ186" s="627"/>
      <c r="CA186" s="627"/>
      <c r="CB186" s="627"/>
      <c r="CC186" s="627"/>
      <c r="CD186" s="627"/>
      <c r="CE186" s="627"/>
      <c r="CF186" s="627"/>
      <c r="CG186" s="627"/>
      <c r="CH186" s="627"/>
      <c r="CI186" s="627"/>
      <c r="CJ186" s="627"/>
      <c r="CK186" s="421"/>
      <c r="CL186" s="627"/>
      <c r="CM186" s="627"/>
      <c r="CN186" s="627"/>
      <c r="CO186" s="627"/>
      <c r="CP186" s="627"/>
      <c r="CQ186" s="627"/>
      <c r="CR186" s="627"/>
      <c r="CS186" s="627"/>
      <c r="CT186" s="421"/>
    </row>
    <row r="187" spans="1:98" s="368" customFormat="1" ht="66.75" customHeight="1">
      <c r="A187" s="1014"/>
      <c r="B187" s="916" t="s">
        <v>977</v>
      </c>
      <c r="C187" s="556" t="s">
        <v>989</v>
      </c>
      <c r="D187" s="1015">
        <f>6*2*3.7+    5.2*2*8+   0.5*6*8</f>
        <v>151.60000000000002</v>
      </c>
      <c r="E187" s="556">
        <f t="shared" si="26"/>
        <v>166.76000000000005</v>
      </c>
      <c r="F187" s="556"/>
      <c r="G187" s="556"/>
      <c r="H187" s="556"/>
      <c r="I187" s="1015"/>
      <c r="J187" s="556"/>
      <c r="K187" s="556"/>
      <c r="L187" s="556"/>
      <c r="M187" s="556"/>
      <c r="N187" s="556"/>
      <c r="O187" s="556"/>
      <c r="P187" s="556"/>
      <c r="Q187" s="556"/>
      <c r="R187" s="556"/>
      <c r="S187" s="556"/>
      <c r="T187" s="556"/>
      <c r="U187" s="1015"/>
      <c r="V187" s="556"/>
      <c r="W187" s="556"/>
      <c r="X187" s="556"/>
      <c r="Y187" s="135"/>
      <c r="Z187" s="1015"/>
      <c r="AA187" s="135"/>
      <c r="AB187" s="135"/>
      <c r="AC187" s="135"/>
      <c r="AD187" s="135"/>
      <c r="AE187" s="135"/>
      <c r="AF187" s="135"/>
      <c r="AG187" s="556"/>
      <c r="AH187" s="135"/>
      <c r="AI187" s="135"/>
      <c r="AJ187" s="1015"/>
      <c r="AK187" s="1015"/>
      <c r="AL187" s="1015"/>
      <c r="AM187" s="1015"/>
      <c r="AN187" s="1015"/>
      <c r="AO187" s="1015"/>
      <c r="AP187" s="1015"/>
      <c r="AQ187" s="1015"/>
      <c r="AR187" s="1015"/>
      <c r="AS187" s="1015"/>
      <c r="AT187" s="1015"/>
      <c r="AU187" s="1015"/>
      <c r="AV187" s="556"/>
      <c r="AW187" s="556"/>
      <c r="AX187" s="556"/>
      <c r="AY187" s="556"/>
      <c r="AZ187" s="556"/>
      <c r="BA187" s="135"/>
      <c r="BB187" s="135"/>
      <c r="BC187" s="556"/>
      <c r="BD187" s="556"/>
      <c r="BE187" s="556"/>
      <c r="BF187" s="421"/>
      <c r="BG187" s="421"/>
      <c r="BH187" s="49"/>
      <c r="BI187" s="49"/>
      <c r="BJ187" s="49"/>
      <c r="BK187" s="49"/>
      <c r="BL187" s="49"/>
      <c r="BM187" s="135"/>
      <c r="BN187" s="135"/>
      <c r="BO187" s="135"/>
      <c r="BP187" s="135"/>
      <c r="BQ187" s="135"/>
      <c r="BR187" s="556"/>
      <c r="BS187" s="647"/>
      <c r="BT187" s="135"/>
      <c r="BU187" s="627"/>
      <c r="BV187" s="627"/>
      <c r="BW187" s="627"/>
      <c r="BX187" s="627"/>
      <c r="BY187" s="627"/>
      <c r="BZ187" s="627"/>
      <c r="CA187" s="627"/>
      <c r="CB187" s="627"/>
      <c r="CC187" s="627"/>
      <c r="CD187" s="627"/>
      <c r="CE187" s="627"/>
      <c r="CF187" s="627"/>
      <c r="CG187" s="627"/>
      <c r="CH187" s="627"/>
      <c r="CI187" s="627"/>
      <c r="CJ187" s="627"/>
      <c r="CK187" s="421"/>
      <c r="CL187" s="627"/>
      <c r="CM187" s="627"/>
      <c r="CN187" s="627"/>
      <c r="CO187" s="627"/>
      <c r="CP187" s="627"/>
      <c r="CQ187" s="627"/>
      <c r="CR187" s="627"/>
      <c r="CS187" s="627"/>
      <c r="CT187" s="421"/>
    </row>
    <row r="188" spans="1:98" s="368" customFormat="1" ht="66.75" customHeight="1">
      <c r="A188" s="1014"/>
      <c r="B188" s="916" t="s">
        <v>986</v>
      </c>
      <c r="C188" s="556" t="s">
        <v>990</v>
      </c>
      <c r="D188" s="1015">
        <f>8*2*3.7+    6.75*2*8+   0.5*8*8</f>
        <v>199.2</v>
      </c>
      <c r="E188" s="556">
        <f t="shared" si="26"/>
        <v>219.12</v>
      </c>
      <c r="F188" s="556"/>
      <c r="G188" s="556"/>
      <c r="H188" s="556"/>
      <c r="I188" s="1015"/>
      <c r="J188" s="556"/>
      <c r="K188" s="556"/>
      <c r="L188" s="556"/>
      <c r="M188" s="556"/>
      <c r="N188" s="556"/>
      <c r="O188" s="556"/>
      <c r="P188" s="556"/>
      <c r="Q188" s="556"/>
      <c r="R188" s="556"/>
      <c r="S188" s="556"/>
      <c r="T188" s="556"/>
      <c r="U188" s="1015"/>
      <c r="V188" s="556"/>
      <c r="W188" s="556"/>
      <c r="X188" s="556"/>
      <c r="Y188" s="135"/>
      <c r="Z188" s="1015"/>
      <c r="AA188" s="135"/>
      <c r="AB188" s="135"/>
      <c r="AC188" s="135"/>
      <c r="AD188" s="135"/>
      <c r="AE188" s="135"/>
      <c r="AF188" s="135"/>
      <c r="AG188" s="556"/>
      <c r="AH188" s="135"/>
      <c r="AI188" s="135"/>
      <c r="AJ188" s="1015"/>
      <c r="AK188" s="1015"/>
      <c r="AL188" s="1015"/>
      <c r="AM188" s="1015"/>
      <c r="AN188" s="1015"/>
      <c r="AO188" s="1015"/>
      <c r="AP188" s="1015"/>
      <c r="AQ188" s="1015"/>
      <c r="AR188" s="1015"/>
      <c r="AS188" s="1015"/>
      <c r="AT188" s="1015"/>
      <c r="AU188" s="1015"/>
      <c r="AV188" s="556"/>
      <c r="AW188" s="556"/>
      <c r="AX188" s="556"/>
      <c r="AY188" s="556"/>
      <c r="AZ188" s="556"/>
      <c r="BA188" s="135"/>
      <c r="BB188" s="135"/>
      <c r="BC188" s="556"/>
      <c r="BD188" s="556"/>
      <c r="BE188" s="556"/>
      <c r="BF188" s="421"/>
      <c r="BG188" s="421"/>
      <c r="BH188" s="49"/>
      <c r="BI188" s="49"/>
      <c r="BJ188" s="49"/>
      <c r="BK188" s="49"/>
      <c r="BL188" s="49"/>
      <c r="BM188" s="135"/>
      <c r="BN188" s="135"/>
      <c r="BO188" s="135"/>
      <c r="BP188" s="135"/>
      <c r="BQ188" s="135"/>
      <c r="BR188" s="556"/>
      <c r="BS188" s="647"/>
      <c r="BT188" s="135"/>
      <c r="BU188" s="627"/>
      <c r="BV188" s="627"/>
      <c r="BW188" s="627"/>
      <c r="BX188" s="627"/>
      <c r="BY188" s="627"/>
      <c r="BZ188" s="627"/>
      <c r="CA188" s="627"/>
      <c r="CB188" s="627"/>
      <c r="CC188" s="627"/>
      <c r="CD188" s="627"/>
      <c r="CE188" s="627"/>
      <c r="CF188" s="627"/>
      <c r="CG188" s="627"/>
      <c r="CH188" s="627"/>
      <c r="CI188" s="627"/>
      <c r="CJ188" s="627"/>
      <c r="CK188" s="421"/>
      <c r="CL188" s="627"/>
      <c r="CM188" s="627"/>
      <c r="CN188" s="627"/>
      <c r="CO188" s="627"/>
      <c r="CP188" s="627"/>
      <c r="CQ188" s="627"/>
      <c r="CR188" s="627"/>
      <c r="CS188" s="627"/>
      <c r="CT188" s="421"/>
    </row>
    <row r="189" spans="1:98" s="368" customFormat="1" ht="66.75" customHeight="1">
      <c r="A189" s="1014"/>
      <c r="B189" s="916" t="s">
        <v>982</v>
      </c>
      <c r="C189" s="556" t="s">
        <v>980</v>
      </c>
      <c r="D189" s="1015">
        <f>8*2*3.7+    6.5*2*8+   0.5*8*8</f>
        <v>195.2</v>
      </c>
      <c r="E189" s="556">
        <f t="shared" si="26"/>
        <v>214.72</v>
      </c>
      <c r="F189" s="556"/>
      <c r="G189" s="556"/>
      <c r="H189" s="556"/>
      <c r="I189" s="1015"/>
      <c r="J189" s="556"/>
      <c r="K189" s="556"/>
      <c r="L189" s="556"/>
      <c r="M189" s="556"/>
      <c r="N189" s="556"/>
      <c r="O189" s="556"/>
      <c r="P189" s="556"/>
      <c r="Q189" s="556"/>
      <c r="R189" s="556"/>
      <c r="S189" s="556"/>
      <c r="T189" s="556"/>
      <c r="U189" s="1015"/>
      <c r="V189" s="556"/>
      <c r="W189" s="556"/>
      <c r="X189" s="556"/>
      <c r="Y189" s="135"/>
      <c r="Z189" s="1015"/>
      <c r="AA189" s="135"/>
      <c r="AB189" s="135"/>
      <c r="AC189" s="135"/>
      <c r="AD189" s="135"/>
      <c r="AE189" s="135"/>
      <c r="AF189" s="135"/>
      <c r="AG189" s="556"/>
      <c r="AH189" s="135"/>
      <c r="AI189" s="135"/>
      <c r="AJ189" s="1015"/>
      <c r="AK189" s="1015"/>
      <c r="AL189" s="1015"/>
      <c r="AM189" s="1015"/>
      <c r="AN189" s="1015"/>
      <c r="AO189" s="1015"/>
      <c r="AP189" s="1015"/>
      <c r="AQ189" s="1015"/>
      <c r="AR189" s="1015"/>
      <c r="AS189" s="1015"/>
      <c r="AT189" s="1015"/>
      <c r="AU189" s="1015"/>
      <c r="AV189" s="556"/>
      <c r="AW189" s="556"/>
      <c r="AX189" s="556"/>
      <c r="AY189" s="556"/>
      <c r="AZ189" s="556"/>
      <c r="BA189" s="135"/>
      <c r="BB189" s="135"/>
      <c r="BC189" s="556"/>
      <c r="BD189" s="556"/>
      <c r="BE189" s="556"/>
      <c r="BF189" s="421"/>
      <c r="BG189" s="421"/>
      <c r="BH189" s="49"/>
      <c r="BI189" s="49"/>
      <c r="BJ189" s="49"/>
      <c r="BK189" s="49"/>
      <c r="BL189" s="49"/>
      <c r="BM189" s="135"/>
      <c r="BN189" s="135"/>
      <c r="BO189" s="135"/>
      <c r="BP189" s="135"/>
      <c r="BQ189" s="135"/>
      <c r="BR189" s="556"/>
      <c r="BS189" s="647"/>
      <c r="BT189" s="135"/>
      <c r="BU189" s="627"/>
      <c r="BV189" s="627"/>
      <c r="BW189" s="627"/>
      <c r="BX189" s="627"/>
      <c r="BY189" s="627"/>
      <c r="BZ189" s="627"/>
      <c r="CA189" s="627"/>
      <c r="CB189" s="627"/>
      <c r="CC189" s="627"/>
      <c r="CD189" s="627"/>
      <c r="CE189" s="627"/>
      <c r="CF189" s="627"/>
      <c r="CG189" s="627"/>
      <c r="CH189" s="627"/>
      <c r="CI189" s="627"/>
      <c r="CJ189" s="627"/>
      <c r="CK189" s="421"/>
      <c r="CL189" s="627"/>
      <c r="CM189" s="627"/>
      <c r="CN189" s="627"/>
      <c r="CO189" s="627"/>
      <c r="CP189" s="627"/>
      <c r="CQ189" s="627"/>
      <c r="CR189" s="627"/>
      <c r="CS189" s="627"/>
      <c r="CT189" s="421"/>
    </row>
    <row r="190" spans="1:98" s="368" customFormat="1">
      <c r="A190" s="1014"/>
      <c r="B190" s="916"/>
      <c r="C190" s="556"/>
      <c r="D190" s="1000">
        <f>SUM(D180:D189)</f>
        <v>3139.1999999999994</v>
      </c>
      <c r="E190" s="1000">
        <f>SUM(E180:E189)</f>
        <v>3453.1200000000003</v>
      </c>
      <c r="F190" s="556"/>
      <c r="G190" s="556"/>
      <c r="H190" s="556"/>
      <c r="I190" s="1015"/>
      <c r="J190" s="556"/>
      <c r="K190" s="556"/>
      <c r="L190" s="556"/>
      <c r="M190" s="556"/>
      <c r="N190" s="556"/>
      <c r="O190" s="556"/>
      <c r="P190" s="556"/>
      <c r="Q190" s="556"/>
      <c r="R190" s="556"/>
      <c r="S190" s="556"/>
      <c r="T190" s="556"/>
      <c r="U190" s="1015"/>
      <c r="V190" s="556"/>
      <c r="W190" s="556"/>
      <c r="X190" s="556"/>
      <c r="Y190" s="135"/>
      <c r="Z190" s="1015"/>
      <c r="AA190" s="135"/>
      <c r="AB190" s="135"/>
      <c r="AC190" s="135"/>
      <c r="AD190" s="135"/>
      <c r="AE190" s="135"/>
      <c r="AF190" s="135"/>
      <c r="AG190" s="556"/>
      <c r="AH190" s="135"/>
      <c r="AI190" s="135"/>
      <c r="AJ190" s="1015"/>
      <c r="AK190" s="1015"/>
      <c r="AL190" s="1015"/>
      <c r="AM190" s="1015"/>
      <c r="AN190" s="1015"/>
      <c r="AO190" s="1015"/>
      <c r="AP190" s="1015"/>
      <c r="AQ190" s="1015"/>
      <c r="AR190" s="1015"/>
      <c r="AS190" s="1015"/>
      <c r="AT190" s="1015"/>
      <c r="AU190" s="1015"/>
      <c r="AV190" s="556"/>
      <c r="AW190" s="556"/>
      <c r="AX190" s="556"/>
      <c r="AY190" s="556"/>
      <c r="AZ190" s="556"/>
      <c r="BA190" s="135"/>
      <c r="BB190" s="135"/>
      <c r="BC190" s="556"/>
      <c r="BD190" s="556"/>
      <c r="BE190" s="556"/>
      <c r="BF190" s="421"/>
      <c r="BG190" s="421"/>
      <c r="BH190" s="49"/>
      <c r="BI190" s="49"/>
      <c r="BJ190" s="49"/>
      <c r="BK190" s="49"/>
      <c r="BL190" s="49"/>
      <c r="BM190" s="135"/>
      <c r="BN190" s="135"/>
      <c r="BO190" s="135"/>
      <c r="BP190" s="135"/>
      <c r="BQ190" s="135"/>
      <c r="BR190" s="556"/>
      <c r="BS190" s="647"/>
      <c r="BT190" s="135"/>
      <c r="BU190" s="627"/>
      <c r="BV190" s="627"/>
      <c r="BW190" s="627"/>
      <c r="BX190" s="627"/>
      <c r="BY190" s="627"/>
      <c r="BZ190" s="627"/>
      <c r="CA190" s="627"/>
      <c r="CB190" s="627"/>
      <c r="CC190" s="627"/>
      <c r="CD190" s="627"/>
      <c r="CE190" s="627"/>
      <c r="CF190" s="627"/>
      <c r="CG190" s="627"/>
      <c r="CH190" s="627"/>
      <c r="CI190" s="627"/>
      <c r="CJ190" s="627"/>
      <c r="CK190" s="421"/>
      <c r="CL190" s="627"/>
      <c r="CM190" s="627"/>
      <c r="CN190" s="627"/>
      <c r="CO190" s="627"/>
      <c r="CP190" s="627"/>
      <c r="CQ190" s="627"/>
      <c r="CR190" s="627"/>
      <c r="CS190" s="627"/>
      <c r="CT190" s="421"/>
    </row>
    <row r="191" spans="1:98" s="368" customFormat="1">
      <c r="A191" s="1014"/>
      <c r="B191" s="916"/>
      <c r="C191" s="556"/>
      <c r="D191" s="1015"/>
      <c r="E191" s="556"/>
      <c r="F191" s="556"/>
      <c r="G191" s="556"/>
      <c r="H191" s="556"/>
      <c r="I191" s="1015"/>
      <c r="J191" s="556"/>
      <c r="K191" s="556"/>
      <c r="L191" s="556"/>
      <c r="M191" s="556"/>
      <c r="N191" s="556"/>
      <c r="O191" s="556"/>
      <c r="P191" s="556"/>
      <c r="Q191" s="556"/>
      <c r="R191" s="556"/>
      <c r="S191" s="556"/>
      <c r="T191" s="556"/>
      <c r="U191" s="1015"/>
      <c r="V191" s="556"/>
      <c r="W191" s="556"/>
      <c r="X191" s="556"/>
      <c r="Y191" s="135"/>
      <c r="Z191" s="1015"/>
      <c r="AA191" s="135"/>
      <c r="AB191" s="135"/>
      <c r="AC191" s="135"/>
      <c r="AD191" s="135"/>
      <c r="AE191" s="135"/>
      <c r="AF191" s="135"/>
      <c r="AG191" s="556"/>
      <c r="AH191" s="135"/>
      <c r="AI191" s="135"/>
      <c r="AJ191" s="1015"/>
      <c r="AK191" s="1015"/>
      <c r="AL191" s="1015"/>
      <c r="AM191" s="1015"/>
      <c r="AN191" s="1015"/>
      <c r="AO191" s="1015"/>
      <c r="AP191" s="1015"/>
      <c r="AQ191" s="1015"/>
      <c r="AR191" s="1015"/>
      <c r="AS191" s="1015"/>
      <c r="AT191" s="1015"/>
      <c r="AU191" s="1015"/>
      <c r="AV191" s="556"/>
      <c r="AW191" s="556"/>
      <c r="AX191" s="556"/>
      <c r="AY191" s="556"/>
      <c r="AZ191" s="556"/>
      <c r="BA191" s="135"/>
      <c r="BB191" s="135"/>
      <c r="BC191" s="556"/>
      <c r="BD191" s="556"/>
      <c r="BE191" s="556"/>
      <c r="BF191" s="421"/>
      <c r="BG191" s="421"/>
      <c r="BH191" s="49"/>
      <c r="BI191" s="49"/>
      <c r="BJ191" s="49"/>
      <c r="BK191" s="49"/>
      <c r="BL191" s="49"/>
      <c r="BM191" s="135"/>
      <c r="BN191" s="135"/>
      <c r="BO191" s="135"/>
      <c r="BP191" s="135"/>
      <c r="BQ191" s="135"/>
      <c r="BR191" s="556"/>
      <c r="BS191" s="647"/>
      <c r="BT191" s="135"/>
      <c r="BU191" s="627"/>
      <c r="BV191" s="627"/>
      <c r="BW191" s="627"/>
      <c r="BX191" s="627"/>
      <c r="BY191" s="627"/>
      <c r="BZ191" s="627"/>
      <c r="CA191" s="627"/>
      <c r="CB191" s="627"/>
      <c r="CC191" s="627"/>
      <c r="CD191" s="627"/>
      <c r="CE191" s="627"/>
      <c r="CF191" s="627"/>
      <c r="CG191" s="627"/>
      <c r="CH191" s="627"/>
      <c r="CI191" s="627"/>
      <c r="CJ191" s="627"/>
      <c r="CK191" s="421"/>
      <c r="CL191" s="627"/>
      <c r="CM191" s="627"/>
      <c r="CN191" s="627"/>
      <c r="CO191" s="627"/>
      <c r="CP191" s="627"/>
      <c r="CQ191" s="627"/>
      <c r="CR191" s="627"/>
      <c r="CS191" s="627"/>
      <c r="CT191" s="421"/>
    </row>
    <row r="192" spans="1:98" s="368" customFormat="1" ht="33">
      <c r="A192" s="1014"/>
      <c r="B192" s="1016" t="s">
        <v>991</v>
      </c>
      <c r="C192" s="556" t="s">
        <v>992</v>
      </c>
      <c r="D192" s="1000">
        <f>8*0.5* (6.1+6.2+6.2+6.5+5*3.8+ 1*4.7+10*3.5+1*5.2+ 6.75+6.5)</f>
        <v>408.6</v>
      </c>
      <c r="E192" s="623">
        <f>1.1*D192</f>
        <v>449.46000000000004</v>
      </c>
      <c r="F192" s="556"/>
      <c r="G192" s="556"/>
      <c r="H192" s="556"/>
      <c r="I192" s="1015"/>
      <c r="J192" s="556"/>
      <c r="K192" s="556"/>
      <c r="L192" s="556"/>
      <c r="M192" s="556"/>
      <c r="N192" s="556"/>
      <c r="O192" s="556"/>
      <c r="P192" s="556"/>
      <c r="Q192" s="556"/>
      <c r="R192" s="556"/>
      <c r="S192" s="556"/>
      <c r="T192" s="556"/>
      <c r="U192" s="1015"/>
      <c r="V192" s="556"/>
      <c r="W192" s="556"/>
      <c r="X192" s="556"/>
      <c r="Y192" s="135"/>
      <c r="Z192" s="1015"/>
      <c r="AA192" s="135"/>
      <c r="AB192" s="135"/>
      <c r="AC192" s="135"/>
      <c r="AD192" s="135"/>
      <c r="AE192" s="135"/>
      <c r="AF192" s="135"/>
      <c r="AG192" s="556"/>
      <c r="AH192" s="135"/>
      <c r="AI192" s="135"/>
      <c r="AJ192" s="1015"/>
      <c r="AK192" s="1015"/>
      <c r="AL192" s="1015"/>
      <c r="AM192" s="1015"/>
      <c r="AN192" s="1015"/>
      <c r="AO192" s="1015"/>
      <c r="AP192" s="1015"/>
      <c r="AQ192" s="1015"/>
      <c r="AR192" s="1015"/>
      <c r="AS192" s="1015"/>
      <c r="AT192" s="1015"/>
      <c r="AU192" s="1015"/>
      <c r="AV192" s="556"/>
      <c r="AW192" s="556"/>
      <c r="AX192" s="556"/>
      <c r="AY192" s="556"/>
      <c r="AZ192" s="556"/>
      <c r="BA192" s="135"/>
      <c r="BB192" s="135"/>
      <c r="BC192" s="556"/>
      <c r="BD192" s="556"/>
      <c r="BE192" s="556"/>
      <c r="BF192" s="421"/>
      <c r="BG192" s="421"/>
      <c r="BH192" s="49"/>
      <c r="BI192" s="49"/>
      <c r="BJ192" s="49"/>
      <c r="BK192" s="49"/>
      <c r="BL192" s="49"/>
      <c r="BM192" s="135"/>
      <c r="BN192" s="135"/>
      <c r="BO192" s="135"/>
      <c r="BP192" s="135"/>
      <c r="BQ192" s="135"/>
      <c r="BR192" s="556"/>
      <c r="BS192" s="647"/>
      <c r="BT192" s="135"/>
      <c r="BU192" s="627"/>
      <c r="BV192" s="627"/>
      <c r="BW192" s="627"/>
      <c r="BX192" s="627"/>
      <c r="BY192" s="627"/>
      <c r="BZ192" s="627"/>
      <c r="CA192" s="627"/>
      <c r="CB192" s="627"/>
      <c r="CC192" s="627"/>
      <c r="CD192" s="627"/>
      <c r="CE192" s="627"/>
      <c r="CF192" s="627"/>
      <c r="CG192" s="627"/>
      <c r="CH192" s="627"/>
      <c r="CI192" s="627"/>
      <c r="CJ192" s="627"/>
      <c r="CK192" s="421"/>
      <c r="CL192" s="627"/>
      <c r="CM192" s="627"/>
      <c r="CN192" s="627"/>
      <c r="CO192" s="627"/>
      <c r="CP192" s="627"/>
      <c r="CQ192" s="627"/>
      <c r="CR192" s="627"/>
      <c r="CS192" s="627"/>
      <c r="CT192" s="421"/>
    </row>
    <row r="193" spans="1:98" s="368" customFormat="1" ht="33">
      <c r="A193" s="1014"/>
      <c r="B193" s="916"/>
      <c r="C193" s="556" t="s">
        <v>996</v>
      </c>
      <c r="D193" s="1015">
        <f>6.1+6.2+6.2+6.5+5*3.8+ 1*4.7+10*3.5+1*5.2+ 6.75+6.5</f>
        <v>102.15</v>
      </c>
      <c r="E193" s="556"/>
      <c r="F193" s="556" t="s">
        <v>1</v>
      </c>
      <c r="G193" s="556"/>
      <c r="H193" s="556"/>
      <c r="I193" s="1015"/>
      <c r="J193" s="556"/>
      <c r="K193" s="556"/>
      <c r="L193" s="556"/>
      <c r="M193" s="556"/>
      <c r="N193" s="556"/>
      <c r="O193" s="556"/>
      <c r="P193" s="556"/>
      <c r="Q193" s="556"/>
      <c r="R193" s="556"/>
      <c r="S193" s="556"/>
      <c r="T193" s="556"/>
      <c r="U193" s="1015"/>
      <c r="V193" s="556"/>
      <c r="W193" s="556"/>
      <c r="X193" s="556"/>
      <c r="Y193" s="135"/>
      <c r="Z193" s="1015"/>
      <c r="AA193" s="135"/>
      <c r="AB193" s="135"/>
      <c r="AC193" s="135"/>
      <c r="AD193" s="135"/>
      <c r="AE193" s="135"/>
      <c r="AF193" s="135"/>
      <c r="AG193" s="556"/>
      <c r="AH193" s="135"/>
      <c r="AI193" s="135"/>
      <c r="AJ193" s="1015"/>
      <c r="AK193" s="1015"/>
      <c r="AL193" s="1015"/>
      <c r="AM193" s="1015"/>
      <c r="AN193" s="1015"/>
      <c r="AO193" s="1015"/>
      <c r="AP193" s="1015"/>
      <c r="AQ193" s="1015"/>
      <c r="AR193" s="1015"/>
      <c r="AS193" s="1015"/>
      <c r="AT193" s="1015"/>
      <c r="AU193" s="1015"/>
      <c r="AV193" s="556"/>
      <c r="AW193" s="556"/>
      <c r="AX193" s="556"/>
      <c r="AY193" s="556"/>
      <c r="AZ193" s="556"/>
      <c r="BA193" s="135"/>
      <c r="BB193" s="135"/>
      <c r="BC193" s="556"/>
      <c r="BD193" s="556"/>
      <c r="BE193" s="556"/>
      <c r="BF193" s="421"/>
      <c r="BG193" s="421"/>
      <c r="BH193" s="49"/>
      <c r="BI193" s="49"/>
      <c r="BJ193" s="49"/>
      <c r="BK193" s="49"/>
      <c r="BL193" s="49"/>
      <c r="BM193" s="135"/>
      <c r="BN193" s="135"/>
      <c r="BO193" s="135"/>
      <c r="BP193" s="135"/>
      <c r="BQ193" s="135"/>
      <c r="BR193" s="556"/>
      <c r="BS193" s="647"/>
      <c r="BT193" s="135"/>
      <c r="BU193" s="627"/>
      <c r="BV193" s="627"/>
      <c r="BW193" s="627"/>
      <c r="BX193" s="627"/>
      <c r="BY193" s="627"/>
      <c r="BZ193" s="627"/>
      <c r="CA193" s="627"/>
      <c r="CB193" s="627"/>
      <c r="CC193" s="627"/>
      <c r="CD193" s="627"/>
      <c r="CE193" s="627"/>
      <c r="CF193" s="627"/>
      <c r="CG193" s="627"/>
      <c r="CH193" s="627"/>
      <c r="CI193" s="627"/>
      <c r="CJ193" s="627"/>
      <c r="CK193" s="421"/>
      <c r="CL193" s="627"/>
      <c r="CM193" s="627"/>
      <c r="CN193" s="627"/>
      <c r="CO193" s="627"/>
      <c r="CP193" s="627"/>
      <c r="CQ193" s="627"/>
      <c r="CR193" s="627"/>
      <c r="CS193" s="627"/>
      <c r="CT193" s="421"/>
    </row>
    <row r="194" spans="1:98" s="368" customFormat="1">
      <c r="A194" s="1014"/>
      <c r="B194" s="916"/>
      <c r="C194" s="556"/>
      <c r="D194" s="1015"/>
      <c r="E194" s="556"/>
      <c r="F194" s="556"/>
      <c r="G194" s="556"/>
      <c r="H194" s="556"/>
      <c r="I194" s="1015"/>
      <c r="J194" s="556"/>
      <c r="K194" s="556"/>
      <c r="L194" s="556"/>
      <c r="M194" s="556"/>
      <c r="N194" s="556"/>
      <c r="O194" s="556"/>
      <c r="P194" s="556"/>
      <c r="Q194" s="556"/>
      <c r="R194" s="556"/>
      <c r="S194" s="556"/>
      <c r="T194" s="556"/>
      <c r="U194" s="1015"/>
      <c r="V194" s="556"/>
      <c r="W194" s="556"/>
      <c r="X194" s="556"/>
      <c r="Y194" s="135"/>
      <c r="Z194" s="1015"/>
      <c r="AA194" s="135"/>
      <c r="AB194" s="135"/>
      <c r="AC194" s="135"/>
      <c r="AD194" s="135"/>
      <c r="AE194" s="135"/>
      <c r="AF194" s="135"/>
      <c r="AG194" s="556"/>
      <c r="AH194" s="135"/>
      <c r="AI194" s="135"/>
      <c r="AJ194" s="1015"/>
      <c r="AK194" s="1015"/>
      <c r="AL194" s="1015"/>
      <c r="AM194" s="1015"/>
      <c r="AN194" s="1015"/>
      <c r="AO194" s="1015"/>
      <c r="AP194" s="1015"/>
      <c r="AQ194" s="1015"/>
      <c r="AR194" s="1015"/>
      <c r="AS194" s="1015"/>
      <c r="AT194" s="1015"/>
      <c r="AU194" s="1015"/>
      <c r="AV194" s="556"/>
      <c r="AW194" s="556"/>
      <c r="AX194" s="556"/>
      <c r="AY194" s="556"/>
      <c r="AZ194" s="556"/>
      <c r="BA194" s="135"/>
      <c r="BB194" s="135"/>
      <c r="BC194" s="556"/>
      <c r="BD194" s="556"/>
      <c r="BE194" s="556"/>
      <c r="BF194" s="421"/>
      <c r="BG194" s="421"/>
      <c r="BH194" s="49"/>
      <c r="BI194" s="49"/>
      <c r="BJ194" s="49"/>
      <c r="BK194" s="49"/>
      <c r="BL194" s="49"/>
      <c r="BM194" s="135"/>
      <c r="BN194" s="135"/>
      <c r="BO194" s="135"/>
      <c r="BP194" s="135"/>
      <c r="BQ194" s="135"/>
      <c r="BR194" s="556"/>
      <c r="BS194" s="647"/>
      <c r="BT194" s="135"/>
      <c r="BU194" s="627"/>
      <c r="BV194" s="627"/>
      <c r="BW194" s="627"/>
      <c r="BX194" s="627"/>
      <c r="BY194" s="627"/>
      <c r="BZ194" s="627"/>
      <c r="CA194" s="627"/>
      <c r="CB194" s="627"/>
      <c r="CC194" s="627"/>
      <c r="CD194" s="627"/>
      <c r="CE194" s="627"/>
      <c r="CF194" s="627"/>
      <c r="CG194" s="627"/>
      <c r="CH194" s="627"/>
      <c r="CI194" s="627"/>
      <c r="CJ194" s="627"/>
      <c r="CK194" s="421"/>
      <c r="CL194" s="627"/>
      <c r="CM194" s="627"/>
      <c r="CN194" s="627"/>
      <c r="CO194" s="627"/>
      <c r="CP194" s="627"/>
      <c r="CQ194" s="627"/>
      <c r="CR194" s="627"/>
      <c r="CS194" s="627"/>
      <c r="CT194" s="421"/>
    </row>
    <row r="195" spans="1:98" s="368" customFormat="1">
      <c r="A195" s="1014"/>
      <c r="B195" s="916"/>
      <c r="C195" s="556"/>
      <c r="D195" s="1015"/>
      <c r="E195" s="556"/>
      <c r="F195" s="556"/>
      <c r="G195" s="556"/>
      <c r="H195" s="556"/>
      <c r="I195" s="1015"/>
      <c r="J195" s="556"/>
      <c r="K195" s="556"/>
      <c r="L195" s="556"/>
      <c r="M195" s="556"/>
      <c r="N195" s="556"/>
      <c r="O195" s="556"/>
      <c r="P195" s="556"/>
      <c r="Q195" s="556"/>
      <c r="R195" s="556"/>
      <c r="S195" s="556"/>
      <c r="T195" s="556"/>
      <c r="U195" s="1015"/>
      <c r="V195" s="556"/>
      <c r="W195" s="556"/>
      <c r="X195" s="556"/>
      <c r="Y195" s="135"/>
      <c r="Z195" s="1015"/>
      <c r="AA195" s="135"/>
      <c r="AB195" s="135"/>
      <c r="AC195" s="135"/>
      <c r="AD195" s="135"/>
      <c r="AE195" s="135"/>
      <c r="AF195" s="135"/>
      <c r="AG195" s="556"/>
      <c r="AH195" s="135"/>
      <c r="AI195" s="135"/>
      <c r="AJ195" s="1015"/>
      <c r="AK195" s="1015"/>
      <c r="AL195" s="1015"/>
      <c r="AM195" s="1015"/>
      <c r="AN195" s="1015"/>
      <c r="AO195" s="1015"/>
      <c r="AP195" s="1015"/>
      <c r="AQ195" s="1015"/>
      <c r="AR195" s="1015"/>
      <c r="AS195" s="1015"/>
      <c r="AT195" s="1015"/>
      <c r="AU195" s="1015"/>
      <c r="AV195" s="556"/>
      <c r="AW195" s="556"/>
      <c r="AX195" s="556"/>
      <c r="AY195" s="556"/>
      <c r="AZ195" s="556"/>
      <c r="BA195" s="135"/>
      <c r="BB195" s="135"/>
      <c r="BC195" s="556"/>
      <c r="BD195" s="556"/>
      <c r="BE195" s="556"/>
      <c r="BF195" s="421"/>
      <c r="BG195" s="421"/>
      <c r="BH195" s="49"/>
      <c r="BI195" s="49"/>
      <c r="BJ195" s="49"/>
      <c r="BK195" s="49"/>
      <c r="BL195" s="49"/>
      <c r="BM195" s="135"/>
      <c r="BN195" s="135"/>
      <c r="BO195" s="135"/>
      <c r="BP195" s="135"/>
      <c r="BQ195" s="135"/>
      <c r="BR195" s="556"/>
      <c r="BS195" s="647"/>
      <c r="BT195" s="135"/>
      <c r="BU195" s="627"/>
      <c r="BV195" s="627"/>
      <c r="BW195" s="627"/>
      <c r="BX195" s="627"/>
      <c r="BY195" s="627"/>
      <c r="BZ195" s="627"/>
      <c r="CA195" s="627"/>
      <c r="CB195" s="627"/>
      <c r="CC195" s="627"/>
      <c r="CD195" s="627"/>
      <c r="CE195" s="627"/>
      <c r="CF195" s="627"/>
      <c r="CG195" s="627"/>
      <c r="CH195" s="627"/>
      <c r="CI195" s="627"/>
      <c r="CJ195" s="627"/>
      <c r="CK195" s="421"/>
      <c r="CL195" s="627"/>
      <c r="CM195" s="627"/>
      <c r="CN195" s="627"/>
      <c r="CO195" s="627"/>
      <c r="CP195" s="627"/>
      <c r="CQ195" s="627"/>
      <c r="CR195" s="627"/>
      <c r="CS195" s="627"/>
      <c r="CT195" s="421"/>
    </row>
    <row r="196" spans="1:98" s="642" customFormat="1" ht="17.25" thickBot="1">
      <c r="A196" s="422"/>
      <c r="B196" s="652"/>
      <c r="C196" s="133"/>
      <c r="D196" s="630"/>
      <c r="E196" s="133"/>
      <c r="F196" s="133"/>
      <c r="G196" s="133"/>
      <c r="H196" s="133"/>
      <c r="I196" s="703"/>
      <c r="J196" s="556"/>
      <c r="K196" s="556"/>
      <c r="L196" s="556"/>
      <c r="M196" s="556"/>
      <c r="N196" s="556"/>
      <c r="O196" s="556"/>
      <c r="P196" s="556"/>
      <c r="Q196" s="556"/>
      <c r="R196" s="133"/>
      <c r="S196" s="133"/>
      <c r="T196" s="133"/>
      <c r="U196" s="630"/>
      <c r="V196" s="133"/>
      <c r="W196" s="133"/>
      <c r="X196" s="133"/>
      <c r="Y196" s="114"/>
      <c r="Z196" s="703"/>
      <c r="AA196" s="114"/>
      <c r="AB196" s="114"/>
      <c r="AC196" s="114"/>
      <c r="AD196" s="114"/>
      <c r="AE196" s="114"/>
      <c r="AF196" s="114"/>
      <c r="AG196" s="133"/>
      <c r="AH196" s="114"/>
      <c r="AI196" s="114"/>
      <c r="AJ196" s="630"/>
      <c r="AK196" s="630"/>
      <c r="AL196" s="630"/>
      <c r="AM196" s="630"/>
      <c r="AN196" s="630"/>
      <c r="AO196" s="630"/>
      <c r="AP196" s="630"/>
      <c r="AQ196" s="630"/>
      <c r="AR196" s="630"/>
      <c r="AS196" s="630"/>
      <c r="AT196" s="630"/>
      <c r="AU196" s="630"/>
      <c r="AV196" s="133"/>
      <c r="AW196" s="133"/>
      <c r="AX196" s="133"/>
      <c r="AY196" s="133"/>
      <c r="AZ196" s="133"/>
      <c r="BA196" s="114"/>
      <c r="BB196" s="114"/>
      <c r="BC196" s="133"/>
      <c r="BD196" s="133"/>
      <c r="BE196" s="88"/>
      <c r="BF196" s="421"/>
      <c r="BG196" s="421"/>
      <c r="BH196" s="49"/>
      <c r="BI196" s="49"/>
      <c r="BJ196" s="49"/>
      <c r="BK196" s="49"/>
      <c r="BL196" s="49"/>
      <c r="BM196" s="135"/>
      <c r="BN196" s="135"/>
      <c r="BO196" s="114"/>
      <c r="BP196" s="135"/>
      <c r="BQ196" s="114"/>
      <c r="BR196" s="133"/>
      <c r="BS196" s="52"/>
      <c r="BT196" s="114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502"/>
      <c r="CL196" s="46"/>
      <c r="CM196" s="46"/>
      <c r="CN196" s="46"/>
      <c r="CO196" s="46"/>
      <c r="CP196" s="46"/>
      <c r="CQ196" s="46"/>
      <c r="CR196" s="46"/>
      <c r="CS196" s="46"/>
      <c r="CT196" s="502"/>
    </row>
    <row r="197" spans="1:98" s="25" customFormat="1">
      <c r="A197" s="1233" t="s">
        <v>514</v>
      </c>
      <c r="B197" s="1234"/>
      <c r="C197" s="1234"/>
      <c r="D197" s="1234"/>
      <c r="E197" s="1234"/>
      <c r="F197" s="1234"/>
      <c r="G197" s="1234"/>
      <c r="H197" s="1239"/>
      <c r="I197" s="4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398"/>
      <c r="BV197" s="398"/>
      <c r="BW197" s="398"/>
      <c r="BX197" s="398"/>
      <c r="BY197" s="398"/>
      <c r="BZ197" s="398"/>
      <c r="CA197" s="398"/>
      <c r="CB197" s="398"/>
      <c r="CC197" s="398"/>
      <c r="CD197" s="398"/>
      <c r="CE197" s="398"/>
      <c r="CF197" s="398"/>
      <c r="CG197" s="398"/>
      <c r="CH197" s="398"/>
      <c r="CI197" s="398"/>
      <c r="CJ197" s="398"/>
      <c r="CK197" s="398"/>
      <c r="CL197" s="398"/>
      <c r="CM197" s="398"/>
      <c r="CN197" s="398"/>
      <c r="CO197" s="398"/>
      <c r="CP197" s="398"/>
      <c r="CQ197" s="398"/>
      <c r="CR197" s="398"/>
      <c r="CS197" s="398"/>
      <c r="CT197" s="398"/>
    </row>
    <row r="198" spans="1:98" s="25" customFormat="1" ht="37.5" customHeight="1">
      <c r="A198" s="448"/>
      <c r="B198" s="444"/>
      <c r="C198" s="444"/>
      <c r="D198" s="444"/>
      <c r="E198" s="309"/>
      <c r="F198" s="443"/>
      <c r="G198" s="443"/>
      <c r="H198" s="443"/>
      <c r="I198" s="4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398"/>
      <c r="BV198" s="398"/>
      <c r="BW198" s="398"/>
      <c r="BX198" s="398"/>
      <c r="BY198" s="398"/>
      <c r="BZ198" s="398"/>
      <c r="CA198" s="398"/>
      <c r="CB198" s="398"/>
      <c r="CC198" s="398"/>
      <c r="CD198" s="398"/>
      <c r="CE198" s="398"/>
      <c r="CF198" s="398"/>
      <c r="CG198" s="398"/>
      <c r="CH198" s="398"/>
      <c r="CI198" s="398"/>
      <c r="CJ198" s="398"/>
      <c r="CK198" s="398"/>
      <c r="CL198" s="398"/>
      <c r="CM198" s="398"/>
      <c r="CN198" s="398"/>
      <c r="CO198" s="398"/>
      <c r="CP198" s="398"/>
      <c r="CQ198" s="398"/>
      <c r="CR198" s="398"/>
      <c r="CS198" s="398"/>
      <c r="CT198" s="398"/>
    </row>
    <row r="199" spans="1:98" s="4" customFormat="1">
      <c r="A199" s="660"/>
      <c r="B199" s="421"/>
      <c r="C199" s="421"/>
      <c r="D199" s="421"/>
      <c r="E199" s="99"/>
      <c r="F199" s="10"/>
      <c r="G199" s="658" t="s">
        <v>5</v>
      </c>
      <c r="H199" s="690"/>
      <c r="I199" s="66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s="25" customFormat="1">
      <c r="A200" s="619"/>
      <c r="B200" s="46"/>
      <c r="C200" s="290"/>
      <c r="D200" s="658"/>
      <c r="E200" s="24"/>
      <c r="F200" s="24"/>
      <c r="G200" s="658" t="s">
        <v>4</v>
      </c>
      <c r="H200" s="691" t="s">
        <v>517</v>
      </c>
      <c r="I200" s="4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398"/>
      <c r="BV200" s="398"/>
      <c r="BW200" s="398"/>
      <c r="BX200" s="398"/>
      <c r="BY200" s="398"/>
      <c r="BZ200" s="398"/>
      <c r="CA200" s="398"/>
      <c r="CB200" s="398"/>
      <c r="CC200" s="398"/>
      <c r="CD200" s="398"/>
      <c r="CE200" s="398"/>
      <c r="CF200" s="398"/>
      <c r="CG200" s="398"/>
      <c r="CH200" s="398"/>
      <c r="CI200" s="398"/>
      <c r="CJ200" s="398"/>
      <c r="CK200" s="398"/>
      <c r="CL200" s="398"/>
      <c r="CM200" s="398"/>
      <c r="CN200" s="398"/>
      <c r="CO200" s="398"/>
      <c r="CP200" s="398"/>
      <c r="CQ200" s="398"/>
      <c r="CR200" s="398"/>
      <c r="CS200" s="398"/>
      <c r="CT200" s="398"/>
    </row>
    <row r="201" spans="1:98" s="25" customFormat="1">
      <c r="A201" s="620"/>
      <c r="B201" s="46"/>
      <c r="C201" s="290"/>
      <c r="D201" s="658"/>
      <c r="E201" s="24"/>
      <c r="F201" s="24"/>
      <c r="G201" s="658" t="s">
        <v>5</v>
      </c>
      <c r="H201" s="690"/>
      <c r="I201" s="4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398"/>
      <c r="BV201" s="398"/>
      <c r="BW201" s="398"/>
      <c r="BX201" s="398"/>
      <c r="BY201" s="398"/>
      <c r="BZ201" s="398"/>
      <c r="CA201" s="398"/>
      <c r="CB201" s="398"/>
      <c r="CC201" s="398"/>
      <c r="CD201" s="398"/>
      <c r="CE201" s="398"/>
      <c r="CF201" s="398"/>
      <c r="CG201" s="398"/>
      <c r="CH201" s="398"/>
      <c r="CI201" s="398"/>
      <c r="CJ201" s="398"/>
      <c r="CK201" s="398"/>
      <c r="CL201" s="398"/>
      <c r="CM201" s="398"/>
      <c r="CN201" s="398"/>
      <c r="CO201" s="398"/>
      <c r="CP201" s="398"/>
      <c r="CQ201" s="398"/>
      <c r="CR201" s="398"/>
      <c r="CS201" s="398"/>
      <c r="CT201" s="398"/>
    </row>
    <row r="202" spans="1:98" s="25" customFormat="1">
      <c r="A202" s="620"/>
      <c r="B202" s="46"/>
      <c r="C202" s="290"/>
      <c r="D202" s="658"/>
      <c r="E202" s="24"/>
      <c r="F202" s="24"/>
      <c r="G202" s="658" t="s">
        <v>4</v>
      </c>
      <c r="H202" s="691" t="s">
        <v>518</v>
      </c>
      <c r="I202" s="4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398"/>
      <c r="BV202" s="398"/>
      <c r="BW202" s="398"/>
      <c r="BX202" s="398"/>
      <c r="BY202" s="398"/>
      <c r="BZ202" s="398"/>
      <c r="CA202" s="398"/>
      <c r="CB202" s="398"/>
      <c r="CC202" s="398"/>
      <c r="CD202" s="398"/>
      <c r="CE202" s="398"/>
      <c r="CF202" s="398"/>
      <c r="CG202" s="398"/>
      <c r="CH202" s="398"/>
      <c r="CI202" s="398"/>
      <c r="CJ202" s="398"/>
      <c r="CK202" s="398"/>
      <c r="CL202" s="398"/>
      <c r="CM202" s="398"/>
      <c r="CN202" s="398"/>
      <c r="CO202" s="398"/>
      <c r="CP202" s="398"/>
      <c r="CQ202" s="398"/>
      <c r="CR202" s="398"/>
      <c r="CS202" s="398"/>
      <c r="CT202" s="398"/>
    </row>
    <row r="203" spans="1:98" s="25" customFormat="1">
      <c r="A203" s="620"/>
      <c r="B203" s="46"/>
      <c r="C203" s="290"/>
      <c r="D203" s="658"/>
      <c r="E203" s="24"/>
      <c r="F203" s="24"/>
      <c r="G203" s="658" t="s">
        <v>5</v>
      </c>
      <c r="H203" s="690"/>
      <c r="I203" s="4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398"/>
      <c r="BV203" s="398"/>
      <c r="BW203" s="398"/>
      <c r="BX203" s="398"/>
      <c r="BY203" s="398"/>
      <c r="BZ203" s="398"/>
      <c r="CA203" s="398"/>
      <c r="CB203" s="398"/>
      <c r="CC203" s="398"/>
      <c r="CD203" s="398"/>
      <c r="CE203" s="398"/>
      <c r="CF203" s="398"/>
      <c r="CG203" s="398"/>
      <c r="CH203" s="398"/>
      <c r="CI203" s="398"/>
      <c r="CJ203" s="398"/>
      <c r="CK203" s="398"/>
      <c r="CL203" s="398"/>
      <c r="CM203" s="398"/>
      <c r="CN203" s="398"/>
      <c r="CO203" s="398"/>
      <c r="CP203" s="398"/>
      <c r="CQ203" s="398"/>
      <c r="CR203" s="398"/>
      <c r="CS203" s="398"/>
      <c r="CT203" s="398"/>
    </row>
    <row r="204" spans="1:98" s="25" customFormat="1">
      <c r="A204" s="620"/>
      <c r="B204" s="46"/>
      <c r="C204" s="290"/>
      <c r="D204" s="658"/>
      <c r="E204" s="24"/>
      <c r="F204" s="24"/>
      <c r="G204" s="658" t="s">
        <v>4</v>
      </c>
      <c r="H204" s="691" t="s">
        <v>519</v>
      </c>
      <c r="I204" s="4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398"/>
      <c r="BV204" s="398"/>
      <c r="BW204" s="398"/>
      <c r="BX204" s="398"/>
      <c r="BY204" s="398"/>
      <c r="BZ204" s="398"/>
      <c r="CA204" s="398"/>
      <c r="CB204" s="398"/>
      <c r="CC204" s="398"/>
      <c r="CD204" s="398"/>
      <c r="CE204" s="398"/>
      <c r="CF204" s="398"/>
      <c r="CG204" s="398"/>
      <c r="CH204" s="398"/>
      <c r="CI204" s="398"/>
      <c r="CJ204" s="398"/>
      <c r="CK204" s="398"/>
      <c r="CL204" s="398"/>
      <c r="CM204" s="398"/>
      <c r="CN204" s="398"/>
      <c r="CO204" s="398"/>
      <c r="CP204" s="398"/>
      <c r="CQ204" s="398"/>
      <c r="CR204" s="398"/>
      <c r="CS204" s="398"/>
      <c r="CT204" s="398"/>
    </row>
    <row r="205" spans="1:98" s="25" customFormat="1">
      <c r="A205" s="620"/>
      <c r="B205" s="46"/>
      <c r="C205" s="290"/>
      <c r="D205" s="659"/>
      <c r="E205" s="290"/>
      <c r="F205" s="24"/>
      <c r="G205" s="659" t="s">
        <v>5</v>
      </c>
      <c r="H205" s="692"/>
      <c r="I205" s="4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398"/>
      <c r="BV205" s="398"/>
      <c r="BW205" s="398"/>
      <c r="BX205" s="398"/>
      <c r="BY205" s="398"/>
      <c r="BZ205" s="398"/>
      <c r="CA205" s="398"/>
      <c r="CB205" s="398"/>
      <c r="CC205" s="398"/>
      <c r="CD205" s="398"/>
      <c r="CE205" s="398"/>
      <c r="CF205" s="398"/>
      <c r="CG205" s="398"/>
      <c r="CH205" s="398"/>
      <c r="CI205" s="398"/>
      <c r="CJ205" s="398"/>
      <c r="CK205" s="398"/>
      <c r="CL205" s="398"/>
      <c r="CM205" s="398"/>
      <c r="CN205" s="398"/>
      <c r="CO205" s="398"/>
      <c r="CP205" s="398"/>
      <c r="CQ205" s="398"/>
      <c r="CR205" s="398"/>
      <c r="CS205" s="398"/>
      <c r="CT205" s="398"/>
    </row>
    <row r="206" spans="1:98" s="25" customFormat="1" ht="17.25" thickBot="1">
      <c r="A206" s="621"/>
      <c r="B206" s="425"/>
      <c r="C206" s="693"/>
      <c r="D206" s="428"/>
      <c r="E206" s="425"/>
      <c r="F206" s="437"/>
      <c r="G206" s="428" t="s">
        <v>4</v>
      </c>
      <c r="H206" s="694" t="s">
        <v>515</v>
      </c>
      <c r="I206" s="4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398"/>
      <c r="BV206" s="398"/>
      <c r="BW206" s="398"/>
      <c r="BX206" s="398"/>
      <c r="BY206" s="398"/>
      <c r="BZ206" s="398"/>
      <c r="CA206" s="398"/>
      <c r="CB206" s="398"/>
      <c r="CC206" s="398"/>
      <c r="CD206" s="398"/>
      <c r="CE206" s="398"/>
      <c r="CF206" s="398"/>
      <c r="CG206" s="398"/>
      <c r="CH206" s="398"/>
      <c r="CI206" s="398"/>
      <c r="CJ206" s="398"/>
      <c r="CK206" s="398"/>
      <c r="CL206" s="398"/>
      <c r="CM206" s="398"/>
      <c r="CN206" s="398"/>
      <c r="CO206" s="398"/>
      <c r="CP206" s="398"/>
      <c r="CQ206" s="398"/>
      <c r="CR206" s="398"/>
      <c r="CS206" s="398"/>
      <c r="CT206" s="398"/>
    </row>
    <row r="207" spans="1:98" s="25" customFormat="1">
      <c r="A207" s="378"/>
      <c r="B207" s="378"/>
      <c r="C207" s="378"/>
      <c r="D207" s="689"/>
      <c r="E207" s="656"/>
      <c r="F207" s="689"/>
      <c r="G207" s="656"/>
      <c r="H207" s="69"/>
      <c r="I207" s="4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398"/>
      <c r="BV207" s="398"/>
      <c r="BW207" s="398"/>
      <c r="BX207" s="398"/>
      <c r="BY207" s="398"/>
      <c r="BZ207" s="398"/>
      <c r="CA207" s="398"/>
      <c r="CB207" s="398"/>
      <c r="CC207" s="398"/>
      <c r="CD207" s="398"/>
      <c r="CE207" s="398"/>
      <c r="CF207" s="398"/>
      <c r="CG207" s="398"/>
      <c r="CH207" s="398"/>
      <c r="CI207" s="398"/>
      <c r="CJ207" s="398"/>
      <c r="CK207" s="398"/>
      <c r="CL207" s="398"/>
      <c r="CM207" s="398"/>
      <c r="CN207" s="398"/>
      <c r="CO207" s="398"/>
      <c r="CP207" s="398"/>
      <c r="CQ207" s="398"/>
      <c r="CR207" s="398"/>
      <c r="CS207" s="398"/>
      <c r="CT207" s="398"/>
    </row>
    <row r="208" spans="1:98" s="25" customFormat="1">
      <c r="A208" s="442"/>
      <c r="B208" s="378"/>
      <c r="C208" s="453"/>
      <c r="D208" s="453"/>
      <c r="E208" s="670"/>
      <c r="F208" s="505"/>
      <c r="G208" s="439"/>
      <c r="H208" s="69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398"/>
      <c r="BV208" s="398"/>
      <c r="BW208" s="398"/>
      <c r="BX208" s="398"/>
      <c r="BY208" s="398"/>
      <c r="BZ208" s="398"/>
      <c r="CA208" s="398"/>
      <c r="CB208" s="398"/>
      <c r="CC208" s="398"/>
      <c r="CD208" s="398"/>
      <c r="CE208" s="398"/>
      <c r="CF208" s="398"/>
      <c r="CG208" s="398"/>
      <c r="CH208" s="398"/>
      <c r="CI208" s="398"/>
      <c r="CJ208" s="398"/>
      <c r="CK208" s="398"/>
      <c r="CL208" s="398"/>
      <c r="CM208" s="398"/>
      <c r="CN208" s="398"/>
      <c r="CO208" s="398"/>
      <c r="CP208" s="398"/>
      <c r="CQ208" s="398"/>
      <c r="CR208" s="398"/>
      <c r="CS208" s="398"/>
      <c r="CT208" s="398"/>
    </row>
    <row r="209" spans="1:98" s="25" customFormat="1" ht="17.25" thickBot="1">
      <c r="A209" s="445"/>
      <c r="B209" s="379"/>
      <c r="C209" s="446"/>
      <c r="D209" s="446"/>
      <c r="E209" s="446"/>
      <c r="F209" s="447"/>
      <c r="G209" s="439"/>
      <c r="H209" s="439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398"/>
      <c r="BV209" s="398"/>
      <c r="BW209" s="398"/>
      <c r="BX209" s="398"/>
      <c r="BY209" s="398"/>
      <c r="BZ209" s="398"/>
      <c r="CA209" s="398"/>
      <c r="CB209" s="398"/>
      <c r="CC209" s="398"/>
      <c r="CD209" s="398"/>
      <c r="CE209" s="398"/>
      <c r="CF209" s="398"/>
      <c r="CG209" s="398"/>
      <c r="CH209" s="398"/>
      <c r="CI209" s="398"/>
      <c r="CJ209" s="398"/>
      <c r="CK209" s="398"/>
      <c r="CL209" s="398"/>
      <c r="CM209" s="398"/>
      <c r="CN209" s="398"/>
      <c r="CO209" s="398"/>
      <c r="CP209" s="398"/>
      <c r="CQ209" s="398"/>
      <c r="CR209" s="398"/>
      <c r="CS209" s="398"/>
      <c r="CT209" s="398"/>
    </row>
    <row r="210" spans="1:98" s="25" customFormat="1">
      <c r="A210" s="1233" t="s">
        <v>516</v>
      </c>
      <c r="B210" s="1234"/>
      <c r="C210" s="1234"/>
      <c r="D210" s="1234"/>
      <c r="E210" s="1234"/>
      <c r="F210" s="1235"/>
      <c r="G210" s="537"/>
      <c r="H210" s="538"/>
      <c r="I210" s="4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398"/>
      <c r="BV210" s="398"/>
      <c r="BW210" s="398"/>
      <c r="BX210" s="398"/>
      <c r="BY210" s="398"/>
      <c r="BZ210" s="398"/>
      <c r="CA210" s="398"/>
      <c r="CB210" s="398"/>
      <c r="CC210" s="398"/>
      <c r="CD210" s="398"/>
      <c r="CE210" s="398"/>
      <c r="CF210" s="398"/>
      <c r="CG210" s="398"/>
      <c r="CH210" s="398"/>
      <c r="CI210" s="398"/>
      <c r="CJ210" s="398"/>
      <c r="CK210" s="398"/>
      <c r="CL210" s="398"/>
      <c r="CM210" s="398"/>
      <c r="CN210" s="398"/>
      <c r="CO210" s="398"/>
      <c r="CP210" s="398"/>
      <c r="CQ210" s="398"/>
      <c r="CR210" s="398"/>
      <c r="CS210" s="398"/>
      <c r="CT210" s="398"/>
    </row>
    <row r="211" spans="1:98" s="25" customFormat="1" ht="30" customHeight="1">
      <c r="A211" s="448"/>
      <c r="B211" s="444"/>
      <c r="C211" s="444" t="s">
        <v>5</v>
      </c>
      <c r="D211" s="444" t="s">
        <v>4</v>
      </c>
      <c r="E211" s="309"/>
      <c r="F211" s="443"/>
      <c r="G211" s="443"/>
      <c r="H211" s="542"/>
      <c r="I211" s="4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398"/>
      <c r="BV211" s="398"/>
      <c r="BW211" s="398"/>
      <c r="BX211" s="398"/>
      <c r="BY211" s="398"/>
      <c r="BZ211" s="398"/>
      <c r="CA211" s="398"/>
      <c r="CB211" s="398"/>
      <c r="CC211" s="398"/>
      <c r="CD211" s="398"/>
      <c r="CE211" s="398"/>
      <c r="CF211" s="398"/>
      <c r="CG211" s="398"/>
      <c r="CH211" s="398"/>
      <c r="CI211" s="398"/>
      <c r="CJ211" s="398"/>
      <c r="CK211" s="398"/>
      <c r="CL211" s="398"/>
      <c r="CM211" s="398"/>
      <c r="CN211" s="398"/>
      <c r="CO211" s="398"/>
      <c r="CP211" s="398"/>
      <c r="CQ211" s="398"/>
      <c r="CR211" s="398"/>
      <c r="CS211" s="398"/>
      <c r="CT211" s="398"/>
    </row>
    <row r="212" spans="1:98" s="25" customFormat="1" ht="48" customHeight="1">
      <c r="A212" s="525"/>
      <c r="B212" s="526"/>
      <c r="C212" s="527"/>
      <c r="D212" s="528"/>
      <c r="E212" s="529"/>
      <c r="F212" s="662"/>
      <c r="G212" s="527" t="s">
        <v>5</v>
      </c>
      <c r="H212" s="530" t="s">
        <v>517</v>
      </c>
      <c r="I212" s="4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398"/>
      <c r="BV212" s="398"/>
      <c r="BW212" s="398"/>
      <c r="BX212" s="398"/>
      <c r="BY212" s="398"/>
      <c r="BZ212" s="398"/>
      <c r="CA212" s="398"/>
      <c r="CB212" s="398"/>
      <c r="CC212" s="398"/>
      <c r="CD212" s="398"/>
      <c r="CE212" s="398"/>
      <c r="CF212" s="398"/>
      <c r="CG212" s="398"/>
      <c r="CH212" s="398"/>
      <c r="CI212" s="398"/>
      <c r="CJ212" s="398"/>
      <c r="CK212" s="398"/>
      <c r="CL212" s="398"/>
      <c r="CM212" s="398"/>
      <c r="CN212" s="398"/>
      <c r="CO212" s="398"/>
      <c r="CP212" s="398"/>
      <c r="CQ212" s="398"/>
      <c r="CR212" s="398"/>
      <c r="CS212" s="398"/>
      <c r="CT212" s="398"/>
    </row>
    <row r="213" spans="1:98" s="25" customFormat="1">
      <c r="A213" s="525"/>
      <c r="B213" s="526"/>
      <c r="C213" s="527"/>
      <c r="D213" s="528"/>
      <c r="E213" s="529"/>
      <c r="F213" s="662">
        <f>F212*0.1</f>
        <v>0</v>
      </c>
      <c r="G213" s="527" t="s">
        <v>4</v>
      </c>
      <c r="H213" s="531"/>
      <c r="I213" s="4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398"/>
      <c r="BV213" s="398"/>
      <c r="BW213" s="398"/>
      <c r="BX213" s="398"/>
      <c r="BY213" s="398"/>
      <c r="BZ213" s="398"/>
      <c r="CA213" s="398"/>
      <c r="CB213" s="398"/>
      <c r="CC213" s="398"/>
      <c r="CD213" s="398"/>
      <c r="CE213" s="398"/>
      <c r="CF213" s="398"/>
      <c r="CG213" s="398"/>
      <c r="CH213" s="398"/>
      <c r="CI213" s="398"/>
      <c r="CJ213" s="398"/>
      <c r="CK213" s="398"/>
      <c r="CL213" s="398"/>
      <c r="CM213" s="398"/>
      <c r="CN213" s="398"/>
      <c r="CO213" s="398"/>
      <c r="CP213" s="398"/>
      <c r="CQ213" s="398"/>
      <c r="CR213" s="398"/>
      <c r="CS213" s="398"/>
      <c r="CT213" s="398"/>
    </row>
    <row r="214" spans="1:98" s="25" customFormat="1">
      <c r="A214" s="525"/>
      <c r="B214" s="526"/>
      <c r="C214" s="527"/>
      <c r="D214" s="528"/>
      <c r="E214" s="529"/>
      <c r="F214" s="529"/>
      <c r="G214" s="527"/>
      <c r="H214" s="531"/>
      <c r="I214" s="4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398"/>
      <c r="BV214" s="398"/>
      <c r="BW214" s="398"/>
      <c r="BX214" s="398"/>
      <c r="BY214" s="398"/>
      <c r="BZ214" s="398"/>
      <c r="CA214" s="398"/>
      <c r="CB214" s="398"/>
      <c r="CC214" s="398"/>
      <c r="CD214" s="398"/>
      <c r="CE214" s="398"/>
      <c r="CF214" s="398"/>
      <c r="CG214" s="398"/>
      <c r="CH214" s="398"/>
      <c r="CI214" s="398"/>
      <c r="CJ214" s="398"/>
      <c r="CK214" s="398"/>
      <c r="CL214" s="398"/>
      <c r="CM214" s="398"/>
      <c r="CN214" s="398"/>
      <c r="CO214" s="398"/>
      <c r="CP214" s="398"/>
      <c r="CQ214" s="398"/>
      <c r="CR214" s="398"/>
      <c r="CS214" s="398"/>
      <c r="CT214" s="398"/>
    </row>
    <row r="215" spans="1:98" s="25" customFormat="1">
      <c r="A215" s="525"/>
      <c r="B215" s="526"/>
      <c r="C215" s="527"/>
      <c r="D215" s="528"/>
      <c r="E215" s="529"/>
      <c r="F215" s="529"/>
      <c r="G215" s="527"/>
      <c r="H215" s="531"/>
      <c r="I215" s="4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398"/>
      <c r="BV215" s="398"/>
      <c r="BW215" s="398"/>
      <c r="BX215" s="398"/>
      <c r="BY215" s="398"/>
      <c r="BZ215" s="398"/>
      <c r="CA215" s="398"/>
      <c r="CB215" s="398"/>
      <c r="CC215" s="398"/>
      <c r="CD215" s="398"/>
      <c r="CE215" s="398"/>
      <c r="CF215" s="398"/>
      <c r="CG215" s="398"/>
      <c r="CH215" s="398"/>
      <c r="CI215" s="398"/>
      <c r="CJ215" s="398"/>
      <c r="CK215" s="398"/>
      <c r="CL215" s="398"/>
      <c r="CM215" s="398"/>
      <c r="CN215" s="398"/>
      <c r="CO215" s="398"/>
      <c r="CP215" s="398"/>
      <c r="CQ215" s="398"/>
      <c r="CR215" s="398"/>
      <c r="CS215" s="398"/>
      <c r="CT215" s="398"/>
    </row>
    <row r="216" spans="1:98" s="25" customFormat="1">
      <c r="A216" s="525"/>
      <c r="B216" s="526"/>
      <c r="C216" s="527"/>
      <c r="D216" s="528"/>
      <c r="E216" s="529"/>
      <c r="F216" s="529"/>
      <c r="G216" s="527"/>
      <c r="H216" s="532"/>
      <c r="I216" s="4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398"/>
      <c r="BV216" s="398"/>
      <c r="BW216" s="398"/>
      <c r="BX216" s="398"/>
      <c r="BY216" s="398"/>
      <c r="BZ216" s="398"/>
      <c r="CA216" s="398"/>
      <c r="CB216" s="398"/>
      <c r="CC216" s="398"/>
      <c r="CD216" s="398"/>
      <c r="CE216" s="398"/>
      <c r="CF216" s="398"/>
      <c r="CG216" s="398"/>
      <c r="CH216" s="398"/>
      <c r="CI216" s="398"/>
      <c r="CJ216" s="398"/>
      <c r="CK216" s="398"/>
      <c r="CL216" s="398"/>
      <c r="CM216" s="398"/>
      <c r="CN216" s="398"/>
      <c r="CO216" s="398"/>
      <c r="CP216" s="398"/>
      <c r="CQ216" s="398"/>
      <c r="CR216" s="398"/>
      <c r="CS216" s="398"/>
      <c r="CT216" s="398"/>
    </row>
    <row r="217" spans="1:98" s="25" customFormat="1" ht="48.75" customHeight="1">
      <c r="A217" s="808" t="s">
        <v>752</v>
      </c>
      <c r="B217" s="807" t="s">
        <v>751</v>
      </c>
      <c r="C217" s="663">
        <f>(6.2*2+3.75*1+3.75*3)*2.8-0.8*2.1*6</f>
        <v>66.639999999999986</v>
      </c>
      <c r="D217" s="925">
        <f>C217*0.15</f>
        <v>9.9959999999999969</v>
      </c>
      <c r="E217" s="554"/>
      <c r="F217" s="663"/>
      <c r="G217" s="521" t="s">
        <v>5</v>
      </c>
      <c r="H217" s="535" t="s">
        <v>518</v>
      </c>
      <c r="I217" s="4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398"/>
      <c r="BV217" s="398"/>
      <c r="BW217" s="398"/>
      <c r="BX217" s="398"/>
      <c r="BY217" s="398"/>
      <c r="BZ217" s="398"/>
      <c r="CA217" s="398"/>
      <c r="CB217" s="398"/>
      <c r="CC217" s="398"/>
      <c r="CD217" s="398"/>
      <c r="CE217" s="398"/>
      <c r="CF217" s="398"/>
      <c r="CG217" s="398"/>
      <c r="CH217" s="398"/>
      <c r="CI217" s="398"/>
      <c r="CJ217" s="398"/>
      <c r="CK217" s="398"/>
      <c r="CL217" s="398"/>
      <c r="CM217" s="398"/>
      <c r="CN217" s="398"/>
      <c r="CO217" s="398"/>
      <c r="CP217" s="398"/>
      <c r="CQ217" s="398"/>
      <c r="CR217" s="398"/>
      <c r="CS217" s="398"/>
      <c r="CT217" s="398"/>
    </row>
    <row r="218" spans="1:98" s="25" customFormat="1" ht="33">
      <c r="A218" s="519" t="s">
        <v>765</v>
      </c>
      <c r="B218" s="520" t="s">
        <v>766</v>
      </c>
      <c r="C218" s="522">
        <f>6.2*2.8*8</f>
        <v>138.88</v>
      </c>
      <c r="D218" s="942">
        <f>6.2*2.8*8 *0.15</f>
        <v>20.831999999999997</v>
      </c>
      <c r="E218" s="523"/>
      <c r="F218" s="663">
        <f>F217*0.15</f>
        <v>0</v>
      </c>
      <c r="G218" s="521" t="s">
        <v>4</v>
      </c>
      <c r="H218" s="524"/>
      <c r="I218" s="4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398"/>
      <c r="BV218" s="398"/>
      <c r="BW218" s="398"/>
      <c r="BX218" s="398"/>
      <c r="BY218" s="398"/>
      <c r="BZ218" s="398"/>
      <c r="CA218" s="398"/>
      <c r="CB218" s="398"/>
      <c r="CC218" s="398"/>
      <c r="CD218" s="398"/>
      <c r="CE218" s="398"/>
      <c r="CF218" s="398"/>
      <c r="CG218" s="398"/>
      <c r="CH218" s="398"/>
      <c r="CI218" s="398"/>
      <c r="CJ218" s="398"/>
      <c r="CK218" s="398"/>
      <c r="CL218" s="398"/>
      <c r="CM218" s="398"/>
      <c r="CN218" s="398"/>
      <c r="CO218" s="398"/>
      <c r="CP218" s="398"/>
      <c r="CQ218" s="398"/>
      <c r="CR218" s="398"/>
      <c r="CS218" s="398"/>
      <c r="CT218" s="398"/>
    </row>
    <row r="219" spans="1:98" s="25" customFormat="1">
      <c r="A219" s="519"/>
      <c r="B219" s="520"/>
      <c r="C219" s="522"/>
      <c r="D219" s="522"/>
      <c r="E219" s="523"/>
      <c r="F219" s="523"/>
      <c r="G219" s="521"/>
      <c r="H219" s="524"/>
      <c r="I219" s="4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398"/>
      <c r="BV219" s="398"/>
      <c r="BW219" s="398"/>
      <c r="BX219" s="398"/>
      <c r="BY219" s="398"/>
      <c r="BZ219" s="398"/>
      <c r="CA219" s="398"/>
      <c r="CB219" s="398"/>
      <c r="CC219" s="398"/>
      <c r="CD219" s="398"/>
      <c r="CE219" s="398"/>
      <c r="CF219" s="398"/>
      <c r="CG219" s="398"/>
      <c r="CH219" s="398"/>
      <c r="CI219" s="398"/>
      <c r="CJ219" s="398"/>
      <c r="CK219" s="398"/>
      <c r="CL219" s="398"/>
      <c r="CM219" s="398"/>
      <c r="CN219" s="398"/>
      <c r="CO219" s="398"/>
      <c r="CP219" s="398"/>
      <c r="CQ219" s="398"/>
      <c r="CR219" s="398"/>
      <c r="CS219" s="398"/>
      <c r="CT219" s="398"/>
    </row>
    <row r="220" spans="1:98" s="25" customFormat="1">
      <c r="A220" s="519"/>
      <c r="B220" s="520"/>
      <c r="C220" s="522"/>
      <c r="D220" s="522"/>
      <c r="E220" s="523"/>
      <c r="F220" s="523"/>
      <c r="G220" s="521"/>
      <c r="H220" s="524"/>
      <c r="I220" s="4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398"/>
      <c r="BV220" s="398"/>
      <c r="BW220" s="398"/>
      <c r="BX220" s="398"/>
      <c r="BY220" s="398"/>
      <c r="BZ220" s="398"/>
      <c r="CA220" s="398"/>
      <c r="CB220" s="398"/>
      <c r="CC220" s="398"/>
      <c r="CD220" s="398"/>
      <c r="CE220" s="398"/>
      <c r="CF220" s="398"/>
      <c r="CG220" s="398"/>
      <c r="CH220" s="398"/>
      <c r="CI220" s="398"/>
      <c r="CJ220" s="398"/>
      <c r="CK220" s="398"/>
      <c r="CL220" s="398"/>
      <c r="CM220" s="398"/>
      <c r="CN220" s="398"/>
      <c r="CO220" s="398"/>
      <c r="CP220" s="398"/>
      <c r="CQ220" s="398"/>
      <c r="CR220" s="398"/>
      <c r="CS220" s="398"/>
      <c r="CT220" s="398"/>
    </row>
    <row r="221" spans="1:98" s="25" customFormat="1">
      <c r="A221" s="519"/>
      <c r="B221" s="520"/>
      <c r="C221" s="522"/>
      <c r="D221" s="522"/>
      <c r="E221" s="523"/>
      <c r="F221" s="523"/>
      <c r="G221" s="521"/>
      <c r="H221" s="536"/>
      <c r="I221" s="4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398"/>
      <c r="BV221" s="398"/>
      <c r="BW221" s="398"/>
      <c r="BX221" s="398"/>
      <c r="BY221" s="398"/>
      <c r="BZ221" s="398"/>
      <c r="CA221" s="398"/>
      <c r="CB221" s="398"/>
      <c r="CC221" s="398"/>
      <c r="CD221" s="398"/>
      <c r="CE221" s="398"/>
      <c r="CF221" s="398"/>
      <c r="CG221" s="398"/>
      <c r="CH221" s="398"/>
      <c r="CI221" s="398"/>
      <c r="CJ221" s="398"/>
      <c r="CK221" s="398"/>
      <c r="CL221" s="398"/>
      <c r="CM221" s="398"/>
      <c r="CN221" s="398"/>
      <c r="CO221" s="398"/>
      <c r="CP221" s="398"/>
      <c r="CQ221" s="398"/>
      <c r="CR221" s="398"/>
      <c r="CS221" s="398"/>
      <c r="CT221" s="398"/>
    </row>
    <row r="222" spans="1:98" s="25" customFormat="1" ht="63" customHeight="1">
      <c r="A222" s="514" t="s">
        <v>764</v>
      </c>
      <c r="B222" s="513" t="s">
        <v>767</v>
      </c>
      <c r="C222" s="515">
        <f>(19.5+19.5+2.7)*2.8- (11*1*2.2+1*1.5*2.8)</f>
        <v>88.36</v>
      </c>
      <c r="D222" s="942">
        <f>(19.5+19.5+2.7)*2.8*0.2 - (11*1*2.2+1*1.5*2.8)*0.2</f>
        <v>17.672000000000004</v>
      </c>
      <c r="E222" s="654"/>
      <c r="F222" s="654"/>
      <c r="G222" s="655" t="s">
        <v>4</v>
      </c>
      <c r="H222" s="533" t="s">
        <v>519</v>
      </c>
      <c r="I222" s="4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398"/>
      <c r="BV222" s="398"/>
      <c r="BW222" s="398"/>
      <c r="BX222" s="398"/>
      <c r="BY222" s="398"/>
      <c r="BZ222" s="398"/>
      <c r="CA222" s="398"/>
      <c r="CB222" s="398"/>
      <c r="CC222" s="398"/>
      <c r="CD222" s="398"/>
      <c r="CE222" s="398"/>
      <c r="CF222" s="398"/>
      <c r="CG222" s="398"/>
      <c r="CH222" s="398"/>
      <c r="CI222" s="398"/>
      <c r="CJ222" s="398"/>
      <c r="CK222" s="398"/>
      <c r="CL222" s="398"/>
      <c r="CM222" s="398"/>
      <c r="CN222" s="398"/>
      <c r="CO222" s="398"/>
      <c r="CP222" s="398"/>
      <c r="CQ222" s="398"/>
      <c r="CR222" s="398"/>
      <c r="CS222" s="398"/>
      <c r="CT222" s="398"/>
    </row>
    <row r="223" spans="1:98" s="25" customFormat="1">
      <c r="A223" s="514"/>
      <c r="B223" s="513"/>
      <c r="C223" s="515"/>
      <c r="D223" s="515"/>
      <c r="E223" s="516"/>
      <c r="F223" s="516"/>
      <c r="G223" s="655"/>
      <c r="H223" s="518"/>
      <c r="I223" s="4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398"/>
      <c r="BV223" s="398"/>
      <c r="BW223" s="398"/>
      <c r="BX223" s="398"/>
      <c r="BY223" s="398"/>
      <c r="BZ223" s="398"/>
      <c r="CA223" s="398"/>
      <c r="CB223" s="398"/>
      <c r="CC223" s="398"/>
      <c r="CD223" s="398"/>
      <c r="CE223" s="398"/>
      <c r="CF223" s="398"/>
      <c r="CG223" s="398"/>
      <c r="CH223" s="398"/>
      <c r="CI223" s="398"/>
      <c r="CJ223" s="398"/>
      <c r="CK223" s="398"/>
      <c r="CL223" s="398"/>
      <c r="CM223" s="398"/>
      <c r="CN223" s="398"/>
      <c r="CO223" s="398"/>
      <c r="CP223" s="398"/>
      <c r="CQ223" s="398"/>
      <c r="CR223" s="398"/>
      <c r="CS223" s="398"/>
      <c r="CT223" s="398"/>
    </row>
    <row r="224" spans="1:98" s="25" customFormat="1">
      <c r="A224" s="514"/>
      <c r="B224" s="513"/>
      <c r="C224" s="515"/>
      <c r="D224" s="515"/>
      <c r="E224" s="516"/>
      <c r="F224" s="516"/>
      <c r="G224" s="655"/>
      <c r="H224" s="518"/>
      <c r="I224" s="4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398"/>
      <c r="BV224" s="398"/>
      <c r="BW224" s="398"/>
      <c r="BX224" s="398"/>
      <c r="BY224" s="398"/>
      <c r="BZ224" s="398"/>
      <c r="CA224" s="398"/>
      <c r="CB224" s="398"/>
      <c r="CC224" s="398"/>
      <c r="CD224" s="398"/>
      <c r="CE224" s="398"/>
      <c r="CF224" s="398"/>
      <c r="CG224" s="398"/>
      <c r="CH224" s="398"/>
      <c r="CI224" s="398"/>
      <c r="CJ224" s="398"/>
      <c r="CK224" s="398"/>
      <c r="CL224" s="398"/>
      <c r="CM224" s="398"/>
      <c r="CN224" s="398"/>
      <c r="CO224" s="398"/>
      <c r="CP224" s="398"/>
      <c r="CQ224" s="398"/>
      <c r="CR224" s="398"/>
      <c r="CS224" s="398"/>
      <c r="CT224" s="398"/>
    </row>
    <row r="225" spans="1:98" s="25" customFormat="1">
      <c r="A225" s="514"/>
      <c r="B225" s="513"/>
      <c r="C225" s="517"/>
      <c r="D225" s="517"/>
      <c r="E225" s="516"/>
      <c r="F225" s="516"/>
      <c r="G225" s="655"/>
      <c r="H225" s="518"/>
      <c r="I225" s="4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398"/>
      <c r="BV225" s="398"/>
      <c r="BW225" s="398"/>
      <c r="BX225" s="398"/>
      <c r="BY225" s="398"/>
      <c r="BZ225" s="398"/>
      <c r="CA225" s="398"/>
      <c r="CB225" s="398"/>
      <c r="CC225" s="398"/>
      <c r="CD225" s="398"/>
      <c r="CE225" s="398"/>
      <c r="CF225" s="398"/>
      <c r="CG225" s="398"/>
      <c r="CH225" s="398"/>
      <c r="CI225" s="398"/>
      <c r="CJ225" s="398"/>
      <c r="CK225" s="398"/>
      <c r="CL225" s="398"/>
      <c r="CM225" s="398"/>
      <c r="CN225" s="398"/>
      <c r="CO225" s="398"/>
      <c r="CP225" s="398"/>
      <c r="CQ225" s="398"/>
      <c r="CR225" s="398"/>
      <c r="CS225" s="398"/>
      <c r="CT225" s="398"/>
    </row>
    <row r="226" spans="1:98" s="25" customFormat="1">
      <c r="A226" s="514"/>
      <c r="B226" s="513"/>
      <c r="C226" s="517"/>
      <c r="D226" s="517"/>
      <c r="E226" s="516"/>
      <c r="F226" s="516"/>
      <c r="G226" s="655"/>
      <c r="H226" s="534"/>
      <c r="I226" s="4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398"/>
      <c r="BV226" s="398"/>
      <c r="BW226" s="398"/>
      <c r="BX226" s="398"/>
      <c r="BY226" s="398"/>
      <c r="BZ226" s="398"/>
      <c r="CA226" s="398"/>
      <c r="CB226" s="398"/>
      <c r="CC226" s="398"/>
      <c r="CD226" s="398"/>
      <c r="CE226" s="398"/>
      <c r="CF226" s="398"/>
      <c r="CG226" s="398"/>
      <c r="CH226" s="398"/>
      <c r="CI226" s="398"/>
      <c r="CJ226" s="398"/>
      <c r="CK226" s="398"/>
      <c r="CL226" s="398"/>
      <c r="CM226" s="398"/>
      <c r="CN226" s="398"/>
      <c r="CO226" s="398"/>
      <c r="CP226" s="398"/>
      <c r="CQ226" s="398"/>
      <c r="CR226" s="398"/>
      <c r="CS226" s="398"/>
      <c r="CT226" s="398"/>
    </row>
    <row r="227" spans="1:98" s="25" customFormat="1" ht="33">
      <c r="A227" s="543" t="s">
        <v>784</v>
      </c>
      <c r="B227" s="806" t="s">
        <v>898</v>
      </c>
      <c r="C227" s="545">
        <f>16*(4.15-0.4)</f>
        <v>60.000000000000007</v>
      </c>
      <c r="D227" s="955">
        <f>16*(4.15-0.4)*0.3</f>
        <v>18</v>
      </c>
      <c r="E227" s="546"/>
      <c r="F227" s="546"/>
      <c r="G227" s="546" t="s">
        <v>4</v>
      </c>
      <c r="H227" s="547" t="s">
        <v>515</v>
      </c>
      <c r="I227" s="4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398"/>
      <c r="BV227" s="398"/>
      <c r="BW227" s="398"/>
      <c r="BX227" s="398"/>
      <c r="BY227" s="398"/>
      <c r="BZ227" s="398"/>
      <c r="CA227" s="398"/>
      <c r="CB227" s="398"/>
      <c r="CC227" s="398"/>
      <c r="CD227" s="398"/>
      <c r="CE227" s="398"/>
      <c r="CF227" s="398"/>
      <c r="CG227" s="398"/>
      <c r="CH227" s="398"/>
      <c r="CI227" s="398"/>
      <c r="CJ227" s="398"/>
      <c r="CK227" s="398"/>
      <c r="CL227" s="398"/>
      <c r="CM227" s="398"/>
      <c r="CN227" s="398"/>
      <c r="CO227" s="398"/>
      <c r="CP227" s="398"/>
      <c r="CQ227" s="398"/>
      <c r="CR227" s="398"/>
      <c r="CS227" s="398"/>
      <c r="CT227" s="398"/>
    </row>
    <row r="228" spans="1:98" s="25" customFormat="1" ht="18">
      <c r="A228" s="543"/>
      <c r="B228" s="544" t="s">
        <v>899</v>
      </c>
      <c r="C228" s="545" t="s">
        <v>900</v>
      </c>
      <c r="D228" s="955">
        <f>( 3*7*16 + (16/0.2+1)*7*0.3 )*1.05*0.222/1000</f>
        <v>0.11797191000000003</v>
      </c>
      <c r="E228" s="546"/>
      <c r="F228" s="546"/>
      <c r="G228" s="546" t="s">
        <v>7</v>
      </c>
      <c r="H228" s="548"/>
      <c r="I228" s="4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398"/>
      <c r="BV228" s="398"/>
      <c r="BW228" s="398"/>
      <c r="BX228" s="398"/>
      <c r="BY228" s="398"/>
      <c r="BZ228" s="398"/>
      <c r="CA228" s="398"/>
      <c r="CB228" s="398"/>
      <c r="CC228" s="398"/>
      <c r="CD228" s="398"/>
      <c r="CE228" s="398"/>
      <c r="CF228" s="398"/>
      <c r="CG228" s="398"/>
      <c r="CH228" s="398"/>
      <c r="CI228" s="398"/>
      <c r="CJ228" s="398"/>
      <c r="CK228" s="398"/>
      <c r="CL228" s="398"/>
      <c r="CM228" s="398"/>
      <c r="CN228" s="398"/>
      <c r="CO228" s="398"/>
      <c r="CP228" s="398"/>
      <c r="CQ228" s="398"/>
      <c r="CR228" s="398"/>
      <c r="CS228" s="398"/>
      <c r="CT228" s="398"/>
    </row>
    <row r="229" spans="1:98" s="25" customFormat="1">
      <c r="A229" s="543"/>
      <c r="B229" s="544"/>
      <c r="C229" s="545"/>
      <c r="D229" s="545"/>
      <c r="E229" s="546"/>
      <c r="F229" s="546"/>
      <c r="G229" s="546"/>
      <c r="H229" s="548"/>
      <c r="I229" s="4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398"/>
      <c r="BV229" s="398"/>
      <c r="BW229" s="398"/>
      <c r="BX229" s="398"/>
      <c r="BY229" s="398"/>
      <c r="BZ229" s="398"/>
      <c r="CA229" s="398"/>
      <c r="CB229" s="398"/>
      <c r="CC229" s="398"/>
      <c r="CD229" s="398"/>
      <c r="CE229" s="398"/>
      <c r="CF229" s="398"/>
      <c r="CG229" s="398"/>
      <c r="CH229" s="398"/>
      <c r="CI229" s="398"/>
      <c r="CJ229" s="398"/>
      <c r="CK229" s="398"/>
      <c r="CL229" s="398"/>
      <c r="CM229" s="398"/>
      <c r="CN229" s="398"/>
      <c r="CO229" s="398"/>
      <c r="CP229" s="398"/>
      <c r="CQ229" s="398"/>
      <c r="CR229" s="398"/>
      <c r="CS229" s="398"/>
      <c r="CT229" s="398"/>
    </row>
    <row r="230" spans="1:98" s="25" customFormat="1">
      <c r="A230" s="543"/>
      <c r="B230" s="549"/>
      <c r="C230" s="546"/>
      <c r="D230" s="546"/>
      <c r="E230" s="546"/>
      <c r="F230" s="546"/>
      <c r="G230" s="546"/>
      <c r="H230" s="548"/>
      <c r="I230" s="4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398"/>
      <c r="BV230" s="398"/>
      <c r="BW230" s="398"/>
      <c r="BX230" s="398"/>
      <c r="BY230" s="398"/>
      <c r="BZ230" s="398"/>
      <c r="CA230" s="398"/>
      <c r="CB230" s="398"/>
      <c r="CC230" s="398"/>
      <c r="CD230" s="398"/>
      <c r="CE230" s="398"/>
      <c r="CF230" s="398"/>
      <c r="CG230" s="398"/>
      <c r="CH230" s="398"/>
      <c r="CI230" s="398"/>
      <c r="CJ230" s="398"/>
      <c r="CK230" s="398"/>
      <c r="CL230" s="398"/>
      <c r="CM230" s="398"/>
      <c r="CN230" s="398"/>
      <c r="CO230" s="398"/>
      <c r="CP230" s="398"/>
      <c r="CQ230" s="398"/>
      <c r="CR230" s="398"/>
      <c r="CS230" s="398"/>
      <c r="CT230" s="398"/>
    </row>
    <row r="231" spans="1:98" s="25" customFormat="1" ht="17.25" thickBot="1">
      <c r="A231" s="550"/>
      <c r="B231" s="551"/>
      <c r="C231" s="552"/>
      <c r="D231" s="552"/>
      <c r="E231" s="552"/>
      <c r="F231" s="552"/>
      <c r="G231" s="552"/>
      <c r="H231" s="553"/>
      <c r="I231" s="4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398"/>
      <c r="BV231" s="398"/>
      <c r="BW231" s="398"/>
      <c r="BX231" s="398"/>
      <c r="BY231" s="398"/>
      <c r="BZ231" s="398"/>
      <c r="CA231" s="398"/>
      <c r="CB231" s="398"/>
      <c r="CC231" s="398"/>
      <c r="CD231" s="398"/>
      <c r="CE231" s="398"/>
      <c r="CF231" s="398"/>
      <c r="CG231" s="398"/>
      <c r="CH231" s="398"/>
      <c r="CI231" s="398"/>
      <c r="CJ231" s="398"/>
      <c r="CK231" s="398"/>
      <c r="CL231" s="398"/>
      <c r="CM231" s="398"/>
      <c r="CN231" s="398"/>
      <c r="CO231" s="398"/>
      <c r="CP231" s="398"/>
      <c r="CQ231" s="398"/>
      <c r="CR231" s="398"/>
      <c r="CS231" s="398"/>
      <c r="CT231" s="398"/>
    </row>
    <row r="232" spans="1:98" s="25" customFormat="1" ht="17.25" thickBot="1">
      <c r="A232" s="500"/>
      <c r="B232" s="449"/>
      <c r="C232" s="450"/>
      <c r="D232" s="450"/>
      <c r="E232" s="539"/>
      <c r="F232" s="539"/>
      <c r="G232" s="540"/>
      <c r="H232" s="541"/>
      <c r="I232" s="4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398"/>
      <c r="BV232" s="398"/>
      <c r="BW232" s="398"/>
      <c r="BX232" s="398"/>
      <c r="BY232" s="398"/>
      <c r="BZ232" s="398"/>
      <c r="CA232" s="398"/>
      <c r="CB232" s="398"/>
      <c r="CC232" s="398"/>
      <c r="CD232" s="398"/>
      <c r="CE232" s="398"/>
      <c r="CF232" s="398"/>
      <c r="CG232" s="398"/>
      <c r="CH232" s="398"/>
      <c r="CI232" s="398"/>
      <c r="CJ232" s="398"/>
      <c r="CK232" s="398"/>
      <c r="CL232" s="398"/>
      <c r="CM232" s="398"/>
      <c r="CN232" s="398"/>
      <c r="CO232" s="398"/>
      <c r="CP232" s="398"/>
      <c r="CQ232" s="398"/>
      <c r="CR232" s="398"/>
      <c r="CS232" s="398"/>
      <c r="CT232" s="398"/>
    </row>
    <row r="233" spans="1:98" s="25" customFormat="1">
      <c r="A233" s="506"/>
      <c r="B233" s="507"/>
      <c r="C233" s="459"/>
      <c r="D233" s="459"/>
      <c r="E233" s="459"/>
      <c r="F233" s="459"/>
      <c r="G233" s="459"/>
      <c r="H233" s="459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398"/>
      <c r="BV233" s="398"/>
      <c r="BW233" s="398"/>
      <c r="BX233" s="398"/>
      <c r="BY233" s="398"/>
      <c r="BZ233" s="398"/>
      <c r="CA233" s="398"/>
      <c r="CB233" s="398"/>
      <c r="CC233" s="398"/>
      <c r="CD233" s="398"/>
      <c r="CE233" s="398"/>
      <c r="CF233" s="398"/>
      <c r="CG233" s="398"/>
      <c r="CH233" s="398"/>
      <c r="CI233" s="398"/>
      <c r="CJ233" s="398"/>
      <c r="CK233" s="398"/>
      <c r="CL233" s="398"/>
      <c r="CM233" s="398"/>
      <c r="CN233" s="398"/>
      <c r="CO233" s="398"/>
      <c r="CP233" s="398"/>
      <c r="CQ233" s="398"/>
      <c r="CR233" s="398"/>
      <c r="CS233" s="398"/>
      <c r="CT233" s="398"/>
    </row>
    <row r="234" spans="1:98" s="25" customFormat="1">
      <c r="A234" s="422"/>
      <c r="B234" s="558"/>
      <c r="C234" s="46"/>
      <c r="D234" s="131"/>
      <c r="E234" s="131"/>
      <c r="F234" s="131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398"/>
      <c r="BV234" s="398"/>
      <c r="BW234" s="398"/>
      <c r="BX234" s="398"/>
      <c r="BY234" s="398"/>
      <c r="BZ234" s="398"/>
      <c r="CA234" s="398"/>
      <c r="CB234" s="398"/>
      <c r="CC234" s="398"/>
      <c r="CD234" s="398"/>
      <c r="CE234" s="398"/>
      <c r="CF234" s="398"/>
      <c r="CG234" s="398"/>
      <c r="CH234" s="398"/>
      <c r="CI234" s="398"/>
      <c r="CJ234" s="398"/>
      <c r="CK234" s="398"/>
      <c r="CL234" s="398"/>
      <c r="CM234" s="398"/>
      <c r="CN234" s="398"/>
      <c r="CO234" s="398"/>
      <c r="CP234" s="398"/>
      <c r="CQ234" s="398"/>
      <c r="CR234" s="398"/>
      <c r="CS234" s="398"/>
      <c r="CT234" s="398"/>
    </row>
    <row r="235" spans="1:98" s="25" customFormat="1">
      <c r="A235" s="113"/>
      <c r="B235" s="121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398"/>
      <c r="BV235" s="398"/>
      <c r="BW235" s="398"/>
      <c r="BX235" s="398"/>
      <c r="BY235" s="398"/>
      <c r="BZ235" s="398"/>
      <c r="CA235" s="398"/>
      <c r="CB235" s="398"/>
      <c r="CC235" s="398"/>
      <c r="CD235" s="398"/>
      <c r="CE235" s="398"/>
      <c r="CF235" s="398"/>
      <c r="CG235" s="398"/>
      <c r="CH235" s="398"/>
      <c r="CI235" s="398"/>
      <c r="CJ235" s="398"/>
      <c r="CK235" s="398"/>
      <c r="CL235" s="398"/>
      <c r="CM235" s="398"/>
      <c r="CN235" s="398"/>
      <c r="CO235" s="398"/>
      <c r="CP235" s="398"/>
      <c r="CQ235" s="398"/>
      <c r="CR235" s="398"/>
      <c r="CS235" s="398"/>
      <c r="CT235" s="398"/>
    </row>
    <row r="236" spans="1:98" s="25" customFormat="1">
      <c r="A236" s="113"/>
      <c r="B236" s="121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398"/>
      <c r="BV236" s="398"/>
      <c r="BW236" s="398"/>
      <c r="BX236" s="398"/>
      <c r="BY236" s="398"/>
      <c r="BZ236" s="398"/>
      <c r="CA236" s="398"/>
      <c r="CB236" s="398"/>
      <c r="CC236" s="398"/>
      <c r="CD236" s="398"/>
      <c r="CE236" s="398"/>
      <c r="CF236" s="398"/>
      <c r="CG236" s="398"/>
      <c r="CH236" s="398"/>
      <c r="CI236" s="398"/>
      <c r="CJ236" s="398"/>
      <c r="CK236" s="398"/>
      <c r="CL236" s="398"/>
      <c r="CM236" s="398"/>
      <c r="CN236" s="398"/>
      <c r="CO236" s="398"/>
      <c r="CP236" s="398"/>
      <c r="CQ236" s="398"/>
      <c r="CR236" s="398"/>
      <c r="CS236" s="398"/>
      <c r="CT236" s="398"/>
    </row>
    <row r="237" spans="1:98" s="21" customFormat="1" ht="17.25" thickBot="1">
      <c r="A237" s="451"/>
      <c r="B237" s="452"/>
      <c r="C237" s="439"/>
      <c r="D237" s="439"/>
      <c r="E237" s="439"/>
      <c r="F237" s="439"/>
      <c r="G237" s="439"/>
      <c r="H237" s="439"/>
      <c r="I237" s="22"/>
      <c r="J237" s="22"/>
      <c r="K237" s="24"/>
      <c r="L237" s="24"/>
      <c r="M237" s="24"/>
      <c r="N237" s="24"/>
      <c r="O237" s="24"/>
      <c r="P237" s="22"/>
      <c r="Q237" s="22"/>
      <c r="R237" s="24"/>
      <c r="S237" s="24"/>
      <c r="T237" s="24"/>
      <c r="U237" s="22"/>
      <c r="V237" s="22"/>
      <c r="W237" s="22"/>
      <c r="X237" s="22"/>
      <c r="Y237" s="24"/>
      <c r="Z237" s="22"/>
      <c r="AA237" s="22"/>
      <c r="AB237" s="24"/>
      <c r="AC237" s="24"/>
      <c r="AD237" s="24"/>
      <c r="AE237" s="24"/>
      <c r="AF237" s="22"/>
      <c r="AG237" s="24"/>
      <c r="AH237" s="24"/>
      <c r="AI237" s="22"/>
      <c r="AJ237" s="24"/>
      <c r="AK237" s="22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2"/>
      <c r="AW237" s="22"/>
      <c r="AX237" s="22"/>
      <c r="AY237" s="24"/>
      <c r="AZ237" s="24"/>
      <c r="BA237" s="22"/>
      <c r="BB237" s="24"/>
      <c r="BC237" s="24"/>
      <c r="BD237" s="22"/>
      <c r="BE237" s="24"/>
      <c r="BF237" s="24"/>
      <c r="BG237" s="24"/>
      <c r="BH237" s="24"/>
      <c r="BI237" s="24"/>
      <c r="BJ237" s="24"/>
      <c r="BK237" s="24"/>
      <c r="BL237" s="24"/>
      <c r="BM237" s="24"/>
      <c r="BN237" s="22"/>
      <c r="BO237" s="22"/>
      <c r="BP237" s="22"/>
      <c r="BQ237" s="22"/>
      <c r="BR237" s="24"/>
      <c r="BS237" s="24"/>
      <c r="BT237" s="22"/>
      <c r="BU237" s="130"/>
      <c r="BV237" s="130"/>
      <c r="BW237" s="130"/>
      <c r="BX237" s="130"/>
      <c r="BY237" s="398"/>
      <c r="BZ237" s="398"/>
      <c r="CA237" s="398"/>
      <c r="CB237" s="398"/>
      <c r="CC237" s="398"/>
      <c r="CD237" s="398"/>
      <c r="CE237" s="398"/>
      <c r="CF237" s="398"/>
      <c r="CG237" s="398"/>
      <c r="CH237" s="398"/>
      <c r="CI237" s="398"/>
      <c r="CJ237" s="398"/>
      <c r="CK237" s="130"/>
      <c r="CL237" s="130"/>
      <c r="CM237" s="130"/>
      <c r="CN237" s="130"/>
      <c r="CO237" s="398"/>
      <c r="CP237" s="398"/>
      <c r="CQ237" s="130"/>
      <c r="CR237" s="130"/>
      <c r="CS237" s="130"/>
      <c r="CT237" s="130"/>
    </row>
    <row r="238" spans="1:98" s="25" customFormat="1" ht="147" customHeight="1" thickBot="1">
      <c r="A238" s="508"/>
      <c r="B238" s="512" t="s">
        <v>234</v>
      </c>
      <c r="C238" s="560" t="s">
        <v>746</v>
      </c>
      <c r="D238" s="672"/>
      <c r="E238" s="561">
        <f>(0)* (0+0)</f>
        <v>0</v>
      </c>
      <c r="F238" s="561" t="s">
        <v>5</v>
      </c>
      <c r="G238" s="60"/>
      <c r="H238" s="61"/>
      <c r="I238" s="4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130"/>
      <c r="BV238" s="130"/>
      <c r="BW238" s="130"/>
      <c r="BX238" s="130"/>
      <c r="BY238" s="398"/>
      <c r="BZ238" s="398"/>
      <c r="CA238" s="398"/>
      <c r="CB238" s="398"/>
      <c r="CC238" s="398"/>
      <c r="CD238" s="398"/>
      <c r="CE238" s="398"/>
      <c r="CF238" s="398"/>
      <c r="CG238" s="398"/>
      <c r="CH238" s="398"/>
      <c r="CI238" s="398"/>
      <c r="CJ238" s="398"/>
      <c r="CK238" s="130"/>
      <c r="CL238" s="130"/>
      <c r="CM238" s="130"/>
      <c r="CN238" s="130"/>
      <c r="CO238" s="398"/>
      <c r="CP238" s="398"/>
      <c r="CQ238" s="130"/>
      <c r="CR238" s="130"/>
      <c r="CS238" s="130"/>
      <c r="CT238" s="130"/>
    </row>
    <row r="239" spans="1:98" s="25" customFormat="1" ht="39" customHeight="1" thickBot="1">
      <c r="A239" s="559"/>
      <c r="B239" s="676" t="s">
        <v>627</v>
      </c>
      <c r="C239" s="671">
        <v>0</v>
      </c>
      <c r="D239" s="677"/>
      <c r="E239" s="678">
        <v>0</v>
      </c>
      <c r="F239" s="561" t="s">
        <v>5</v>
      </c>
      <c r="G239" s="439"/>
      <c r="H239" s="58"/>
      <c r="I239" s="4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130"/>
      <c r="BV239" s="130"/>
      <c r="BW239" s="130"/>
      <c r="BX239" s="130"/>
      <c r="BY239" s="398"/>
      <c r="BZ239" s="398"/>
      <c r="CA239" s="398"/>
      <c r="CB239" s="398"/>
      <c r="CC239" s="398"/>
      <c r="CD239" s="398"/>
      <c r="CE239" s="398"/>
      <c r="CF239" s="398"/>
      <c r="CG239" s="398"/>
      <c r="CH239" s="398"/>
      <c r="CI239" s="398"/>
      <c r="CJ239" s="398"/>
      <c r="CK239" s="130"/>
      <c r="CL239" s="130"/>
      <c r="CM239" s="130"/>
      <c r="CN239" s="130"/>
      <c r="CO239" s="398"/>
      <c r="CP239" s="398"/>
      <c r="CQ239" s="130"/>
      <c r="CR239" s="130"/>
      <c r="CS239" s="130"/>
      <c r="CT239" s="130"/>
    </row>
    <row r="240" spans="1:98" s="25" customFormat="1" ht="46.5" customHeight="1">
      <c r="A240" s="559"/>
      <c r="B240" s="676" t="s">
        <v>631</v>
      </c>
      <c r="C240" s="671">
        <v>0</v>
      </c>
      <c r="D240" s="677"/>
      <c r="E240" s="678">
        <v>0</v>
      </c>
      <c r="F240" s="561" t="s">
        <v>5</v>
      </c>
      <c r="G240" s="439"/>
      <c r="H240" s="58"/>
      <c r="I240" s="4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398"/>
      <c r="BV240" s="398"/>
      <c r="BW240" s="398"/>
      <c r="BX240" s="398"/>
      <c r="BY240" s="398"/>
      <c r="BZ240" s="398"/>
      <c r="CA240" s="398"/>
      <c r="CB240" s="398"/>
      <c r="CC240" s="398"/>
      <c r="CD240" s="398"/>
      <c r="CE240" s="398"/>
      <c r="CF240" s="398"/>
      <c r="CG240" s="398"/>
      <c r="CH240" s="398"/>
      <c r="CI240" s="398"/>
      <c r="CJ240" s="398"/>
      <c r="CK240" s="398"/>
      <c r="CL240" s="398"/>
      <c r="CM240" s="398"/>
      <c r="CN240" s="398"/>
      <c r="CO240" s="398"/>
      <c r="CP240" s="398"/>
      <c r="CQ240" s="398"/>
      <c r="CR240" s="398"/>
      <c r="CS240" s="398"/>
      <c r="CT240" s="398"/>
    </row>
    <row r="241" spans="1:98" s="25" customFormat="1" ht="16.5" customHeight="1">
      <c r="A241" s="559"/>
      <c r="B241" s="452"/>
      <c r="C241" s="462"/>
      <c r="D241" s="462"/>
      <c r="E241" s="462"/>
      <c r="F241" s="462"/>
      <c r="G241" s="439"/>
      <c r="H241" s="58"/>
      <c r="I241" s="4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398"/>
      <c r="BV241" s="398"/>
      <c r="BW241" s="398"/>
      <c r="BX241" s="398"/>
      <c r="BY241" s="398"/>
      <c r="BZ241" s="398"/>
      <c r="CA241" s="398"/>
      <c r="CB241" s="398"/>
      <c r="CC241" s="398"/>
      <c r="CD241" s="398"/>
      <c r="CE241" s="398"/>
      <c r="CF241" s="398"/>
      <c r="CG241" s="398"/>
      <c r="CH241" s="398"/>
      <c r="CI241" s="398"/>
      <c r="CJ241" s="398"/>
      <c r="CK241" s="398"/>
      <c r="CL241" s="398"/>
      <c r="CM241" s="398"/>
      <c r="CN241" s="398"/>
      <c r="CO241" s="398"/>
      <c r="CP241" s="398"/>
      <c r="CQ241" s="398"/>
      <c r="CR241" s="398"/>
      <c r="CS241" s="398"/>
      <c r="CT241" s="398"/>
    </row>
    <row r="242" spans="1:98" s="25" customFormat="1" ht="16.5" customHeight="1">
      <c r="A242" s="559"/>
      <c r="B242" s="452"/>
      <c r="C242" s="462"/>
      <c r="D242" s="462"/>
      <c r="E242" s="462"/>
      <c r="F242" s="462"/>
      <c r="G242" s="439"/>
      <c r="H242" s="58"/>
      <c r="I242" s="4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398"/>
      <c r="BV242" s="398"/>
      <c r="BW242" s="398"/>
      <c r="BX242" s="398"/>
      <c r="BY242" s="398"/>
      <c r="BZ242" s="398"/>
      <c r="CA242" s="398"/>
      <c r="CB242" s="398"/>
      <c r="CC242" s="398"/>
      <c r="CD242" s="398"/>
      <c r="CE242" s="398"/>
      <c r="CF242" s="398"/>
      <c r="CG242" s="398"/>
      <c r="CH242" s="398"/>
      <c r="CI242" s="398"/>
      <c r="CJ242" s="398"/>
      <c r="CK242" s="398"/>
      <c r="CL242" s="398"/>
      <c r="CM242" s="398"/>
      <c r="CN242" s="398"/>
      <c r="CO242" s="398"/>
      <c r="CP242" s="398"/>
      <c r="CQ242" s="398"/>
      <c r="CR242" s="398"/>
      <c r="CS242" s="398"/>
      <c r="CT242" s="398"/>
    </row>
    <row r="243" spans="1:98" s="25" customFormat="1" ht="16.5" customHeight="1">
      <c r="A243" s="559"/>
      <c r="B243" s="452"/>
      <c r="C243" s="462"/>
      <c r="D243" s="462"/>
      <c r="E243" s="462"/>
      <c r="F243" s="462"/>
      <c r="G243" s="439"/>
      <c r="H243" s="58"/>
      <c r="I243" s="4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398"/>
      <c r="BV243" s="398"/>
      <c r="BW243" s="398"/>
      <c r="BX243" s="398"/>
      <c r="BY243" s="398"/>
      <c r="BZ243" s="398"/>
      <c r="CA243" s="398"/>
      <c r="CB243" s="398"/>
      <c r="CC243" s="398"/>
      <c r="CD243" s="398"/>
      <c r="CE243" s="398"/>
      <c r="CF243" s="398"/>
      <c r="CG243" s="398"/>
      <c r="CH243" s="398"/>
      <c r="CI243" s="398"/>
      <c r="CJ243" s="398"/>
      <c r="CK243" s="398"/>
      <c r="CL243" s="398"/>
      <c r="CM243" s="398"/>
      <c r="CN243" s="398"/>
      <c r="CO243" s="398"/>
      <c r="CP243" s="398"/>
      <c r="CQ243" s="398"/>
      <c r="CR243" s="398"/>
      <c r="CS243" s="398"/>
      <c r="CT243" s="398"/>
    </row>
    <row r="244" spans="1:98" s="25" customFormat="1">
      <c r="A244" s="454"/>
      <c r="B244" s="653"/>
      <c r="C244" s="290"/>
      <c r="D244" s="658"/>
      <c r="E244" s="501"/>
      <c r="F244" s="441"/>
      <c r="G244" s="24"/>
      <c r="H244" s="58"/>
      <c r="I244" s="4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398"/>
      <c r="BV244" s="398"/>
      <c r="BW244" s="398"/>
      <c r="BX244" s="398"/>
      <c r="BY244" s="398"/>
      <c r="BZ244" s="398"/>
      <c r="CA244" s="398"/>
      <c r="CB244" s="398"/>
      <c r="CC244" s="398"/>
      <c r="CD244" s="398"/>
      <c r="CE244" s="398"/>
      <c r="CF244" s="398"/>
      <c r="CG244" s="398"/>
      <c r="CH244" s="398"/>
      <c r="CI244" s="398"/>
      <c r="CJ244" s="398"/>
      <c r="CK244" s="398"/>
      <c r="CL244" s="398"/>
      <c r="CM244" s="398"/>
      <c r="CN244" s="398"/>
      <c r="CO244" s="398"/>
      <c r="CP244" s="398"/>
      <c r="CQ244" s="398"/>
      <c r="CR244" s="398"/>
      <c r="CS244" s="398"/>
      <c r="CT244" s="398"/>
    </row>
    <row r="245" spans="1:98" s="25" customFormat="1">
      <c r="A245" s="454"/>
      <c r="B245" s="653"/>
      <c r="C245" s="290"/>
      <c r="D245" s="658"/>
      <c r="E245" s="501"/>
      <c r="F245" s="441"/>
      <c r="G245" s="441"/>
      <c r="H245" s="58"/>
      <c r="I245" s="4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398"/>
      <c r="BV245" s="398"/>
      <c r="BW245" s="398"/>
      <c r="BX245" s="398"/>
      <c r="BY245" s="398"/>
      <c r="BZ245" s="398"/>
      <c r="CA245" s="398"/>
      <c r="CB245" s="398"/>
      <c r="CC245" s="398"/>
      <c r="CD245" s="398"/>
      <c r="CE245" s="398"/>
      <c r="CF245" s="398"/>
      <c r="CG245" s="398"/>
      <c r="CH245" s="398"/>
      <c r="CI245" s="398"/>
      <c r="CJ245" s="398"/>
      <c r="CK245" s="398"/>
      <c r="CL245" s="398"/>
      <c r="CM245" s="398"/>
      <c r="CN245" s="398"/>
      <c r="CO245" s="398"/>
      <c r="CP245" s="398"/>
      <c r="CQ245" s="398"/>
      <c r="CR245" s="398"/>
      <c r="CS245" s="398"/>
      <c r="CT245" s="398"/>
    </row>
    <row r="246" spans="1:98" s="25" customFormat="1" ht="16.5" customHeight="1">
      <c r="A246" s="454"/>
      <c r="B246" s="121"/>
      <c r="C246" s="123"/>
      <c r="D246" s="123"/>
      <c r="E246" s="123"/>
      <c r="F246" s="123"/>
      <c r="G246" s="24"/>
      <c r="H246" s="58"/>
      <c r="I246" s="4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398"/>
      <c r="BV246" s="398"/>
      <c r="BW246" s="398"/>
      <c r="BX246" s="398"/>
      <c r="BY246" s="398"/>
      <c r="BZ246" s="398"/>
      <c r="CA246" s="398"/>
      <c r="CB246" s="398"/>
      <c r="CC246" s="398"/>
      <c r="CD246" s="398"/>
      <c r="CE246" s="398"/>
      <c r="CF246" s="398"/>
      <c r="CG246" s="398"/>
      <c r="CH246" s="398"/>
      <c r="CI246" s="398"/>
      <c r="CJ246" s="398"/>
      <c r="CK246" s="398"/>
      <c r="CL246" s="398"/>
      <c r="CM246" s="398"/>
      <c r="CN246" s="398"/>
      <c r="CO246" s="398"/>
      <c r="CP246" s="398"/>
      <c r="CQ246" s="398"/>
      <c r="CR246" s="398"/>
      <c r="CS246" s="398"/>
      <c r="CT246" s="398"/>
    </row>
    <row r="247" spans="1:98" s="25" customFormat="1" ht="58.5" customHeight="1">
      <c r="A247" s="454"/>
      <c r="B247" s="129" t="s">
        <v>548</v>
      </c>
      <c r="C247" s="123"/>
      <c r="D247" s="502"/>
      <c r="E247" s="504">
        <f>E238</f>
        <v>0</v>
      </c>
      <c r="F247" s="503" t="s">
        <v>5</v>
      </c>
      <c r="G247" s="24"/>
      <c r="H247" s="58"/>
      <c r="I247" s="4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398"/>
      <c r="BV247" s="398"/>
      <c r="BW247" s="398"/>
      <c r="BX247" s="398"/>
      <c r="BY247" s="398"/>
      <c r="BZ247" s="398"/>
      <c r="CA247" s="398"/>
      <c r="CB247" s="398"/>
      <c r="CC247" s="398"/>
      <c r="CD247" s="398"/>
      <c r="CE247" s="398"/>
      <c r="CF247" s="398"/>
      <c r="CG247" s="398"/>
      <c r="CH247" s="398"/>
      <c r="CI247" s="398"/>
      <c r="CJ247" s="398"/>
      <c r="CK247" s="398"/>
      <c r="CL247" s="398"/>
      <c r="CM247" s="398"/>
      <c r="CN247" s="398"/>
      <c r="CO247" s="398"/>
      <c r="CP247" s="398"/>
      <c r="CQ247" s="398"/>
      <c r="CR247" s="398"/>
      <c r="CS247" s="398"/>
      <c r="CT247" s="398"/>
    </row>
    <row r="248" spans="1:98" s="25" customFormat="1" ht="58.5" customHeight="1">
      <c r="A248" s="454"/>
      <c r="B248" s="129" t="s">
        <v>547</v>
      </c>
      <c r="C248" s="123"/>
      <c r="D248" s="502"/>
      <c r="E248" s="799">
        <v>0</v>
      </c>
      <c r="F248" s="503" t="s">
        <v>5</v>
      </c>
      <c r="G248" s="123">
        <f>E238-M315</f>
        <v>-63.382499999999993</v>
      </c>
      <c r="H248" s="58"/>
      <c r="I248" s="4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398"/>
      <c r="BV248" s="398"/>
      <c r="BW248" s="398"/>
      <c r="BX248" s="398"/>
      <c r="BY248" s="398"/>
      <c r="BZ248" s="398"/>
      <c r="CA248" s="398"/>
      <c r="CB248" s="398"/>
      <c r="CC248" s="398"/>
      <c r="CD248" s="398"/>
      <c r="CE248" s="398"/>
      <c r="CF248" s="398"/>
      <c r="CG248" s="398"/>
      <c r="CH248" s="398"/>
      <c r="CI248" s="398"/>
      <c r="CJ248" s="398"/>
      <c r="CK248" s="398"/>
      <c r="CL248" s="398"/>
      <c r="CM248" s="398"/>
      <c r="CN248" s="398"/>
      <c r="CO248" s="398"/>
      <c r="CP248" s="398"/>
      <c r="CQ248" s="398"/>
      <c r="CR248" s="398"/>
      <c r="CS248" s="398"/>
      <c r="CT248" s="398"/>
    </row>
    <row r="249" spans="1:98" s="25" customFormat="1">
      <c r="A249" s="509"/>
      <c r="B249" s="121"/>
      <c r="C249" s="123"/>
      <c r="D249" s="123"/>
      <c r="E249" s="123"/>
      <c r="F249" s="123"/>
      <c r="G249" s="24"/>
      <c r="H249" s="58"/>
      <c r="I249" s="4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398"/>
      <c r="BV249" s="398"/>
      <c r="BW249" s="398"/>
      <c r="BX249" s="398"/>
      <c r="BY249" s="398"/>
      <c r="BZ249" s="398"/>
      <c r="CA249" s="398"/>
      <c r="CB249" s="398"/>
      <c r="CC249" s="398"/>
      <c r="CD249" s="398"/>
      <c r="CE249" s="398"/>
      <c r="CF249" s="398"/>
      <c r="CG249" s="398"/>
      <c r="CH249" s="398"/>
      <c r="CI249" s="398"/>
      <c r="CJ249" s="398"/>
      <c r="CK249" s="398"/>
      <c r="CL249" s="398"/>
      <c r="CM249" s="398"/>
      <c r="CN249" s="398"/>
      <c r="CO249" s="398"/>
      <c r="CP249" s="398"/>
      <c r="CQ249" s="398"/>
      <c r="CR249" s="398"/>
      <c r="CS249" s="398"/>
      <c r="CT249" s="398"/>
    </row>
    <row r="250" spans="1:98" s="25" customFormat="1">
      <c r="A250" s="509"/>
      <c r="B250" s="121"/>
      <c r="C250" s="123"/>
      <c r="D250" s="123"/>
      <c r="E250" s="123"/>
      <c r="F250" s="123"/>
      <c r="G250" s="24"/>
      <c r="H250" s="58"/>
      <c r="I250" s="4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398"/>
      <c r="BV250" s="398"/>
      <c r="BW250" s="398"/>
      <c r="BX250" s="398"/>
      <c r="BY250" s="398"/>
      <c r="BZ250" s="398"/>
      <c r="CA250" s="398"/>
      <c r="CB250" s="398"/>
      <c r="CC250" s="398"/>
      <c r="CD250" s="398"/>
      <c r="CE250" s="398"/>
      <c r="CF250" s="398"/>
      <c r="CG250" s="398"/>
      <c r="CH250" s="398"/>
      <c r="CI250" s="398"/>
      <c r="CJ250" s="398"/>
      <c r="CK250" s="398"/>
      <c r="CL250" s="398"/>
      <c r="CM250" s="398"/>
      <c r="CN250" s="398"/>
      <c r="CO250" s="398"/>
      <c r="CP250" s="398"/>
      <c r="CQ250" s="398"/>
      <c r="CR250" s="398"/>
      <c r="CS250" s="398"/>
      <c r="CT250" s="398"/>
    </row>
    <row r="251" spans="1:98" s="25" customFormat="1" ht="96" customHeight="1">
      <c r="A251" s="509"/>
      <c r="B251" s="673" t="s">
        <v>543</v>
      </c>
      <c r="C251" s="133" t="s">
        <v>747</v>
      </c>
      <c r="D251" s="88"/>
      <c r="E251" s="664">
        <f>(0)*(0)</f>
        <v>0</v>
      </c>
      <c r="F251" s="503" t="s">
        <v>5</v>
      </c>
      <c r="G251" s="24"/>
      <c r="H251" s="58"/>
      <c r="I251" s="4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130"/>
      <c r="BV251" s="130"/>
      <c r="BW251" s="130"/>
      <c r="BX251" s="130"/>
      <c r="BY251" s="398"/>
      <c r="BZ251" s="398"/>
      <c r="CA251" s="398"/>
      <c r="CB251" s="398"/>
      <c r="CC251" s="398"/>
      <c r="CD251" s="398"/>
      <c r="CE251" s="398"/>
      <c r="CF251" s="398"/>
      <c r="CG251" s="398"/>
      <c r="CH251" s="398"/>
      <c r="CI251" s="398"/>
      <c r="CJ251" s="398"/>
      <c r="CK251" s="130"/>
      <c r="CL251" s="130"/>
      <c r="CM251" s="130"/>
      <c r="CN251" s="130"/>
      <c r="CO251" s="398"/>
      <c r="CP251" s="398"/>
      <c r="CQ251" s="130"/>
      <c r="CR251" s="130"/>
      <c r="CS251" s="130"/>
      <c r="CT251" s="130"/>
    </row>
    <row r="252" spans="1:98" s="25" customFormat="1">
      <c r="A252" s="509"/>
      <c r="B252" s="121"/>
      <c r="C252" s="24"/>
      <c r="D252" s="24"/>
      <c r="E252" s="24"/>
      <c r="F252" s="24"/>
      <c r="G252" s="24"/>
      <c r="H252" s="58"/>
      <c r="I252" s="4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398"/>
      <c r="BV252" s="398"/>
      <c r="BW252" s="398"/>
      <c r="BX252" s="398"/>
      <c r="BY252" s="398"/>
      <c r="BZ252" s="398"/>
      <c r="CA252" s="398"/>
      <c r="CB252" s="398"/>
      <c r="CC252" s="398"/>
      <c r="CD252" s="398"/>
      <c r="CE252" s="398"/>
      <c r="CF252" s="398"/>
      <c r="CG252" s="398"/>
      <c r="CH252" s="398"/>
      <c r="CI252" s="398"/>
      <c r="CJ252" s="398"/>
      <c r="CK252" s="398"/>
      <c r="CL252" s="398"/>
      <c r="CM252" s="398"/>
      <c r="CN252" s="398"/>
      <c r="CO252" s="398"/>
      <c r="CP252" s="398"/>
      <c r="CQ252" s="398"/>
      <c r="CR252" s="398"/>
      <c r="CS252" s="398"/>
      <c r="CT252" s="398"/>
    </row>
    <row r="253" spans="1:98" s="25" customFormat="1" ht="27.75" customHeight="1">
      <c r="A253" s="509"/>
      <c r="B253" s="673" t="s">
        <v>497</v>
      </c>
      <c r="C253" s="24"/>
      <c r="D253" s="675"/>
      <c r="E253" s="664">
        <f>E248+E239+E240</f>
        <v>0</v>
      </c>
      <c r="F253" s="503" t="s">
        <v>5</v>
      </c>
      <c r="G253" s="24"/>
      <c r="H253" s="58"/>
      <c r="I253" s="4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398"/>
      <c r="BV253" s="398"/>
      <c r="BW253" s="398"/>
      <c r="BX253" s="398"/>
      <c r="BY253" s="398"/>
      <c r="BZ253" s="398"/>
      <c r="CA253" s="398"/>
      <c r="CB253" s="398"/>
      <c r="CC253" s="398"/>
      <c r="CD253" s="398"/>
      <c r="CE253" s="398"/>
      <c r="CF253" s="398"/>
      <c r="CG253" s="398"/>
      <c r="CH253" s="398"/>
      <c r="CI253" s="398"/>
      <c r="CJ253" s="398"/>
      <c r="CK253" s="398"/>
      <c r="CL253" s="398"/>
      <c r="CM253" s="398"/>
      <c r="CN253" s="398"/>
      <c r="CO253" s="398"/>
      <c r="CP253" s="398"/>
      <c r="CQ253" s="398"/>
      <c r="CR253" s="398"/>
      <c r="CS253" s="398"/>
      <c r="CT253" s="398"/>
    </row>
    <row r="254" spans="1:98" s="25" customFormat="1" ht="27.75" customHeight="1">
      <c r="A254" s="509"/>
      <c r="B254" s="674" t="s">
        <v>632</v>
      </c>
      <c r="C254" s="24"/>
      <c r="D254" s="675"/>
      <c r="E254" s="796">
        <v>0</v>
      </c>
      <c r="F254" s="503" t="s">
        <v>5</v>
      </c>
      <c r="G254" s="123">
        <f>E248+O315*0.2-E251</f>
        <v>29.560000000000002</v>
      </c>
      <c r="H254" s="58"/>
      <c r="I254" s="4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398"/>
      <c r="BV254" s="398"/>
      <c r="BW254" s="398"/>
      <c r="BX254" s="398"/>
      <c r="BY254" s="398"/>
      <c r="BZ254" s="398"/>
      <c r="CA254" s="398"/>
      <c r="CB254" s="398"/>
      <c r="CC254" s="398"/>
      <c r="CD254" s="398"/>
      <c r="CE254" s="398"/>
      <c r="CF254" s="398"/>
      <c r="CG254" s="398"/>
      <c r="CH254" s="398"/>
      <c r="CI254" s="398"/>
      <c r="CJ254" s="398"/>
      <c r="CK254" s="398"/>
      <c r="CL254" s="398"/>
      <c r="CM254" s="398"/>
      <c r="CN254" s="398"/>
      <c r="CO254" s="398"/>
      <c r="CP254" s="398"/>
      <c r="CQ254" s="398"/>
      <c r="CR254" s="398"/>
      <c r="CS254" s="398"/>
      <c r="CT254" s="398"/>
    </row>
    <row r="255" spans="1:98" s="25" customFormat="1">
      <c r="A255" s="509"/>
      <c r="B255" s="121"/>
      <c r="C255" s="24"/>
      <c r="D255" s="24"/>
      <c r="E255" s="24"/>
      <c r="F255" s="24"/>
      <c r="G255" s="24"/>
      <c r="H255" s="58"/>
      <c r="I255" s="4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398"/>
      <c r="BV255" s="398"/>
      <c r="BW255" s="398"/>
      <c r="BX255" s="398"/>
      <c r="BY255" s="398"/>
      <c r="BZ255" s="398"/>
      <c r="CA255" s="398"/>
      <c r="CB255" s="398"/>
      <c r="CC255" s="398"/>
      <c r="CD255" s="398"/>
      <c r="CE255" s="398"/>
      <c r="CF255" s="398"/>
      <c r="CG255" s="398"/>
      <c r="CH255" s="398"/>
      <c r="CI255" s="398"/>
      <c r="CJ255" s="398"/>
      <c r="CK255" s="398"/>
      <c r="CL255" s="398"/>
      <c r="CM255" s="398"/>
      <c r="CN255" s="398"/>
      <c r="CO255" s="398"/>
      <c r="CP255" s="398"/>
      <c r="CQ255" s="398"/>
      <c r="CR255" s="398"/>
      <c r="CS255" s="398"/>
      <c r="CT255" s="398"/>
    </row>
    <row r="256" spans="1:98" s="25" customFormat="1" ht="17.25" thickBot="1">
      <c r="A256" s="510"/>
      <c r="B256" s="511"/>
      <c r="C256" s="437"/>
      <c r="D256" s="437"/>
      <c r="E256" s="437"/>
      <c r="F256" s="437"/>
      <c r="G256" s="437"/>
      <c r="H256" s="438"/>
      <c r="I256" s="4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398"/>
      <c r="BV256" s="398"/>
      <c r="BW256" s="398"/>
      <c r="BX256" s="398"/>
      <c r="BY256" s="398"/>
      <c r="BZ256" s="398"/>
      <c r="CA256" s="398"/>
      <c r="CB256" s="398"/>
      <c r="CC256" s="398"/>
      <c r="CD256" s="398"/>
      <c r="CE256" s="398"/>
      <c r="CF256" s="398"/>
      <c r="CG256" s="398"/>
      <c r="CH256" s="398"/>
      <c r="CI256" s="398"/>
      <c r="CJ256" s="398"/>
      <c r="CK256" s="398"/>
      <c r="CL256" s="398"/>
      <c r="CM256" s="398"/>
      <c r="CN256" s="398"/>
      <c r="CO256" s="398"/>
      <c r="CP256" s="398"/>
      <c r="CQ256" s="398"/>
      <c r="CR256" s="398"/>
      <c r="CS256" s="398"/>
      <c r="CT256" s="398"/>
    </row>
    <row r="257" spans="1:98" s="25" customFormat="1">
      <c r="A257" s="429"/>
      <c r="B257" s="430"/>
      <c r="C257" s="69"/>
      <c r="D257" s="69"/>
      <c r="E257" s="69"/>
      <c r="F257" s="69"/>
      <c r="G257" s="69"/>
      <c r="H257" s="69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398"/>
      <c r="BV257" s="398"/>
      <c r="BW257" s="398"/>
      <c r="BX257" s="398"/>
      <c r="BY257" s="398"/>
      <c r="BZ257" s="398"/>
      <c r="CA257" s="398"/>
      <c r="CB257" s="398"/>
      <c r="CC257" s="398"/>
      <c r="CD257" s="398"/>
      <c r="CE257" s="398"/>
      <c r="CF257" s="398"/>
      <c r="CG257" s="398"/>
      <c r="CH257" s="398"/>
      <c r="CI257" s="398"/>
      <c r="CJ257" s="398"/>
      <c r="CK257" s="398"/>
      <c r="CL257" s="398"/>
      <c r="CM257" s="398"/>
      <c r="CN257" s="398"/>
      <c r="CO257" s="398"/>
      <c r="CP257" s="398"/>
      <c r="CQ257" s="398"/>
      <c r="CR257" s="398"/>
      <c r="CS257" s="398"/>
      <c r="CT257" s="398"/>
    </row>
    <row r="258" spans="1:98" s="25" customFormat="1" ht="16.5" customHeight="1">
      <c r="A258" s="1236" t="s">
        <v>527</v>
      </c>
      <c r="B258" s="1237"/>
      <c r="C258" s="1237"/>
      <c r="D258" s="1237"/>
      <c r="E258" s="1237"/>
      <c r="F258" s="1237"/>
      <c r="G258" s="1237"/>
      <c r="H258" s="1238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398"/>
      <c r="BV258" s="398"/>
      <c r="BW258" s="398"/>
      <c r="BX258" s="398"/>
      <c r="BY258" s="398"/>
      <c r="BZ258" s="398"/>
      <c r="CA258" s="398"/>
      <c r="CB258" s="398"/>
      <c r="CC258" s="398"/>
      <c r="CD258" s="398"/>
      <c r="CE258" s="398"/>
      <c r="CF258" s="398"/>
      <c r="CG258" s="398"/>
      <c r="CH258" s="398"/>
      <c r="CI258" s="398"/>
      <c r="CJ258" s="398"/>
      <c r="CK258" s="398"/>
      <c r="CL258" s="398"/>
      <c r="CM258" s="398"/>
      <c r="CN258" s="398"/>
      <c r="CO258" s="398"/>
      <c r="CP258" s="398"/>
      <c r="CQ258" s="398"/>
      <c r="CR258" s="398"/>
      <c r="CS258" s="398"/>
      <c r="CT258" s="398"/>
    </row>
    <row r="259" spans="1:98" s="25" customFormat="1">
      <c r="A259" s="440"/>
      <c r="B259" s="377" t="s">
        <v>528</v>
      </c>
      <c r="C259" s="456"/>
      <c r="D259" s="456"/>
      <c r="E259" s="46"/>
      <c r="F259" s="46"/>
      <c r="G259" s="46" t="s">
        <v>4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398"/>
      <c r="BV259" s="398"/>
      <c r="BW259" s="398"/>
      <c r="BX259" s="398"/>
      <c r="BY259" s="398"/>
      <c r="BZ259" s="398"/>
      <c r="CA259" s="398"/>
      <c r="CB259" s="398"/>
      <c r="CC259" s="398"/>
      <c r="CD259" s="398"/>
      <c r="CE259" s="398"/>
      <c r="CF259" s="398"/>
      <c r="CG259" s="398"/>
      <c r="CH259" s="398"/>
      <c r="CI259" s="398"/>
      <c r="CJ259" s="398"/>
      <c r="CK259" s="398"/>
      <c r="CL259" s="398"/>
      <c r="CM259" s="398"/>
      <c r="CN259" s="398"/>
      <c r="CO259" s="398"/>
      <c r="CP259" s="398"/>
      <c r="CQ259" s="398"/>
      <c r="CR259" s="398"/>
      <c r="CS259" s="398"/>
      <c r="CT259" s="398"/>
    </row>
    <row r="260" spans="1:98" s="25" customFormat="1">
      <c r="A260" s="440"/>
      <c r="B260" s="377" t="s">
        <v>529</v>
      </c>
      <c r="C260" s="456"/>
      <c r="D260" s="456"/>
      <c r="E260" s="46"/>
      <c r="F260" s="46"/>
      <c r="G260" s="46" t="s">
        <v>5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398"/>
      <c r="BV260" s="398"/>
      <c r="BW260" s="398"/>
      <c r="BX260" s="398"/>
      <c r="BY260" s="398"/>
      <c r="BZ260" s="398"/>
      <c r="CA260" s="398"/>
      <c r="CB260" s="398"/>
      <c r="CC260" s="398"/>
      <c r="CD260" s="398"/>
      <c r="CE260" s="398"/>
      <c r="CF260" s="398"/>
      <c r="CG260" s="398"/>
      <c r="CH260" s="398"/>
      <c r="CI260" s="398"/>
      <c r="CJ260" s="398"/>
      <c r="CK260" s="398"/>
      <c r="CL260" s="398"/>
      <c r="CM260" s="398"/>
      <c r="CN260" s="398"/>
      <c r="CO260" s="398"/>
      <c r="CP260" s="398"/>
      <c r="CQ260" s="398"/>
      <c r="CR260" s="398"/>
      <c r="CS260" s="398"/>
      <c r="CT260" s="398"/>
    </row>
    <row r="261" spans="1:98" s="25" customFormat="1">
      <c r="A261" s="440"/>
      <c r="B261" s="377"/>
      <c r="C261" s="456"/>
      <c r="D261" s="131"/>
      <c r="E261" s="131"/>
      <c r="F261" s="131"/>
      <c r="G261" s="658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398"/>
      <c r="BV261" s="398"/>
      <c r="BW261" s="398"/>
      <c r="BX261" s="398"/>
      <c r="BY261" s="398"/>
      <c r="BZ261" s="398"/>
      <c r="CA261" s="398"/>
      <c r="CB261" s="398"/>
      <c r="CC261" s="398"/>
      <c r="CD261" s="398"/>
      <c r="CE261" s="398"/>
      <c r="CF261" s="398"/>
      <c r="CG261" s="398"/>
      <c r="CH261" s="398"/>
      <c r="CI261" s="398"/>
      <c r="CJ261" s="398"/>
      <c r="CK261" s="398"/>
      <c r="CL261" s="398"/>
      <c r="CM261" s="398"/>
      <c r="CN261" s="398"/>
      <c r="CO261" s="398"/>
      <c r="CP261" s="398"/>
      <c r="CQ261" s="398"/>
      <c r="CR261" s="398"/>
      <c r="CS261" s="398"/>
      <c r="CT261" s="398"/>
    </row>
    <row r="262" spans="1:98" s="25" customFormat="1">
      <c r="A262" s="422"/>
      <c r="B262" s="377" t="s">
        <v>530</v>
      </c>
      <c r="C262" s="456"/>
      <c r="D262" s="46"/>
      <c r="E262" s="46"/>
      <c r="F262" s="46"/>
      <c r="G262" s="46" t="s">
        <v>5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398"/>
      <c r="BV262" s="398"/>
      <c r="BW262" s="398"/>
      <c r="BX262" s="398"/>
      <c r="BY262" s="398"/>
      <c r="BZ262" s="398"/>
      <c r="CA262" s="398"/>
      <c r="CB262" s="398"/>
      <c r="CC262" s="398"/>
      <c r="CD262" s="398"/>
      <c r="CE262" s="398"/>
      <c r="CF262" s="398"/>
      <c r="CG262" s="398"/>
      <c r="CH262" s="398"/>
      <c r="CI262" s="398"/>
      <c r="CJ262" s="398"/>
      <c r="CK262" s="398"/>
      <c r="CL262" s="398"/>
      <c r="CM262" s="398"/>
      <c r="CN262" s="398"/>
      <c r="CO262" s="398"/>
      <c r="CP262" s="398"/>
      <c r="CQ262" s="398"/>
      <c r="CR262" s="398"/>
      <c r="CS262" s="398"/>
      <c r="CT262" s="398"/>
    </row>
    <row r="263" spans="1:98" s="25" customFormat="1">
      <c r="A263" s="422"/>
      <c r="B263" s="455"/>
      <c r="C263" s="456"/>
      <c r="D263" s="131"/>
      <c r="E263" s="131"/>
      <c r="F263" s="131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398"/>
      <c r="BV263" s="398"/>
      <c r="BW263" s="398"/>
      <c r="BX263" s="398"/>
      <c r="BY263" s="398"/>
      <c r="BZ263" s="398"/>
      <c r="CA263" s="398"/>
      <c r="CB263" s="398"/>
      <c r="CC263" s="398"/>
      <c r="CD263" s="398"/>
      <c r="CE263" s="398"/>
      <c r="CF263" s="398"/>
      <c r="CG263" s="398"/>
      <c r="CH263" s="398"/>
      <c r="CI263" s="398"/>
      <c r="CJ263" s="398"/>
      <c r="CK263" s="398"/>
      <c r="CL263" s="398"/>
      <c r="CM263" s="398"/>
      <c r="CN263" s="398"/>
      <c r="CO263" s="398"/>
      <c r="CP263" s="398"/>
      <c r="CQ263" s="398"/>
      <c r="CR263" s="398"/>
      <c r="CS263" s="398"/>
      <c r="CT263" s="398"/>
    </row>
    <row r="264" spans="1:98" s="25" customFormat="1">
      <c r="A264" s="5"/>
      <c r="B264" s="33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</row>
    <row r="265" spans="1:98" s="25" customFormat="1">
      <c r="A265" s="5"/>
      <c r="B265" s="33"/>
      <c r="BU265" s="132"/>
      <c r="BV265" s="132"/>
      <c r="BW265" s="132"/>
      <c r="BX265" s="132"/>
      <c r="BY265" s="132"/>
      <c r="BZ265" s="132"/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2"/>
      <c r="CP265" s="132"/>
      <c r="CQ265" s="132"/>
      <c r="CR265" s="132"/>
      <c r="CS265" s="132"/>
      <c r="CT265" s="132"/>
    </row>
    <row r="266" spans="1:98" s="25" customFormat="1" ht="17.25" thickBot="1">
      <c r="A266" s="5"/>
      <c r="B266" s="33"/>
      <c r="BU266" s="132"/>
      <c r="BV266" s="132"/>
      <c r="BW266" s="132"/>
      <c r="BX266" s="132"/>
      <c r="BY266" s="132"/>
      <c r="BZ266" s="132"/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2"/>
      <c r="CP266" s="132"/>
      <c r="CQ266" s="132"/>
      <c r="CR266" s="132"/>
      <c r="CS266" s="132"/>
      <c r="CT266" s="132"/>
    </row>
    <row r="267" spans="1:98" s="25" customFormat="1" ht="36" customHeight="1" thickBot="1">
      <c r="A267" s="5"/>
      <c r="B267" s="1230" t="s">
        <v>540</v>
      </c>
      <c r="C267" s="1231"/>
      <c r="D267" s="1231"/>
      <c r="E267" s="1231"/>
      <c r="F267" s="1231"/>
      <c r="G267" s="1231"/>
      <c r="H267" s="1231"/>
      <c r="I267" s="1231"/>
      <c r="J267" s="1232"/>
      <c r="L267" s="789" t="s">
        <v>538</v>
      </c>
      <c r="M267" s="790"/>
      <c r="N267" s="790"/>
      <c r="O267" s="791"/>
      <c r="P267" s="789" t="s">
        <v>539</v>
      </c>
      <c r="Q267" s="790"/>
      <c r="R267" s="791"/>
      <c r="BU267" s="132"/>
      <c r="BV267" s="132"/>
      <c r="BW267" s="132"/>
      <c r="BX267" s="132"/>
      <c r="BY267" s="132"/>
      <c r="BZ267" s="132"/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2"/>
      <c r="CP267" s="132"/>
      <c r="CQ267" s="132"/>
      <c r="CR267" s="132"/>
      <c r="CS267" s="132"/>
      <c r="CT267" s="132"/>
    </row>
    <row r="268" spans="1:98" ht="60.6" customHeight="1" thickBot="1">
      <c r="B268" s="489"/>
      <c r="C268" s="490" t="s">
        <v>12</v>
      </c>
      <c r="D268" s="491" t="s">
        <v>110</v>
      </c>
      <c r="E268" s="492" t="s">
        <v>109</v>
      </c>
      <c r="F268" s="464" t="s">
        <v>127</v>
      </c>
      <c r="G268" s="492" t="s">
        <v>230</v>
      </c>
      <c r="H268" s="465" t="s">
        <v>231</v>
      </c>
      <c r="I268" s="490" t="s">
        <v>232</v>
      </c>
      <c r="J268" s="493" t="s">
        <v>126</v>
      </c>
      <c r="L268" s="494" t="s">
        <v>110</v>
      </c>
      <c r="M268" s="495" t="s">
        <v>233</v>
      </c>
      <c r="N268" s="495"/>
      <c r="O268" s="496" t="s">
        <v>229</v>
      </c>
      <c r="P268" s="494" t="s">
        <v>110</v>
      </c>
      <c r="Q268" s="495" t="s">
        <v>233</v>
      </c>
      <c r="R268" s="496" t="s">
        <v>229</v>
      </c>
      <c r="S268" s="1"/>
      <c r="T268" s="1"/>
      <c r="U268" s="1"/>
      <c r="V268" s="1"/>
      <c r="Y268" s="1"/>
    </row>
    <row r="269" spans="1:98" s="4" customFormat="1" ht="21">
      <c r="A269" s="821"/>
      <c r="B269" s="820" t="s">
        <v>785</v>
      </c>
      <c r="C269" s="822"/>
      <c r="D269" s="823"/>
      <c r="E269" s="824"/>
      <c r="F269" s="822"/>
      <c r="G269" s="824"/>
      <c r="H269" s="824"/>
      <c r="I269" s="822"/>
      <c r="J269" s="825"/>
      <c r="L269" s="826"/>
      <c r="M269" s="827"/>
      <c r="N269" s="827"/>
      <c r="O269" s="828"/>
      <c r="P269" s="826"/>
      <c r="Q269" s="827"/>
      <c r="R269" s="828"/>
      <c r="BU269" s="829"/>
      <c r="BV269" s="829"/>
      <c r="BW269" s="829"/>
      <c r="BX269" s="829"/>
      <c r="BY269" s="829"/>
      <c r="BZ269" s="829"/>
      <c r="CA269" s="829"/>
      <c r="CB269" s="829"/>
      <c r="CC269" s="829"/>
      <c r="CD269" s="829"/>
      <c r="CE269" s="829"/>
      <c r="CF269" s="829"/>
      <c r="CG269" s="829"/>
      <c r="CH269" s="829"/>
      <c r="CI269" s="829"/>
      <c r="CJ269" s="829"/>
      <c r="CK269" s="829"/>
      <c r="CL269" s="829"/>
      <c r="CM269" s="829"/>
      <c r="CN269" s="829"/>
      <c r="CO269" s="829"/>
      <c r="CP269" s="829"/>
      <c r="CQ269" s="829"/>
      <c r="CR269" s="829"/>
      <c r="CS269" s="829"/>
      <c r="CT269" s="829"/>
    </row>
    <row r="270" spans="1:98">
      <c r="B270" s="468" t="s">
        <v>104</v>
      </c>
      <c r="C270" s="114" t="s">
        <v>732</v>
      </c>
      <c r="D270" s="114">
        <v>14</v>
      </c>
      <c r="E270" s="135">
        <f>1*2.2</f>
        <v>2.2000000000000002</v>
      </c>
      <c r="F270" s="943">
        <f t="shared" ref="F270:F275" si="27">E270*D270</f>
        <v>30.800000000000004</v>
      </c>
      <c r="G270" s="114">
        <f>1+2.2*2</f>
        <v>5.4</v>
      </c>
      <c r="H270" s="114">
        <f t="shared" ref="H270:H275" si="28">G270*D270</f>
        <v>75.600000000000009</v>
      </c>
      <c r="I270" s="114" t="s">
        <v>541</v>
      </c>
      <c r="J270" s="125"/>
      <c r="L270" s="458"/>
      <c r="M270" s="114">
        <f t="shared" ref="M270:M276" si="29">L270*E270</f>
        <v>0</v>
      </c>
      <c r="N270" s="114"/>
      <c r="O270" s="943">
        <f t="shared" ref="O270:O276" si="30">L270*G270</f>
        <v>0</v>
      </c>
      <c r="P270" s="114">
        <f t="shared" ref="P270:P276" si="31">D270-L270</f>
        <v>14</v>
      </c>
      <c r="Q270" s="135">
        <f t="shared" ref="Q270:Q276" si="32">P270*E270</f>
        <v>30.800000000000004</v>
      </c>
      <c r="R270" s="943">
        <f t="shared" ref="R270:R276" si="33">P270*G270</f>
        <v>75.600000000000009</v>
      </c>
      <c r="S270" s="1"/>
      <c r="T270" s="1"/>
      <c r="U270" s="1"/>
      <c r="V270" s="1"/>
      <c r="Y270" s="1"/>
    </row>
    <row r="271" spans="1:98">
      <c r="B271" s="134" t="s">
        <v>105</v>
      </c>
      <c r="C271" s="114" t="s">
        <v>733</v>
      </c>
      <c r="D271" s="114">
        <v>5</v>
      </c>
      <c r="E271" s="135">
        <f>0.9*2.2</f>
        <v>1.9800000000000002</v>
      </c>
      <c r="F271" s="943">
        <f t="shared" si="27"/>
        <v>9.9</v>
      </c>
      <c r="G271" s="114">
        <f>0.9+2.2*2</f>
        <v>5.3000000000000007</v>
      </c>
      <c r="H271" s="114">
        <f t="shared" si="28"/>
        <v>26.500000000000004</v>
      </c>
      <c r="I271" s="463" t="s">
        <v>541</v>
      </c>
      <c r="J271" s="125"/>
      <c r="L271" s="458"/>
      <c r="M271" s="114">
        <f t="shared" si="29"/>
        <v>0</v>
      </c>
      <c r="N271" s="876"/>
      <c r="O271" s="944">
        <f t="shared" si="30"/>
        <v>0</v>
      </c>
      <c r="P271" s="140">
        <f t="shared" si="31"/>
        <v>5</v>
      </c>
      <c r="Q271" s="135">
        <f t="shared" si="32"/>
        <v>9.9</v>
      </c>
      <c r="R271" s="943">
        <f t="shared" si="33"/>
        <v>26.500000000000004</v>
      </c>
      <c r="S271" s="1"/>
      <c r="T271" s="1"/>
      <c r="U271" s="1"/>
      <c r="V271" s="1"/>
      <c r="Y271" s="1"/>
    </row>
    <row r="272" spans="1:98">
      <c r="B272" s="134" t="s">
        <v>106</v>
      </c>
      <c r="C272" s="114" t="s">
        <v>734</v>
      </c>
      <c r="D272" s="114">
        <v>1</v>
      </c>
      <c r="E272" s="135">
        <f>1.5*2.8</f>
        <v>4.1999999999999993</v>
      </c>
      <c r="F272" s="943">
        <f t="shared" si="27"/>
        <v>4.1999999999999993</v>
      </c>
      <c r="G272" s="114">
        <f>1.5+2.8*2</f>
        <v>7.1</v>
      </c>
      <c r="H272" s="114">
        <f t="shared" si="28"/>
        <v>7.1</v>
      </c>
      <c r="I272" s="114" t="s">
        <v>745</v>
      </c>
      <c r="J272" s="125"/>
      <c r="L272" s="458">
        <v>1</v>
      </c>
      <c r="M272" s="114">
        <f t="shared" si="29"/>
        <v>4.1999999999999993</v>
      </c>
      <c r="N272" s="876"/>
      <c r="O272" s="944">
        <f t="shared" si="30"/>
        <v>7.1</v>
      </c>
      <c r="P272" s="140">
        <f t="shared" si="31"/>
        <v>0</v>
      </c>
      <c r="Q272" s="135">
        <f t="shared" si="32"/>
        <v>0</v>
      </c>
      <c r="R272" s="943">
        <f t="shared" si="33"/>
        <v>0</v>
      </c>
      <c r="S272" s="1"/>
      <c r="T272" s="1"/>
      <c r="U272" s="1"/>
      <c r="V272" s="1"/>
      <c r="Y272" s="1"/>
    </row>
    <row r="273" spans="1:98" s="25" customFormat="1">
      <c r="A273" s="5"/>
      <c r="B273" s="134" t="s">
        <v>107</v>
      </c>
      <c r="C273" s="114" t="s">
        <v>634</v>
      </c>
      <c r="D273" s="135">
        <v>1</v>
      </c>
      <c r="E273" s="135">
        <f>0.9*2.1</f>
        <v>1.8900000000000001</v>
      </c>
      <c r="F273" s="943">
        <f t="shared" si="27"/>
        <v>1.8900000000000001</v>
      </c>
      <c r="G273" s="114">
        <f>0.9+2.1*2</f>
        <v>5.1000000000000005</v>
      </c>
      <c r="H273" s="135">
        <f t="shared" si="28"/>
        <v>5.1000000000000005</v>
      </c>
      <c r="I273" s="114" t="s">
        <v>745</v>
      </c>
      <c r="J273" s="125"/>
      <c r="L273" s="458"/>
      <c r="M273" s="114">
        <f t="shared" si="29"/>
        <v>0</v>
      </c>
      <c r="N273" s="876"/>
      <c r="O273" s="944">
        <f t="shared" si="30"/>
        <v>0</v>
      </c>
      <c r="P273" s="140">
        <f t="shared" si="31"/>
        <v>1</v>
      </c>
      <c r="Q273" s="135">
        <f t="shared" si="32"/>
        <v>1.8900000000000001</v>
      </c>
      <c r="R273" s="943">
        <f t="shared" si="33"/>
        <v>5.1000000000000005</v>
      </c>
      <c r="BU273" s="132"/>
      <c r="BV273" s="132"/>
      <c r="BW273" s="132"/>
      <c r="BX273" s="132"/>
      <c r="BY273" s="132"/>
      <c r="BZ273" s="132"/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</row>
    <row r="274" spans="1:98" s="25" customFormat="1">
      <c r="A274" s="5"/>
      <c r="B274" s="134" t="s">
        <v>226</v>
      </c>
      <c r="C274" s="114" t="s">
        <v>542</v>
      </c>
      <c r="D274" s="114">
        <v>6</v>
      </c>
      <c r="E274" s="135">
        <f>0.8*2.1</f>
        <v>1.6800000000000002</v>
      </c>
      <c r="F274" s="943">
        <f t="shared" si="27"/>
        <v>10.080000000000002</v>
      </c>
      <c r="G274" s="114">
        <f>0.8+2.1*2</f>
        <v>5</v>
      </c>
      <c r="H274" s="114">
        <f t="shared" si="28"/>
        <v>30</v>
      </c>
      <c r="I274" s="114" t="s">
        <v>745</v>
      </c>
      <c r="J274" s="125"/>
      <c r="L274" s="458"/>
      <c r="M274" s="114">
        <f t="shared" si="29"/>
        <v>0</v>
      </c>
      <c r="N274" s="876"/>
      <c r="O274" s="944">
        <f t="shared" si="30"/>
        <v>0</v>
      </c>
      <c r="P274" s="140">
        <f t="shared" si="31"/>
        <v>6</v>
      </c>
      <c r="Q274" s="135">
        <f t="shared" si="32"/>
        <v>10.080000000000002</v>
      </c>
      <c r="R274" s="943">
        <f t="shared" si="33"/>
        <v>30</v>
      </c>
      <c r="BU274" s="132"/>
      <c r="BV274" s="132"/>
      <c r="BW274" s="132"/>
      <c r="BX274" s="132"/>
      <c r="BY274" s="132"/>
      <c r="BZ274" s="132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</row>
    <row r="275" spans="1:98" s="25" customFormat="1">
      <c r="A275" s="5"/>
      <c r="B275" s="134" t="s">
        <v>768</v>
      </c>
      <c r="C275" s="114" t="s">
        <v>769</v>
      </c>
      <c r="D275" s="114">
        <v>2</v>
      </c>
      <c r="E275" s="135">
        <f>0.7*2</f>
        <v>1.4</v>
      </c>
      <c r="F275" s="943">
        <f t="shared" si="27"/>
        <v>2.8</v>
      </c>
      <c r="G275" s="114">
        <f>0.7+2*2</f>
        <v>4.7</v>
      </c>
      <c r="H275" s="114">
        <f t="shared" si="28"/>
        <v>9.4</v>
      </c>
      <c r="I275" s="114" t="s">
        <v>745</v>
      </c>
      <c r="J275" s="125"/>
      <c r="L275" s="458"/>
      <c r="M275" s="114">
        <f>L275*E275</f>
        <v>0</v>
      </c>
      <c r="N275" s="876"/>
      <c r="O275" s="944">
        <f>L275*G275</f>
        <v>0</v>
      </c>
      <c r="P275" s="140">
        <f t="shared" si="31"/>
        <v>2</v>
      </c>
      <c r="Q275" s="135">
        <f>P275*E275</f>
        <v>2.8</v>
      </c>
      <c r="R275" s="943">
        <f>P275*G275</f>
        <v>9.4</v>
      </c>
      <c r="BU275" s="132"/>
      <c r="BV275" s="132"/>
      <c r="BW275" s="132"/>
      <c r="BX275" s="132"/>
      <c r="BY275" s="132"/>
      <c r="BZ275" s="132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2"/>
      <c r="CP275" s="132"/>
      <c r="CQ275" s="132"/>
      <c r="CR275" s="132"/>
      <c r="CS275" s="132"/>
      <c r="CT275" s="132"/>
    </row>
    <row r="276" spans="1:98" s="25" customFormat="1" ht="49.5">
      <c r="A276" s="5"/>
      <c r="B276" s="805" t="s">
        <v>742</v>
      </c>
      <c r="C276" s="114" t="s">
        <v>735</v>
      </c>
      <c r="D276" s="114">
        <v>2</v>
      </c>
      <c r="E276" s="135">
        <f>2.6*2.8</f>
        <v>7.2799999999999994</v>
      </c>
      <c r="F276" s="943">
        <f>E276*D276</f>
        <v>14.559999999999999</v>
      </c>
      <c r="G276" s="114">
        <f>2.6+2.8*2</f>
        <v>8.1999999999999993</v>
      </c>
      <c r="H276" s="114">
        <f>G276*D276</f>
        <v>16.399999999999999</v>
      </c>
      <c r="I276" s="114" t="s">
        <v>802</v>
      </c>
      <c r="J276" s="125"/>
      <c r="L276" s="458"/>
      <c r="M276" s="114">
        <f t="shared" si="29"/>
        <v>0</v>
      </c>
      <c r="N276" s="876"/>
      <c r="O276" s="944">
        <f t="shared" si="30"/>
        <v>0</v>
      </c>
      <c r="P276" s="140">
        <f t="shared" si="31"/>
        <v>2</v>
      </c>
      <c r="Q276" s="135">
        <f t="shared" si="32"/>
        <v>14.559999999999999</v>
      </c>
      <c r="R276" s="943">
        <f t="shared" si="33"/>
        <v>16.399999999999999</v>
      </c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</row>
    <row r="277" spans="1:98" s="4" customFormat="1">
      <c r="A277" s="821"/>
      <c r="B277" s="950"/>
      <c r="C277" s="135"/>
      <c r="D277" s="135"/>
      <c r="E277" s="135"/>
      <c r="F277" s="135"/>
      <c r="G277" s="135"/>
      <c r="H277" s="135"/>
      <c r="I277" s="135"/>
      <c r="J277" s="951"/>
      <c r="L277" s="667"/>
      <c r="M277" s="135"/>
      <c r="N277" s="952"/>
      <c r="O277" s="953"/>
      <c r="P277" s="667"/>
      <c r="Q277" s="135"/>
      <c r="R277" s="136"/>
      <c r="BU277" s="829"/>
      <c r="BV277" s="829"/>
      <c r="BW277" s="829"/>
      <c r="BX277" s="829"/>
      <c r="BY277" s="829"/>
      <c r="BZ277" s="829"/>
      <c r="CA277" s="829"/>
      <c r="CB277" s="829"/>
      <c r="CC277" s="829"/>
      <c r="CD277" s="829"/>
      <c r="CE277" s="829"/>
      <c r="CF277" s="829"/>
      <c r="CG277" s="829"/>
      <c r="CH277" s="829"/>
      <c r="CI277" s="829"/>
      <c r="CJ277" s="829"/>
      <c r="CK277" s="829"/>
      <c r="CL277" s="829"/>
      <c r="CM277" s="829"/>
      <c r="CN277" s="829"/>
      <c r="CO277" s="829"/>
      <c r="CP277" s="829"/>
      <c r="CQ277" s="829"/>
      <c r="CR277" s="829"/>
      <c r="CS277" s="829"/>
      <c r="CT277" s="829"/>
    </row>
    <row r="278" spans="1:98" s="25" customFormat="1">
      <c r="A278" s="5"/>
      <c r="B278" s="820" t="s">
        <v>793</v>
      </c>
      <c r="C278" s="114"/>
      <c r="D278" s="24"/>
      <c r="E278" s="24"/>
      <c r="F278" s="24"/>
      <c r="G278" s="24"/>
      <c r="H278" s="24"/>
      <c r="I278" s="24"/>
      <c r="J278" s="125"/>
      <c r="L278" s="458"/>
      <c r="M278" s="24"/>
      <c r="N278" s="24"/>
      <c r="O278" s="136"/>
      <c r="P278" s="24"/>
      <c r="Q278" s="24"/>
      <c r="R278" s="136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</row>
    <row r="279" spans="1:98" s="25" customFormat="1">
      <c r="A279" s="5"/>
      <c r="B279" s="134" t="s">
        <v>503</v>
      </c>
      <c r="C279" s="114" t="s">
        <v>733</v>
      </c>
      <c r="D279" s="114">
        <v>1</v>
      </c>
      <c r="E279" s="135">
        <f>0.9*2.2</f>
        <v>1.9800000000000002</v>
      </c>
      <c r="F279" s="943">
        <f>D279*E279</f>
        <v>1.9800000000000002</v>
      </c>
      <c r="G279" s="114">
        <f>0.9+2.2*2</f>
        <v>5.3000000000000007</v>
      </c>
      <c r="H279" s="114">
        <f>D279*G279</f>
        <v>5.3000000000000007</v>
      </c>
      <c r="I279" s="114" t="s">
        <v>745</v>
      </c>
      <c r="J279" s="125"/>
      <c r="L279" s="458"/>
      <c r="M279" s="114">
        <f>L279*E279</f>
        <v>0</v>
      </c>
      <c r="N279" s="876"/>
      <c r="O279" s="944">
        <f>L279*G279</f>
        <v>0</v>
      </c>
      <c r="P279" s="140">
        <f>D279-L279</f>
        <v>1</v>
      </c>
      <c r="Q279" s="114">
        <f>P279*E279</f>
        <v>1.9800000000000002</v>
      </c>
      <c r="R279" s="944">
        <f>P279*G279</f>
        <v>5.3000000000000007</v>
      </c>
      <c r="BU279" s="132"/>
      <c r="BV279" s="132"/>
      <c r="BW279" s="132"/>
      <c r="BX279" s="132"/>
      <c r="BY279" s="132"/>
      <c r="BZ279" s="132"/>
      <c r="CA279" s="132"/>
      <c r="CB279" s="132"/>
      <c r="CC279" s="132"/>
      <c r="CD279" s="132"/>
      <c r="CE279" s="132"/>
      <c r="CF279" s="132"/>
      <c r="CG279" s="132"/>
      <c r="CH279" s="132"/>
      <c r="CI279" s="132"/>
      <c r="CJ279" s="132"/>
      <c r="CK279" s="132"/>
      <c r="CL279" s="132"/>
      <c r="CM279" s="132"/>
      <c r="CN279" s="132"/>
      <c r="CO279" s="132"/>
      <c r="CP279" s="132"/>
      <c r="CQ279" s="132"/>
      <c r="CR279" s="132"/>
      <c r="CS279" s="132"/>
      <c r="CT279" s="132"/>
    </row>
    <row r="280" spans="1:98" s="4" customFormat="1">
      <c r="A280" s="821"/>
      <c r="B280" s="950"/>
      <c r="C280" s="135"/>
      <c r="D280" s="135"/>
      <c r="E280" s="135"/>
      <c r="F280" s="135"/>
      <c r="G280" s="135"/>
      <c r="H280" s="135"/>
      <c r="I280" s="135"/>
      <c r="J280" s="951"/>
      <c r="L280" s="667"/>
      <c r="M280" s="135"/>
      <c r="N280" s="952"/>
      <c r="O280" s="953"/>
      <c r="P280" s="667"/>
      <c r="Q280" s="135"/>
      <c r="R280" s="136"/>
      <c r="BU280" s="829"/>
      <c r="BV280" s="829"/>
      <c r="BW280" s="829"/>
      <c r="BX280" s="829"/>
      <c r="BY280" s="829"/>
      <c r="BZ280" s="829"/>
      <c r="CA280" s="829"/>
      <c r="CB280" s="829"/>
      <c r="CC280" s="829"/>
      <c r="CD280" s="829"/>
      <c r="CE280" s="829"/>
      <c r="CF280" s="829"/>
      <c r="CG280" s="829"/>
      <c r="CH280" s="829"/>
      <c r="CI280" s="829"/>
      <c r="CJ280" s="829"/>
      <c r="CK280" s="829"/>
      <c r="CL280" s="829"/>
      <c r="CM280" s="829"/>
      <c r="CN280" s="829"/>
      <c r="CO280" s="829"/>
      <c r="CP280" s="829"/>
      <c r="CQ280" s="829"/>
      <c r="CR280" s="829"/>
      <c r="CS280" s="829"/>
      <c r="CT280" s="829"/>
    </row>
    <row r="281" spans="1:98" s="25" customFormat="1">
      <c r="A281" s="5"/>
      <c r="B281" s="820" t="s">
        <v>784</v>
      </c>
      <c r="C281" s="114"/>
      <c r="D281" s="114"/>
      <c r="E281" s="114"/>
      <c r="F281" s="114"/>
      <c r="G281" s="114"/>
      <c r="H281" s="114"/>
      <c r="I281" s="114"/>
      <c r="J281" s="125"/>
      <c r="L281" s="458"/>
      <c r="M281" s="114"/>
      <c r="N281" s="876"/>
      <c r="O281" s="136"/>
      <c r="P281" s="140"/>
      <c r="Q281" s="114"/>
      <c r="R281" s="136"/>
      <c r="BU281" s="132"/>
      <c r="BV281" s="132"/>
      <c r="BW281" s="132"/>
      <c r="BX281" s="132"/>
      <c r="BY281" s="132"/>
      <c r="BZ281" s="132"/>
      <c r="CA281" s="132"/>
      <c r="CB281" s="132"/>
      <c r="CC281" s="132"/>
      <c r="CD281" s="132"/>
      <c r="CE281" s="132"/>
      <c r="CF281" s="132"/>
      <c r="CG281" s="132"/>
      <c r="CH281" s="132"/>
      <c r="CI281" s="132"/>
      <c r="CJ281" s="132"/>
      <c r="CK281" s="132"/>
      <c r="CL281" s="132"/>
      <c r="CM281" s="132"/>
      <c r="CN281" s="132"/>
      <c r="CO281" s="132"/>
      <c r="CP281" s="132"/>
      <c r="CQ281" s="132"/>
      <c r="CR281" s="132"/>
      <c r="CS281" s="132"/>
      <c r="CT281" s="132"/>
    </row>
    <row r="282" spans="1:98" s="25" customFormat="1">
      <c r="A282" s="5"/>
      <c r="B282" s="134" t="s">
        <v>786</v>
      </c>
      <c r="C282" s="114" t="s">
        <v>790</v>
      </c>
      <c r="D282" s="114">
        <v>1</v>
      </c>
      <c r="E282" s="114">
        <f>0.9*2.1</f>
        <v>1.8900000000000001</v>
      </c>
      <c r="F282" s="943">
        <f>E282*D282</f>
        <v>1.8900000000000001</v>
      </c>
      <c r="G282" s="114">
        <f>0.9+2.1*2</f>
        <v>5.1000000000000005</v>
      </c>
      <c r="H282" s="114">
        <f>G282*D282</f>
        <v>5.1000000000000005</v>
      </c>
      <c r="I282" s="114" t="s">
        <v>803</v>
      </c>
      <c r="J282" s="125"/>
      <c r="L282" s="458"/>
      <c r="M282" s="114">
        <f>L282*E282</f>
        <v>0</v>
      </c>
      <c r="N282" s="876"/>
      <c r="O282" s="944">
        <f>L282*G282</f>
        <v>0</v>
      </c>
      <c r="P282" s="140">
        <f>D282-L282</f>
        <v>1</v>
      </c>
      <c r="Q282" s="114">
        <f>P282*E282</f>
        <v>1.8900000000000001</v>
      </c>
      <c r="R282" s="944">
        <f>P282*G282</f>
        <v>5.1000000000000005</v>
      </c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</row>
    <row r="283" spans="1:98" s="25" customFormat="1">
      <c r="A283" s="5"/>
      <c r="B283" s="134" t="s">
        <v>787</v>
      </c>
      <c r="C283" s="114" t="s">
        <v>791</v>
      </c>
      <c r="D283" s="114">
        <v>1</v>
      </c>
      <c r="E283" s="114">
        <f>1.5*2.1</f>
        <v>3.1500000000000004</v>
      </c>
      <c r="F283" s="943">
        <f>E283*D283</f>
        <v>3.1500000000000004</v>
      </c>
      <c r="G283" s="114">
        <f>1.5+2.1*2</f>
        <v>5.7</v>
      </c>
      <c r="H283" s="114">
        <f>G283*D283</f>
        <v>5.7</v>
      </c>
      <c r="I283" s="114" t="s">
        <v>803</v>
      </c>
      <c r="J283" s="125"/>
      <c r="L283" s="458"/>
      <c r="M283" s="114">
        <f>L283*E283</f>
        <v>0</v>
      </c>
      <c r="N283" s="876"/>
      <c r="O283" s="944">
        <f>L283*G283</f>
        <v>0</v>
      </c>
      <c r="P283" s="140">
        <f>D283-L283</f>
        <v>1</v>
      </c>
      <c r="Q283" s="114">
        <f>P283*E283</f>
        <v>3.1500000000000004</v>
      </c>
      <c r="R283" s="944">
        <f>P283*G283</f>
        <v>5.7</v>
      </c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</row>
    <row r="284" spans="1:98" s="25" customFormat="1">
      <c r="A284" s="5"/>
      <c r="B284" s="134" t="s">
        <v>788</v>
      </c>
      <c r="C284" s="114" t="s">
        <v>792</v>
      </c>
      <c r="D284" s="114">
        <v>1</v>
      </c>
      <c r="E284" s="114">
        <f>1.8*2.4</f>
        <v>4.32</v>
      </c>
      <c r="F284" s="943">
        <f>E284*D284</f>
        <v>4.32</v>
      </c>
      <c r="G284" s="114">
        <f>1.8+2.4*2</f>
        <v>6.6</v>
      </c>
      <c r="H284" s="114">
        <f>G284*D284</f>
        <v>6.6</v>
      </c>
      <c r="I284" s="114" t="s">
        <v>803</v>
      </c>
      <c r="J284" s="125"/>
      <c r="L284" s="458"/>
      <c r="M284" s="114">
        <f>L284*E284</f>
        <v>0</v>
      </c>
      <c r="N284" s="876"/>
      <c r="O284" s="944">
        <f>L284*G284</f>
        <v>0</v>
      </c>
      <c r="P284" s="140">
        <f>D284-L284</f>
        <v>1</v>
      </c>
      <c r="Q284" s="114">
        <f>P284*E284</f>
        <v>4.32</v>
      </c>
      <c r="R284" s="944">
        <f>P284*G284</f>
        <v>6.6</v>
      </c>
      <c r="BU284" s="132"/>
      <c r="BV284" s="132"/>
      <c r="BW284" s="132"/>
      <c r="BX284" s="132"/>
      <c r="BY284" s="132"/>
      <c r="BZ284" s="132"/>
      <c r="CA284" s="132"/>
      <c r="CB284" s="132"/>
      <c r="CC284" s="132"/>
      <c r="CD284" s="132"/>
      <c r="CE284" s="132"/>
      <c r="CF284" s="132"/>
      <c r="CG284" s="132"/>
      <c r="CH284" s="132"/>
      <c r="CI284" s="132"/>
      <c r="CJ284" s="132"/>
      <c r="CK284" s="132"/>
      <c r="CL284" s="132"/>
      <c r="CM284" s="132"/>
      <c r="CN284" s="132"/>
      <c r="CO284" s="132"/>
      <c r="CP284" s="132"/>
      <c r="CQ284" s="132"/>
      <c r="CR284" s="132"/>
      <c r="CS284" s="132"/>
      <c r="CT284" s="132"/>
    </row>
    <row r="285" spans="1:98" s="25" customFormat="1">
      <c r="A285" s="5"/>
      <c r="B285" s="134"/>
      <c r="C285" s="114"/>
      <c r="D285" s="114"/>
      <c r="E285" s="114"/>
      <c r="F285" s="114"/>
      <c r="G285" s="114"/>
      <c r="H285" s="114"/>
      <c r="I285" s="114"/>
      <c r="J285" s="125"/>
      <c r="L285" s="458"/>
      <c r="M285" s="114"/>
      <c r="N285" s="876"/>
      <c r="O285" s="136"/>
      <c r="P285" s="140"/>
      <c r="Q285" s="114"/>
      <c r="R285" s="136"/>
      <c r="BU285" s="132"/>
      <c r="BV285" s="132"/>
      <c r="BW285" s="132"/>
      <c r="BX285" s="132"/>
      <c r="BY285" s="132"/>
      <c r="BZ285" s="132"/>
      <c r="CA285" s="132"/>
      <c r="CB285" s="132"/>
      <c r="CC285" s="132"/>
      <c r="CD285" s="132"/>
      <c r="CE285" s="132"/>
      <c r="CF285" s="132"/>
      <c r="CG285" s="132"/>
      <c r="CH285" s="132"/>
      <c r="CI285" s="132"/>
      <c r="CJ285" s="132"/>
      <c r="CK285" s="132"/>
      <c r="CL285" s="132"/>
      <c r="CM285" s="132"/>
      <c r="CN285" s="132"/>
      <c r="CO285" s="132"/>
      <c r="CP285" s="132"/>
      <c r="CQ285" s="132"/>
      <c r="CR285" s="132"/>
      <c r="CS285" s="132"/>
      <c r="CT285" s="132"/>
    </row>
    <row r="286" spans="1:98" s="25" customFormat="1">
      <c r="A286" s="5"/>
      <c r="B286" s="134"/>
      <c r="C286" s="114"/>
      <c r="D286" s="114"/>
      <c r="E286" s="114"/>
      <c r="F286" s="114"/>
      <c r="G286" s="114"/>
      <c r="H286" s="114"/>
      <c r="I286" s="114"/>
      <c r="J286" s="125"/>
      <c r="L286" s="667"/>
      <c r="M286" s="114"/>
      <c r="N286" s="876"/>
      <c r="O286" s="136"/>
      <c r="P286" s="140"/>
      <c r="Q286" s="114"/>
      <c r="R286" s="136"/>
      <c r="BU286" s="132"/>
      <c r="BV286" s="132"/>
      <c r="BW286" s="132"/>
      <c r="BX286" s="132"/>
      <c r="BY286" s="132"/>
      <c r="BZ286" s="132"/>
      <c r="CA286" s="132"/>
      <c r="CB286" s="132"/>
      <c r="CC286" s="132"/>
      <c r="CD286" s="132"/>
      <c r="CE286" s="132"/>
      <c r="CF286" s="132"/>
      <c r="CG286" s="132"/>
      <c r="CH286" s="132"/>
      <c r="CI286" s="132"/>
      <c r="CJ286" s="132"/>
      <c r="CK286" s="132"/>
      <c r="CL286" s="132"/>
      <c r="CM286" s="132"/>
      <c r="CN286" s="132"/>
      <c r="CO286" s="132"/>
      <c r="CP286" s="132"/>
      <c r="CQ286" s="132"/>
      <c r="CR286" s="132"/>
      <c r="CS286" s="132"/>
      <c r="CT286" s="132"/>
    </row>
    <row r="287" spans="1:98" s="25" customFormat="1">
      <c r="A287" s="5"/>
      <c r="B287" s="134"/>
      <c r="C287" s="498"/>
      <c r="D287" s="498"/>
      <c r="E287" s="498"/>
      <c r="F287" s="114"/>
      <c r="G287" s="498"/>
      <c r="H287" s="114"/>
      <c r="I287" s="498"/>
      <c r="J287" s="499"/>
      <c r="L287" s="668"/>
      <c r="M287" s="114"/>
      <c r="N287" s="876"/>
      <c r="O287" s="136"/>
      <c r="P287" s="140"/>
      <c r="Q287" s="114"/>
      <c r="R287" s="136"/>
      <c r="BU287" s="132"/>
      <c r="BV287" s="132"/>
      <c r="BW287" s="132"/>
      <c r="BX287" s="132"/>
      <c r="BY287" s="132"/>
      <c r="BZ287" s="132"/>
      <c r="CA287" s="132"/>
      <c r="CB287" s="132"/>
      <c r="CC287" s="132"/>
      <c r="CD287" s="132"/>
      <c r="CE287" s="132"/>
      <c r="CF287" s="132"/>
      <c r="CG287" s="132"/>
      <c r="CH287" s="132"/>
      <c r="CI287" s="132"/>
      <c r="CJ287" s="132"/>
      <c r="CK287" s="132"/>
      <c r="CL287" s="132"/>
      <c r="CM287" s="132"/>
      <c r="CN287" s="132"/>
      <c r="CO287" s="132"/>
      <c r="CP287" s="132"/>
      <c r="CQ287" s="132"/>
      <c r="CR287" s="132"/>
      <c r="CS287" s="132"/>
      <c r="CT287" s="132"/>
    </row>
    <row r="288" spans="1:98" s="25" customFormat="1">
      <c r="A288" s="5"/>
      <c r="B288" s="848" t="s">
        <v>818</v>
      </c>
      <c r="C288" s="498" t="s">
        <v>819</v>
      </c>
      <c r="D288" s="498">
        <v>4</v>
      </c>
      <c r="E288" s="498">
        <f>1.1*2.2</f>
        <v>2.4200000000000004</v>
      </c>
      <c r="F288" s="114">
        <f>D288*E288</f>
        <v>9.6800000000000015</v>
      </c>
      <c r="G288" s="498">
        <f>1.1+2.2*2</f>
        <v>5.5</v>
      </c>
      <c r="H288" s="114">
        <f>D288*G288</f>
        <v>22</v>
      </c>
      <c r="I288" s="498"/>
      <c r="J288" s="499"/>
      <c r="L288" s="458"/>
      <c r="M288" s="114">
        <f>L288*E288</f>
        <v>0</v>
      </c>
      <c r="N288" s="876"/>
      <c r="O288" s="944">
        <f>L288*G288</f>
        <v>0</v>
      </c>
      <c r="P288" s="140">
        <f>D288-L288</f>
        <v>4</v>
      </c>
      <c r="Q288" s="114">
        <f>P288*E288</f>
        <v>9.6800000000000015</v>
      </c>
      <c r="R288" s="944">
        <f>P288*G288</f>
        <v>22</v>
      </c>
      <c r="BU288" s="132"/>
      <c r="BV288" s="132"/>
      <c r="BW288" s="132"/>
      <c r="BX288" s="132"/>
      <c r="BY288" s="132"/>
      <c r="BZ288" s="132"/>
      <c r="CA288" s="132"/>
      <c r="CB288" s="132"/>
      <c r="CC288" s="132"/>
      <c r="CD288" s="132"/>
      <c r="CE288" s="132"/>
      <c r="CF288" s="132"/>
      <c r="CG288" s="132"/>
      <c r="CH288" s="132"/>
      <c r="CI288" s="132"/>
      <c r="CJ288" s="132"/>
      <c r="CK288" s="132"/>
      <c r="CL288" s="132"/>
      <c r="CM288" s="132"/>
      <c r="CN288" s="132"/>
      <c r="CO288" s="132"/>
      <c r="CP288" s="132"/>
      <c r="CQ288" s="132"/>
      <c r="CR288" s="132"/>
      <c r="CS288" s="132"/>
      <c r="CT288" s="132"/>
    </row>
    <row r="289" spans="1:98" s="25" customFormat="1">
      <c r="A289" s="5"/>
      <c r="B289" s="134"/>
      <c r="C289" s="498" t="s">
        <v>819</v>
      </c>
      <c r="D289" s="498">
        <v>2</v>
      </c>
      <c r="E289" s="498">
        <f>1.1*2.2</f>
        <v>2.4200000000000004</v>
      </c>
      <c r="F289" s="114">
        <f>D289*E289</f>
        <v>4.8400000000000007</v>
      </c>
      <c r="G289" s="498">
        <f>1.1+2.2*2</f>
        <v>5.5</v>
      </c>
      <c r="H289" s="114">
        <f>D289*G289</f>
        <v>11</v>
      </c>
      <c r="I289" s="498"/>
      <c r="J289" s="499"/>
      <c r="L289" s="458">
        <v>2</v>
      </c>
      <c r="M289" s="114">
        <f>L289*E289</f>
        <v>4.8400000000000007</v>
      </c>
      <c r="N289" s="876"/>
      <c r="O289" s="944">
        <f>L289*G289</f>
        <v>11</v>
      </c>
      <c r="P289" s="140">
        <f>D289-L289</f>
        <v>0</v>
      </c>
      <c r="Q289" s="114">
        <f>P289*E289</f>
        <v>0</v>
      </c>
      <c r="R289" s="944">
        <f>P289*G289</f>
        <v>0</v>
      </c>
      <c r="BU289" s="132"/>
      <c r="BV289" s="132"/>
      <c r="BW289" s="132"/>
      <c r="BX289" s="132"/>
      <c r="BY289" s="132"/>
      <c r="BZ289" s="132"/>
      <c r="CA289" s="132"/>
      <c r="CB289" s="132"/>
      <c r="CC289" s="132"/>
      <c r="CD289" s="132"/>
      <c r="CE289" s="132"/>
      <c r="CF289" s="132"/>
      <c r="CG289" s="132"/>
      <c r="CH289" s="132"/>
      <c r="CI289" s="132"/>
      <c r="CJ289" s="132"/>
      <c r="CK289" s="132"/>
      <c r="CL289" s="132"/>
      <c r="CM289" s="132"/>
      <c r="CN289" s="132"/>
      <c r="CO289" s="132"/>
      <c r="CP289" s="132"/>
      <c r="CQ289" s="132"/>
      <c r="CR289" s="132"/>
      <c r="CS289" s="132"/>
      <c r="CT289" s="132"/>
    </row>
    <row r="290" spans="1:98" s="25" customFormat="1">
      <c r="A290" s="5"/>
      <c r="B290" s="134"/>
      <c r="C290" s="498" t="s">
        <v>820</v>
      </c>
      <c r="D290" s="498">
        <v>1</v>
      </c>
      <c r="E290" s="498">
        <f>1.5*2.2</f>
        <v>3.3000000000000003</v>
      </c>
      <c r="F290" s="114">
        <f>D290*E290</f>
        <v>3.3000000000000003</v>
      </c>
      <c r="G290" s="498">
        <f>1.5+2.2*2</f>
        <v>5.9</v>
      </c>
      <c r="H290" s="114">
        <f>D290*G290</f>
        <v>5.9</v>
      </c>
      <c r="I290" s="498"/>
      <c r="J290" s="499"/>
      <c r="L290" s="458">
        <v>1</v>
      </c>
      <c r="M290" s="114">
        <f>L290*E290</f>
        <v>3.3000000000000003</v>
      </c>
      <c r="N290" s="876"/>
      <c r="O290" s="944">
        <f>L290*G290</f>
        <v>5.9</v>
      </c>
      <c r="P290" s="140">
        <f>D290-L290</f>
        <v>0</v>
      </c>
      <c r="Q290" s="114">
        <f>P290*E290</f>
        <v>0</v>
      </c>
      <c r="R290" s="944">
        <f>P290*G290</f>
        <v>0</v>
      </c>
      <c r="BU290" s="132"/>
      <c r="BV290" s="132"/>
      <c r="BW290" s="132"/>
      <c r="BX290" s="132"/>
      <c r="BY290" s="132"/>
      <c r="BZ290" s="132"/>
      <c r="CA290" s="132"/>
      <c r="CB290" s="132"/>
      <c r="CC290" s="132"/>
      <c r="CD290" s="132"/>
      <c r="CE290" s="132"/>
      <c r="CF290" s="132"/>
      <c r="CG290" s="132"/>
      <c r="CH290" s="132"/>
      <c r="CI290" s="132"/>
      <c r="CJ290" s="132"/>
      <c r="CK290" s="132"/>
      <c r="CL290" s="132"/>
      <c r="CM290" s="132"/>
      <c r="CN290" s="132"/>
      <c r="CO290" s="132"/>
      <c r="CP290" s="132"/>
      <c r="CQ290" s="132"/>
      <c r="CR290" s="132"/>
      <c r="CS290" s="132"/>
      <c r="CT290" s="132"/>
    </row>
    <row r="291" spans="1:98" s="25" customFormat="1">
      <c r="A291" s="5"/>
      <c r="B291" s="134"/>
      <c r="C291" s="498"/>
      <c r="D291" s="498"/>
      <c r="E291" s="498"/>
      <c r="F291" s="114"/>
      <c r="G291" s="498"/>
      <c r="H291" s="114"/>
      <c r="I291" s="498"/>
      <c r="J291" s="499"/>
      <c r="L291" s="668"/>
      <c r="M291" s="114"/>
      <c r="N291" s="876"/>
      <c r="O291" s="136"/>
      <c r="P291" s="140"/>
      <c r="Q291" s="114"/>
      <c r="R291" s="136"/>
      <c r="BU291" s="132"/>
      <c r="BV291" s="132"/>
      <c r="BW291" s="132"/>
      <c r="BX291" s="132"/>
      <c r="BY291" s="132"/>
      <c r="BZ291" s="132"/>
      <c r="CA291" s="132"/>
      <c r="CB291" s="132"/>
      <c r="CC291" s="132"/>
      <c r="CD291" s="132"/>
      <c r="CE291" s="132"/>
      <c r="CF291" s="132"/>
      <c r="CG291" s="132"/>
      <c r="CH291" s="132"/>
      <c r="CI291" s="132"/>
      <c r="CJ291" s="132"/>
      <c r="CK291" s="132"/>
      <c r="CL291" s="132"/>
      <c r="CM291" s="132"/>
      <c r="CN291" s="132"/>
      <c r="CO291" s="132"/>
      <c r="CP291" s="132"/>
      <c r="CQ291" s="132"/>
      <c r="CR291" s="132"/>
      <c r="CS291" s="132"/>
      <c r="CT291" s="132"/>
    </row>
    <row r="292" spans="1:98" s="25" customFormat="1">
      <c r="A292" s="5"/>
      <c r="B292" s="134"/>
      <c r="C292" s="498"/>
      <c r="D292" s="498"/>
      <c r="E292" s="498"/>
      <c r="F292" s="114"/>
      <c r="G292" s="498"/>
      <c r="H292" s="114"/>
      <c r="I292" s="498"/>
      <c r="J292" s="499"/>
      <c r="L292" s="669"/>
      <c r="M292" s="114"/>
      <c r="N292" s="876"/>
      <c r="O292" s="136"/>
      <c r="P292" s="140"/>
      <c r="Q292" s="114"/>
      <c r="R292" s="136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</row>
    <row r="293" spans="1:98" ht="17.25" thickBot="1">
      <c r="B293" s="470"/>
      <c r="C293" s="462"/>
      <c r="D293" s="462"/>
      <c r="E293" s="462"/>
      <c r="F293" s="439"/>
      <c r="G293" s="439"/>
      <c r="H293" s="439"/>
      <c r="I293" s="439"/>
      <c r="J293" s="59"/>
      <c r="L293" s="467"/>
      <c r="M293" s="439"/>
      <c r="N293" s="877"/>
      <c r="O293" s="59"/>
      <c r="P293" s="467"/>
      <c r="Q293" s="439"/>
      <c r="R293" s="59"/>
      <c r="S293" s="1"/>
      <c r="T293" s="1"/>
      <c r="U293" s="1"/>
      <c r="V293" s="1"/>
      <c r="Y293" s="1"/>
    </row>
    <row r="294" spans="1:98" ht="48.75" customHeight="1" thickBot="1">
      <c r="B294" s="478" t="s">
        <v>20</v>
      </c>
      <c r="C294" s="479"/>
      <c r="D294" s="479"/>
      <c r="E294" s="479"/>
      <c r="F294" s="479">
        <f>SUM(F270:F293)</f>
        <v>103.39000000000003</v>
      </c>
      <c r="G294" s="479"/>
      <c r="H294" s="479">
        <f>SUM(H270:H293)</f>
        <v>231.70000000000002</v>
      </c>
      <c r="I294" s="479"/>
      <c r="J294" s="480"/>
      <c r="L294" s="482"/>
      <c r="M294" s="483">
        <f>SUM(M270:M293)</f>
        <v>12.34</v>
      </c>
      <c r="N294" s="878"/>
      <c r="O294" s="484">
        <f>SUM(O270:O293)</f>
        <v>24</v>
      </c>
      <c r="P294" s="482"/>
      <c r="Q294" s="485">
        <f>SUM(Q270:Q293)</f>
        <v>91.050000000000011</v>
      </c>
      <c r="R294" s="486">
        <f>SUM(R270:R293)</f>
        <v>207.7</v>
      </c>
      <c r="S294" s="1"/>
      <c r="T294" s="1"/>
      <c r="U294" s="1"/>
      <c r="V294" s="1"/>
      <c r="Y294" s="1"/>
    </row>
    <row r="295" spans="1:98">
      <c r="B295" s="471"/>
      <c r="C295" s="69"/>
      <c r="D295" s="69"/>
      <c r="E295" s="69"/>
      <c r="F295" s="69"/>
      <c r="G295" s="69"/>
      <c r="H295" s="69"/>
      <c r="I295" s="69"/>
      <c r="J295" s="469"/>
      <c r="L295" s="475"/>
      <c r="M295" s="60"/>
      <c r="N295" s="879"/>
      <c r="O295" s="61"/>
      <c r="P295" s="487"/>
      <c r="Q295" s="60"/>
      <c r="R295" s="61"/>
      <c r="S295" s="1"/>
      <c r="U295" s="25"/>
      <c r="V295" s="25"/>
      <c r="W295" s="25"/>
    </row>
    <row r="296" spans="1:98" s="25" customFormat="1" ht="21">
      <c r="A296" s="5"/>
      <c r="B296" s="820" t="s">
        <v>785</v>
      </c>
      <c r="C296" s="822"/>
      <c r="D296" s="823"/>
      <c r="E296" s="824"/>
      <c r="F296" s="822"/>
      <c r="G296" s="824"/>
      <c r="H296" s="824"/>
      <c r="I296" s="822"/>
      <c r="J296" s="825"/>
      <c r="K296" s="4"/>
      <c r="L296" s="826"/>
      <c r="M296" s="827"/>
      <c r="N296" s="827"/>
      <c r="O296" s="828"/>
      <c r="P296" s="826"/>
      <c r="Q296" s="827"/>
      <c r="R296" s="828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</row>
    <row r="297" spans="1:98" ht="33">
      <c r="B297" s="134" t="s">
        <v>108</v>
      </c>
      <c r="C297" s="114" t="s">
        <v>736</v>
      </c>
      <c r="D297" s="114">
        <v>15</v>
      </c>
      <c r="E297" s="135">
        <f>1.7*1.7</f>
        <v>2.8899999999999997</v>
      </c>
      <c r="F297" s="943">
        <f>E297*D297</f>
        <v>43.349999999999994</v>
      </c>
      <c r="G297" s="114">
        <f>(1.7+1.7)*2</f>
        <v>6.8</v>
      </c>
      <c r="H297" s="114">
        <f>G297*D297</f>
        <v>102</v>
      </c>
      <c r="I297" s="114" t="s">
        <v>628</v>
      </c>
      <c r="J297" s="944">
        <f>1.9*D297</f>
        <v>28.5</v>
      </c>
      <c r="L297" s="140">
        <f>D297-P297</f>
        <v>15</v>
      </c>
      <c r="M297" s="114">
        <f>L297*E297</f>
        <v>43.349999999999994</v>
      </c>
      <c r="N297" s="114"/>
      <c r="O297" s="943">
        <f>L297*G297</f>
        <v>102</v>
      </c>
      <c r="P297" s="488"/>
      <c r="Q297" s="135">
        <f>P297*E297</f>
        <v>0</v>
      </c>
      <c r="R297" s="943">
        <f>P297*G297</f>
        <v>0</v>
      </c>
      <c r="S297" s="1"/>
      <c r="U297" s="25"/>
      <c r="V297" s="25"/>
      <c r="W297" s="25"/>
    </row>
    <row r="298" spans="1:98" ht="33">
      <c r="B298" s="134" t="s">
        <v>743</v>
      </c>
      <c r="C298" s="114" t="s">
        <v>737</v>
      </c>
      <c r="D298" s="114">
        <v>1</v>
      </c>
      <c r="E298" s="135">
        <f>1.75*1.75</f>
        <v>3.0625</v>
      </c>
      <c r="F298" s="943">
        <f>E298*D298</f>
        <v>3.0625</v>
      </c>
      <c r="G298" s="114">
        <f>(1.75+1.75)*2</f>
        <v>7</v>
      </c>
      <c r="H298" s="114">
        <f>G298*D298</f>
        <v>7</v>
      </c>
      <c r="I298" s="114" t="s">
        <v>628</v>
      </c>
      <c r="J298" s="944">
        <f>1.9*D298</f>
        <v>1.9</v>
      </c>
      <c r="L298" s="140">
        <f>D298-P298</f>
        <v>1</v>
      </c>
      <c r="M298" s="463">
        <f>L298*E298</f>
        <v>3.0625</v>
      </c>
      <c r="N298" s="875"/>
      <c r="O298" s="945">
        <f>L298*G298</f>
        <v>7</v>
      </c>
      <c r="P298" s="488"/>
      <c r="Q298" s="135">
        <f>P298*E298</f>
        <v>0</v>
      </c>
      <c r="R298" s="943">
        <f>P298*G298</f>
        <v>0</v>
      </c>
      <c r="S298" s="1"/>
      <c r="U298" s="25"/>
      <c r="V298" s="25"/>
      <c r="W298" s="25"/>
    </row>
    <row r="299" spans="1:98" ht="33">
      <c r="B299" s="134" t="s">
        <v>744</v>
      </c>
      <c r="C299" s="114" t="s">
        <v>738</v>
      </c>
      <c r="D299" s="114">
        <v>2</v>
      </c>
      <c r="E299" s="135">
        <f>1.2*1.7</f>
        <v>2.04</v>
      </c>
      <c r="F299" s="943">
        <f>E299*D299</f>
        <v>4.08</v>
      </c>
      <c r="G299" s="114">
        <f>(1.2+1.7)*2</f>
        <v>5.8</v>
      </c>
      <c r="H299" s="114">
        <f>G299*D299</f>
        <v>11.6</v>
      </c>
      <c r="I299" s="114" t="s">
        <v>628</v>
      </c>
      <c r="J299" s="944">
        <f>1.3*D299</f>
        <v>2.6</v>
      </c>
      <c r="L299" s="140">
        <f>D299-P299</f>
        <v>2</v>
      </c>
      <c r="M299" s="463">
        <f>L299*E299</f>
        <v>4.08</v>
      </c>
      <c r="N299" s="875"/>
      <c r="O299" s="945">
        <f>L299*G299</f>
        <v>11.6</v>
      </c>
      <c r="P299" s="488"/>
      <c r="Q299" s="135">
        <f>P299*E299</f>
        <v>0</v>
      </c>
      <c r="R299" s="943">
        <f>P299*G299</f>
        <v>0</v>
      </c>
      <c r="S299" s="1"/>
      <c r="U299" s="25"/>
      <c r="V299" s="25"/>
      <c r="W299" s="25"/>
    </row>
    <row r="300" spans="1:98" s="25" customFormat="1">
      <c r="A300" s="5"/>
      <c r="B300" s="134"/>
      <c r="C300" s="114"/>
      <c r="D300" s="114"/>
      <c r="E300" s="135"/>
      <c r="F300" s="114"/>
      <c r="G300" s="114"/>
      <c r="H300" s="114"/>
      <c r="I300" s="114"/>
      <c r="J300" s="136"/>
      <c r="L300" s="140"/>
      <c r="M300" s="463"/>
      <c r="N300" s="875"/>
      <c r="O300" s="466"/>
      <c r="P300" s="488"/>
      <c r="Q300" s="114"/>
      <c r="R300" s="136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</row>
    <row r="301" spans="1:98" s="25" customFormat="1">
      <c r="A301" s="5"/>
      <c r="B301" s="134"/>
      <c r="C301" s="114"/>
      <c r="D301" s="114"/>
      <c r="E301" s="135"/>
      <c r="F301" s="114"/>
      <c r="G301" s="114"/>
      <c r="H301" s="114"/>
      <c r="I301" s="114"/>
      <c r="J301" s="136"/>
      <c r="L301" s="140"/>
      <c r="M301" s="463"/>
      <c r="N301" s="875"/>
      <c r="O301" s="466"/>
      <c r="P301" s="488"/>
      <c r="Q301" s="114"/>
      <c r="R301" s="136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</row>
    <row r="302" spans="1:98" s="25" customFormat="1">
      <c r="A302" s="5"/>
      <c r="B302" s="134"/>
      <c r="C302" s="114"/>
      <c r="D302" s="114"/>
      <c r="E302" s="135"/>
      <c r="F302" s="114"/>
      <c r="G302" s="114"/>
      <c r="H302" s="114"/>
      <c r="I302" s="114"/>
      <c r="J302" s="136"/>
      <c r="L302" s="140"/>
      <c r="M302" s="463"/>
      <c r="N302" s="875"/>
      <c r="O302" s="466"/>
      <c r="P302" s="488"/>
      <c r="Q302" s="114"/>
      <c r="R302" s="136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</row>
    <row r="303" spans="1:98" s="25" customFormat="1">
      <c r="A303" s="5"/>
      <c r="B303" s="820" t="s">
        <v>793</v>
      </c>
      <c r="C303" s="114"/>
      <c r="D303" s="135"/>
      <c r="E303" s="135"/>
      <c r="F303" s="114"/>
      <c r="G303" s="114"/>
      <c r="H303" s="114"/>
      <c r="I303" s="114"/>
      <c r="J303" s="136"/>
      <c r="L303" s="140"/>
      <c r="M303" s="463"/>
      <c r="N303" s="875"/>
      <c r="O303" s="466"/>
      <c r="P303" s="488"/>
      <c r="Q303" s="114"/>
      <c r="R303" s="136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</row>
    <row r="304" spans="1:98" s="25" customFormat="1" ht="33">
      <c r="A304" s="5"/>
      <c r="B304" s="134" t="s">
        <v>508</v>
      </c>
      <c r="C304" s="114" t="s">
        <v>813</v>
      </c>
      <c r="D304" s="135">
        <v>1</v>
      </c>
      <c r="E304" s="135">
        <f>1.1*0.5</f>
        <v>0.55000000000000004</v>
      </c>
      <c r="F304" s="943">
        <f>D304*E304</f>
        <v>0.55000000000000004</v>
      </c>
      <c r="G304" s="114">
        <f>(1.1+0.5)*2</f>
        <v>3.2</v>
      </c>
      <c r="H304" s="114">
        <f>D304*G304</f>
        <v>3.2</v>
      </c>
      <c r="I304" s="114" t="s">
        <v>945</v>
      </c>
      <c r="J304" s="944">
        <f>1.2*D304</f>
        <v>1.2</v>
      </c>
      <c r="L304" s="140">
        <f>D304-P304</f>
        <v>1</v>
      </c>
      <c r="M304" s="463">
        <f>L304*E304</f>
        <v>0.55000000000000004</v>
      </c>
      <c r="N304" s="875"/>
      <c r="O304" s="945">
        <f>L304*G304</f>
        <v>3.2</v>
      </c>
      <c r="P304" s="488"/>
      <c r="Q304" s="114">
        <f>P304*E304</f>
        <v>0</v>
      </c>
      <c r="R304" s="944">
        <f>P304*G304</f>
        <v>0</v>
      </c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</row>
    <row r="305" spans="1:98" s="25" customFormat="1">
      <c r="A305" s="5"/>
      <c r="B305" s="134"/>
      <c r="C305" s="114"/>
      <c r="D305" s="114"/>
      <c r="E305" s="114"/>
      <c r="F305" s="114"/>
      <c r="G305" s="114"/>
      <c r="H305" s="114"/>
      <c r="I305" s="114"/>
      <c r="J305" s="136"/>
      <c r="L305" s="140"/>
      <c r="M305" s="463"/>
      <c r="N305" s="875"/>
      <c r="O305" s="466"/>
      <c r="P305" s="44"/>
      <c r="Q305" s="114"/>
      <c r="R305" s="136"/>
      <c r="BU305" s="132"/>
      <c r="BV305" s="132"/>
      <c r="BW305" s="132"/>
      <c r="BX305" s="132"/>
      <c r="BY305" s="132"/>
      <c r="BZ305" s="132"/>
      <c r="CA305" s="132"/>
      <c r="CB305" s="132"/>
      <c r="CC305" s="132"/>
      <c r="CD305" s="132"/>
      <c r="CE305" s="132"/>
      <c r="CF305" s="132"/>
      <c r="CG305" s="132"/>
      <c r="CH305" s="132"/>
      <c r="CI305" s="132"/>
      <c r="CJ305" s="132"/>
      <c r="CK305" s="132"/>
      <c r="CL305" s="132"/>
      <c r="CM305" s="132"/>
      <c r="CN305" s="132"/>
      <c r="CO305" s="132"/>
      <c r="CP305" s="132"/>
      <c r="CQ305" s="132"/>
      <c r="CR305" s="132"/>
      <c r="CS305" s="132"/>
      <c r="CT305" s="132"/>
    </row>
    <row r="306" spans="1:98" s="25" customFormat="1">
      <c r="A306" s="5"/>
      <c r="B306" s="134"/>
      <c r="C306" s="114"/>
      <c r="D306" s="114"/>
      <c r="E306" s="114"/>
      <c r="F306" s="114"/>
      <c r="G306" s="114"/>
      <c r="H306" s="114"/>
      <c r="I306" s="114"/>
      <c r="J306" s="136"/>
      <c r="L306" s="140"/>
      <c r="M306" s="463"/>
      <c r="N306" s="875"/>
      <c r="O306" s="466"/>
      <c r="P306" s="44"/>
      <c r="Q306" s="114"/>
      <c r="R306" s="136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  <c r="CJ306" s="132"/>
      <c r="CK306" s="132"/>
      <c r="CL306" s="132"/>
      <c r="CM306" s="132"/>
      <c r="CN306" s="132"/>
      <c r="CO306" s="132"/>
      <c r="CP306" s="132"/>
      <c r="CQ306" s="132"/>
      <c r="CR306" s="132"/>
      <c r="CS306" s="132"/>
      <c r="CT306" s="132"/>
    </row>
    <row r="307" spans="1:98" s="25" customFormat="1">
      <c r="A307" s="5"/>
      <c r="B307" s="134"/>
      <c r="C307" s="114"/>
      <c r="D307" s="114"/>
      <c r="E307" s="114"/>
      <c r="F307" s="114"/>
      <c r="G307" s="114"/>
      <c r="H307" s="114"/>
      <c r="I307" s="114"/>
      <c r="J307" s="136"/>
      <c r="L307" s="140"/>
      <c r="M307" s="463"/>
      <c r="N307" s="875"/>
      <c r="O307" s="466"/>
      <c r="P307" s="44"/>
      <c r="Q307" s="114"/>
      <c r="R307" s="136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  <c r="CJ307" s="132"/>
      <c r="CK307" s="132"/>
      <c r="CL307" s="132"/>
      <c r="CM307" s="132"/>
      <c r="CN307" s="132"/>
      <c r="CO307" s="132"/>
      <c r="CP307" s="132"/>
      <c r="CQ307" s="132"/>
      <c r="CR307" s="132"/>
      <c r="CS307" s="132"/>
      <c r="CT307" s="132"/>
    </row>
    <row r="308" spans="1:98" s="25" customFormat="1">
      <c r="A308" s="5"/>
      <c r="B308" s="134"/>
      <c r="C308" s="114"/>
      <c r="D308" s="114"/>
      <c r="E308" s="114"/>
      <c r="F308" s="114"/>
      <c r="G308" s="114"/>
      <c r="H308" s="114"/>
      <c r="I308" s="114"/>
      <c r="J308" s="136"/>
      <c r="L308" s="140"/>
      <c r="M308" s="463"/>
      <c r="N308" s="875"/>
      <c r="O308" s="466"/>
      <c r="P308" s="44"/>
      <c r="Q308" s="114"/>
      <c r="R308" s="136"/>
      <c r="BU308" s="132"/>
      <c r="BV308" s="132"/>
      <c r="BW308" s="132"/>
      <c r="BX308" s="132"/>
      <c r="BY308" s="132"/>
      <c r="BZ308" s="132"/>
      <c r="CA308" s="132"/>
      <c r="CB308" s="132"/>
      <c r="CC308" s="132"/>
      <c r="CD308" s="132"/>
      <c r="CE308" s="132"/>
      <c r="CF308" s="132"/>
      <c r="CG308" s="132"/>
      <c r="CH308" s="132"/>
      <c r="CI308" s="132"/>
      <c r="CJ308" s="132"/>
      <c r="CK308" s="132"/>
      <c r="CL308" s="132"/>
      <c r="CM308" s="132"/>
      <c r="CN308" s="132"/>
      <c r="CO308" s="132"/>
      <c r="CP308" s="132"/>
      <c r="CQ308" s="132"/>
      <c r="CR308" s="132"/>
      <c r="CS308" s="132"/>
      <c r="CT308" s="132"/>
    </row>
    <row r="309" spans="1:98" s="25" customFormat="1">
      <c r="A309" s="5"/>
      <c r="B309" s="820" t="s">
        <v>784</v>
      </c>
      <c r="C309" s="114">
        <v>0</v>
      </c>
      <c r="D309" s="114">
        <v>0</v>
      </c>
      <c r="E309" s="135">
        <v>0</v>
      </c>
      <c r="F309" s="943">
        <v>0</v>
      </c>
      <c r="G309" s="114">
        <v>0</v>
      </c>
      <c r="H309" s="114">
        <v>0</v>
      </c>
      <c r="I309" s="114"/>
      <c r="J309" s="136">
        <v>0</v>
      </c>
      <c r="L309" s="140">
        <f>D309-P309</f>
        <v>0</v>
      </c>
      <c r="M309" s="463">
        <f>L309*E309</f>
        <v>0</v>
      </c>
      <c r="N309" s="875"/>
      <c r="O309" s="945">
        <f>L309*G309</f>
        <v>0</v>
      </c>
      <c r="P309" s="488"/>
      <c r="Q309" s="114">
        <f>P309*E309</f>
        <v>0</v>
      </c>
      <c r="R309" s="944">
        <f>P309*G309</f>
        <v>0</v>
      </c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</row>
    <row r="310" spans="1:98" s="25" customFormat="1">
      <c r="A310" s="5"/>
      <c r="B310" s="134"/>
      <c r="C310" s="114"/>
      <c r="D310" s="114"/>
      <c r="E310" s="114"/>
      <c r="F310" s="114"/>
      <c r="G310" s="114"/>
      <c r="H310" s="114"/>
      <c r="I310" s="114"/>
      <c r="J310" s="136"/>
      <c r="L310" s="140"/>
      <c r="M310" s="463"/>
      <c r="N310" s="875"/>
      <c r="O310" s="466"/>
      <c r="P310" s="44"/>
      <c r="Q310" s="114"/>
      <c r="R310" s="136"/>
      <c r="BU310" s="132"/>
      <c r="BV310" s="132"/>
      <c r="BW310" s="132"/>
      <c r="BX310" s="132"/>
      <c r="BY310" s="132"/>
      <c r="BZ310" s="132"/>
      <c r="CA310" s="132"/>
      <c r="CB310" s="132"/>
      <c r="CC310" s="132"/>
      <c r="CD310" s="132"/>
      <c r="CE310" s="132"/>
      <c r="CF310" s="132"/>
      <c r="CG310" s="132"/>
      <c r="CH310" s="132"/>
      <c r="CI310" s="132"/>
      <c r="CJ310" s="132"/>
      <c r="CK310" s="132"/>
      <c r="CL310" s="132"/>
      <c r="CM310" s="132"/>
      <c r="CN310" s="132"/>
      <c r="CO310" s="132"/>
      <c r="CP310" s="132"/>
      <c r="CQ310" s="132"/>
      <c r="CR310" s="132"/>
      <c r="CS310" s="132"/>
      <c r="CT310" s="132"/>
    </row>
    <row r="311" spans="1:98" s="25" customFormat="1">
      <c r="A311" s="5"/>
      <c r="B311" s="134"/>
      <c r="C311" s="114"/>
      <c r="D311" s="114"/>
      <c r="E311" s="114"/>
      <c r="F311" s="114"/>
      <c r="G311" s="114"/>
      <c r="H311" s="114"/>
      <c r="I311" s="114"/>
      <c r="J311" s="136"/>
      <c r="L311" s="140"/>
      <c r="M311" s="463"/>
      <c r="N311" s="875"/>
      <c r="O311" s="466"/>
      <c r="P311" s="44"/>
      <c r="Q311" s="114"/>
      <c r="R311" s="136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  <c r="CJ311" s="132"/>
      <c r="CK311" s="132"/>
      <c r="CL311" s="132"/>
      <c r="CM311" s="132"/>
      <c r="CN311" s="132"/>
      <c r="CO311" s="132"/>
      <c r="CP311" s="132"/>
      <c r="CQ311" s="132"/>
      <c r="CR311" s="132"/>
      <c r="CS311" s="132"/>
      <c r="CT311" s="132"/>
    </row>
    <row r="312" spans="1:98" s="25" customFormat="1" ht="17.25" thickBot="1">
      <c r="A312" s="5"/>
      <c r="B312" s="472"/>
      <c r="C312" s="439"/>
      <c r="D312" s="439"/>
      <c r="E312" s="439"/>
      <c r="F312" s="439"/>
      <c r="G312" s="439"/>
      <c r="H312" s="439"/>
      <c r="I312" s="439"/>
      <c r="J312" s="59"/>
      <c r="L312" s="476"/>
      <c r="M312" s="437"/>
      <c r="N312" s="880"/>
      <c r="O312" s="438"/>
      <c r="P312" s="434"/>
      <c r="Q312" s="439"/>
      <c r="R312" s="59"/>
      <c r="BU312" s="132"/>
      <c r="BV312" s="132"/>
      <c r="BW312" s="132"/>
      <c r="BX312" s="132"/>
      <c r="BY312" s="132"/>
      <c r="BZ312" s="132"/>
      <c r="CA312" s="132"/>
      <c r="CB312" s="132"/>
      <c r="CC312" s="132"/>
      <c r="CD312" s="132"/>
      <c r="CE312" s="132"/>
      <c r="CF312" s="132"/>
      <c r="CG312" s="132"/>
      <c r="CH312" s="132"/>
      <c r="CI312" s="132"/>
      <c r="CJ312" s="132"/>
      <c r="CK312" s="132"/>
      <c r="CL312" s="132"/>
      <c r="CM312" s="132"/>
      <c r="CN312" s="132"/>
      <c r="CO312" s="132"/>
      <c r="CP312" s="132"/>
      <c r="CQ312" s="132"/>
      <c r="CR312" s="132"/>
      <c r="CS312" s="132"/>
      <c r="CT312" s="132"/>
    </row>
    <row r="313" spans="1:98" ht="38.25" customHeight="1" thickBot="1">
      <c r="B313" s="478" t="s">
        <v>20</v>
      </c>
      <c r="C313" s="479"/>
      <c r="D313" s="479"/>
      <c r="E313" s="479"/>
      <c r="F313" s="479">
        <f>SUM(F297:F312)</f>
        <v>51.04249999999999</v>
      </c>
      <c r="G313" s="479"/>
      <c r="H313" s="479">
        <f>SUM(H297:H312)</f>
        <v>123.8</v>
      </c>
      <c r="I313" s="479"/>
      <c r="J313" s="480">
        <f>SUM(J297:J312)</f>
        <v>34.200000000000003</v>
      </c>
      <c r="L313" s="481"/>
      <c r="M313" s="479">
        <f>SUM(M297:M312)</f>
        <v>51.04249999999999</v>
      </c>
      <c r="N313" s="479"/>
      <c r="O313" s="479">
        <f>SUM(O297:O312)</f>
        <v>123.8</v>
      </c>
      <c r="P313" s="479"/>
      <c r="Q313" s="479">
        <f>SUM(Q297:Q312)</f>
        <v>0</v>
      </c>
      <c r="R313" s="479">
        <f>SUM(R297:R312)</f>
        <v>0</v>
      </c>
      <c r="S313" s="1"/>
      <c r="U313" s="25"/>
      <c r="V313" s="25"/>
      <c r="W313" s="25"/>
    </row>
    <row r="314" spans="1:98" ht="17.25" thickBot="1">
      <c r="B314" s="473"/>
      <c r="C314" s="459"/>
      <c r="D314" s="459"/>
      <c r="E314" s="459"/>
      <c r="F314" s="459"/>
      <c r="G314" s="459"/>
      <c r="H314" s="459"/>
      <c r="I314" s="459"/>
      <c r="J314" s="474"/>
      <c r="L314" s="477"/>
      <c r="M314" s="459"/>
      <c r="N314" s="459"/>
      <c r="O314" s="459"/>
      <c r="P314" s="459"/>
      <c r="Q314" s="459"/>
      <c r="R314" s="474"/>
      <c r="S314" s="1"/>
      <c r="U314" s="25"/>
      <c r="V314" s="25"/>
      <c r="W314" s="25"/>
    </row>
    <row r="315" spans="1:98" ht="39.75" customHeight="1" thickBot="1">
      <c r="B315" s="460" t="s">
        <v>111</v>
      </c>
      <c r="C315" s="615"/>
      <c r="D315" s="615"/>
      <c r="E315" s="615"/>
      <c r="F315" s="615">
        <f>F294+F313</f>
        <v>154.4325</v>
      </c>
      <c r="G315" s="615"/>
      <c r="H315" s="615">
        <f>H294+H313</f>
        <v>355.5</v>
      </c>
      <c r="I315" s="615"/>
      <c r="J315" s="615"/>
      <c r="L315" s="615"/>
      <c r="M315" s="461">
        <f>M294+M313</f>
        <v>63.382499999999993</v>
      </c>
      <c r="N315" s="461"/>
      <c r="O315" s="461">
        <f>O294+O313</f>
        <v>147.80000000000001</v>
      </c>
      <c r="P315" s="461"/>
      <c r="Q315" s="461">
        <f>Q294+Q313</f>
        <v>91.050000000000011</v>
      </c>
      <c r="R315" s="461">
        <f>R294+R313</f>
        <v>207.7</v>
      </c>
      <c r="S315" s="1"/>
      <c r="U315" s="25"/>
      <c r="V315" s="25"/>
      <c r="W315" s="25"/>
    </row>
    <row r="316" spans="1:98">
      <c r="I316" s="25"/>
    </row>
    <row r="317" spans="1:98" s="411" customFormat="1">
      <c r="A317" s="679"/>
      <c r="B317" s="680"/>
      <c r="BU317" s="681"/>
      <c r="BV317" s="681"/>
      <c r="BW317" s="681"/>
      <c r="BX317" s="681"/>
      <c r="BY317" s="681"/>
      <c r="BZ317" s="681"/>
      <c r="CA317" s="681"/>
      <c r="CB317" s="681"/>
      <c r="CC317" s="681"/>
      <c r="CD317" s="681"/>
      <c r="CE317" s="681"/>
      <c r="CF317" s="681"/>
      <c r="CG317" s="681"/>
      <c r="CH317" s="681"/>
      <c r="CI317" s="681"/>
      <c r="CJ317" s="681"/>
      <c r="CK317" s="681"/>
      <c r="CL317" s="681"/>
      <c r="CM317" s="681"/>
      <c r="CN317" s="681"/>
      <c r="CO317" s="681"/>
      <c r="CP317" s="681"/>
      <c r="CQ317" s="681"/>
      <c r="CR317" s="681"/>
      <c r="CS317" s="681"/>
      <c r="CT317" s="681"/>
    </row>
    <row r="318" spans="1:98" s="411" customFormat="1">
      <c r="A318" s="679"/>
      <c r="B318" s="680"/>
      <c r="BU318" s="681"/>
      <c r="BV318" s="681"/>
      <c r="BW318" s="681"/>
      <c r="BX318" s="681"/>
      <c r="BY318" s="681"/>
      <c r="BZ318" s="681"/>
      <c r="CA318" s="681"/>
      <c r="CB318" s="681"/>
      <c r="CC318" s="681"/>
      <c r="CD318" s="681"/>
      <c r="CE318" s="681"/>
      <c r="CF318" s="681"/>
      <c r="CG318" s="681"/>
      <c r="CH318" s="681"/>
      <c r="CI318" s="681"/>
      <c r="CJ318" s="681"/>
      <c r="CK318" s="681"/>
      <c r="CL318" s="681"/>
      <c r="CM318" s="681"/>
      <c r="CN318" s="681"/>
      <c r="CO318" s="681"/>
      <c r="CP318" s="681"/>
      <c r="CQ318" s="681"/>
      <c r="CR318" s="681"/>
      <c r="CS318" s="681"/>
      <c r="CT318" s="681"/>
    </row>
    <row r="319" spans="1:98" s="411" customFormat="1">
      <c r="A319" s="682"/>
      <c r="B319" s="683"/>
      <c r="C319" s="684"/>
      <c r="D319" s="685"/>
      <c r="E319" s="685"/>
      <c r="F319" s="685"/>
      <c r="BU319" s="681"/>
      <c r="BV319" s="681"/>
      <c r="BW319" s="681"/>
      <c r="BX319" s="681"/>
      <c r="BY319" s="681"/>
      <c r="BZ319" s="681"/>
      <c r="CA319" s="681"/>
      <c r="CB319" s="681"/>
      <c r="CC319" s="681"/>
      <c r="CD319" s="681"/>
      <c r="CE319" s="681"/>
      <c r="CF319" s="681"/>
      <c r="CG319" s="681"/>
      <c r="CH319" s="681"/>
      <c r="CI319" s="681"/>
      <c r="CJ319" s="681"/>
      <c r="CK319" s="681"/>
      <c r="CL319" s="681"/>
      <c r="CM319" s="681"/>
      <c r="CN319" s="681"/>
      <c r="CO319" s="681"/>
      <c r="CP319" s="681"/>
      <c r="CQ319" s="681"/>
      <c r="CR319" s="681"/>
      <c r="CS319" s="681"/>
      <c r="CT319" s="681"/>
    </row>
    <row r="320" spans="1:98" s="411" customFormat="1">
      <c r="A320" s="682"/>
      <c r="B320" s="683"/>
      <c r="C320" s="684"/>
      <c r="D320" s="685"/>
      <c r="E320" s="685"/>
      <c r="F320" s="685"/>
      <c r="BU320" s="681"/>
      <c r="BV320" s="681"/>
      <c r="BW320" s="681"/>
      <c r="BX320" s="681"/>
      <c r="BY320" s="681"/>
      <c r="BZ320" s="681"/>
      <c r="CA320" s="681"/>
      <c r="CB320" s="681"/>
      <c r="CC320" s="681"/>
      <c r="CD320" s="681"/>
      <c r="CE320" s="681"/>
      <c r="CF320" s="681"/>
      <c r="CG320" s="681"/>
      <c r="CH320" s="681"/>
      <c r="CI320" s="681"/>
      <c r="CJ320" s="681"/>
      <c r="CK320" s="681"/>
      <c r="CL320" s="681"/>
      <c r="CM320" s="681"/>
      <c r="CN320" s="681"/>
      <c r="CO320" s="681"/>
      <c r="CP320" s="681"/>
      <c r="CQ320" s="681"/>
      <c r="CR320" s="681"/>
      <c r="CS320" s="681"/>
      <c r="CT320" s="681"/>
    </row>
    <row r="321" spans="1:98" ht="35.25" customHeight="1">
      <c r="A321" s="1222" t="s">
        <v>317</v>
      </c>
      <c r="B321" s="1222"/>
      <c r="C321" s="1222"/>
      <c r="D321" s="1222"/>
      <c r="E321" s="1222"/>
      <c r="F321" s="1222"/>
      <c r="G321" s="1222"/>
      <c r="H321" s="1222"/>
    </row>
    <row r="322" spans="1:98">
      <c r="A322" s="86"/>
      <c r="B322" s="66"/>
      <c r="C322" s="66"/>
      <c r="D322" s="122"/>
      <c r="E322" s="123"/>
      <c r="F322" s="122"/>
      <c r="G322" s="24"/>
      <c r="H322" s="24"/>
    </row>
    <row r="323" spans="1:98">
      <c r="A323" s="86"/>
      <c r="B323" s="66"/>
      <c r="C323" s="66"/>
      <c r="D323" s="122"/>
      <c r="E323" s="123"/>
      <c r="F323" s="122"/>
      <c r="G323" s="24"/>
      <c r="H323" s="24"/>
    </row>
    <row r="324" spans="1:98">
      <c r="A324" s="86"/>
      <c r="B324" s="66"/>
      <c r="C324" s="66"/>
      <c r="D324" s="122"/>
      <c r="E324" s="123"/>
      <c r="F324" s="122"/>
      <c r="G324" s="24"/>
      <c r="H324" s="24"/>
    </row>
    <row r="325" spans="1:98">
      <c r="A325" s="70"/>
      <c r="B325" s="66"/>
      <c r="C325" s="66"/>
      <c r="D325" s="122"/>
      <c r="E325" s="123"/>
      <c r="F325" s="122"/>
      <c r="G325" s="24"/>
      <c r="H325" s="24"/>
    </row>
    <row r="326" spans="1:98" s="25" customFormat="1">
      <c r="A326" s="70"/>
      <c r="B326" s="66"/>
      <c r="C326" s="66"/>
      <c r="D326" s="122"/>
      <c r="E326" s="123"/>
      <c r="F326" s="122"/>
      <c r="G326" s="24"/>
      <c r="H326" s="24"/>
      <c r="BU326" s="132"/>
      <c r="BV326" s="132"/>
      <c r="BW326" s="132"/>
      <c r="BX326" s="132"/>
      <c r="BY326" s="132"/>
      <c r="BZ326" s="132"/>
      <c r="CA326" s="132"/>
      <c r="CB326" s="132"/>
      <c r="CC326" s="132"/>
      <c r="CD326" s="132"/>
      <c r="CE326" s="132"/>
      <c r="CF326" s="132"/>
      <c r="CG326" s="132"/>
      <c r="CH326" s="132"/>
      <c r="CI326" s="132"/>
      <c r="CJ326" s="132"/>
      <c r="CK326" s="132"/>
      <c r="CL326" s="132"/>
      <c r="CM326" s="132"/>
      <c r="CN326" s="132"/>
      <c r="CO326" s="132"/>
      <c r="CP326" s="132"/>
      <c r="CQ326" s="132"/>
      <c r="CR326" s="132"/>
      <c r="CS326" s="132"/>
      <c r="CT326" s="132"/>
    </row>
    <row r="327" spans="1:98" s="25" customFormat="1">
      <c r="A327" s="70"/>
      <c r="B327" s="66"/>
      <c r="C327" s="66"/>
      <c r="D327" s="122"/>
      <c r="E327" s="123"/>
      <c r="F327" s="122"/>
      <c r="G327" s="24"/>
      <c r="H327" s="24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  <c r="CH327" s="132"/>
      <c r="CI327" s="132"/>
      <c r="CJ327" s="132"/>
      <c r="CK327" s="132"/>
      <c r="CL327" s="132"/>
      <c r="CM327" s="132"/>
      <c r="CN327" s="132"/>
      <c r="CO327" s="132"/>
      <c r="CP327" s="132"/>
      <c r="CQ327" s="132"/>
      <c r="CR327" s="132"/>
      <c r="CS327" s="132"/>
      <c r="CT327" s="132"/>
    </row>
    <row r="328" spans="1:98" s="25" customFormat="1">
      <c r="A328" s="70"/>
      <c r="B328" s="66"/>
      <c r="C328" s="66"/>
      <c r="D328" s="122"/>
      <c r="E328" s="123"/>
      <c r="F328" s="122"/>
      <c r="G328" s="24"/>
      <c r="H328" s="24"/>
      <c r="BU328" s="132"/>
      <c r="BV328" s="132"/>
      <c r="BW328" s="132"/>
      <c r="BX328" s="132"/>
      <c r="BY328" s="132"/>
      <c r="BZ328" s="132"/>
      <c r="CA328" s="132"/>
      <c r="CB328" s="132"/>
      <c r="CC328" s="132"/>
      <c r="CD328" s="132"/>
      <c r="CE328" s="132"/>
      <c r="CF328" s="132"/>
      <c r="CG328" s="132"/>
      <c r="CH328" s="132"/>
      <c r="CI328" s="132"/>
      <c r="CJ328" s="132"/>
      <c r="CK328" s="132"/>
      <c r="CL328" s="132"/>
      <c r="CM328" s="132"/>
      <c r="CN328" s="132"/>
      <c r="CO328" s="132"/>
      <c r="CP328" s="132"/>
      <c r="CQ328" s="132"/>
      <c r="CR328" s="132"/>
      <c r="CS328" s="132"/>
      <c r="CT328" s="132"/>
    </row>
    <row r="329" spans="1:98" s="25" customFormat="1">
      <c r="A329" s="70"/>
      <c r="B329" s="66"/>
      <c r="C329" s="66"/>
      <c r="D329" s="122"/>
      <c r="E329" s="123"/>
      <c r="F329" s="122"/>
      <c r="G329" s="24"/>
      <c r="H329" s="24"/>
      <c r="BU329" s="132"/>
      <c r="BV329" s="132"/>
      <c r="BW329" s="132"/>
      <c r="BX329" s="132"/>
      <c r="BY329" s="132"/>
      <c r="BZ329" s="132"/>
      <c r="CA329" s="132"/>
      <c r="CB329" s="132"/>
      <c r="CC329" s="132"/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32"/>
      <c r="CP329" s="132"/>
      <c r="CQ329" s="132"/>
      <c r="CR329" s="132"/>
      <c r="CS329" s="132"/>
      <c r="CT329" s="132"/>
    </row>
    <row r="330" spans="1:98" s="25" customFormat="1">
      <c r="A330" s="70"/>
      <c r="B330" s="66"/>
      <c r="C330" s="66"/>
      <c r="D330" s="122"/>
      <c r="E330" s="123"/>
      <c r="F330" s="122"/>
      <c r="G330" s="24"/>
      <c r="H330" s="24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O330" s="132"/>
      <c r="CP330" s="132"/>
      <c r="CQ330" s="132"/>
      <c r="CR330" s="132"/>
      <c r="CS330" s="132"/>
      <c r="CT330" s="132"/>
    </row>
    <row r="331" spans="1:98" s="25" customFormat="1">
      <c r="A331" s="70"/>
      <c r="B331" s="66"/>
      <c r="C331" s="66"/>
      <c r="D331" s="122"/>
      <c r="E331" s="123"/>
      <c r="F331" s="122"/>
      <c r="G331" s="24"/>
      <c r="H331" s="24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</row>
    <row r="332" spans="1:98" s="25" customFormat="1">
      <c r="A332" s="70"/>
      <c r="B332" s="66"/>
      <c r="C332" s="66"/>
      <c r="D332" s="122"/>
      <c r="E332" s="123"/>
      <c r="F332" s="122"/>
      <c r="G332" s="24"/>
      <c r="H332" s="24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  <c r="CJ332" s="132"/>
      <c r="CK332" s="132"/>
      <c r="CL332" s="132"/>
      <c r="CM332" s="132"/>
      <c r="CN332" s="132"/>
      <c r="CO332" s="132"/>
      <c r="CP332" s="132"/>
      <c r="CQ332" s="132"/>
      <c r="CR332" s="132"/>
      <c r="CS332" s="132"/>
      <c r="CT332" s="132"/>
    </row>
    <row r="333" spans="1:98">
      <c r="A333" s="70"/>
      <c r="B333" s="64"/>
      <c r="C333" s="24"/>
      <c r="D333" s="122"/>
      <c r="E333" s="123"/>
      <c r="F333" s="122"/>
      <c r="G333" s="24"/>
      <c r="H333" s="24"/>
    </row>
    <row r="334" spans="1:98">
      <c r="A334" s="70"/>
      <c r="B334" s="64"/>
      <c r="C334" s="24"/>
      <c r="D334" s="122"/>
      <c r="E334" s="123"/>
      <c r="F334" s="122"/>
      <c r="G334" s="24"/>
      <c r="H334" s="24"/>
    </row>
    <row r="335" spans="1:98" s="25" customFormat="1">
      <c r="A335" s="70"/>
      <c r="B335" s="126"/>
      <c r="C335" s="24"/>
      <c r="D335" s="122"/>
      <c r="E335" s="123"/>
      <c r="F335" s="122"/>
      <c r="G335" s="24"/>
      <c r="H335" s="24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32"/>
      <c r="CI335" s="132"/>
      <c r="CJ335" s="132"/>
      <c r="CK335" s="132"/>
      <c r="CL335" s="132"/>
      <c r="CM335" s="132"/>
      <c r="CN335" s="132"/>
      <c r="CO335" s="132"/>
      <c r="CP335" s="132"/>
      <c r="CQ335" s="132"/>
      <c r="CR335" s="132"/>
      <c r="CS335" s="132"/>
      <c r="CT335" s="132"/>
    </row>
    <row r="336" spans="1:98" s="25" customFormat="1">
      <c r="A336" s="70"/>
      <c r="B336" s="126"/>
      <c r="C336" s="24"/>
      <c r="D336" s="122"/>
      <c r="E336" s="123"/>
      <c r="F336" s="122"/>
      <c r="G336" s="24"/>
      <c r="H336" s="24"/>
      <c r="BU336" s="132"/>
      <c r="BV336" s="132"/>
      <c r="BW336" s="132"/>
      <c r="BX336" s="132"/>
      <c r="BY336" s="132"/>
      <c r="BZ336" s="132"/>
      <c r="CA336" s="132"/>
      <c r="CB336" s="132"/>
      <c r="CC336" s="132"/>
      <c r="CD336" s="132"/>
      <c r="CE336" s="132"/>
      <c r="CF336" s="132"/>
      <c r="CG336" s="132"/>
      <c r="CH336" s="132"/>
      <c r="CI336" s="132"/>
      <c r="CJ336" s="132"/>
      <c r="CK336" s="132"/>
      <c r="CL336" s="132"/>
      <c r="CM336" s="132"/>
      <c r="CN336" s="132"/>
      <c r="CO336" s="132"/>
      <c r="CP336" s="132"/>
      <c r="CQ336" s="132"/>
      <c r="CR336" s="132"/>
      <c r="CS336" s="132"/>
      <c r="CT336" s="132"/>
    </row>
    <row r="337" spans="1:98">
      <c r="A337" s="70"/>
      <c r="B337" s="63"/>
      <c r="C337" s="24"/>
      <c r="D337" s="133"/>
      <c r="E337" s="114"/>
      <c r="F337" s="133"/>
      <c r="G337" s="24"/>
      <c r="H337" s="24"/>
    </row>
    <row r="338" spans="1:98">
      <c r="A338" s="68"/>
      <c r="B338" s="63"/>
      <c r="C338" s="24"/>
      <c r="D338" s="24"/>
      <c r="E338" s="24"/>
      <c r="F338" s="24"/>
      <c r="G338" s="24"/>
      <c r="H338" s="24"/>
    </row>
    <row r="339" spans="1:98">
      <c r="A339" s="68"/>
      <c r="B339" s="63"/>
      <c r="C339" s="24"/>
      <c r="D339" s="24"/>
      <c r="E339" s="24"/>
      <c r="F339" s="24"/>
      <c r="G339" s="24"/>
      <c r="H339" s="24"/>
    </row>
    <row r="340" spans="1:98">
      <c r="A340" s="113"/>
      <c r="B340" s="121"/>
      <c r="C340" s="24"/>
      <c r="D340" s="24"/>
      <c r="E340" s="24"/>
      <c r="F340" s="24"/>
      <c r="G340" s="24"/>
      <c r="H340" s="24"/>
    </row>
    <row r="341" spans="1:98" s="25" customFormat="1" ht="16.5" customHeight="1">
      <c r="A341" s="1223" t="s">
        <v>253</v>
      </c>
      <c r="B341" s="1223"/>
      <c r="C341" s="1223"/>
      <c r="D341" s="1223"/>
      <c r="E341" s="1223"/>
      <c r="F341" s="1223"/>
      <c r="G341" s="1223"/>
      <c r="H341" s="1223"/>
      <c r="BU341" s="132"/>
      <c r="BV341" s="132"/>
      <c r="BW341" s="132"/>
      <c r="BX341" s="132"/>
      <c r="BY341" s="132"/>
      <c r="BZ341" s="132"/>
      <c r="CA341" s="132"/>
      <c r="CB341" s="132"/>
      <c r="CC341" s="132"/>
      <c r="CD341" s="132"/>
      <c r="CE341" s="132"/>
      <c r="CF341" s="132"/>
      <c r="CG341" s="132"/>
      <c r="CH341" s="132"/>
      <c r="CI341" s="132"/>
      <c r="CJ341" s="132"/>
      <c r="CK341" s="132"/>
      <c r="CL341" s="132"/>
      <c r="CM341" s="132"/>
      <c r="CN341" s="132"/>
      <c r="CO341" s="132"/>
      <c r="CP341" s="132"/>
      <c r="CQ341" s="132"/>
      <c r="CR341" s="132"/>
      <c r="CS341" s="132"/>
      <c r="CT341" s="132"/>
    </row>
    <row r="342" spans="1:98" s="25" customFormat="1">
      <c r="A342" s="422"/>
      <c r="B342" s="455" t="s">
        <v>520</v>
      </c>
      <c r="C342" s="456"/>
      <c r="D342" s="46"/>
      <c r="E342" s="46"/>
      <c r="F342" s="46" t="s">
        <v>5</v>
      </c>
      <c r="G342" s="24"/>
      <c r="H342" s="24"/>
      <c r="BU342" s="132"/>
      <c r="BV342" s="132"/>
      <c r="BW342" s="132"/>
      <c r="BX342" s="132"/>
      <c r="BY342" s="132"/>
      <c r="BZ342" s="132"/>
      <c r="CA342" s="132"/>
      <c r="CB342" s="132"/>
      <c r="CC342" s="132"/>
      <c r="CD342" s="132"/>
      <c r="CE342" s="132"/>
      <c r="CF342" s="132"/>
      <c r="CG342" s="132"/>
      <c r="CH342" s="132"/>
      <c r="CI342" s="132"/>
      <c r="CJ342" s="132"/>
      <c r="CK342" s="132"/>
      <c r="CL342" s="132"/>
      <c r="CM342" s="132"/>
      <c r="CN342" s="132"/>
      <c r="CO342" s="132"/>
      <c r="CP342" s="132"/>
      <c r="CQ342" s="132"/>
      <c r="CR342" s="132"/>
      <c r="CS342" s="132"/>
      <c r="CT342" s="132"/>
    </row>
    <row r="343" spans="1:98" s="25" customFormat="1">
      <c r="A343" s="422"/>
      <c r="B343" s="455" t="s">
        <v>521</v>
      </c>
      <c r="C343" s="456"/>
      <c r="D343" s="456"/>
      <c r="E343" s="46"/>
      <c r="F343" s="46" t="s">
        <v>5</v>
      </c>
      <c r="G343" s="24"/>
      <c r="H343" s="24"/>
      <c r="BU343" s="132"/>
      <c r="BV343" s="132"/>
      <c r="BW343" s="132"/>
      <c r="BX343" s="132"/>
      <c r="BY343" s="132"/>
      <c r="BZ343" s="132"/>
      <c r="CA343" s="132"/>
      <c r="CB343" s="132"/>
      <c r="CC343" s="132"/>
      <c r="CD343" s="132"/>
      <c r="CE343" s="132"/>
      <c r="CF343" s="132"/>
      <c r="CG343" s="132"/>
      <c r="CH343" s="132"/>
      <c r="CI343" s="132"/>
      <c r="CJ343" s="132"/>
      <c r="CK343" s="132"/>
      <c r="CL343" s="132"/>
      <c r="CM343" s="132"/>
      <c r="CN343" s="132"/>
      <c r="CO343" s="132"/>
      <c r="CP343" s="132"/>
      <c r="CQ343" s="132"/>
      <c r="CR343" s="132"/>
      <c r="CS343" s="132"/>
      <c r="CT343" s="132"/>
    </row>
    <row r="344" spans="1:98" s="25" customFormat="1">
      <c r="A344" s="422"/>
      <c r="B344" s="455" t="s">
        <v>522</v>
      </c>
      <c r="C344" s="456"/>
      <c r="D344" s="456"/>
      <c r="E344" s="46"/>
      <c r="F344" s="46" t="s">
        <v>5</v>
      </c>
      <c r="G344" s="24"/>
      <c r="H344" s="24"/>
      <c r="BU344" s="132"/>
      <c r="BV344" s="132"/>
      <c r="BW344" s="132"/>
      <c r="BX344" s="132"/>
      <c r="BY344" s="132"/>
      <c r="BZ344" s="132"/>
      <c r="CA344" s="132"/>
      <c r="CB344" s="132"/>
      <c r="CC344" s="132"/>
      <c r="CD344" s="132"/>
      <c r="CE344" s="132"/>
      <c r="CF344" s="132"/>
      <c r="CG344" s="132"/>
      <c r="CH344" s="132"/>
      <c r="CI344" s="132"/>
      <c r="CJ344" s="132"/>
      <c r="CK344" s="132"/>
      <c r="CL344" s="132"/>
      <c r="CM344" s="132"/>
      <c r="CN344" s="132"/>
      <c r="CO344" s="132"/>
      <c r="CP344" s="132"/>
      <c r="CQ344" s="132"/>
      <c r="CR344" s="132"/>
      <c r="CS344" s="132"/>
      <c r="CT344" s="132"/>
    </row>
    <row r="345" spans="1:98" s="25" customFormat="1">
      <c r="A345" s="422"/>
      <c r="B345" s="455" t="s">
        <v>523</v>
      </c>
      <c r="C345" s="456"/>
      <c r="D345" s="456"/>
      <c r="E345" s="46"/>
      <c r="F345" s="46" t="s">
        <v>1</v>
      </c>
      <c r="G345" s="24"/>
      <c r="H345" s="24"/>
      <c r="BU345" s="132"/>
      <c r="BV345" s="132"/>
      <c r="BW345" s="132"/>
      <c r="BX345" s="132"/>
      <c r="BY345" s="132"/>
      <c r="BZ345" s="132"/>
      <c r="CA345" s="132"/>
      <c r="CB345" s="132"/>
      <c r="CC345" s="132"/>
      <c r="CD345" s="132"/>
      <c r="CE345" s="132"/>
      <c r="CF345" s="132"/>
      <c r="CG345" s="132"/>
      <c r="CH345" s="132"/>
      <c r="CI345" s="132"/>
      <c r="CJ345" s="132"/>
      <c r="CK345" s="132"/>
      <c r="CL345" s="132"/>
      <c r="CM345" s="132"/>
      <c r="CN345" s="132"/>
      <c r="CO345" s="132"/>
      <c r="CP345" s="132"/>
      <c r="CQ345" s="132"/>
      <c r="CR345" s="132"/>
      <c r="CS345" s="132"/>
      <c r="CT345" s="132"/>
    </row>
    <row r="346" spans="1:98" s="25" customFormat="1">
      <c r="A346" s="422"/>
      <c r="B346" s="455" t="s">
        <v>524</v>
      </c>
      <c r="C346" s="456"/>
      <c r="D346" s="456"/>
      <c r="E346" s="46"/>
      <c r="F346" s="46" t="s">
        <v>5</v>
      </c>
      <c r="G346" s="24"/>
      <c r="H346" s="24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  <c r="CH346" s="132"/>
      <c r="CI346" s="132"/>
      <c r="CJ346" s="132"/>
      <c r="CK346" s="132"/>
      <c r="CL346" s="132"/>
      <c r="CM346" s="132"/>
      <c r="CN346" s="132"/>
      <c r="CO346" s="132"/>
      <c r="CP346" s="132"/>
      <c r="CQ346" s="132"/>
      <c r="CR346" s="132"/>
      <c r="CS346" s="132"/>
      <c r="CT346" s="132"/>
    </row>
    <row r="347" spans="1:98" s="25" customFormat="1">
      <c r="A347" s="422"/>
      <c r="B347" s="455" t="s">
        <v>525</v>
      </c>
      <c r="C347" s="456"/>
      <c r="D347" s="456"/>
      <c r="E347" s="46"/>
      <c r="F347" s="46" t="s">
        <v>5</v>
      </c>
      <c r="G347" s="24"/>
      <c r="H347" s="24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  <c r="CH347" s="132"/>
      <c r="CI347" s="132"/>
      <c r="CJ347" s="132"/>
      <c r="CK347" s="132"/>
      <c r="CL347" s="132"/>
      <c r="CM347" s="132"/>
      <c r="CN347" s="132"/>
      <c r="CO347" s="132"/>
      <c r="CP347" s="132"/>
      <c r="CQ347" s="132"/>
      <c r="CR347" s="132"/>
      <c r="CS347" s="132"/>
      <c r="CT347" s="132"/>
    </row>
    <row r="348" spans="1:98" s="25" customFormat="1">
      <c r="A348" s="422"/>
      <c r="B348" s="455" t="s">
        <v>526</v>
      </c>
      <c r="C348" s="456"/>
      <c r="D348" s="46"/>
      <c r="E348" s="46"/>
      <c r="F348" s="46" t="s">
        <v>5</v>
      </c>
      <c r="G348" s="24"/>
      <c r="H348" s="24"/>
      <c r="BU348" s="132"/>
      <c r="BV348" s="132"/>
      <c r="BW348" s="132"/>
      <c r="BX348" s="132"/>
      <c r="BY348" s="132"/>
      <c r="BZ348" s="132"/>
      <c r="CA348" s="132"/>
      <c r="CB348" s="132"/>
      <c r="CC348" s="132"/>
      <c r="CD348" s="132"/>
      <c r="CE348" s="132"/>
      <c r="CF348" s="132"/>
      <c r="CG348" s="132"/>
      <c r="CH348" s="132"/>
      <c r="CI348" s="132"/>
      <c r="CJ348" s="132"/>
      <c r="CK348" s="132"/>
      <c r="CL348" s="132"/>
      <c r="CM348" s="132"/>
      <c r="CN348" s="132"/>
      <c r="CO348" s="132"/>
      <c r="CP348" s="132"/>
      <c r="CQ348" s="132"/>
      <c r="CR348" s="132"/>
      <c r="CS348" s="132"/>
      <c r="CT348" s="132"/>
    </row>
    <row r="350" spans="1:98" s="25" customFormat="1" ht="30" customHeight="1">
      <c r="A350" s="1222" t="s">
        <v>244</v>
      </c>
      <c r="B350" s="1222"/>
      <c r="C350" s="1222"/>
      <c r="D350" s="1222"/>
      <c r="E350" s="1222"/>
      <c r="F350" s="1222"/>
      <c r="G350" s="1222"/>
      <c r="H350" s="122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  <c r="CJ350" s="132"/>
      <c r="CK350" s="132"/>
      <c r="CL350" s="132"/>
      <c r="CM350" s="132"/>
      <c r="CN350" s="132"/>
      <c r="CO350" s="132"/>
      <c r="CP350" s="132"/>
      <c r="CQ350" s="132"/>
      <c r="CR350" s="132"/>
      <c r="CS350" s="132"/>
      <c r="CT350" s="132"/>
    </row>
    <row r="351" spans="1:98" ht="69" customHeight="1">
      <c r="B351" s="686" t="s">
        <v>110</v>
      </c>
      <c r="C351" s="687" t="s">
        <v>251</v>
      </c>
      <c r="D351" s="687" t="s">
        <v>245</v>
      </c>
      <c r="E351" s="688" t="s">
        <v>252</v>
      </c>
      <c r="F351" s="69"/>
      <c r="G351" s="83" t="s">
        <v>255</v>
      </c>
      <c r="H351" s="83" t="s">
        <v>256</v>
      </c>
    </row>
    <row r="352" spans="1:98">
      <c r="A352" s="162" t="s">
        <v>246</v>
      </c>
      <c r="B352" s="27"/>
      <c r="C352" s="114">
        <f>0*B352</f>
        <v>0</v>
      </c>
      <c r="D352" s="114">
        <f>( (3.4+3.4)*2*0.1+(3.3+3.3)*2*0.4+(2.3+2.3)*2*0.4+(1.3+1.3)*2*0.4+(0.4+0.4)*2*(1.8+0.15-1.3) )*B352</f>
        <v>0</v>
      </c>
      <c r="E352" s="114">
        <f>3.4*3.4*(1.8+0.15)*B352</f>
        <v>0</v>
      </c>
      <c r="F352" s="24"/>
      <c r="G352" s="24"/>
      <c r="H352" s="24"/>
    </row>
    <row r="353" spans="1:98">
      <c r="A353" s="162" t="s">
        <v>247</v>
      </c>
      <c r="B353" s="27"/>
      <c r="C353" s="114">
        <f>0*B353</f>
        <v>0</v>
      </c>
      <c r="D353" s="114">
        <f>( (1.9+1.9)*2*0.1+(1.8+1.8)*2*0.35+(1.1+1.1)*2*0.35+(0.4+0.4)*2*(1.8+0.15-0.8) )*B353</f>
        <v>0</v>
      </c>
      <c r="E353" s="114">
        <f>1.9*1.9*(1.8+0.15)*B353</f>
        <v>0</v>
      </c>
      <c r="F353" s="24"/>
      <c r="G353" s="24"/>
      <c r="H353" s="24"/>
    </row>
    <row r="354" spans="1:98">
      <c r="A354" s="162" t="s">
        <v>248</v>
      </c>
      <c r="B354" s="27"/>
      <c r="C354" s="114">
        <f>0*B354</f>
        <v>0</v>
      </c>
      <c r="D354" s="114">
        <f>( (1.7+1.7)*2*0.1+(1.6+1.6)*2*0.35+(1+1)*2*0.25+(0.4+0.4)*2*(1.8+0.15-0.7) )*B354</f>
        <v>0</v>
      </c>
      <c r="E354" s="114">
        <f>1.7*1.7*(1.8+0.15)*B354</f>
        <v>0</v>
      </c>
      <c r="F354" s="24"/>
      <c r="G354" s="24"/>
      <c r="H354" s="24"/>
    </row>
    <row r="355" spans="1:98">
      <c r="A355" s="162" t="s">
        <v>249</v>
      </c>
      <c r="B355" s="27"/>
      <c r="C355" s="114">
        <f>0*B355</f>
        <v>0</v>
      </c>
      <c r="D355" s="114">
        <f>( (1.5+1.5)*2*0.1+(1.4+1.4)*2*0.25+(0.9+0.9)*2*0.25+(0.4+0.4)*2*(1.8+0.15-0.6) )*B355</f>
        <v>0</v>
      </c>
      <c r="E355" s="114">
        <f>1.5*1.5*(1.8+0.15)*B355</f>
        <v>0</v>
      </c>
      <c r="F355" s="24"/>
      <c r="G355" s="24"/>
      <c r="H355" s="24"/>
    </row>
    <row r="356" spans="1:98">
      <c r="A356" s="162" t="s">
        <v>250</v>
      </c>
      <c r="B356" s="27"/>
      <c r="C356" s="114">
        <f>0*B356</f>
        <v>0</v>
      </c>
      <c r="D356" s="114">
        <f>( (1.3+1.3)*2*0.1+(1.2+1.2)*2*0.25+(0.8+0.8)*2*0.2+(0.4+0.4)*2*(1.8+0.15-0.55) )*B356</f>
        <v>0</v>
      </c>
      <c r="E356" s="114">
        <f>1.3*1.3*(1.8+0.15)*B356</f>
        <v>0</v>
      </c>
      <c r="F356" s="24"/>
      <c r="G356" s="24"/>
      <c r="H356" s="24"/>
    </row>
    <row r="357" spans="1:98" s="25" customFormat="1">
      <c r="A357" s="162" t="s">
        <v>531</v>
      </c>
      <c r="B357" s="124"/>
      <c r="C357" s="114">
        <f t="shared" ref="C357:C363" si="34">0*B357</f>
        <v>0</v>
      </c>
      <c r="D357" s="114">
        <f t="shared" ref="D357:D363" si="35">( (1.3+1.3)*2*0.1+(1.2+1.2)*2*0.25+(0.8+0.8)*2*0.2+(0.4+0.4)*2*(1.8+0.15-0.55) )*B357</f>
        <v>0</v>
      </c>
      <c r="E357" s="114">
        <f t="shared" ref="E357:E363" si="36">1.3*1.3*(1.8+0.15)*B357</f>
        <v>0</v>
      </c>
      <c r="F357" s="24"/>
      <c r="G357" s="24"/>
      <c r="H357" s="24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  <c r="CJ357" s="132"/>
      <c r="CK357" s="132"/>
      <c r="CL357" s="132"/>
      <c r="CM357" s="132"/>
      <c r="CN357" s="132"/>
      <c r="CO357" s="132"/>
      <c r="CP357" s="132"/>
      <c r="CQ357" s="132"/>
      <c r="CR357" s="132"/>
      <c r="CS357" s="132"/>
      <c r="CT357" s="132"/>
    </row>
    <row r="358" spans="1:98" s="25" customFormat="1">
      <c r="A358" s="162" t="s">
        <v>532</v>
      </c>
      <c r="B358" s="124"/>
      <c r="C358" s="114">
        <f t="shared" si="34"/>
        <v>0</v>
      </c>
      <c r="D358" s="114">
        <f t="shared" si="35"/>
        <v>0</v>
      </c>
      <c r="E358" s="114">
        <f t="shared" si="36"/>
        <v>0</v>
      </c>
      <c r="F358" s="24"/>
      <c r="G358" s="24"/>
      <c r="H358" s="24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  <c r="CH358" s="132"/>
      <c r="CI358" s="132"/>
      <c r="CJ358" s="132"/>
      <c r="CK358" s="132"/>
      <c r="CL358" s="132"/>
      <c r="CM358" s="132"/>
      <c r="CN358" s="132"/>
      <c r="CO358" s="132"/>
      <c r="CP358" s="132"/>
      <c r="CQ358" s="132"/>
      <c r="CR358" s="132"/>
      <c r="CS358" s="132"/>
      <c r="CT358" s="132"/>
    </row>
    <row r="359" spans="1:98" s="25" customFormat="1">
      <c r="A359" s="162" t="s">
        <v>533</v>
      </c>
      <c r="B359" s="124"/>
      <c r="C359" s="114">
        <f t="shared" si="34"/>
        <v>0</v>
      </c>
      <c r="D359" s="114">
        <f t="shared" si="35"/>
        <v>0</v>
      </c>
      <c r="E359" s="114">
        <f t="shared" si="36"/>
        <v>0</v>
      </c>
      <c r="F359" s="24"/>
      <c r="G359" s="24"/>
      <c r="H359" s="24"/>
      <c r="BU359" s="132"/>
      <c r="BV359" s="132"/>
      <c r="BW359" s="132"/>
      <c r="BX359" s="132"/>
      <c r="BY359" s="132"/>
      <c r="BZ359" s="132"/>
      <c r="CA359" s="132"/>
      <c r="CB359" s="132"/>
      <c r="CC359" s="132"/>
      <c r="CD359" s="132"/>
      <c r="CE359" s="132"/>
      <c r="CF359" s="132"/>
      <c r="CG359" s="132"/>
      <c r="CH359" s="132"/>
      <c r="CI359" s="132"/>
      <c r="CJ359" s="132"/>
      <c r="CK359" s="132"/>
      <c r="CL359" s="132"/>
      <c r="CM359" s="132"/>
      <c r="CN359" s="132"/>
      <c r="CO359" s="132"/>
      <c r="CP359" s="132"/>
      <c r="CQ359" s="132"/>
      <c r="CR359" s="132"/>
      <c r="CS359" s="132"/>
      <c r="CT359" s="132"/>
    </row>
    <row r="360" spans="1:98" s="25" customFormat="1">
      <c r="A360" s="162" t="s">
        <v>534</v>
      </c>
      <c r="B360" s="124"/>
      <c r="C360" s="114">
        <f t="shared" si="34"/>
        <v>0</v>
      </c>
      <c r="D360" s="114">
        <f t="shared" si="35"/>
        <v>0</v>
      </c>
      <c r="E360" s="114">
        <f t="shared" si="36"/>
        <v>0</v>
      </c>
      <c r="F360" s="24"/>
      <c r="G360" s="24"/>
      <c r="H360" s="24"/>
      <c r="BU360" s="132"/>
      <c r="BV360" s="132"/>
      <c r="BW360" s="132"/>
      <c r="BX360" s="132"/>
      <c r="BY360" s="132"/>
      <c r="BZ360" s="132"/>
      <c r="CA360" s="132"/>
      <c r="CB360" s="132"/>
      <c r="CC360" s="132"/>
      <c r="CD360" s="132"/>
      <c r="CE360" s="132"/>
      <c r="CF360" s="132"/>
      <c r="CG360" s="132"/>
      <c r="CH360" s="132"/>
      <c r="CI360" s="132"/>
      <c r="CJ360" s="132"/>
      <c r="CK360" s="132"/>
      <c r="CL360" s="132"/>
      <c r="CM360" s="132"/>
      <c r="CN360" s="132"/>
      <c r="CO360" s="132"/>
      <c r="CP360" s="132"/>
      <c r="CQ360" s="132"/>
      <c r="CR360" s="132"/>
      <c r="CS360" s="132"/>
      <c r="CT360" s="132"/>
    </row>
    <row r="361" spans="1:98" s="25" customFormat="1">
      <c r="A361" s="162" t="s">
        <v>535</v>
      </c>
      <c r="B361" s="124"/>
      <c r="C361" s="114">
        <f t="shared" si="34"/>
        <v>0</v>
      </c>
      <c r="D361" s="114">
        <f t="shared" si="35"/>
        <v>0</v>
      </c>
      <c r="E361" s="114">
        <f t="shared" si="36"/>
        <v>0</v>
      </c>
      <c r="F361" s="24"/>
      <c r="G361" s="24"/>
      <c r="H361" s="24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32"/>
      <c r="CH361" s="132"/>
      <c r="CI361" s="132"/>
      <c r="CJ361" s="132"/>
      <c r="CK361" s="132"/>
      <c r="CL361" s="132"/>
      <c r="CM361" s="132"/>
      <c r="CN361" s="132"/>
      <c r="CO361" s="132"/>
      <c r="CP361" s="132"/>
      <c r="CQ361" s="132"/>
      <c r="CR361" s="132"/>
      <c r="CS361" s="132"/>
      <c r="CT361" s="132"/>
    </row>
    <row r="362" spans="1:98" s="25" customFormat="1">
      <c r="A362" s="162" t="s">
        <v>536</v>
      </c>
      <c r="B362" s="124"/>
      <c r="C362" s="114">
        <f t="shared" si="34"/>
        <v>0</v>
      </c>
      <c r="D362" s="114">
        <f t="shared" si="35"/>
        <v>0</v>
      </c>
      <c r="E362" s="114">
        <f t="shared" si="36"/>
        <v>0</v>
      </c>
      <c r="F362" s="24"/>
      <c r="G362" s="24"/>
      <c r="H362" s="24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  <c r="CN362" s="132"/>
      <c r="CO362" s="132"/>
      <c r="CP362" s="132"/>
      <c r="CQ362" s="132"/>
      <c r="CR362" s="132"/>
      <c r="CS362" s="132"/>
      <c r="CT362" s="132"/>
    </row>
    <row r="363" spans="1:98" s="25" customFormat="1">
      <c r="A363" s="162" t="s">
        <v>537</v>
      </c>
      <c r="B363" s="124"/>
      <c r="C363" s="114">
        <f t="shared" si="34"/>
        <v>0</v>
      </c>
      <c r="D363" s="114">
        <f t="shared" si="35"/>
        <v>0</v>
      </c>
      <c r="E363" s="114">
        <f t="shared" si="36"/>
        <v>0</v>
      </c>
      <c r="F363" s="24"/>
      <c r="G363" s="24"/>
      <c r="H363" s="24"/>
      <c r="BU363" s="132"/>
      <c r="BV363" s="132"/>
      <c r="BW363" s="132"/>
      <c r="BX363" s="132"/>
      <c r="BY363" s="132"/>
      <c r="BZ363" s="132"/>
      <c r="CA363" s="132"/>
      <c r="CB363" s="132"/>
      <c r="CC363" s="132"/>
      <c r="CD363" s="132"/>
      <c r="CE363" s="132"/>
      <c r="CF363" s="132"/>
      <c r="CG363" s="132"/>
      <c r="CH363" s="132"/>
      <c r="CI363" s="132"/>
      <c r="CJ363" s="132"/>
      <c r="CK363" s="132"/>
      <c r="CL363" s="132"/>
      <c r="CM363" s="132"/>
      <c r="CN363" s="132"/>
      <c r="CO363" s="132"/>
      <c r="CP363" s="132"/>
      <c r="CQ363" s="132"/>
      <c r="CR363" s="132"/>
      <c r="CS363" s="132"/>
      <c r="CT363" s="132"/>
    </row>
    <row r="364" spans="1:98" s="25" customFormat="1">
      <c r="A364" s="162"/>
      <c r="B364" s="124"/>
      <c r="C364" s="123"/>
      <c r="D364" s="123"/>
      <c r="E364" s="123"/>
      <c r="F364" s="24"/>
      <c r="G364" s="24"/>
      <c r="H364" s="24"/>
      <c r="BU364" s="132"/>
      <c r="BV364" s="132"/>
      <c r="BW364" s="132"/>
      <c r="BX364" s="132"/>
      <c r="BY364" s="132"/>
      <c r="BZ364" s="132"/>
      <c r="CA364" s="132"/>
      <c r="CB364" s="132"/>
      <c r="CC364" s="132"/>
      <c r="CD364" s="132"/>
      <c r="CE364" s="132"/>
      <c r="CF364" s="132"/>
      <c r="CG364" s="132"/>
      <c r="CH364" s="132"/>
      <c r="CI364" s="132"/>
      <c r="CJ364" s="132"/>
      <c r="CK364" s="132"/>
      <c r="CL364" s="132"/>
      <c r="CM364" s="132"/>
      <c r="CN364" s="132"/>
      <c r="CO364" s="132"/>
      <c r="CP364" s="132"/>
      <c r="CQ364" s="132"/>
      <c r="CR364" s="132"/>
      <c r="CS364" s="132"/>
      <c r="CT364" s="132"/>
    </row>
    <row r="365" spans="1:98">
      <c r="A365" s="162" t="s">
        <v>253</v>
      </c>
      <c r="B365" s="27"/>
      <c r="C365" s="114">
        <f>0*B365</f>
        <v>0</v>
      </c>
      <c r="D365" s="114">
        <f>( (1.3+1.3)*2*0.1+(1.2+1.2)*2*0.25+(0.8+0.8)*2*0.2+(0.4+0.4)*2*(1.8+0.15-0.55) )*B365</f>
        <v>0</v>
      </c>
      <c r="E365" s="114">
        <f>1.3*1.3*(1.8+0.15)*B365</f>
        <v>0</v>
      </c>
      <c r="F365" s="24"/>
      <c r="G365" s="24"/>
      <c r="H365" s="24"/>
    </row>
    <row r="366" spans="1:98" s="25" customFormat="1">
      <c r="A366" s="80"/>
      <c r="B366" s="63"/>
      <c r="C366" s="24"/>
      <c r="D366" s="24"/>
      <c r="E366" s="24"/>
      <c r="F366" s="24"/>
      <c r="G366" s="24"/>
      <c r="H366" s="24"/>
      <c r="BU366" s="132"/>
      <c r="BV366" s="132"/>
      <c r="BW366" s="132"/>
      <c r="BX366" s="132"/>
      <c r="BY366" s="132"/>
      <c r="BZ366" s="132"/>
      <c r="CA366" s="132"/>
      <c r="CB366" s="132"/>
      <c r="CC366" s="132"/>
      <c r="CD366" s="132"/>
      <c r="CE366" s="132"/>
      <c r="CF366" s="132"/>
      <c r="CG366" s="132"/>
      <c r="CH366" s="132"/>
      <c r="CI366" s="132"/>
      <c r="CJ366" s="132"/>
      <c r="CK366" s="132"/>
      <c r="CL366" s="132"/>
      <c r="CM366" s="132"/>
      <c r="CN366" s="132"/>
      <c r="CO366" s="132"/>
      <c r="CP366" s="132"/>
      <c r="CQ366" s="132"/>
      <c r="CR366" s="132"/>
      <c r="CS366" s="132"/>
      <c r="CT366" s="132"/>
    </row>
    <row r="367" spans="1:98">
      <c r="A367" s="1217" t="s">
        <v>332</v>
      </c>
      <c r="B367" s="27"/>
      <c r="C367" s="114">
        <f>0.4*B367</f>
        <v>0</v>
      </c>
      <c r="D367" s="114">
        <f>(0.45+0.4+0.45)*B367</f>
        <v>0</v>
      </c>
      <c r="E367" s="114">
        <f>0.4*(1.8+0.15)*B367</f>
        <v>0</v>
      </c>
      <c r="F367" s="24"/>
      <c r="G367" s="24"/>
      <c r="H367" s="24"/>
    </row>
    <row r="368" spans="1:98" s="25" customFormat="1">
      <c r="A368" s="1218"/>
      <c r="B368" s="27" t="s">
        <v>1</v>
      </c>
      <c r="C368" s="114" t="s">
        <v>5</v>
      </c>
      <c r="D368" s="114" t="s">
        <v>5</v>
      </c>
      <c r="E368" s="114" t="s">
        <v>4</v>
      </c>
      <c r="F368" s="24"/>
      <c r="G368" s="24"/>
      <c r="H368" s="24"/>
      <c r="BU368" s="132"/>
      <c r="BV368" s="132"/>
      <c r="BW368" s="132"/>
      <c r="BX368" s="132"/>
      <c r="BY368" s="132"/>
      <c r="BZ368" s="132"/>
      <c r="CA368" s="132"/>
      <c r="CB368" s="132"/>
      <c r="CC368" s="132"/>
      <c r="CD368" s="132"/>
      <c r="CE368" s="132"/>
      <c r="CF368" s="132"/>
      <c r="CG368" s="132"/>
      <c r="CH368" s="132"/>
      <c r="CI368" s="132"/>
      <c r="CJ368" s="132"/>
      <c r="CK368" s="132"/>
      <c r="CL368" s="132"/>
      <c r="CM368" s="132"/>
      <c r="CN368" s="132"/>
      <c r="CO368" s="132"/>
      <c r="CP368" s="132"/>
      <c r="CQ368" s="132"/>
      <c r="CR368" s="132"/>
      <c r="CS368" s="132"/>
      <c r="CT368" s="132"/>
    </row>
    <row r="369" spans="1:98" s="25" customFormat="1">
      <c r="A369" s="80"/>
      <c r="B369" s="63"/>
      <c r="C369" s="24"/>
      <c r="D369" s="24"/>
      <c r="E369" s="24"/>
      <c r="F369" s="24"/>
      <c r="G369" s="24"/>
      <c r="H369" s="24"/>
      <c r="BU369" s="132"/>
      <c r="BV369" s="132"/>
      <c r="BW369" s="132"/>
      <c r="BX369" s="132"/>
      <c r="BY369" s="132"/>
      <c r="BZ369" s="132"/>
      <c r="CA369" s="132"/>
      <c r="CB369" s="132"/>
      <c r="CC369" s="132"/>
      <c r="CD369" s="132"/>
      <c r="CE369" s="132"/>
      <c r="CF369" s="132"/>
      <c r="CG369" s="132"/>
      <c r="CH369" s="132"/>
      <c r="CI369" s="132"/>
      <c r="CJ369" s="132"/>
      <c r="CK369" s="132"/>
      <c r="CL369" s="132"/>
      <c r="CM369" s="132"/>
      <c r="CN369" s="132"/>
      <c r="CO369" s="132"/>
      <c r="CP369" s="132"/>
      <c r="CQ369" s="132"/>
      <c r="CR369" s="132"/>
      <c r="CS369" s="132"/>
      <c r="CT369" s="132"/>
    </row>
    <row r="370" spans="1:98" s="25" customFormat="1">
      <c r="A370" s="80"/>
      <c r="B370" s="63"/>
      <c r="C370" s="24"/>
      <c r="D370" s="24"/>
      <c r="E370" s="24"/>
      <c r="F370" s="24"/>
      <c r="G370" s="24"/>
      <c r="H370" s="24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  <c r="CN370" s="132"/>
      <c r="CO370" s="132"/>
      <c r="CP370" s="132"/>
      <c r="CQ370" s="132"/>
      <c r="CR370" s="132"/>
      <c r="CS370" s="132"/>
      <c r="CT370" s="132"/>
    </row>
    <row r="371" spans="1:98" s="25" customFormat="1" ht="33">
      <c r="A371" s="162" t="s">
        <v>254</v>
      </c>
      <c r="B371" s="63"/>
      <c r="C371" s="24"/>
      <c r="D371" s="24"/>
      <c r="E371" s="24"/>
      <c r="F371" s="24"/>
      <c r="G371" s="457"/>
      <c r="H371" s="457"/>
      <c r="BU371" s="132"/>
      <c r="BV371" s="132"/>
      <c r="BW371" s="132"/>
      <c r="BX371" s="132"/>
      <c r="BY371" s="132"/>
      <c r="BZ371" s="132"/>
      <c r="CA371" s="132"/>
      <c r="CB371" s="132"/>
      <c r="CC371" s="132"/>
      <c r="CD371" s="132"/>
      <c r="CE371" s="132"/>
      <c r="CF371" s="132"/>
      <c r="CG371" s="132"/>
      <c r="CH371" s="132"/>
      <c r="CI371" s="132"/>
      <c r="CJ371" s="132"/>
      <c r="CK371" s="132"/>
      <c r="CL371" s="132"/>
      <c r="CM371" s="132"/>
      <c r="CN371" s="132"/>
      <c r="CO371" s="132"/>
      <c r="CP371" s="132"/>
      <c r="CQ371" s="132"/>
      <c r="CR371" s="132"/>
      <c r="CS371" s="132"/>
      <c r="CT371" s="132"/>
    </row>
    <row r="372" spans="1:98" s="25" customFormat="1">
      <c r="A372" s="162" t="s">
        <v>253</v>
      </c>
      <c r="B372" s="63"/>
      <c r="C372" s="24"/>
      <c r="D372" s="24"/>
      <c r="E372" s="24"/>
      <c r="F372" s="24"/>
      <c r="G372" s="457"/>
      <c r="H372" s="457"/>
      <c r="BU372" s="132"/>
      <c r="BV372" s="132"/>
      <c r="BW372" s="132"/>
      <c r="BX372" s="132"/>
      <c r="BY372" s="132"/>
      <c r="BZ372" s="132"/>
      <c r="CA372" s="132"/>
      <c r="CB372" s="132"/>
      <c r="CC372" s="132"/>
      <c r="CD372" s="132"/>
      <c r="CE372" s="132"/>
      <c r="CF372" s="132"/>
      <c r="CG372" s="132"/>
      <c r="CH372" s="132"/>
      <c r="CI372" s="132"/>
      <c r="CJ372" s="132"/>
      <c r="CK372" s="132"/>
      <c r="CL372" s="132"/>
      <c r="CM372" s="132"/>
      <c r="CN372" s="132"/>
      <c r="CO372" s="132"/>
      <c r="CP372" s="132"/>
      <c r="CQ372" s="132"/>
      <c r="CR372" s="132"/>
      <c r="CS372" s="132"/>
      <c r="CT372" s="132"/>
    </row>
    <row r="373" spans="1:98" s="25" customFormat="1">
      <c r="A373" s="162"/>
      <c r="B373" s="121"/>
      <c r="C373" s="24"/>
      <c r="D373" s="24"/>
      <c r="E373" s="24"/>
      <c r="F373" s="24"/>
      <c r="G373" s="457"/>
      <c r="H373" s="457"/>
      <c r="BU373" s="132"/>
      <c r="BV373" s="132"/>
      <c r="BW373" s="132"/>
      <c r="BX373" s="132"/>
      <c r="BY373" s="132"/>
      <c r="BZ373" s="132"/>
      <c r="CA373" s="132"/>
      <c r="CB373" s="132"/>
      <c r="CC373" s="132"/>
      <c r="CD373" s="132"/>
      <c r="CE373" s="132"/>
      <c r="CF373" s="132"/>
      <c r="CG373" s="132"/>
      <c r="CH373" s="132"/>
      <c r="CI373" s="132"/>
      <c r="CJ373" s="132"/>
      <c r="CK373" s="132"/>
      <c r="CL373" s="132"/>
      <c r="CM373" s="132"/>
      <c r="CN373" s="132"/>
      <c r="CO373" s="132"/>
      <c r="CP373" s="132"/>
      <c r="CQ373" s="132"/>
      <c r="CR373" s="132"/>
      <c r="CS373" s="132"/>
      <c r="CT373" s="132"/>
    </row>
    <row r="374" spans="1:98" s="25" customFormat="1">
      <c r="A374" s="80"/>
      <c r="B374" s="63"/>
      <c r="C374" s="24"/>
      <c r="D374" s="24"/>
      <c r="E374" s="24"/>
      <c r="F374" s="24"/>
      <c r="G374" s="24"/>
      <c r="H374" s="24"/>
      <c r="BU374" s="132"/>
      <c r="BV374" s="132"/>
      <c r="BW374" s="132"/>
      <c r="BX374" s="132"/>
      <c r="BY374" s="132"/>
      <c r="BZ374" s="132"/>
      <c r="CA374" s="132"/>
      <c r="CB374" s="132"/>
      <c r="CC374" s="132"/>
      <c r="CD374" s="132"/>
      <c r="CE374" s="132"/>
      <c r="CF374" s="132"/>
      <c r="CG374" s="132"/>
      <c r="CH374" s="132"/>
      <c r="CI374" s="132"/>
      <c r="CJ374" s="132"/>
      <c r="CK374" s="132"/>
      <c r="CL374" s="132"/>
      <c r="CM374" s="132"/>
      <c r="CN374" s="132"/>
      <c r="CO374" s="132"/>
      <c r="CP374" s="132"/>
      <c r="CQ374" s="132"/>
      <c r="CR374" s="132"/>
      <c r="CS374" s="132"/>
      <c r="CT374" s="132"/>
    </row>
    <row r="375" spans="1:98" s="25" customFormat="1" ht="31.5">
      <c r="A375" s="80"/>
      <c r="B375" s="624" t="s">
        <v>609</v>
      </c>
      <c r="C375" s="24"/>
      <c r="D375" s="24"/>
      <c r="E375" s="24"/>
      <c r="F375" s="24"/>
      <c r="G375" s="557"/>
      <c r="H375" s="24"/>
      <c r="BU375" s="132"/>
      <c r="BV375" s="132"/>
      <c r="BW375" s="132"/>
      <c r="BX375" s="132"/>
      <c r="BY375" s="132"/>
      <c r="BZ375" s="132"/>
      <c r="CA375" s="132"/>
      <c r="CB375" s="132"/>
      <c r="CC375" s="132"/>
      <c r="CD375" s="132"/>
      <c r="CE375" s="132"/>
      <c r="CF375" s="132"/>
      <c r="CG375" s="132"/>
      <c r="CH375" s="132"/>
      <c r="CI375" s="132"/>
      <c r="CJ375" s="132"/>
      <c r="CK375" s="132"/>
      <c r="CL375" s="132"/>
      <c r="CM375" s="132"/>
      <c r="CN375" s="132"/>
      <c r="CO375" s="132"/>
      <c r="CP375" s="132"/>
      <c r="CQ375" s="132"/>
      <c r="CR375" s="132"/>
      <c r="CS375" s="132"/>
      <c r="CT375" s="132"/>
    </row>
    <row r="376" spans="1:98" s="25" customFormat="1">
      <c r="A376" s="80"/>
      <c r="B376" s="121"/>
      <c r="C376" s="24"/>
      <c r="D376" s="24"/>
      <c r="E376" s="24"/>
      <c r="F376" s="24"/>
      <c r="G376" s="24"/>
      <c r="H376" s="24"/>
      <c r="BU376" s="132"/>
      <c r="BV376" s="132"/>
      <c r="BW376" s="132"/>
      <c r="BX376" s="132"/>
      <c r="BY376" s="132"/>
      <c r="BZ376" s="132"/>
      <c r="CA376" s="132"/>
      <c r="CB376" s="132"/>
      <c r="CC376" s="132"/>
      <c r="CD376" s="132"/>
      <c r="CE376" s="132"/>
      <c r="CF376" s="132"/>
      <c r="CG376" s="132"/>
      <c r="CH376" s="132"/>
      <c r="CI376" s="132"/>
      <c r="CJ376" s="132"/>
      <c r="CK376" s="132"/>
      <c r="CL376" s="132"/>
      <c r="CM376" s="132"/>
      <c r="CN376" s="132"/>
      <c r="CO376" s="132"/>
      <c r="CP376" s="132"/>
      <c r="CQ376" s="132"/>
      <c r="CR376" s="132"/>
      <c r="CS376" s="132"/>
      <c r="CT376" s="132"/>
    </row>
    <row r="377" spans="1:98">
      <c r="A377" s="81"/>
      <c r="B377" s="82"/>
      <c r="C377" s="41">
        <f>SUM(C352:C376)</f>
        <v>0</v>
      </c>
      <c r="D377" s="41">
        <f>SUM(D352:D376)</f>
        <v>0</v>
      </c>
      <c r="E377" s="41">
        <f>SUM(E352:E376)</f>
        <v>0</v>
      </c>
      <c r="F377" s="41"/>
      <c r="G377" s="41">
        <f>SUM(G352:G376)</f>
        <v>0</v>
      </c>
      <c r="H377" s="41">
        <f>SUM(H352:H376)</f>
        <v>0</v>
      </c>
    </row>
  </sheetData>
  <sheetProtection algorithmName="SHA-512" hashValue="byHyyelaq7vUcria5tuZbWSVE9ZpoUwbvsx+68mpTO01qWdbtM44skGCPjAHjlv/9COcp6pM+rE9sMrv2mV5fw==" saltValue="kDKM54Oup9Rv/9WhT6Wyhw==" spinCount="100000" sheet="1" objects="1" scenarios="1"/>
  <mergeCells count="54">
    <mergeCell ref="CL4:CS4"/>
    <mergeCell ref="BE3:BT3"/>
    <mergeCell ref="BC5:BD5"/>
    <mergeCell ref="Z3:BD3"/>
    <mergeCell ref="BE5:BF5"/>
    <mergeCell ref="AN4:AP4"/>
    <mergeCell ref="AQ4:BB4"/>
    <mergeCell ref="BK4:BT4"/>
    <mergeCell ref="BJ5:BM5"/>
    <mergeCell ref="BN5:BP5"/>
    <mergeCell ref="AX5:BA5"/>
    <mergeCell ref="AI4:AM4"/>
    <mergeCell ref="BG5:BI5"/>
    <mergeCell ref="BU4:CJ4"/>
    <mergeCell ref="BQ5:BR5"/>
    <mergeCell ref="BS5:BT5"/>
    <mergeCell ref="A1:H1"/>
    <mergeCell ref="C4:E4"/>
    <mergeCell ref="C3:E3"/>
    <mergeCell ref="I3:X3"/>
    <mergeCell ref="Q4:W4"/>
    <mergeCell ref="AA4:AH4"/>
    <mergeCell ref="Y4:Y6"/>
    <mergeCell ref="O4:P4"/>
    <mergeCell ref="A86:A92"/>
    <mergeCell ref="A79:A85"/>
    <mergeCell ref="A49:A51"/>
    <mergeCell ref="A52:A54"/>
    <mergeCell ref="A61:A63"/>
    <mergeCell ref="A58:A60"/>
    <mergeCell ref="A55:A57"/>
    <mergeCell ref="A65:A67"/>
    <mergeCell ref="A72:A78"/>
    <mergeCell ref="A162:A166"/>
    <mergeCell ref="A48:H48"/>
    <mergeCell ref="J4:L4"/>
    <mergeCell ref="A9:H9"/>
    <mergeCell ref="A20:H20"/>
    <mergeCell ref="A367:A368"/>
    <mergeCell ref="A71:H71"/>
    <mergeCell ref="A350:H350"/>
    <mergeCell ref="A341:H341"/>
    <mergeCell ref="A321:H321"/>
    <mergeCell ref="A100:A104"/>
    <mergeCell ref="A93:A99"/>
    <mergeCell ref="B267:J267"/>
    <mergeCell ref="A210:F210"/>
    <mergeCell ref="A258:H258"/>
    <mergeCell ref="A197:H197"/>
    <mergeCell ref="A136:H136"/>
    <mergeCell ref="A125:H125"/>
    <mergeCell ref="A146:H146"/>
    <mergeCell ref="A147:A153"/>
    <mergeCell ref="A154:A160"/>
  </mergeCells>
  <pageMargins left="0.21" right="0.2" top="0.3" bottom="0.18" header="0.2" footer="0.16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krebsiti</vt:lpstr>
      <vt:lpstr>#1</vt:lpstr>
      <vt:lpstr>#2</vt:lpstr>
      <vt:lpstr>#3</vt:lpstr>
      <vt:lpstr>#4</vt:lpstr>
      <vt:lpstr>#5</vt:lpstr>
      <vt:lpstr>77777</vt:lpstr>
      <vt:lpstr>'#1'!Print_Area</vt:lpstr>
      <vt:lpstr>'#2'!Print_Area</vt:lpstr>
      <vt:lpstr>'#3'!Print_Area</vt:lpstr>
      <vt:lpstr>'#4'!Print_Area</vt:lpstr>
      <vt:lpstr>'#5'!Print_Area</vt:lpstr>
      <vt:lpstr>krebsiti!Print_Area</vt:lpstr>
      <vt:lpstr>'#1'!Print_Titles</vt:lpstr>
      <vt:lpstr>'#2'!Print_Titles</vt:lpstr>
      <vt:lpstr>'#3'!Print_Titles</vt:lpstr>
      <vt:lpstr>'#4'!Print_Titles</vt:lpstr>
      <vt:lpstr>'#5'!Print_Titles</vt:lpstr>
      <vt:lpstr>'77777'!Print_Titles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2022-03-04T06:36:01Z</dcterms:modified>
</cp:coreProperties>
</file>